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3.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ustomProperty4.bin" ContentType="application/vnd.openxmlformats-officedocument.spreadsheetml.customProperty"/>
  <Override PartName="/xl/drawings/drawing9.xml" ContentType="application/vnd.openxmlformats-officedocument.drawing+xml"/>
  <Override PartName="/xl/customProperty5.bin" ContentType="application/vnd.openxmlformats-officedocument.spreadsheetml.customProperty"/>
  <Override PartName="/xl/drawings/drawing10.xml" ContentType="application/vnd.openxmlformats-officedocument.drawing+xml"/>
  <Override PartName="/xl/customProperty6.bin" ContentType="application/vnd.openxmlformats-officedocument.spreadsheetml.customProperty"/>
  <Override PartName="/xl/drawings/drawing11.xml" ContentType="application/vnd.openxmlformats-officedocument.drawing+xml"/>
  <Override PartName="/xl/customProperty7.bin" ContentType="application/vnd.openxmlformats-officedocument.spreadsheetml.customProperty"/>
  <Override PartName="/xl/drawings/drawing12.xml" ContentType="application/vnd.openxmlformats-officedocument.drawing+xml"/>
  <Override PartName="/xl/customProperty8.bin" ContentType="application/vnd.openxmlformats-officedocument.spreadsheetml.customProperty"/>
  <Override PartName="/xl/drawings/drawing13.xml" ContentType="application/vnd.openxmlformats-officedocument.drawing+xml"/>
  <Override PartName="/xl/customProperty9.bin" ContentType="application/vnd.openxmlformats-officedocument.spreadsheetml.customProperty"/>
  <Override PartName="/xl/drawings/drawing14.xml" ContentType="application/vnd.openxmlformats-officedocument.drawing+xml"/>
  <Override PartName="/xl/customProperty10.bin" ContentType="application/vnd.openxmlformats-officedocument.spreadsheetml.customProperty"/>
  <Override PartName="/xl/drawings/drawing15.xml" ContentType="application/vnd.openxmlformats-officedocument.drawing+xml"/>
  <Override PartName="/xl/customProperty11.bin" ContentType="application/vnd.openxmlformats-officedocument.spreadsheetml.customProperty"/>
  <Override PartName="/xl/drawings/drawing16.xml" ContentType="application/vnd.openxmlformats-officedocument.drawing+xml"/>
  <Override PartName="/xl/customProperty12.bin" ContentType="application/vnd.openxmlformats-officedocument.spreadsheetml.customProperty"/>
  <Override PartName="/xl/drawings/drawing17.xml" ContentType="application/vnd.openxmlformats-officedocument.drawing+xml"/>
  <Override PartName="/xl/customProperty13.bin" ContentType="application/vnd.openxmlformats-officedocument.spreadsheetml.customProperty"/>
  <Override PartName="/xl/drawings/drawing18.xml" ContentType="application/vnd.openxmlformats-officedocument.drawing+xml"/>
  <Override PartName="/xl/customProperty14.bin" ContentType="application/vnd.openxmlformats-officedocument.spreadsheetml.customProperty"/>
  <Override PartName="/xl/drawings/drawing19.xml" ContentType="application/vnd.openxmlformats-officedocument.drawing+xml"/>
  <Override PartName="/xl/customProperty15.bin" ContentType="application/vnd.openxmlformats-officedocument.spreadsheetml.customProperty"/>
  <Override PartName="/xl/drawings/drawing20.xml" ContentType="application/vnd.openxmlformats-officedocument.drawing+xml"/>
  <Override PartName="/xl/customProperty16.bin" ContentType="application/vnd.openxmlformats-officedocument.spreadsheetml.customProperty"/>
  <Override PartName="/xl/drawings/drawing21.xml" ContentType="application/vnd.openxmlformats-officedocument.drawing+xml"/>
  <Override PartName="/xl/customProperty17.bin" ContentType="application/vnd.openxmlformats-officedocument.spreadsheetml.customProperty"/>
  <Override PartName="/xl/drawings/drawing22.xml" ContentType="application/vnd.openxmlformats-officedocument.drawing+xml"/>
  <Override PartName="/xl/customProperty18.bin" ContentType="application/vnd.openxmlformats-officedocument.spreadsheetml.customProperty"/>
  <Override PartName="/xl/drawings/drawing23.xml" ContentType="application/vnd.openxmlformats-officedocument.drawing+xml"/>
  <Override PartName="/xl/customProperty19.bin" ContentType="application/vnd.openxmlformats-officedocument.spreadsheetml.customProperty"/>
  <Override PartName="/xl/drawings/drawing24.xml" ContentType="application/vnd.openxmlformats-officedocument.drawing+xml"/>
  <Override PartName="/xl/customProperty20.bin" ContentType="application/vnd.openxmlformats-officedocument.spreadsheetml.customProperty"/>
  <Override PartName="/xl/drawings/drawing25.xml" ContentType="application/vnd.openxmlformats-officedocument.drawing+xml"/>
  <Override PartName="/xl/customProperty21.bin" ContentType="application/vnd.openxmlformats-officedocument.spreadsheetml.customProperty"/>
  <Override PartName="/xl/drawings/drawing26.xml" ContentType="application/vnd.openxmlformats-officedocument.drawing+xml"/>
  <Override PartName="/xl/customProperty22.bin" ContentType="application/vnd.openxmlformats-officedocument.spreadsheetml.customProperty"/>
  <Override PartName="/xl/drawings/drawing27.xml" ContentType="application/vnd.openxmlformats-officedocument.drawing+xml"/>
  <Override PartName="/xl/customProperty23.bin" ContentType="application/vnd.openxmlformats-officedocument.spreadsheetml.customProperty"/>
  <Override PartName="/xl/drawings/drawing28.xml" ContentType="application/vnd.openxmlformats-officedocument.drawing+xml"/>
  <Override PartName="/xl/customProperty24.bin" ContentType="application/vnd.openxmlformats-officedocument.spreadsheetml.customProperty"/>
  <Override PartName="/xl/drawings/drawing29.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xr:revisionPtr revIDLastSave="0" documentId="13_ncr:1_{7FF8FF38-5587-43FB-91CD-C11BC9A98084}" xr6:coauthVersionLast="47" xr6:coauthVersionMax="47" xr10:uidLastSave="{00000000-0000-0000-0000-000000000000}"/>
  <bookViews>
    <workbookView xWindow="-120" yWindow="-16320" windowWidth="29040" windowHeight="15840" tabRatio="746" firstSheet="1" activeTab="1" xr2:uid="{DE7030C9-C5A4-4CB1-B9BC-740DD879CAC9}"/>
  </bookViews>
  <sheets>
    <sheet name="check" sheetId="214" state="veryHidden" r:id="rId1"/>
    <sheet name="はじめにお読みください" sheetId="213" r:id="rId2"/>
    <sheet name="表紙" sheetId="88" r:id="rId3"/>
    <sheet name="1.1対象エリアの規模等" sheetId="204" r:id="rId4"/>
    <sheet name="1.3共通KPI" sheetId="231" r:id="rId5"/>
    <sheet name="3.4活用想定補助金(事業別)" sheetId="207" r:id="rId6"/>
    <sheet name="3.4費用効率性" sheetId="226" r:id="rId7"/>
    <sheet name="費用効率性リスト" sheetId="227" state="veryHidden" r:id="rId8"/>
    <sheet name="リスト①" sheetId="228" state="veryHidden" r:id="rId9"/>
    <sheet name="リスト②" sheetId="229" state="veryHidden" r:id="rId10"/>
    <sheet name="リスト③" sheetId="230" state="veryHidden" r:id="rId11"/>
    <sheet name="3.4活用想定補助金(年度別)" sheetId="152" r:id="rId12"/>
    <sheet name="4.1(1)再エネ導入可能量" sheetId="166" r:id="rId13"/>
    <sheet name="4.1(2)新規再エネ導入予定（設備情報）" sheetId="149" r:id="rId14"/>
    <sheet name="4.1(2)新規再エネ導入予定(FS調査、系統接続検討状況)" sheetId="183" r:id="rId15"/>
    <sheet name="4.1(2)新規再エネ導入予定(合意形成)" sheetId="190" r:id="rId16"/>
    <sheet name="4.1(2)新規の再エネ発電設備の導入(別表)" sheetId="185" r:id="rId17"/>
    <sheet name="4.1(3)活用可能な既存の再エネ発電設備" sheetId="138" r:id="rId18"/>
    <sheet name="4.2実質ゼロ(計算結果)" sheetId="123" r:id="rId19"/>
    <sheet name="4.2対象地域の民生需要家数等" sheetId="198" r:id="rId20"/>
    <sheet name="4.2実質ゼロ(サマリ)" sheetId="141" r:id="rId21"/>
    <sheet name="4.2民生電力需要量" sheetId="139" r:id="rId22"/>
    <sheet name="4.2需要家合意形成状況(住宅)" sheetId="165" r:id="rId23"/>
    <sheet name="4.2需要家合意形成状況(民生・業務その他)" sheetId="161" r:id="rId24"/>
    <sheet name="4.2需要家合意形成状況(公共)" sheetId="177" r:id="rId25"/>
    <sheet name="4.2電力供給状況(民生部門)" sheetId="117" r:id="rId26"/>
    <sheet name="4.2地産地消割合" sheetId="143" r:id="rId27"/>
    <sheet name="4.2電力削減量" sheetId="119" r:id="rId28"/>
    <sheet name="4.3民生部門電力以外の排出削減取組" sheetId="122" r:id="rId29"/>
    <sheet name="4.3民生部門電力以外の取組" sheetId="164" r:id="rId30"/>
    <sheet name="4.3電力供給状況(民生部門電力以外)" sheetId="206" r:id="rId31"/>
    <sheet name="6.2関係者との合意形成状況" sheetId="160" r:id="rId32"/>
    <sheet name="実質ゼロ分類" sheetId="194" state="veryHidden" r:id="rId33"/>
    <sheet name="(非表示)新規再エネ実現可能性判定" sheetId="209" state="veryHidden" r:id="rId34"/>
  </sheets>
  <definedNames>
    <definedName name="_xlnm._FilterDatabase" localSheetId="6" hidden="1">'3.4費用効率性'!$B$10:$AC$44</definedName>
    <definedName name="_xlnm._FilterDatabase" localSheetId="20" hidden="1">'4.2実質ゼロ(サマリ)'!$C$16:$T$16</definedName>
    <definedName name="_xlnm._FilterDatabase" localSheetId="18" hidden="1">'4.2実質ゼロ(計算結果)'!$B$1:$B$36</definedName>
    <definedName name="_xlnm._FilterDatabase" localSheetId="26" hidden="1">'4.2地産地消割合'!$B$1:$B$74</definedName>
    <definedName name="_xlnm._FilterDatabase" localSheetId="8">リスト①!$A$1:$L$1795</definedName>
    <definedName name="_xlnm._FilterDatabase" localSheetId="10">リスト③!$A$2:$I$1744</definedName>
    <definedName name="_ア_太陽光発電設備">費用効率性リスト!$J$6:$J$8</definedName>
    <definedName name="EVカーシェア">費用効率性リスト!$W$6:$W$8</definedName>
    <definedName name="EVバス">費用効率性リスト!$X$6:$X$7</definedName>
    <definedName name="EV清掃車">費用効率性リスト!$Y$6:$Y$7</definedName>
    <definedName name="_xlnm.Print_Area" localSheetId="6">'3.4費用効率性'!$A$2:$Z$48</definedName>
    <definedName name="ZEB">費用効率性リスト!$R$6:$R$11</definedName>
    <definedName name="ZEH">費用効率性リスト!$S$6:$S$10</definedName>
    <definedName name="ZEH_M">費用効率性リスト!$T$6:$T$10</definedName>
    <definedName name="ZEH等を上回る自治体独自の断熱性能の基準を満たす高性能住宅">費用効率性リスト!$U$6:$U$8</definedName>
    <definedName name="ア_再エネ設備整備">費用効率性リスト!$F$4:$F$6</definedName>
    <definedName name="イ_基盤インフラ整備">費用効率性リスト!$F$7:$F$11</definedName>
    <definedName name="ウ_省CO2等設備整備">費用効率性リスト!$F$12:$F$22</definedName>
    <definedName name="エ_効果促進事業">費用効率性リスト!$F$23</definedName>
    <definedName name="オ_その他">費用効率性リスト!$F$24:$F$25</definedName>
    <definedName name="オンサイト自家消費型業務用">費用効率性リスト!$J$6:$J$11</definedName>
    <definedName name="グリーンスローモビリティ">費用効率性リスト!$Z$6:$Z$7</definedName>
    <definedName name="その他基盤インフラ設備">費用効率性リスト!$N$6:$N$11</definedName>
    <definedName name="その他再生可能エネルギー発電設備">費用効率性リスト!$K$6:$K$23</definedName>
    <definedName name="その他事業を実現する上で必要と認められる設備">費用効率性リスト!$AD$6:$AD$7</definedName>
    <definedName name="愛知県">リスト①!$C$1014:$C$1068</definedName>
    <definedName name="愛媛県">リスト①!$C$1458:$C$1478</definedName>
    <definedName name="茨城県">リスト①!$C$421:$C$465</definedName>
    <definedName name="岡山県">リスト①!$C$1343:$C$1370</definedName>
    <definedName name="沖縄県">リスト①!$C$1754:$C$1795</definedName>
    <definedName name="岩手県">リスト①!$C$229:$C$262</definedName>
    <definedName name="岐阜県">リスト①!$C$935:$C$977</definedName>
    <definedName name="既存住宅断熱改修">費用効率性リスト!$V$6:$V$8</definedName>
    <definedName name="宮崎県">リスト①!$C$1683:$C$1709</definedName>
    <definedName name="宮城県">リスト①!$C$263:$C$298</definedName>
    <definedName name="京都府">リスト①!$C$1119:$C$1145</definedName>
    <definedName name="熊本県">リスト①!$C$1618:$C$1663</definedName>
    <definedName name="群馬県">リスト①!$C$492:$C$527</definedName>
    <definedName name="効果促進事業">費用効率性リスト!$AC$6:$AC$7</definedName>
    <definedName name="広島県">リスト①!$C$1371:$C$1394</definedName>
    <definedName name="香川県">リスト①!$C$1440:$C$1457</definedName>
    <definedName name="高効率設備等">費用効率性リスト!$AB$6:$AB$19</definedName>
    <definedName name="高知県">リスト①!$C$1479:$C$1513</definedName>
    <definedName name="佐賀県">リスト①!$C$1575:$C$1595</definedName>
    <definedName name="埼玉県">リスト①!$C$528:$C$591</definedName>
    <definedName name="三重県">リスト①!$C$1069:$C$1098</definedName>
    <definedName name="山形県">リスト①!$C$325:$C$360</definedName>
    <definedName name="山口県">リスト①!$C$1395:$C$1414</definedName>
    <definedName name="山梨県">リスト①!$C$829:$C$856</definedName>
    <definedName name="滋賀県">リスト①!$C$1099:$C$1118</definedName>
    <definedName name="鹿児島県">リスト①!$C$1710:$C$1753</definedName>
    <definedName name="執行事務費">費用効率性リスト!$AE$6:$AE$7</definedName>
    <definedName name="車載型蓄電池等">費用効率性リスト!$O$6:$O$9</definedName>
    <definedName name="秋田県">リスト①!$C$299:$C$324</definedName>
    <definedName name="充放電設備">費用効率性リスト!$P$6:$P$9</definedName>
    <definedName name="新潟県">リスト①!$C$744:$C$774</definedName>
    <definedName name="神奈川県">リスト①!$C$710:$C$743</definedName>
    <definedName name="水素等関連設備">費用効率性リスト!$Q$6:$Q$12</definedName>
    <definedName name="水素等利活用設備">費用効率性リスト!$AA$6:$AA$7</definedName>
    <definedName name="青森県">リスト①!$C$188:$C$228</definedName>
    <definedName name="静岡県">リスト①!$C$978:$C$1013</definedName>
    <definedName name="石川県">リスト①!$C$791:$C$810</definedName>
    <definedName name="千葉県">リスト①!$C$592:$C$646</definedName>
    <definedName name="太陽光発電設備">費用効率性リスト!$J$6:$J$11</definedName>
    <definedName name="大阪府">リスト①!$C$1146:$C$1189</definedName>
    <definedName name="大分県">リスト①!$C$1664:$C$1682</definedName>
    <definedName name="蓄電池">費用効率性リスト!$M$6:$M$11</definedName>
    <definedName name="長崎県">リスト①!$C$1596:$C$1617</definedName>
    <definedName name="長野県">リスト①!$C$857:$C$934</definedName>
    <definedName name="鳥取県">リスト①!$C$1303:$C$1322</definedName>
    <definedName name="島根県">リスト①!$C$1323:$C$1342</definedName>
    <definedName name="東京都">リスト①!$C$647:$C$709</definedName>
    <definedName name="徳島県">リスト①!$C$1415:$C$1439</definedName>
    <definedName name="栃木県">リスト①!$C$466:$C$491</definedName>
    <definedName name="奈良県">リスト①!$C$1232:$C$1271</definedName>
    <definedName name="熱利用設備">費用効率性リスト!$L$6:$L$14</definedName>
    <definedName name="富山県">リスト①!$C$775:$C$790</definedName>
    <definedName name="風力発電オンサイト自家消費型">費用効率性リスト!$M$9</definedName>
    <definedName name="福井県">リスト①!$C$811:$C$828</definedName>
    <definedName name="福岡県">リスト①!$C$1514:$C$1574</definedName>
    <definedName name="福島県">リスト①!$C$361:$C$420</definedName>
    <definedName name="兵庫県">リスト①!$C$1190:$C$1231</definedName>
    <definedName name="北海道">リスト①!$C$2:$C$187</definedName>
    <definedName name="和歌山県">リスト①!$C$1272:$C$1302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285" i="161" l="1"/>
  <c r="U113" i="152" l="1"/>
  <c r="T113" i="152"/>
  <c r="C3" i="214"/>
  <c r="T9" i="141" l="1"/>
  <c r="Y9" i="141"/>
  <c r="T10" i="141"/>
  <c r="Y10" i="141"/>
  <c r="T11" i="141"/>
  <c r="Y11" i="141"/>
  <c r="T12" i="141"/>
  <c r="Y12" i="141"/>
  <c r="T13" i="141"/>
  <c r="Y13" i="141"/>
  <c r="T14" i="141"/>
  <c r="Y14" i="141"/>
  <c r="T15" i="141"/>
  <c r="Y15" i="141"/>
  <c r="T16" i="141"/>
  <c r="T17" i="141"/>
  <c r="AH66" i="117"/>
  <c r="AG66" i="117"/>
  <c r="AF66" i="117"/>
  <c r="AE66" i="117"/>
  <c r="AH60" i="117"/>
  <c r="AG60" i="117"/>
  <c r="AF60" i="117"/>
  <c r="AE60" i="117"/>
  <c r="AH53" i="117"/>
  <c r="AG53" i="117"/>
  <c r="AF53" i="117"/>
  <c r="AE53" i="117"/>
  <c r="AH46" i="117"/>
  <c r="AG46" i="117"/>
  <c r="AF46" i="117"/>
  <c r="AE46" i="117"/>
  <c r="AH39" i="117"/>
  <c r="AG39" i="117"/>
  <c r="AF39" i="117"/>
  <c r="AE39" i="117"/>
  <c r="AH32" i="117"/>
  <c r="AG32" i="117"/>
  <c r="AF32" i="117"/>
  <c r="AE32" i="117"/>
  <c r="AH25" i="117"/>
  <c r="AG25" i="117"/>
  <c r="AF25" i="117"/>
  <c r="AE25" i="117"/>
  <c r="AH18" i="117"/>
  <c r="AG18" i="117"/>
  <c r="AF18" i="117"/>
  <c r="AE18" i="117"/>
  <c r="AH11" i="117"/>
  <c r="AG11" i="117"/>
  <c r="AF11" i="117"/>
  <c r="AE11" i="117"/>
  <c r="H9" i="141"/>
  <c r="AA41" i="226"/>
  <c r="AA15" i="226"/>
  <c r="U36" i="122"/>
  <c r="U35" i="122"/>
  <c r="U34" i="122"/>
  <c r="U33" i="122"/>
  <c r="U32" i="122"/>
  <c r="U31" i="122"/>
  <c r="U30" i="122"/>
  <c r="U29" i="122"/>
  <c r="U28" i="122"/>
  <c r="U27" i="122"/>
  <c r="U26" i="122"/>
  <c r="U25" i="122"/>
  <c r="U24" i="122"/>
  <c r="U23" i="122"/>
  <c r="U22" i="122"/>
  <c r="U21" i="122"/>
  <c r="U20" i="122"/>
  <c r="U19" i="122"/>
  <c r="U18" i="122"/>
  <c r="U17" i="122"/>
  <c r="U16" i="122"/>
  <c r="U15" i="122"/>
  <c r="U14" i="122"/>
  <c r="U13" i="122"/>
  <c r="U12" i="122"/>
  <c r="U11" i="122"/>
  <c r="U10" i="122"/>
  <c r="U9" i="122"/>
  <c r="U8" i="122"/>
  <c r="U7" i="122"/>
  <c r="U6" i="122"/>
  <c r="X49" i="139" l="1" a="1"/>
  <c r="X49" i="139" s="1"/>
  <c r="X48" i="139" a="1"/>
  <c r="X48" i="139" s="1"/>
  <c r="X47" i="139" a="1"/>
  <c r="X47" i="139" s="1"/>
  <c r="X46" i="139" a="1"/>
  <c r="X46" i="139" s="1"/>
  <c r="X45" i="139" a="1"/>
  <c r="X45" i="139" s="1"/>
  <c r="X44" i="139" a="1"/>
  <c r="X44" i="139" s="1"/>
  <c r="X43" i="139" a="1"/>
  <c r="X43" i="139" s="1"/>
  <c r="X42" i="139" a="1"/>
  <c r="X42" i="139" s="1"/>
  <c r="X41" i="139" a="1"/>
  <c r="X41" i="139" s="1"/>
  <c r="X40" i="139" a="1"/>
  <c r="X40" i="139" s="1"/>
  <c r="X39" i="139" a="1"/>
  <c r="X39" i="139" s="1"/>
  <c r="X38" i="139" a="1"/>
  <c r="X38" i="139" s="1"/>
  <c r="X37" i="139" a="1"/>
  <c r="X37" i="139" s="1"/>
  <c r="X36" i="139" a="1"/>
  <c r="X36" i="139" s="1"/>
  <c r="X35" i="139" a="1"/>
  <c r="X35" i="139" s="1"/>
  <c r="X34" i="139" a="1"/>
  <c r="X34" i="139" s="1"/>
  <c r="X33" i="139" a="1"/>
  <c r="X33" i="139" s="1"/>
  <c r="X32" i="139" a="1"/>
  <c r="X32" i="139" s="1"/>
  <c r="X31" i="139" a="1"/>
  <c r="X31" i="139" s="1"/>
  <c r="X30" i="139" a="1"/>
  <c r="X30" i="139" s="1"/>
  <c r="X29" i="139" a="1"/>
  <c r="X29" i="139" s="1"/>
  <c r="X28" i="139" a="1"/>
  <c r="X28" i="139" s="1"/>
  <c r="X27" i="139" a="1"/>
  <c r="X27" i="139" s="1"/>
  <c r="X26" i="139" a="1"/>
  <c r="X26" i="139" s="1"/>
  <c r="X25" i="139" a="1"/>
  <c r="X25" i="139" s="1"/>
  <c r="X24" i="139" a="1"/>
  <c r="X24" i="139" s="1"/>
  <c r="X23" i="139" a="1"/>
  <c r="X23" i="139" s="1"/>
  <c r="X22" i="139" a="1"/>
  <c r="X22" i="139" s="1"/>
  <c r="X21" i="139" a="1"/>
  <c r="X21" i="139" s="1"/>
  <c r="X20" i="139" a="1"/>
  <c r="X20" i="139" s="1"/>
  <c r="X19" i="139" a="1"/>
  <c r="X19" i="139" s="1"/>
  <c r="X18" i="139" a="1"/>
  <c r="X18" i="139" s="1"/>
  <c r="X17" i="139" a="1"/>
  <c r="X17" i="139" s="1"/>
  <c r="X16" i="139" a="1"/>
  <c r="X16" i="139" s="1"/>
  <c r="X15" i="139" a="1"/>
  <c r="X15" i="139" s="1"/>
  <c r="X14" i="139" a="1"/>
  <c r="X14" i="139" s="1"/>
  <c r="X13" i="139" a="1"/>
  <c r="X13" i="139" s="1"/>
  <c r="X12" i="139" a="1"/>
  <c r="X12" i="139" s="1"/>
  <c r="X11" i="139" a="1"/>
  <c r="X11" i="139" s="1"/>
  <c r="X10" i="139" a="1"/>
  <c r="X10" i="139" s="1"/>
  <c r="X9" i="139" a="1"/>
  <c r="X9" i="139" s="1"/>
  <c r="T7" i="226"/>
  <c r="T6" i="226"/>
  <c r="U7" i="226"/>
  <c r="U6" i="226"/>
  <c r="R28" i="152" l="1"/>
  <c r="U28" i="152"/>
  <c r="R29" i="152"/>
  <c r="W29" i="152"/>
  <c r="R30" i="152"/>
  <c r="W30" i="152"/>
  <c r="R31" i="152"/>
  <c r="W31" i="152"/>
  <c r="R35" i="152"/>
  <c r="U35" i="152"/>
  <c r="R36" i="152"/>
  <c r="W36" i="152"/>
  <c r="R37" i="152"/>
  <c r="W37" i="152"/>
  <c r="R38" i="152"/>
  <c r="W38" i="152"/>
  <c r="R40" i="152"/>
  <c r="U40" i="152"/>
  <c r="R41" i="152"/>
  <c r="W41" i="152"/>
  <c r="R42" i="152"/>
  <c r="W42" i="152"/>
  <c r="R43" i="152"/>
  <c r="W43" i="152"/>
  <c r="R47" i="152"/>
  <c r="U47" i="152"/>
  <c r="R48" i="152"/>
  <c r="W48" i="152"/>
  <c r="R49" i="152"/>
  <c r="W49" i="152"/>
  <c r="R50" i="152"/>
  <c r="W50" i="152"/>
  <c r="R52" i="152"/>
  <c r="U52" i="152"/>
  <c r="R53" i="152"/>
  <c r="W53" i="152"/>
  <c r="R54" i="152"/>
  <c r="W54" i="152"/>
  <c r="R55" i="152"/>
  <c r="W55" i="152"/>
  <c r="R59" i="152"/>
  <c r="U59" i="152"/>
  <c r="R60" i="152"/>
  <c r="W60" i="152"/>
  <c r="R61" i="152"/>
  <c r="W61" i="152"/>
  <c r="R62" i="152"/>
  <c r="W62" i="152"/>
  <c r="Y44" i="226"/>
  <c r="G107" i="231" l="1"/>
  <c r="G106" i="231"/>
  <c r="G105" i="231"/>
  <c r="G104" i="231"/>
  <c r="G103" i="231"/>
  <c r="G102" i="231"/>
  <c r="G101" i="231"/>
  <c r="G100" i="231"/>
  <c r="G99" i="231"/>
  <c r="G98" i="231"/>
  <c r="G97" i="231"/>
  <c r="G96" i="231"/>
  <c r="G95" i="231"/>
  <c r="G94" i="231"/>
  <c r="G93" i="231"/>
  <c r="G92" i="231"/>
  <c r="G91" i="231"/>
  <c r="G90" i="231"/>
  <c r="G89" i="231"/>
  <c r="G88" i="231"/>
  <c r="G87" i="231"/>
  <c r="G86" i="231"/>
  <c r="G85" i="231"/>
  <c r="G84" i="231"/>
  <c r="L10" i="119"/>
  <c r="L11" i="119"/>
  <c r="L12" i="119"/>
  <c r="L13" i="119"/>
  <c r="L14" i="119"/>
  <c r="L15" i="119"/>
  <c r="L16" i="119"/>
  <c r="L17" i="119"/>
  <c r="L18" i="119"/>
  <c r="L19" i="119"/>
  <c r="L20" i="119"/>
  <c r="L21" i="119"/>
  <c r="L22" i="119"/>
  <c r="L23" i="119"/>
  <c r="L24" i="119"/>
  <c r="L25" i="119"/>
  <c r="L26" i="119"/>
  <c r="L27" i="119"/>
  <c r="L28" i="119"/>
  <c r="L29" i="119"/>
  <c r="L30" i="119"/>
  <c r="L31" i="119"/>
  <c r="L32" i="119"/>
  <c r="L33" i="119"/>
  <c r="L34" i="119"/>
  <c r="L35" i="119"/>
  <c r="L36" i="119"/>
  <c r="L37" i="119"/>
  <c r="L38" i="119"/>
  <c r="L39" i="119"/>
  <c r="L40" i="119"/>
  <c r="L41" i="119"/>
  <c r="L42" i="119"/>
  <c r="L43" i="119"/>
  <c r="L44" i="119"/>
  <c r="L45" i="119"/>
  <c r="L46" i="119"/>
  <c r="L47" i="119"/>
  <c r="L48" i="119"/>
  <c r="L49" i="119"/>
  <c r="L50" i="119"/>
  <c r="L51" i="119"/>
  <c r="L52" i="119"/>
  <c r="L53" i="119"/>
  <c r="L54" i="119"/>
  <c r="L55" i="119"/>
  <c r="L56" i="119"/>
  <c r="L57" i="119"/>
  <c r="L58" i="119"/>
  <c r="L59" i="119"/>
  <c r="L60" i="119"/>
  <c r="L61" i="119"/>
  <c r="L62" i="119"/>
  <c r="L63" i="119"/>
  <c r="L64" i="119"/>
  <c r="L65" i="119"/>
  <c r="L66" i="119"/>
  <c r="I73" i="231"/>
  <c r="I72" i="231"/>
  <c r="I71" i="231"/>
  <c r="I70" i="231"/>
  <c r="I69" i="231"/>
  <c r="I68" i="231"/>
  <c r="I67" i="231"/>
  <c r="I66" i="231"/>
  <c r="I65" i="231"/>
  <c r="I64" i="231"/>
  <c r="I63" i="231"/>
  <c r="I62" i="231"/>
  <c r="I61" i="231"/>
  <c r="I60" i="231"/>
  <c r="I59" i="231"/>
  <c r="I58" i="231"/>
  <c r="I57" i="231"/>
  <c r="I56" i="231"/>
  <c r="I55" i="231"/>
  <c r="I54" i="231"/>
  <c r="I53" i="231"/>
  <c r="I52" i="231"/>
  <c r="I51" i="231"/>
  <c r="I50" i="231"/>
  <c r="H73" i="231"/>
  <c r="H72" i="231"/>
  <c r="H71" i="231"/>
  <c r="H70" i="231"/>
  <c r="H69" i="231"/>
  <c r="H68" i="231"/>
  <c r="H67" i="231"/>
  <c r="H66" i="231"/>
  <c r="H65" i="231"/>
  <c r="H64" i="231"/>
  <c r="H63" i="231"/>
  <c r="H62" i="231"/>
  <c r="H61" i="231"/>
  <c r="H60" i="231"/>
  <c r="H59" i="231"/>
  <c r="H58" i="231"/>
  <c r="H57" i="231"/>
  <c r="H56" i="231"/>
  <c r="H55" i="231"/>
  <c r="H54" i="231"/>
  <c r="H53" i="231"/>
  <c r="H52" i="231"/>
  <c r="H51" i="231"/>
  <c r="H50" i="231"/>
  <c r="K73" i="231"/>
  <c r="K72" i="231"/>
  <c r="K71" i="231"/>
  <c r="K70" i="231"/>
  <c r="K69" i="231"/>
  <c r="K68" i="231"/>
  <c r="K67" i="231"/>
  <c r="K66" i="231"/>
  <c r="K65" i="231"/>
  <c r="K64" i="231"/>
  <c r="K63" i="231"/>
  <c r="K62" i="231"/>
  <c r="K61" i="231"/>
  <c r="K60" i="231"/>
  <c r="K59" i="231"/>
  <c r="K58" i="231"/>
  <c r="K57" i="231"/>
  <c r="K56" i="231"/>
  <c r="K55" i="231"/>
  <c r="K54" i="231"/>
  <c r="K53" i="231"/>
  <c r="K52" i="231"/>
  <c r="K51" i="231"/>
  <c r="K50" i="231"/>
  <c r="J73" i="231"/>
  <c r="J72" i="231"/>
  <c r="J71" i="231"/>
  <c r="J70" i="231"/>
  <c r="J69" i="231"/>
  <c r="J68" i="231"/>
  <c r="J67" i="231"/>
  <c r="J66" i="231"/>
  <c r="J65" i="231"/>
  <c r="J64" i="231"/>
  <c r="J63" i="231"/>
  <c r="J62" i="231"/>
  <c r="J61" i="231"/>
  <c r="J60" i="231"/>
  <c r="J59" i="231"/>
  <c r="J58" i="231"/>
  <c r="J57" i="231"/>
  <c r="J56" i="231"/>
  <c r="J55" i="231"/>
  <c r="J54" i="231"/>
  <c r="J53" i="231"/>
  <c r="J52" i="231"/>
  <c r="J51" i="231"/>
  <c r="J50" i="231"/>
  <c r="Y10" i="117"/>
  <c r="Z10" i="117"/>
  <c r="AA10" i="117"/>
  <c r="AB10" i="117"/>
  <c r="AC10" i="117"/>
  <c r="Y17" i="117"/>
  <c r="Z17" i="117"/>
  <c r="AA17" i="117"/>
  <c r="AB17" i="117"/>
  <c r="AC17" i="117"/>
  <c r="Y24" i="117"/>
  <c r="Z24" i="117"/>
  <c r="AA24" i="117"/>
  <c r="AB24" i="117"/>
  <c r="AC24" i="117"/>
  <c r="Y31" i="117"/>
  <c r="Z31" i="117"/>
  <c r="AA31" i="117"/>
  <c r="AB31" i="117"/>
  <c r="AH31" i="117" s="1"/>
  <c r="AC31" i="117"/>
  <c r="Y38" i="117"/>
  <c r="Z38" i="117"/>
  <c r="AA38" i="117"/>
  <c r="AB38" i="117"/>
  <c r="AC38" i="117"/>
  <c r="Y45" i="117"/>
  <c r="Z45" i="117"/>
  <c r="AA45" i="117"/>
  <c r="AB45" i="117"/>
  <c r="AC45" i="117"/>
  <c r="Y52" i="117"/>
  <c r="Z52" i="117"/>
  <c r="AA52" i="117"/>
  <c r="AB52" i="117"/>
  <c r="AH52" i="117" s="1"/>
  <c r="AC52" i="117"/>
  <c r="X52" i="117"/>
  <c r="X45" i="117"/>
  <c r="X38" i="117"/>
  <c r="X31" i="117"/>
  <c r="X24" i="117"/>
  <c r="AF24" i="117" s="1"/>
  <c r="X17" i="117"/>
  <c r="X10" i="117"/>
  <c r="W52" i="117"/>
  <c r="W45" i="117"/>
  <c r="W38" i="117"/>
  <c r="W31" i="117"/>
  <c r="W24" i="117"/>
  <c r="W17" i="117"/>
  <c r="W10" i="117"/>
  <c r="V52" i="117"/>
  <c r="V45" i="117"/>
  <c r="V38" i="117"/>
  <c r="V31" i="117"/>
  <c r="V24" i="117"/>
  <c r="V17" i="117"/>
  <c r="V10" i="117"/>
  <c r="O81" i="152"/>
  <c r="H100" i="152" s="1"/>
  <c r="AF31" i="117" l="1"/>
  <c r="AH24" i="117"/>
  <c r="AF52" i="117"/>
  <c r="AG10" i="117"/>
  <c r="AG52" i="117"/>
  <c r="AH10" i="117"/>
  <c r="AE10" i="117"/>
  <c r="X11" i="141"/>
  <c r="L11" i="141"/>
  <c r="AF17" i="117"/>
  <c r="AE24" i="117"/>
  <c r="AD24" i="117"/>
  <c r="V12" i="141"/>
  <c r="J12" i="141"/>
  <c r="X12" i="141"/>
  <c r="L12" i="141"/>
  <c r="AG31" i="117"/>
  <c r="AE17" i="117"/>
  <c r="AD17" i="117"/>
  <c r="V11" i="141"/>
  <c r="J11" i="141"/>
  <c r="AG24" i="117"/>
  <c r="AE31" i="117"/>
  <c r="AD31" i="117"/>
  <c r="AF45" i="117"/>
  <c r="AH17" i="117"/>
  <c r="V15" i="141"/>
  <c r="J15" i="141"/>
  <c r="AE52" i="117"/>
  <c r="AD52" i="117"/>
  <c r="AG17" i="117"/>
  <c r="X15" i="141"/>
  <c r="L15" i="141"/>
  <c r="AF10" i="117"/>
  <c r="AD10" i="117"/>
  <c r="AE38" i="117"/>
  <c r="AD38" i="117"/>
  <c r="AF38" i="117"/>
  <c r="AH38" i="117"/>
  <c r="AE45" i="117"/>
  <c r="AD45" i="117"/>
  <c r="AH45" i="117"/>
  <c r="AG45" i="117"/>
  <c r="AG38" i="117"/>
  <c r="H74" i="231"/>
  <c r="W10" i="141" l="1"/>
  <c r="K10" i="141"/>
  <c r="W12" i="141"/>
  <c r="K12" i="141"/>
  <c r="K13" i="141"/>
  <c r="W13" i="141"/>
  <c r="K14" i="141"/>
  <c r="W14" i="141"/>
  <c r="U15" i="141"/>
  <c r="I15" i="141"/>
  <c r="L14" i="141"/>
  <c r="X14" i="141"/>
  <c r="L10" i="141"/>
  <c r="X10" i="141"/>
  <c r="I14" i="141"/>
  <c r="U14" i="141"/>
  <c r="L13" i="141"/>
  <c r="X13" i="141"/>
  <c r="J14" i="141"/>
  <c r="V14" i="141"/>
  <c r="U11" i="141"/>
  <c r="I11" i="141"/>
  <c r="J13" i="141"/>
  <c r="V13" i="141"/>
  <c r="J10" i="141"/>
  <c r="V10" i="141"/>
  <c r="U9" i="141"/>
  <c r="I9" i="141"/>
  <c r="L9" i="141"/>
  <c r="X9" i="141"/>
  <c r="K15" i="141"/>
  <c r="W15" i="141"/>
  <c r="U12" i="141"/>
  <c r="I12" i="141"/>
  <c r="I13" i="141"/>
  <c r="U13" i="141"/>
  <c r="W11" i="141"/>
  <c r="K11" i="141"/>
  <c r="U10" i="141"/>
  <c r="I10" i="141"/>
  <c r="W9" i="141"/>
  <c r="K9" i="141"/>
  <c r="V9" i="141"/>
  <c r="J9" i="141"/>
  <c r="V6" i="226"/>
  <c r="Y6" i="226" s="1"/>
  <c r="V7" i="226"/>
  <c r="Y7" i="226" s="1"/>
  <c r="AA42" i="226"/>
  <c r="AB42" i="226" s="1"/>
  <c r="AA43" i="226"/>
  <c r="AB43" i="226" s="1"/>
  <c r="W44" i="226"/>
  <c r="S47" i="226"/>
  <c r="X44" i="226"/>
  <c r="S46" i="226"/>
  <c r="U46" i="226"/>
  <c r="V44" i="226"/>
  <c r="U47" i="226"/>
  <c r="U5" i="226" l="1"/>
  <c r="G116" i="152" s="1"/>
  <c r="W7" i="226"/>
  <c r="W6" i="226"/>
  <c r="C5" i="226"/>
  <c r="B5" i="226"/>
  <c r="G5" i="88"/>
  <c r="AA17" i="226"/>
  <c r="AA34" i="226"/>
  <c r="D5" i="226" l="1"/>
  <c r="G108" i="231" l="1"/>
  <c r="B42" i="226"/>
  <c r="B13" i="226"/>
  <c r="B14" i="226"/>
  <c r="B34" i="226"/>
  <c r="B20" i="226"/>
  <c r="B33" i="226"/>
  <c r="B19" i="226"/>
  <c r="B32" i="226"/>
  <c r="B18" i="226"/>
  <c r="B31" i="226"/>
  <c r="B17" i="226"/>
  <c r="B30" i="226"/>
  <c r="B16" i="226"/>
  <c r="B43" i="226"/>
  <c r="B29" i="226"/>
  <c r="B15" i="226"/>
  <c r="B41" i="226"/>
  <c r="B40" i="226"/>
  <c r="B25" i="226"/>
  <c r="B24" i="226"/>
  <c r="B23" i="226"/>
  <c r="B36" i="226"/>
  <c r="B35" i="226"/>
  <c r="B39" i="226"/>
  <c r="B28" i="226"/>
  <c r="B27" i="226"/>
  <c r="B26" i="226"/>
  <c r="B37" i="226"/>
  <c r="B22" i="226"/>
  <c r="B21" i="226"/>
  <c r="B38" i="226"/>
  <c r="B2" i="226"/>
  <c r="H107" i="231" l="1"/>
  <c r="H96" i="231"/>
  <c r="H105" i="231"/>
  <c r="H98" i="231"/>
  <c r="H97" i="231"/>
  <c r="H106" i="231"/>
  <c r="H88" i="231"/>
  <c r="H100" i="231"/>
  <c r="H99" i="231"/>
  <c r="H103" i="231"/>
  <c r="H86" i="231"/>
  <c r="H90" i="231"/>
  <c r="H87" i="231"/>
  <c r="H94" i="231"/>
  <c r="H85" i="231"/>
  <c r="H91" i="231"/>
  <c r="H101" i="231"/>
  <c r="H102" i="231"/>
  <c r="H84" i="231"/>
  <c r="H92" i="231"/>
  <c r="H93" i="231"/>
  <c r="H104" i="231"/>
  <c r="H95" i="231"/>
  <c r="H89" i="231"/>
  <c r="K74" i="231"/>
  <c r="I74" i="231"/>
  <c r="J74" i="231"/>
  <c r="L71" i="231" l="1"/>
  <c r="L72" i="231"/>
  <c r="M72" i="231" s="1"/>
  <c r="L73" i="231"/>
  <c r="M73" i="231" s="1"/>
  <c r="L69" i="231"/>
  <c r="M69" i="231" s="1"/>
  <c r="L63" i="231"/>
  <c r="M63" i="231" s="1"/>
  <c r="L66" i="231"/>
  <c r="M66" i="231" s="1"/>
  <c r="L60" i="231"/>
  <c r="M60" i="231" s="1"/>
  <c r="L57" i="231"/>
  <c r="M57" i="231" s="1"/>
  <c r="L54" i="231"/>
  <c r="M54" i="231" s="1"/>
  <c r="L51" i="231"/>
  <c r="M51" i="231" s="1"/>
  <c r="L65" i="231"/>
  <c r="M65" i="231" s="1"/>
  <c r="L59" i="231"/>
  <c r="M59" i="231" s="1"/>
  <c r="L56" i="231"/>
  <c r="M56" i="231" s="1"/>
  <c r="L55" i="231"/>
  <c r="M55" i="231" s="1"/>
  <c r="L50" i="231"/>
  <c r="M50" i="231" s="1"/>
  <c r="L70" i="231"/>
  <c r="M70" i="231" s="1"/>
  <c r="L53" i="231"/>
  <c r="M53" i="231" s="1"/>
  <c r="L68" i="231"/>
  <c r="M68" i="231" s="1"/>
  <c r="L67" i="231"/>
  <c r="M67" i="231" s="1"/>
  <c r="L58" i="231"/>
  <c r="M58" i="231" s="1"/>
  <c r="L64" i="231"/>
  <c r="M64" i="231" s="1"/>
  <c r="L62" i="231"/>
  <c r="M62" i="231" s="1"/>
  <c r="L61" i="231"/>
  <c r="M61" i="231" s="1"/>
  <c r="L52" i="231"/>
  <c r="M52" i="231" s="1"/>
  <c r="G5" i="226"/>
  <c r="G4" i="88"/>
  <c r="P81" i="152"/>
  <c r="G125" i="152" s="1"/>
  <c r="H28" i="227"/>
  <c r="G28" i="227"/>
  <c r="H24" i="227"/>
  <c r="G24" i="227"/>
  <c r="H23" i="227"/>
  <c r="G23" i="227"/>
  <c r="H22" i="227"/>
  <c r="G22" i="227"/>
  <c r="H21" i="227"/>
  <c r="G21" i="227"/>
  <c r="H20" i="227"/>
  <c r="G20" i="227"/>
  <c r="H19" i="227"/>
  <c r="G19" i="227"/>
  <c r="H18" i="227"/>
  <c r="G18" i="227"/>
  <c r="H16" i="227"/>
  <c r="G16" i="227"/>
  <c r="H12" i="227"/>
  <c r="G12" i="227"/>
  <c r="H11" i="227"/>
  <c r="G11" i="227"/>
  <c r="H10" i="227"/>
  <c r="G10" i="227"/>
  <c r="H8" i="227"/>
  <c r="G8" i="227"/>
  <c r="H7" i="227"/>
  <c r="G7" i="227"/>
  <c r="H6" i="227"/>
  <c r="G6" i="227"/>
  <c r="H5" i="227"/>
  <c r="G5" i="227"/>
  <c r="G4" i="227"/>
  <c r="L74" i="231" l="1"/>
  <c r="M71" i="231"/>
  <c r="M74" i="231" s="1"/>
  <c r="G117" i="152"/>
  <c r="D1795" i="228"/>
  <c r="D1794" i="228"/>
  <c r="D1793" i="228"/>
  <c r="D1792" i="228"/>
  <c r="D1791" i="228"/>
  <c r="D1790" i="228"/>
  <c r="D1789" i="228"/>
  <c r="D1788" i="228"/>
  <c r="D1787" i="228"/>
  <c r="D1786" i="228"/>
  <c r="D1785" i="228"/>
  <c r="D1784" i="228"/>
  <c r="D1783" i="228"/>
  <c r="D1782" i="228"/>
  <c r="D1781" i="228"/>
  <c r="D1780" i="228"/>
  <c r="D1779" i="228"/>
  <c r="D1778" i="228"/>
  <c r="D1777" i="228"/>
  <c r="D1776" i="228"/>
  <c r="D1775" i="228"/>
  <c r="D1774" i="228"/>
  <c r="D1773" i="228"/>
  <c r="D1772" i="228"/>
  <c r="D1771" i="228"/>
  <c r="D1770" i="228"/>
  <c r="D1769" i="228"/>
  <c r="D1768" i="228"/>
  <c r="D1767" i="228"/>
  <c r="D1766" i="228"/>
  <c r="D1765" i="228"/>
  <c r="D1764" i="228"/>
  <c r="D1763" i="228"/>
  <c r="D1762" i="228"/>
  <c r="D1761" i="228"/>
  <c r="D1760" i="228"/>
  <c r="D1759" i="228"/>
  <c r="D1758" i="228"/>
  <c r="D1757" i="228"/>
  <c r="D1756" i="228"/>
  <c r="D1755" i="228"/>
  <c r="D1754" i="228"/>
  <c r="D1753" i="228"/>
  <c r="D1752" i="228"/>
  <c r="D1751" i="228"/>
  <c r="D1750" i="228"/>
  <c r="D1749" i="228"/>
  <c r="D1748" i="228"/>
  <c r="D1747" i="228"/>
  <c r="D1746" i="228"/>
  <c r="D1745" i="228"/>
  <c r="D1744" i="228"/>
  <c r="D1743" i="228"/>
  <c r="D1742" i="228"/>
  <c r="D1741" i="228"/>
  <c r="D1740" i="228"/>
  <c r="D1739" i="228"/>
  <c r="D1738" i="228"/>
  <c r="D1737" i="228"/>
  <c r="D1736" i="228"/>
  <c r="D1735" i="228"/>
  <c r="D1734" i="228"/>
  <c r="D1733" i="228"/>
  <c r="D1732" i="228"/>
  <c r="D1731" i="228"/>
  <c r="D1730" i="228"/>
  <c r="D1729" i="228"/>
  <c r="D1728" i="228"/>
  <c r="D1727" i="228"/>
  <c r="D1726" i="228"/>
  <c r="D1725" i="228"/>
  <c r="D1724" i="228"/>
  <c r="D1723" i="228"/>
  <c r="D1722" i="228"/>
  <c r="D1721" i="228"/>
  <c r="D1720" i="228"/>
  <c r="D1719" i="228"/>
  <c r="D1718" i="228"/>
  <c r="D1717" i="228"/>
  <c r="D1716" i="228"/>
  <c r="D1715" i="228"/>
  <c r="D1714" i="228"/>
  <c r="D1713" i="228"/>
  <c r="D1712" i="228"/>
  <c r="D1711" i="228"/>
  <c r="D1710" i="228"/>
  <c r="D1709" i="228"/>
  <c r="D1708" i="228"/>
  <c r="D1707" i="228"/>
  <c r="D1706" i="228"/>
  <c r="D1705" i="228"/>
  <c r="D1704" i="228"/>
  <c r="D1703" i="228"/>
  <c r="D1702" i="228"/>
  <c r="D1701" i="228"/>
  <c r="D1700" i="228"/>
  <c r="D1699" i="228"/>
  <c r="D1698" i="228"/>
  <c r="D1697" i="228"/>
  <c r="D1696" i="228"/>
  <c r="D1695" i="228"/>
  <c r="D1694" i="228"/>
  <c r="D1693" i="228"/>
  <c r="D1692" i="228"/>
  <c r="D1691" i="228"/>
  <c r="D1690" i="228"/>
  <c r="D1689" i="228"/>
  <c r="D1688" i="228"/>
  <c r="D1687" i="228"/>
  <c r="D1686" i="228"/>
  <c r="D1685" i="228"/>
  <c r="D1684" i="228"/>
  <c r="D1683" i="228"/>
  <c r="D1682" i="228"/>
  <c r="D1681" i="228"/>
  <c r="D1680" i="228"/>
  <c r="D1679" i="228"/>
  <c r="D1678" i="228"/>
  <c r="D1677" i="228"/>
  <c r="D1676" i="228"/>
  <c r="D1675" i="228"/>
  <c r="D1674" i="228"/>
  <c r="D1673" i="228"/>
  <c r="D1672" i="228"/>
  <c r="D1671" i="228"/>
  <c r="D1670" i="228"/>
  <c r="D1669" i="228"/>
  <c r="D1668" i="228"/>
  <c r="D1667" i="228"/>
  <c r="D1666" i="228"/>
  <c r="D1665" i="228"/>
  <c r="D1664" i="228"/>
  <c r="D1663" i="228"/>
  <c r="D1662" i="228"/>
  <c r="D1661" i="228"/>
  <c r="D1660" i="228"/>
  <c r="D1659" i="228"/>
  <c r="D1658" i="228"/>
  <c r="D1657" i="228"/>
  <c r="D1656" i="228"/>
  <c r="D1655" i="228"/>
  <c r="D1654" i="228"/>
  <c r="D1653" i="228"/>
  <c r="D1652" i="228"/>
  <c r="D1651" i="228"/>
  <c r="D1650" i="228"/>
  <c r="D1649" i="228"/>
  <c r="D1648" i="228"/>
  <c r="D1647" i="228"/>
  <c r="D1646" i="228"/>
  <c r="D1645" i="228"/>
  <c r="D1644" i="228"/>
  <c r="D1643" i="228"/>
  <c r="D1642" i="228"/>
  <c r="D1641" i="228"/>
  <c r="D1640" i="228"/>
  <c r="D1639" i="228"/>
  <c r="D1638" i="228"/>
  <c r="D1637" i="228"/>
  <c r="D1636" i="228"/>
  <c r="D1635" i="228"/>
  <c r="D1634" i="228"/>
  <c r="D1633" i="228"/>
  <c r="D1632" i="228"/>
  <c r="D1631" i="228"/>
  <c r="D1630" i="228"/>
  <c r="D1629" i="228"/>
  <c r="D1628" i="228"/>
  <c r="D1627" i="228"/>
  <c r="D1626" i="228"/>
  <c r="D1625" i="228"/>
  <c r="D1624" i="228"/>
  <c r="D1623" i="228"/>
  <c r="D1622" i="228"/>
  <c r="D1621" i="228"/>
  <c r="D1620" i="228"/>
  <c r="D1619" i="228"/>
  <c r="D1618" i="228"/>
  <c r="D1617" i="228"/>
  <c r="D1616" i="228"/>
  <c r="D1615" i="228"/>
  <c r="D1614" i="228"/>
  <c r="D1613" i="228"/>
  <c r="D1612" i="228"/>
  <c r="D1611" i="228"/>
  <c r="D1610" i="228"/>
  <c r="D1609" i="228"/>
  <c r="D1608" i="228"/>
  <c r="D1607" i="228"/>
  <c r="D1606" i="228"/>
  <c r="D1605" i="228"/>
  <c r="D1604" i="228"/>
  <c r="D1603" i="228"/>
  <c r="D1602" i="228"/>
  <c r="D1601" i="228"/>
  <c r="D1600" i="228"/>
  <c r="D1599" i="228"/>
  <c r="D1598" i="228"/>
  <c r="D1597" i="228"/>
  <c r="D1596" i="228"/>
  <c r="D1595" i="228"/>
  <c r="D1594" i="228"/>
  <c r="D1593" i="228"/>
  <c r="D1592" i="228"/>
  <c r="D1591" i="228"/>
  <c r="D1590" i="228"/>
  <c r="D1589" i="228"/>
  <c r="D1588" i="228"/>
  <c r="D1587" i="228"/>
  <c r="D1586" i="228"/>
  <c r="D1585" i="228"/>
  <c r="D1584" i="228"/>
  <c r="D1583" i="228"/>
  <c r="D1582" i="228"/>
  <c r="D1581" i="228"/>
  <c r="D1580" i="228"/>
  <c r="D1579" i="228"/>
  <c r="D1578" i="228"/>
  <c r="D1577" i="228"/>
  <c r="D1576" i="228"/>
  <c r="D1575" i="228"/>
  <c r="D1574" i="228"/>
  <c r="D1573" i="228"/>
  <c r="D1572" i="228"/>
  <c r="D1571" i="228"/>
  <c r="D1570" i="228"/>
  <c r="D1569" i="228"/>
  <c r="D1568" i="228"/>
  <c r="D1567" i="228"/>
  <c r="D1566" i="228"/>
  <c r="D1565" i="228"/>
  <c r="D1564" i="228"/>
  <c r="D1563" i="228"/>
  <c r="D1562" i="228"/>
  <c r="D1561" i="228"/>
  <c r="D1560" i="228"/>
  <c r="D1559" i="228"/>
  <c r="D1558" i="228"/>
  <c r="D1557" i="228"/>
  <c r="D1556" i="228"/>
  <c r="D1555" i="228"/>
  <c r="D1554" i="228"/>
  <c r="D1553" i="228"/>
  <c r="D1552" i="228"/>
  <c r="D1551" i="228"/>
  <c r="D1550" i="228"/>
  <c r="D1549" i="228"/>
  <c r="D1548" i="228"/>
  <c r="D1547" i="228"/>
  <c r="D1546" i="228"/>
  <c r="D1545" i="228"/>
  <c r="D1544" i="228"/>
  <c r="D1543" i="228"/>
  <c r="D1542" i="228"/>
  <c r="D1541" i="228"/>
  <c r="D1540" i="228"/>
  <c r="D1539" i="228"/>
  <c r="D1538" i="228"/>
  <c r="D1537" i="228"/>
  <c r="D1536" i="228"/>
  <c r="D1535" i="228"/>
  <c r="D1534" i="228"/>
  <c r="D1533" i="228"/>
  <c r="D1532" i="228"/>
  <c r="D1531" i="228"/>
  <c r="D1530" i="228"/>
  <c r="D1529" i="228"/>
  <c r="D1528" i="228"/>
  <c r="D1527" i="228"/>
  <c r="D1526" i="228"/>
  <c r="D1525" i="228"/>
  <c r="D1524" i="228"/>
  <c r="D1523" i="228"/>
  <c r="D1522" i="228"/>
  <c r="D1521" i="228"/>
  <c r="D1520" i="228"/>
  <c r="D1519" i="228"/>
  <c r="D1518" i="228"/>
  <c r="D1517" i="228"/>
  <c r="D1516" i="228"/>
  <c r="D1515" i="228"/>
  <c r="D1514" i="228"/>
  <c r="D1513" i="228"/>
  <c r="D1512" i="228"/>
  <c r="D1511" i="228"/>
  <c r="D1510" i="228"/>
  <c r="D1509" i="228"/>
  <c r="D1508" i="228"/>
  <c r="D1507" i="228"/>
  <c r="D1506" i="228"/>
  <c r="D1505" i="228"/>
  <c r="D1504" i="228"/>
  <c r="D1503" i="228"/>
  <c r="D1502" i="228"/>
  <c r="D1501" i="228"/>
  <c r="D1500" i="228"/>
  <c r="D1499" i="228"/>
  <c r="D1498" i="228"/>
  <c r="D1497" i="228"/>
  <c r="D1496" i="228"/>
  <c r="D1495" i="228"/>
  <c r="D1494" i="228"/>
  <c r="D1493" i="228"/>
  <c r="D1492" i="228"/>
  <c r="D1491" i="228"/>
  <c r="D1490" i="228"/>
  <c r="D1489" i="228"/>
  <c r="D1488" i="228"/>
  <c r="D1487" i="228"/>
  <c r="D1486" i="228"/>
  <c r="D1485" i="228"/>
  <c r="D1484" i="228"/>
  <c r="D1483" i="228"/>
  <c r="D1482" i="228"/>
  <c r="D1481" i="228"/>
  <c r="D1480" i="228"/>
  <c r="D1479" i="228"/>
  <c r="D1478" i="228"/>
  <c r="D1477" i="228"/>
  <c r="D1476" i="228"/>
  <c r="D1475" i="228"/>
  <c r="D1474" i="228"/>
  <c r="D1473" i="228"/>
  <c r="D1472" i="228"/>
  <c r="D1471" i="228"/>
  <c r="D1470" i="228"/>
  <c r="D1469" i="228"/>
  <c r="D1468" i="228"/>
  <c r="D1467" i="228"/>
  <c r="D1466" i="228"/>
  <c r="D1465" i="228"/>
  <c r="D1464" i="228"/>
  <c r="D1463" i="228"/>
  <c r="D1462" i="228"/>
  <c r="D1461" i="228"/>
  <c r="D1460" i="228"/>
  <c r="D1459" i="228"/>
  <c r="D1458" i="228"/>
  <c r="D1457" i="228"/>
  <c r="D1456" i="228"/>
  <c r="D1455" i="228"/>
  <c r="D1454" i="228"/>
  <c r="D1453" i="228"/>
  <c r="D1452" i="228"/>
  <c r="D1451" i="228"/>
  <c r="D1450" i="228"/>
  <c r="D1449" i="228"/>
  <c r="D1448" i="228"/>
  <c r="D1447" i="228"/>
  <c r="D1446" i="228"/>
  <c r="D1445" i="228"/>
  <c r="D1444" i="228"/>
  <c r="D1443" i="228"/>
  <c r="D1442" i="228"/>
  <c r="D1441" i="228"/>
  <c r="D1440" i="228"/>
  <c r="D1439" i="228"/>
  <c r="D1438" i="228"/>
  <c r="D1437" i="228"/>
  <c r="D1436" i="228"/>
  <c r="D1435" i="228"/>
  <c r="D1434" i="228"/>
  <c r="D1433" i="228"/>
  <c r="D1432" i="228"/>
  <c r="D1431" i="228"/>
  <c r="D1430" i="228"/>
  <c r="D1429" i="228"/>
  <c r="D1428" i="228"/>
  <c r="D1427" i="228"/>
  <c r="D1426" i="228"/>
  <c r="D1425" i="228"/>
  <c r="D1424" i="228"/>
  <c r="D1423" i="228"/>
  <c r="D1422" i="228"/>
  <c r="D1421" i="228"/>
  <c r="D1420" i="228"/>
  <c r="D1419" i="228"/>
  <c r="D1418" i="228"/>
  <c r="D1417" i="228"/>
  <c r="D1416" i="228"/>
  <c r="D1415" i="228"/>
  <c r="D1414" i="228"/>
  <c r="D1413" i="228"/>
  <c r="D1412" i="228"/>
  <c r="D1411" i="228"/>
  <c r="D1410" i="228"/>
  <c r="D1409" i="228"/>
  <c r="D1408" i="228"/>
  <c r="D1407" i="228"/>
  <c r="D1406" i="228"/>
  <c r="D1405" i="228"/>
  <c r="D1404" i="228"/>
  <c r="D1403" i="228"/>
  <c r="D1402" i="228"/>
  <c r="D1401" i="228"/>
  <c r="D1400" i="228"/>
  <c r="D1399" i="228"/>
  <c r="D1398" i="228"/>
  <c r="D1397" i="228"/>
  <c r="D1396" i="228"/>
  <c r="D1395" i="228"/>
  <c r="D1394" i="228"/>
  <c r="D1393" i="228"/>
  <c r="D1392" i="228"/>
  <c r="D1391" i="228"/>
  <c r="D1390" i="228"/>
  <c r="D1389" i="228"/>
  <c r="D1388" i="228"/>
  <c r="D1387" i="228"/>
  <c r="D1386" i="228"/>
  <c r="D1385" i="228"/>
  <c r="D1384" i="228"/>
  <c r="D1383" i="228"/>
  <c r="D1382" i="228"/>
  <c r="D1381" i="228"/>
  <c r="D1380" i="228"/>
  <c r="D1379" i="228"/>
  <c r="D1378" i="228"/>
  <c r="D1377" i="228"/>
  <c r="D1376" i="228"/>
  <c r="D1375" i="228"/>
  <c r="D1374" i="228"/>
  <c r="D1373" i="228"/>
  <c r="D1372" i="228"/>
  <c r="D1371" i="228"/>
  <c r="D1370" i="228"/>
  <c r="D1369" i="228"/>
  <c r="D1368" i="228"/>
  <c r="D1367" i="228"/>
  <c r="D1366" i="228"/>
  <c r="D1365" i="228"/>
  <c r="D1364" i="228"/>
  <c r="D1363" i="228"/>
  <c r="D1362" i="228"/>
  <c r="D1361" i="228"/>
  <c r="D1360" i="228"/>
  <c r="D1359" i="228"/>
  <c r="D1358" i="228"/>
  <c r="D1357" i="228"/>
  <c r="D1356" i="228"/>
  <c r="D1355" i="228"/>
  <c r="D1354" i="228"/>
  <c r="D1353" i="228"/>
  <c r="D1352" i="228"/>
  <c r="D1351" i="228"/>
  <c r="D1350" i="228"/>
  <c r="D1349" i="228"/>
  <c r="D1348" i="228"/>
  <c r="D1347" i="228"/>
  <c r="D1346" i="228"/>
  <c r="D1345" i="228"/>
  <c r="D1344" i="228"/>
  <c r="D1343" i="228"/>
  <c r="D1342" i="228"/>
  <c r="D1341" i="228"/>
  <c r="D1340" i="228"/>
  <c r="D1339" i="228"/>
  <c r="D1338" i="228"/>
  <c r="D1337" i="228"/>
  <c r="D1336" i="228"/>
  <c r="D1335" i="228"/>
  <c r="D1334" i="228"/>
  <c r="D1333" i="228"/>
  <c r="D1332" i="228"/>
  <c r="D1331" i="228"/>
  <c r="D1330" i="228"/>
  <c r="D1329" i="228"/>
  <c r="D1328" i="228"/>
  <c r="D1327" i="228"/>
  <c r="D1326" i="228"/>
  <c r="D1325" i="228"/>
  <c r="D1324" i="228"/>
  <c r="D1323" i="228"/>
  <c r="D1322" i="228"/>
  <c r="D1321" i="228"/>
  <c r="D1320" i="228"/>
  <c r="D1319" i="228"/>
  <c r="D1318" i="228"/>
  <c r="D1317" i="228"/>
  <c r="D1316" i="228"/>
  <c r="D1315" i="228"/>
  <c r="D1314" i="228"/>
  <c r="D1313" i="228"/>
  <c r="D1312" i="228"/>
  <c r="D1311" i="228"/>
  <c r="D1310" i="228"/>
  <c r="D1309" i="228"/>
  <c r="D1308" i="228"/>
  <c r="D1307" i="228"/>
  <c r="D1306" i="228"/>
  <c r="D1305" i="228"/>
  <c r="D1304" i="228"/>
  <c r="D1303" i="228"/>
  <c r="D1302" i="228"/>
  <c r="D1301" i="228"/>
  <c r="D1300" i="228"/>
  <c r="D1299" i="228"/>
  <c r="D1298" i="228"/>
  <c r="D1297" i="228"/>
  <c r="D1296" i="228"/>
  <c r="D1295" i="228"/>
  <c r="D1294" i="228"/>
  <c r="D1293" i="228"/>
  <c r="D1292" i="228"/>
  <c r="D1291" i="228"/>
  <c r="D1290" i="228"/>
  <c r="D1289" i="228"/>
  <c r="D1288" i="228"/>
  <c r="D1287" i="228"/>
  <c r="D1286" i="228"/>
  <c r="D1285" i="228"/>
  <c r="D1284" i="228"/>
  <c r="D1283" i="228"/>
  <c r="D1282" i="228"/>
  <c r="D1281" i="228"/>
  <c r="D1280" i="228"/>
  <c r="D1279" i="228"/>
  <c r="D1278" i="228"/>
  <c r="D1277" i="228"/>
  <c r="D1276" i="228"/>
  <c r="D1275" i="228"/>
  <c r="D1274" i="228"/>
  <c r="D1273" i="228"/>
  <c r="D1272" i="228"/>
  <c r="D1271" i="228"/>
  <c r="D1270" i="228"/>
  <c r="D1269" i="228"/>
  <c r="D1268" i="228"/>
  <c r="D1267" i="228"/>
  <c r="D1266" i="228"/>
  <c r="D1265" i="228"/>
  <c r="D1264" i="228"/>
  <c r="D1263" i="228"/>
  <c r="D1262" i="228"/>
  <c r="D1261" i="228"/>
  <c r="D1260" i="228"/>
  <c r="D1259" i="228"/>
  <c r="D1258" i="228"/>
  <c r="D1257" i="228"/>
  <c r="D1256" i="228"/>
  <c r="D1255" i="228"/>
  <c r="D1254" i="228"/>
  <c r="D1253" i="228"/>
  <c r="D1252" i="228"/>
  <c r="D1251" i="228"/>
  <c r="D1250" i="228"/>
  <c r="D1249" i="228"/>
  <c r="D1248" i="228"/>
  <c r="D1247" i="228"/>
  <c r="D1246" i="228"/>
  <c r="D1245" i="228"/>
  <c r="D1244" i="228"/>
  <c r="D1243" i="228"/>
  <c r="D1242" i="228"/>
  <c r="D1241" i="228"/>
  <c r="D1240" i="228"/>
  <c r="D1239" i="228"/>
  <c r="D1238" i="228"/>
  <c r="D1237" i="228"/>
  <c r="D1236" i="228"/>
  <c r="D1235" i="228"/>
  <c r="D1234" i="228"/>
  <c r="D1233" i="228"/>
  <c r="D1232" i="228"/>
  <c r="D1231" i="228"/>
  <c r="D1230" i="228"/>
  <c r="D1229" i="228"/>
  <c r="D1228" i="228"/>
  <c r="D1227" i="228"/>
  <c r="D1226" i="228"/>
  <c r="D1225" i="228"/>
  <c r="D1224" i="228"/>
  <c r="D1223" i="228"/>
  <c r="D1222" i="228"/>
  <c r="D1221" i="228"/>
  <c r="D1220" i="228"/>
  <c r="D1219" i="228"/>
  <c r="D1218" i="228"/>
  <c r="D1217" i="228"/>
  <c r="D1216" i="228"/>
  <c r="D1215" i="228"/>
  <c r="D1214" i="228"/>
  <c r="D1213" i="228"/>
  <c r="D1212" i="228"/>
  <c r="D1211" i="228"/>
  <c r="D1210" i="228"/>
  <c r="D1209" i="228"/>
  <c r="D1208" i="228"/>
  <c r="D1207" i="228"/>
  <c r="D1206" i="228"/>
  <c r="D1205" i="228"/>
  <c r="D1204" i="228"/>
  <c r="D1203" i="228"/>
  <c r="D1202" i="228"/>
  <c r="D1201" i="228"/>
  <c r="D1200" i="228"/>
  <c r="D1199" i="228"/>
  <c r="D1198" i="228"/>
  <c r="D1197" i="228"/>
  <c r="D1196" i="228"/>
  <c r="D1195" i="228"/>
  <c r="D1194" i="228"/>
  <c r="D1193" i="228"/>
  <c r="D1192" i="228"/>
  <c r="D1191" i="228"/>
  <c r="D1190" i="228"/>
  <c r="D1189" i="228"/>
  <c r="D1188" i="228"/>
  <c r="D1187" i="228"/>
  <c r="D1186" i="228"/>
  <c r="D1185" i="228"/>
  <c r="D1184" i="228"/>
  <c r="D1183" i="228"/>
  <c r="D1182" i="228"/>
  <c r="D1181" i="228"/>
  <c r="D1180" i="228"/>
  <c r="D1179" i="228"/>
  <c r="D1178" i="228"/>
  <c r="D1177" i="228"/>
  <c r="D1176" i="228"/>
  <c r="D1175" i="228"/>
  <c r="D1174" i="228"/>
  <c r="D1173" i="228"/>
  <c r="D1172" i="228"/>
  <c r="D1171" i="228"/>
  <c r="D1170" i="228"/>
  <c r="D1169" i="228"/>
  <c r="D1168" i="228"/>
  <c r="D1167" i="228"/>
  <c r="D1166" i="228"/>
  <c r="D1165" i="228"/>
  <c r="D1164" i="228"/>
  <c r="D1163" i="228"/>
  <c r="D1162" i="228"/>
  <c r="D1161" i="228"/>
  <c r="D1160" i="228"/>
  <c r="D1159" i="228"/>
  <c r="D1158" i="228"/>
  <c r="D1157" i="228"/>
  <c r="D1156" i="228"/>
  <c r="D1155" i="228"/>
  <c r="D1154" i="228"/>
  <c r="D1153" i="228"/>
  <c r="D1152" i="228"/>
  <c r="D1151" i="228"/>
  <c r="D1150" i="228"/>
  <c r="D1149" i="228"/>
  <c r="D1148" i="228"/>
  <c r="D1147" i="228"/>
  <c r="D1146" i="228"/>
  <c r="D1145" i="228"/>
  <c r="D1144" i="228"/>
  <c r="D1143" i="228"/>
  <c r="D1142" i="228"/>
  <c r="D1141" i="228"/>
  <c r="D1140" i="228"/>
  <c r="D1139" i="228"/>
  <c r="D1138" i="228"/>
  <c r="D1137" i="228"/>
  <c r="D1136" i="228"/>
  <c r="D1135" i="228"/>
  <c r="D1134" i="228"/>
  <c r="D1133" i="228"/>
  <c r="D1132" i="228"/>
  <c r="D1131" i="228"/>
  <c r="D1130" i="228"/>
  <c r="D1129" i="228"/>
  <c r="D1128" i="228"/>
  <c r="D1127" i="228"/>
  <c r="D1126" i="228"/>
  <c r="D1125" i="228"/>
  <c r="D1124" i="228"/>
  <c r="D1123" i="228"/>
  <c r="D1122" i="228"/>
  <c r="D1121" i="228"/>
  <c r="D1120" i="228"/>
  <c r="D1119" i="228"/>
  <c r="D1118" i="228"/>
  <c r="D1117" i="228"/>
  <c r="D1116" i="228"/>
  <c r="D1115" i="228"/>
  <c r="D1114" i="228"/>
  <c r="D1113" i="228"/>
  <c r="D1112" i="228"/>
  <c r="D1111" i="228"/>
  <c r="D1110" i="228"/>
  <c r="D1109" i="228"/>
  <c r="D1108" i="228"/>
  <c r="D1107" i="228"/>
  <c r="D1106" i="228"/>
  <c r="D1105" i="228"/>
  <c r="D1104" i="228"/>
  <c r="D1103" i="228"/>
  <c r="D1102" i="228"/>
  <c r="D1101" i="228"/>
  <c r="D1100" i="228"/>
  <c r="D1099" i="228"/>
  <c r="D1098" i="228"/>
  <c r="D1097" i="228"/>
  <c r="D1096" i="228"/>
  <c r="D1095" i="228"/>
  <c r="D1094" i="228"/>
  <c r="D1093" i="228"/>
  <c r="D1092" i="228"/>
  <c r="D1091" i="228"/>
  <c r="D1090" i="228"/>
  <c r="D1089" i="228"/>
  <c r="D1088" i="228"/>
  <c r="D1087" i="228"/>
  <c r="D1086" i="228"/>
  <c r="D1085" i="228"/>
  <c r="D1084" i="228"/>
  <c r="D1083" i="228"/>
  <c r="D1082" i="228"/>
  <c r="D1081" i="228"/>
  <c r="D1080" i="228"/>
  <c r="D1079" i="228"/>
  <c r="D1078" i="228"/>
  <c r="D1077" i="228"/>
  <c r="D1076" i="228"/>
  <c r="D1075" i="228"/>
  <c r="D1074" i="228"/>
  <c r="D1073" i="228"/>
  <c r="D1072" i="228"/>
  <c r="D1071" i="228"/>
  <c r="D1070" i="228"/>
  <c r="D1069" i="228"/>
  <c r="D1068" i="228"/>
  <c r="D1067" i="228"/>
  <c r="D1066" i="228"/>
  <c r="D1065" i="228"/>
  <c r="D1064" i="228"/>
  <c r="D1063" i="228"/>
  <c r="D1062" i="228"/>
  <c r="D1061" i="228"/>
  <c r="D1060" i="228"/>
  <c r="D1059" i="228"/>
  <c r="D1058" i="228"/>
  <c r="D1057" i="228"/>
  <c r="D1056" i="228"/>
  <c r="D1055" i="228"/>
  <c r="D1054" i="228"/>
  <c r="D1053" i="228"/>
  <c r="D1052" i="228"/>
  <c r="D1051" i="228"/>
  <c r="D1050" i="228"/>
  <c r="D1049" i="228"/>
  <c r="D1048" i="228"/>
  <c r="D1047" i="228"/>
  <c r="D1046" i="228"/>
  <c r="D1045" i="228"/>
  <c r="D1044" i="228"/>
  <c r="D1043" i="228"/>
  <c r="D1042" i="228"/>
  <c r="D1041" i="228"/>
  <c r="D1040" i="228"/>
  <c r="D1039" i="228"/>
  <c r="D1038" i="228"/>
  <c r="D1037" i="228"/>
  <c r="D1036" i="228"/>
  <c r="D1035" i="228"/>
  <c r="D1034" i="228"/>
  <c r="D1033" i="228"/>
  <c r="D1032" i="228"/>
  <c r="D1031" i="228"/>
  <c r="D1030" i="228"/>
  <c r="D1029" i="228"/>
  <c r="D1028" i="228"/>
  <c r="D1027" i="228"/>
  <c r="D1026" i="228"/>
  <c r="D1025" i="228"/>
  <c r="D1024" i="228"/>
  <c r="D1023" i="228"/>
  <c r="D1022" i="228"/>
  <c r="D1021" i="228"/>
  <c r="D1020" i="228"/>
  <c r="D1019" i="228"/>
  <c r="D1018" i="228"/>
  <c r="D1017" i="228"/>
  <c r="D1016" i="228"/>
  <c r="D1015" i="228"/>
  <c r="D1014" i="228"/>
  <c r="D1013" i="228"/>
  <c r="D1012" i="228"/>
  <c r="D1011" i="228"/>
  <c r="D1010" i="228"/>
  <c r="D1009" i="228"/>
  <c r="D1008" i="228"/>
  <c r="D1007" i="228"/>
  <c r="D1006" i="228"/>
  <c r="D1005" i="228"/>
  <c r="D1004" i="228"/>
  <c r="D1003" i="228"/>
  <c r="D1002" i="228"/>
  <c r="D1001" i="228"/>
  <c r="D1000" i="228"/>
  <c r="D999" i="228"/>
  <c r="D998" i="228"/>
  <c r="D997" i="228"/>
  <c r="D996" i="228"/>
  <c r="D995" i="228"/>
  <c r="D994" i="228"/>
  <c r="D993" i="228"/>
  <c r="D992" i="228"/>
  <c r="D991" i="228"/>
  <c r="D990" i="228"/>
  <c r="D989" i="228"/>
  <c r="D988" i="228"/>
  <c r="D987" i="228"/>
  <c r="D986" i="228"/>
  <c r="D985" i="228"/>
  <c r="D984" i="228"/>
  <c r="D983" i="228"/>
  <c r="D982" i="228"/>
  <c r="D981" i="228"/>
  <c r="D980" i="228"/>
  <c r="D979" i="228"/>
  <c r="D978" i="228"/>
  <c r="D977" i="228"/>
  <c r="D976" i="228"/>
  <c r="D975" i="228"/>
  <c r="D974" i="228"/>
  <c r="D973" i="228"/>
  <c r="D972" i="228"/>
  <c r="D971" i="228"/>
  <c r="D970" i="228"/>
  <c r="D969" i="228"/>
  <c r="D968" i="228"/>
  <c r="D967" i="228"/>
  <c r="D966" i="228"/>
  <c r="D965" i="228"/>
  <c r="D964" i="228"/>
  <c r="D963" i="228"/>
  <c r="D962" i="228"/>
  <c r="D961" i="228"/>
  <c r="D960" i="228"/>
  <c r="D959" i="228"/>
  <c r="D958" i="228"/>
  <c r="D957" i="228"/>
  <c r="D956" i="228"/>
  <c r="D955" i="228"/>
  <c r="D954" i="228"/>
  <c r="D953" i="228"/>
  <c r="D952" i="228"/>
  <c r="D951" i="228"/>
  <c r="D950" i="228"/>
  <c r="D949" i="228"/>
  <c r="D948" i="228"/>
  <c r="D947" i="228"/>
  <c r="D946" i="228"/>
  <c r="D945" i="228"/>
  <c r="D944" i="228"/>
  <c r="D943" i="228"/>
  <c r="D942" i="228"/>
  <c r="D941" i="228"/>
  <c r="D940" i="228"/>
  <c r="D939" i="228"/>
  <c r="D938" i="228"/>
  <c r="D937" i="228"/>
  <c r="D936" i="228"/>
  <c r="D935" i="228"/>
  <c r="D934" i="228"/>
  <c r="D933" i="228"/>
  <c r="D932" i="228"/>
  <c r="D931" i="228"/>
  <c r="D930" i="228"/>
  <c r="D929" i="228"/>
  <c r="D928" i="228"/>
  <c r="D927" i="228"/>
  <c r="D926" i="228"/>
  <c r="D925" i="228"/>
  <c r="D924" i="228"/>
  <c r="D923" i="228"/>
  <c r="D922" i="228"/>
  <c r="D921" i="228"/>
  <c r="D920" i="228"/>
  <c r="D919" i="228"/>
  <c r="D918" i="228"/>
  <c r="D917" i="228"/>
  <c r="D916" i="228"/>
  <c r="D915" i="228"/>
  <c r="D914" i="228"/>
  <c r="D913" i="228"/>
  <c r="D912" i="228"/>
  <c r="D911" i="228"/>
  <c r="D910" i="228"/>
  <c r="D909" i="228"/>
  <c r="D908" i="228"/>
  <c r="D907" i="228"/>
  <c r="D906" i="228"/>
  <c r="D905" i="228"/>
  <c r="D904" i="228"/>
  <c r="D903" i="228"/>
  <c r="D902" i="228"/>
  <c r="D901" i="228"/>
  <c r="D900" i="228"/>
  <c r="D899" i="228"/>
  <c r="D898" i="228"/>
  <c r="D897" i="228"/>
  <c r="D896" i="228"/>
  <c r="D895" i="228"/>
  <c r="D894" i="228"/>
  <c r="D893" i="228"/>
  <c r="D892" i="228"/>
  <c r="D891" i="228"/>
  <c r="D890" i="228"/>
  <c r="D889" i="228"/>
  <c r="D888" i="228"/>
  <c r="D887" i="228"/>
  <c r="D886" i="228"/>
  <c r="D885" i="228"/>
  <c r="D884" i="228"/>
  <c r="D883" i="228"/>
  <c r="D882" i="228"/>
  <c r="D881" i="228"/>
  <c r="D880" i="228"/>
  <c r="D879" i="228"/>
  <c r="D878" i="228"/>
  <c r="D877" i="228"/>
  <c r="D876" i="228"/>
  <c r="D875" i="228"/>
  <c r="D874" i="228"/>
  <c r="D873" i="228"/>
  <c r="D872" i="228"/>
  <c r="D871" i="228"/>
  <c r="D870" i="228"/>
  <c r="D869" i="228"/>
  <c r="D868" i="228"/>
  <c r="D867" i="228"/>
  <c r="D866" i="228"/>
  <c r="D865" i="228"/>
  <c r="D864" i="228"/>
  <c r="D863" i="228"/>
  <c r="D862" i="228"/>
  <c r="D861" i="228"/>
  <c r="D860" i="228"/>
  <c r="D859" i="228"/>
  <c r="D858" i="228"/>
  <c r="D857" i="228"/>
  <c r="D856" i="228"/>
  <c r="D855" i="228"/>
  <c r="D854" i="228"/>
  <c r="D853" i="228"/>
  <c r="D852" i="228"/>
  <c r="D851" i="228"/>
  <c r="D850" i="228"/>
  <c r="D849" i="228"/>
  <c r="D848" i="228"/>
  <c r="D847" i="228"/>
  <c r="D846" i="228"/>
  <c r="D845" i="228"/>
  <c r="D844" i="228"/>
  <c r="D843" i="228"/>
  <c r="D842" i="228"/>
  <c r="D841" i="228"/>
  <c r="D840" i="228"/>
  <c r="D839" i="228"/>
  <c r="D838" i="228"/>
  <c r="D837" i="228"/>
  <c r="D836" i="228"/>
  <c r="D835" i="228"/>
  <c r="D834" i="228"/>
  <c r="D833" i="228"/>
  <c r="D832" i="228"/>
  <c r="D831" i="228"/>
  <c r="D830" i="228"/>
  <c r="D829" i="228"/>
  <c r="D828" i="228"/>
  <c r="D827" i="228"/>
  <c r="D826" i="228"/>
  <c r="D825" i="228"/>
  <c r="D824" i="228"/>
  <c r="D823" i="228"/>
  <c r="D822" i="228"/>
  <c r="D821" i="228"/>
  <c r="D820" i="228"/>
  <c r="D819" i="228"/>
  <c r="D818" i="228"/>
  <c r="D817" i="228"/>
  <c r="D816" i="228"/>
  <c r="D815" i="228"/>
  <c r="D814" i="228"/>
  <c r="D813" i="228"/>
  <c r="D812" i="228"/>
  <c r="D811" i="228"/>
  <c r="D810" i="228"/>
  <c r="D809" i="228"/>
  <c r="D808" i="228"/>
  <c r="D807" i="228"/>
  <c r="D806" i="228"/>
  <c r="D805" i="228"/>
  <c r="D804" i="228"/>
  <c r="D803" i="228"/>
  <c r="D802" i="228"/>
  <c r="D801" i="228"/>
  <c r="D800" i="228"/>
  <c r="D799" i="228"/>
  <c r="D798" i="228"/>
  <c r="D797" i="228"/>
  <c r="D796" i="228"/>
  <c r="D795" i="228"/>
  <c r="D794" i="228"/>
  <c r="D793" i="228"/>
  <c r="D792" i="228"/>
  <c r="D791" i="228"/>
  <c r="D790" i="228"/>
  <c r="D789" i="228"/>
  <c r="D788" i="228"/>
  <c r="D787" i="228"/>
  <c r="D786" i="228"/>
  <c r="D785" i="228"/>
  <c r="D784" i="228"/>
  <c r="D783" i="228"/>
  <c r="D782" i="228"/>
  <c r="D781" i="228"/>
  <c r="D780" i="228"/>
  <c r="D779" i="228"/>
  <c r="D778" i="228"/>
  <c r="D777" i="228"/>
  <c r="D776" i="228"/>
  <c r="D775" i="228"/>
  <c r="D774" i="228"/>
  <c r="D773" i="228"/>
  <c r="D772" i="228"/>
  <c r="D771" i="228"/>
  <c r="D770" i="228"/>
  <c r="D769" i="228"/>
  <c r="D768" i="228"/>
  <c r="D767" i="228"/>
  <c r="D766" i="228"/>
  <c r="D765" i="228"/>
  <c r="D764" i="228"/>
  <c r="D763" i="228"/>
  <c r="D762" i="228"/>
  <c r="D761" i="228"/>
  <c r="D760" i="228"/>
  <c r="D759" i="228"/>
  <c r="D758" i="228"/>
  <c r="D757" i="228"/>
  <c r="D756" i="228"/>
  <c r="D755" i="228"/>
  <c r="D754" i="228"/>
  <c r="D753" i="228"/>
  <c r="D752" i="228"/>
  <c r="D751" i="228"/>
  <c r="D750" i="228"/>
  <c r="D749" i="228"/>
  <c r="D748" i="228"/>
  <c r="D747" i="228"/>
  <c r="D746" i="228"/>
  <c r="D745" i="228"/>
  <c r="D744" i="228"/>
  <c r="D743" i="228"/>
  <c r="D742" i="228"/>
  <c r="D741" i="228"/>
  <c r="D740" i="228"/>
  <c r="D739" i="228"/>
  <c r="D738" i="228"/>
  <c r="D737" i="228"/>
  <c r="D736" i="228"/>
  <c r="D735" i="228"/>
  <c r="D734" i="228"/>
  <c r="D733" i="228"/>
  <c r="D732" i="228"/>
  <c r="D731" i="228"/>
  <c r="D730" i="228"/>
  <c r="D729" i="228"/>
  <c r="D728" i="228"/>
  <c r="D727" i="228"/>
  <c r="D726" i="228"/>
  <c r="D725" i="228"/>
  <c r="D724" i="228"/>
  <c r="D723" i="228"/>
  <c r="D722" i="228"/>
  <c r="D721" i="228"/>
  <c r="D720" i="228"/>
  <c r="D719" i="228"/>
  <c r="D718" i="228"/>
  <c r="D717" i="228"/>
  <c r="D716" i="228"/>
  <c r="D715" i="228"/>
  <c r="D714" i="228"/>
  <c r="D713" i="228"/>
  <c r="D712" i="228"/>
  <c r="D711" i="228"/>
  <c r="D710" i="228"/>
  <c r="D709" i="228"/>
  <c r="D708" i="228"/>
  <c r="D707" i="228"/>
  <c r="D706" i="228"/>
  <c r="D705" i="228"/>
  <c r="D704" i="228"/>
  <c r="D703" i="228"/>
  <c r="D702" i="228"/>
  <c r="D701" i="228"/>
  <c r="D700" i="228"/>
  <c r="D699" i="228"/>
  <c r="D698" i="228"/>
  <c r="D697" i="228"/>
  <c r="D696" i="228"/>
  <c r="D695" i="228"/>
  <c r="D694" i="228"/>
  <c r="D693" i="228"/>
  <c r="D692" i="228"/>
  <c r="D691" i="228"/>
  <c r="D690" i="228"/>
  <c r="D689" i="228"/>
  <c r="D688" i="228"/>
  <c r="D687" i="228"/>
  <c r="D686" i="228"/>
  <c r="D685" i="228"/>
  <c r="D684" i="228"/>
  <c r="D683" i="228"/>
  <c r="D682" i="228"/>
  <c r="D681" i="228"/>
  <c r="D680" i="228"/>
  <c r="D679" i="228"/>
  <c r="D678" i="228"/>
  <c r="D677" i="228"/>
  <c r="D676" i="228"/>
  <c r="D675" i="228"/>
  <c r="D674" i="228"/>
  <c r="D673" i="228"/>
  <c r="D672" i="228"/>
  <c r="D671" i="228"/>
  <c r="D670" i="228"/>
  <c r="D669" i="228"/>
  <c r="D668" i="228"/>
  <c r="D667" i="228"/>
  <c r="D666" i="228"/>
  <c r="D665" i="228"/>
  <c r="D664" i="228"/>
  <c r="D663" i="228"/>
  <c r="D662" i="228"/>
  <c r="D661" i="228"/>
  <c r="D660" i="228"/>
  <c r="D659" i="228"/>
  <c r="D658" i="228"/>
  <c r="D657" i="228"/>
  <c r="D656" i="228"/>
  <c r="D655" i="228"/>
  <c r="D654" i="228"/>
  <c r="D653" i="228"/>
  <c r="D652" i="228"/>
  <c r="D651" i="228"/>
  <c r="D650" i="228"/>
  <c r="D649" i="228"/>
  <c r="D648" i="228"/>
  <c r="D647" i="228"/>
  <c r="D646" i="228"/>
  <c r="D645" i="228"/>
  <c r="D644" i="228"/>
  <c r="D643" i="228"/>
  <c r="D642" i="228"/>
  <c r="D641" i="228"/>
  <c r="D640" i="228"/>
  <c r="D639" i="228"/>
  <c r="D638" i="228"/>
  <c r="D637" i="228"/>
  <c r="D636" i="228"/>
  <c r="D635" i="228"/>
  <c r="D634" i="228"/>
  <c r="D633" i="228"/>
  <c r="D632" i="228"/>
  <c r="D631" i="228"/>
  <c r="D630" i="228"/>
  <c r="D629" i="228"/>
  <c r="D628" i="228"/>
  <c r="D627" i="228"/>
  <c r="D626" i="228"/>
  <c r="D625" i="228"/>
  <c r="D624" i="228"/>
  <c r="D623" i="228"/>
  <c r="D622" i="228"/>
  <c r="D621" i="228"/>
  <c r="D620" i="228"/>
  <c r="D619" i="228"/>
  <c r="D618" i="228"/>
  <c r="D617" i="228"/>
  <c r="D616" i="228"/>
  <c r="D615" i="228"/>
  <c r="D614" i="228"/>
  <c r="D613" i="228"/>
  <c r="D612" i="228"/>
  <c r="D611" i="228"/>
  <c r="D610" i="228"/>
  <c r="D609" i="228"/>
  <c r="D608" i="228"/>
  <c r="D607" i="228"/>
  <c r="D606" i="228"/>
  <c r="D605" i="228"/>
  <c r="D604" i="228"/>
  <c r="D603" i="228"/>
  <c r="D602" i="228"/>
  <c r="D601" i="228"/>
  <c r="D600" i="228"/>
  <c r="D599" i="228"/>
  <c r="D598" i="228"/>
  <c r="D597" i="228"/>
  <c r="D596" i="228"/>
  <c r="D595" i="228"/>
  <c r="D594" i="228"/>
  <c r="D593" i="228"/>
  <c r="D592" i="228"/>
  <c r="D591" i="228"/>
  <c r="D590" i="228"/>
  <c r="D589" i="228"/>
  <c r="D588" i="228"/>
  <c r="D587" i="228"/>
  <c r="D586" i="228"/>
  <c r="D585" i="228"/>
  <c r="D584" i="228"/>
  <c r="D583" i="228"/>
  <c r="D582" i="228"/>
  <c r="D581" i="228"/>
  <c r="D580" i="228"/>
  <c r="D579" i="228"/>
  <c r="D578" i="228"/>
  <c r="D577" i="228"/>
  <c r="D576" i="228"/>
  <c r="D575" i="228"/>
  <c r="D574" i="228"/>
  <c r="D573" i="228"/>
  <c r="D572" i="228"/>
  <c r="D571" i="228"/>
  <c r="D570" i="228"/>
  <c r="D569" i="228"/>
  <c r="D568" i="228"/>
  <c r="D567" i="228"/>
  <c r="D566" i="228"/>
  <c r="D565" i="228"/>
  <c r="D564" i="228"/>
  <c r="D563" i="228"/>
  <c r="D562" i="228"/>
  <c r="D561" i="228"/>
  <c r="D560" i="228"/>
  <c r="D559" i="228"/>
  <c r="D558" i="228"/>
  <c r="D557" i="228"/>
  <c r="D556" i="228"/>
  <c r="D555" i="228"/>
  <c r="D554" i="228"/>
  <c r="D553" i="228"/>
  <c r="D552" i="228"/>
  <c r="D551" i="228"/>
  <c r="D550" i="228"/>
  <c r="D549" i="228"/>
  <c r="D548" i="228"/>
  <c r="D547" i="228"/>
  <c r="D546" i="228"/>
  <c r="D545" i="228"/>
  <c r="D544" i="228"/>
  <c r="D543" i="228"/>
  <c r="D542" i="228"/>
  <c r="D541" i="228"/>
  <c r="D540" i="228"/>
  <c r="D539" i="228"/>
  <c r="D538" i="228"/>
  <c r="D537" i="228"/>
  <c r="D536" i="228"/>
  <c r="D535" i="228"/>
  <c r="D534" i="228"/>
  <c r="D533" i="228"/>
  <c r="D532" i="228"/>
  <c r="D531" i="228"/>
  <c r="D530" i="228"/>
  <c r="D529" i="228"/>
  <c r="D528" i="228"/>
  <c r="D527" i="228"/>
  <c r="D526" i="228"/>
  <c r="D525" i="228"/>
  <c r="D524" i="228"/>
  <c r="D523" i="228"/>
  <c r="D522" i="228"/>
  <c r="D521" i="228"/>
  <c r="D520" i="228"/>
  <c r="D519" i="228"/>
  <c r="D518" i="228"/>
  <c r="D517" i="228"/>
  <c r="D516" i="228"/>
  <c r="D515" i="228"/>
  <c r="D514" i="228"/>
  <c r="D513" i="228"/>
  <c r="D512" i="228"/>
  <c r="D511" i="228"/>
  <c r="D510" i="228"/>
  <c r="D509" i="228"/>
  <c r="D508" i="228"/>
  <c r="D507" i="228"/>
  <c r="D506" i="228"/>
  <c r="D505" i="228"/>
  <c r="D504" i="228"/>
  <c r="D503" i="228"/>
  <c r="D502" i="228"/>
  <c r="D501" i="228"/>
  <c r="D500" i="228"/>
  <c r="D499" i="228"/>
  <c r="D498" i="228"/>
  <c r="D497" i="228"/>
  <c r="D496" i="228"/>
  <c r="D495" i="228"/>
  <c r="D494" i="228"/>
  <c r="D493" i="228"/>
  <c r="D492" i="228"/>
  <c r="D491" i="228"/>
  <c r="D490" i="228"/>
  <c r="D489" i="228"/>
  <c r="D488" i="228"/>
  <c r="D487" i="228"/>
  <c r="D486" i="228"/>
  <c r="D485" i="228"/>
  <c r="D484" i="228"/>
  <c r="D483" i="228"/>
  <c r="D482" i="228"/>
  <c r="D481" i="228"/>
  <c r="D480" i="228"/>
  <c r="D479" i="228"/>
  <c r="D478" i="228"/>
  <c r="D477" i="228"/>
  <c r="D476" i="228"/>
  <c r="D475" i="228"/>
  <c r="D474" i="228"/>
  <c r="D473" i="228"/>
  <c r="D472" i="228"/>
  <c r="D471" i="228"/>
  <c r="D470" i="228"/>
  <c r="D469" i="228"/>
  <c r="D468" i="228"/>
  <c r="D467" i="228"/>
  <c r="D466" i="228"/>
  <c r="D465" i="228"/>
  <c r="D464" i="228"/>
  <c r="D463" i="228"/>
  <c r="D462" i="228"/>
  <c r="D461" i="228"/>
  <c r="D460" i="228"/>
  <c r="D459" i="228"/>
  <c r="D458" i="228"/>
  <c r="D457" i="228"/>
  <c r="D456" i="228"/>
  <c r="D455" i="228"/>
  <c r="D454" i="228"/>
  <c r="D453" i="228"/>
  <c r="D452" i="228"/>
  <c r="D451" i="228"/>
  <c r="D450" i="228"/>
  <c r="D449" i="228"/>
  <c r="D448" i="228"/>
  <c r="D447" i="228"/>
  <c r="D446" i="228"/>
  <c r="D445" i="228"/>
  <c r="D444" i="228"/>
  <c r="D443" i="228"/>
  <c r="D442" i="228"/>
  <c r="D441" i="228"/>
  <c r="D440" i="228"/>
  <c r="D439" i="228"/>
  <c r="D438" i="228"/>
  <c r="D437" i="228"/>
  <c r="D436" i="228"/>
  <c r="D435" i="228"/>
  <c r="D434" i="228"/>
  <c r="D433" i="228"/>
  <c r="D432" i="228"/>
  <c r="D431" i="228"/>
  <c r="D430" i="228"/>
  <c r="D429" i="228"/>
  <c r="D428" i="228"/>
  <c r="D427" i="228"/>
  <c r="D426" i="228"/>
  <c r="D425" i="228"/>
  <c r="D424" i="228"/>
  <c r="D423" i="228"/>
  <c r="D422" i="228"/>
  <c r="D421" i="228"/>
  <c r="D420" i="228"/>
  <c r="D419" i="228"/>
  <c r="D418" i="228"/>
  <c r="D417" i="228"/>
  <c r="D416" i="228"/>
  <c r="D415" i="228"/>
  <c r="D414" i="228"/>
  <c r="D413" i="228"/>
  <c r="D412" i="228"/>
  <c r="D411" i="228"/>
  <c r="D410" i="228"/>
  <c r="D409" i="228"/>
  <c r="D408" i="228"/>
  <c r="D407" i="228"/>
  <c r="D406" i="228"/>
  <c r="D405" i="228"/>
  <c r="D404" i="228"/>
  <c r="D403" i="228"/>
  <c r="D402" i="228"/>
  <c r="D401" i="228"/>
  <c r="D400" i="228"/>
  <c r="D399" i="228"/>
  <c r="D398" i="228"/>
  <c r="D397" i="228"/>
  <c r="D396" i="228"/>
  <c r="D395" i="228"/>
  <c r="D394" i="228"/>
  <c r="D393" i="228"/>
  <c r="D392" i="228"/>
  <c r="D391" i="228"/>
  <c r="D390" i="228"/>
  <c r="D389" i="228"/>
  <c r="D388" i="228"/>
  <c r="D387" i="228"/>
  <c r="D386" i="228"/>
  <c r="D385" i="228"/>
  <c r="D384" i="228"/>
  <c r="D383" i="228"/>
  <c r="D382" i="228"/>
  <c r="D381" i="228"/>
  <c r="D380" i="228"/>
  <c r="D379" i="228"/>
  <c r="D378" i="228"/>
  <c r="D377" i="228"/>
  <c r="D376" i="228"/>
  <c r="D375" i="228"/>
  <c r="D374" i="228"/>
  <c r="D373" i="228"/>
  <c r="D372" i="228"/>
  <c r="D371" i="228"/>
  <c r="D370" i="228"/>
  <c r="D369" i="228"/>
  <c r="D368" i="228"/>
  <c r="D367" i="228"/>
  <c r="D366" i="228"/>
  <c r="D365" i="228"/>
  <c r="D364" i="228"/>
  <c r="D363" i="228"/>
  <c r="D362" i="228"/>
  <c r="D361" i="228"/>
  <c r="D360" i="228"/>
  <c r="D359" i="228"/>
  <c r="D358" i="228"/>
  <c r="D357" i="228"/>
  <c r="D356" i="228"/>
  <c r="D355" i="228"/>
  <c r="D354" i="228"/>
  <c r="D353" i="228"/>
  <c r="D352" i="228"/>
  <c r="D351" i="228"/>
  <c r="D350" i="228"/>
  <c r="D349" i="228"/>
  <c r="D348" i="228"/>
  <c r="D347" i="228"/>
  <c r="D346" i="228"/>
  <c r="D345" i="228"/>
  <c r="D344" i="228"/>
  <c r="D343" i="228"/>
  <c r="D342" i="228"/>
  <c r="D341" i="228"/>
  <c r="D340" i="228"/>
  <c r="D339" i="228"/>
  <c r="D338" i="228"/>
  <c r="D337" i="228"/>
  <c r="D336" i="228"/>
  <c r="D335" i="228"/>
  <c r="D334" i="228"/>
  <c r="D333" i="228"/>
  <c r="D332" i="228"/>
  <c r="D331" i="228"/>
  <c r="D330" i="228"/>
  <c r="D329" i="228"/>
  <c r="D328" i="228"/>
  <c r="D327" i="228"/>
  <c r="D326" i="228"/>
  <c r="D325" i="228"/>
  <c r="D324" i="228"/>
  <c r="D323" i="228"/>
  <c r="D322" i="228"/>
  <c r="D321" i="228"/>
  <c r="D320" i="228"/>
  <c r="D319" i="228"/>
  <c r="D318" i="228"/>
  <c r="D317" i="228"/>
  <c r="D316" i="228"/>
  <c r="D315" i="228"/>
  <c r="D314" i="228"/>
  <c r="D313" i="228"/>
  <c r="D312" i="228"/>
  <c r="D311" i="228"/>
  <c r="D310" i="228"/>
  <c r="D309" i="228"/>
  <c r="D308" i="228"/>
  <c r="D307" i="228"/>
  <c r="D306" i="228"/>
  <c r="D305" i="228"/>
  <c r="D304" i="228"/>
  <c r="D303" i="228"/>
  <c r="D302" i="228"/>
  <c r="D301" i="228"/>
  <c r="D300" i="228"/>
  <c r="D299" i="228"/>
  <c r="D298" i="228"/>
  <c r="D297" i="228"/>
  <c r="D296" i="228"/>
  <c r="D295" i="228"/>
  <c r="D294" i="228"/>
  <c r="D293" i="228"/>
  <c r="D292" i="228"/>
  <c r="D291" i="228"/>
  <c r="D290" i="228"/>
  <c r="D289" i="228"/>
  <c r="D288" i="228"/>
  <c r="D287" i="228"/>
  <c r="D286" i="228"/>
  <c r="D285" i="228"/>
  <c r="D284" i="228"/>
  <c r="D283" i="228"/>
  <c r="D282" i="228"/>
  <c r="D281" i="228"/>
  <c r="D280" i="228"/>
  <c r="D279" i="228"/>
  <c r="D278" i="228"/>
  <c r="D277" i="228"/>
  <c r="D276" i="228"/>
  <c r="D275" i="228"/>
  <c r="D274" i="228"/>
  <c r="D273" i="228"/>
  <c r="D272" i="228"/>
  <c r="D271" i="228"/>
  <c r="D270" i="228"/>
  <c r="D269" i="228"/>
  <c r="D268" i="228"/>
  <c r="D267" i="228"/>
  <c r="D266" i="228"/>
  <c r="D265" i="228"/>
  <c r="D264" i="228"/>
  <c r="D263" i="228"/>
  <c r="D262" i="228"/>
  <c r="D261" i="228"/>
  <c r="D260" i="228"/>
  <c r="D259" i="228"/>
  <c r="D258" i="228"/>
  <c r="D257" i="228"/>
  <c r="D256" i="228"/>
  <c r="D255" i="228"/>
  <c r="D254" i="228"/>
  <c r="D253" i="228"/>
  <c r="D252" i="228"/>
  <c r="D251" i="228"/>
  <c r="D250" i="228"/>
  <c r="D249" i="228"/>
  <c r="D248" i="228"/>
  <c r="D247" i="228"/>
  <c r="D246" i="228"/>
  <c r="D245" i="228"/>
  <c r="D244" i="228"/>
  <c r="D243" i="228"/>
  <c r="D242" i="228"/>
  <c r="D241" i="228"/>
  <c r="D240" i="228"/>
  <c r="D239" i="228"/>
  <c r="D238" i="228"/>
  <c r="D237" i="228"/>
  <c r="D236" i="228"/>
  <c r="D235" i="228"/>
  <c r="D234" i="228"/>
  <c r="D233" i="228"/>
  <c r="D232" i="228"/>
  <c r="D231" i="228"/>
  <c r="D230" i="228"/>
  <c r="D229" i="228"/>
  <c r="D228" i="228"/>
  <c r="D227" i="228"/>
  <c r="D226" i="228"/>
  <c r="D225" i="228"/>
  <c r="D224" i="228"/>
  <c r="D223" i="228"/>
  <c r="D222" i="228"/>
  <c r="D221" i="228"/>
  <c r="D220" i="228"/>
  <c r="D219" i="228"/>
  <c r="D218" i="228"/>
  <c r="D217" i="228"/>
  <c r="D216" i="228"/>
  <c r="D215" i="228"/>
  <c r="D214" i="228"/>
  <c r="D213" i="228"/>
  <c r="D212" i="228"/>
  <c r="D211" i="228"/>
  <c r="D210" i="228"/>
  <c r="D209" i="228"/>
  <c r="D208" i="228"/>
  <c r="D207" i="228"/>
  <c r="D206" i="228"/>
  <c r="D205" i="228"/>
  <c r="D204" i="228"/>
  <c r="D203" i="228"/>
  <c r="D202" i="228"/>
  <c r="D201" i="228"/>
  <c r="D200" i="228"/>
  <c r="D199" i="228"/>
  <c r="D198" i="228"/>
  <c r="D197" i="228"/>
  <c r="D196" i="228"/>
  <c r="D195" i="228"/>
  <c r="D194" i="228"/>
  <c r="D193" i="228"/>
  <c r="D192" i="228"/>
  <c r="D191" i="228"/>
  <c r="D190" i="228"/>
  <c r="D189" i="228"/>
  <c r="D188" i="228"/>
  <c r="D187" i="228"/>
  <c r="D186" i="228"/>
  <c r="D185" i="228"/>
  <c r="D184" i="228"/>
  <c r="D183" i="228"/>
  <c r="D182" i="228"/>
  <c r="D181" i="228"/>
  <c r="D180" i="228"/>
  <c r="D179" i="228"/>
  <c r="D178" i="228"/>
  <c r="D177" i="228"/>
  <c r="D176" i="228"/>
  <c r="D175" i="228"/>
  <c r="D174" i="228"/>
  <c r="D173" i="228"/>
  <c r="D172" i="228"/>
  <c r="D171" i="228"/>
  <c r="D170" i="228"/>
  <c r="D169" i="228"/>
  <c r="D168" i="228"/>
  <c r="D167" i="228"/>
  <c r="D166" i="228"/>
  <c r="D165" i="228"/>
  <c r="D164" i="228"/>
  <c r="D163" i="228"/>
  <c r="D162" i="228"/>
  <c r="D161" i="228"/>
  <c r="D160" i="228"/>
  <c r="D159" i="228"/>
  <c r="D158" i="228"/>
  <c r="D157" i="228"/>
  <c r="D156" i="228"/>
  <c r="D155" i="228"/>
  <c r="D154" i="228"/>
  <c r="D153" i="228"/>
  <c r="D152" i="228"/>
  <c r="D151" i="228"/>
  <c r="D150" i="228"/>
  <c r="D149" i="228"/>
  <c r="D148" i="228"/>
  <c r="D147" i="228"/>
  <c r="D146" i="228"/>
  <c r="D145" i="228"/>
  <c r="D144" i="228"/>
  <c r="D143" i="228"/>
  <c r="D142" i="228"/>
  <c r="D141" i="228"/>
  <c r="D140" i="228"/>
  <c r="D139" i="228"/>
  <c r="D138" i="228"/>
  <c r="D137" i="228"/>
  <c r="D136" i="228"/>
  <c r="D135" i="228"/>
  <c r="D134" i="228"/>
  <c r="D133" i="228"/>
  <c r="D132" i="228"/>
  <c r="D131" i="228"/>
  <c r="D130" i="228"/>
  <c r="D129" i="228"/>
  <c r="D128" i="228"/>
  <c r="D127" i="228"/>
  <c r="D126" i="228"/>
  <c r="D125" i="228"/>
  <c r="D124" i="228"/>
  <c r="D123" i="228"/>
  <c r="D122" i="228"/>
  <c r="D121" i="228"/>
  <c r="D120" i="228"/>
  <c r="D119" i="228"/>
  <c r="D118" i="228"/>
  <c r="D117" i="228"/>
  <c r="D116" i="228"/>
  <c r="D115" i="228"/>
  <c r="D114" i="228"/>
  <c r="D113" i="228"/>
  <c r="D112" i="228"/>
  <c r="D111" i="228"/>
  <c r="D110" i="228"/>
  <c r="D109" i="228"/>
  <c r="D108" i="228"/>
  <c r="D107" i="228"/>
  <c r="D106" i="228"/>
  <c r="D105" i="228"/>
  <c r="D104" i="228"/>
  <c r="D103" i="228"/>
  <c r="D102" i="228"/>
  <c r="D101" i="228"/>
  <c r="D100" i="228"/>
  <c r="D99" i="228"/>
  <c r="D98" i="228"/>
  <c r="D97" i="228"/>
  <c r="D96" i="228"/>
  <c r="D95" i="228"/>
  <c r="D94" i="228"/>
  <c r="D93" i="228"/>
  <c r="D92" i="228"/>
  <c r="D91" i="228"/>
  <c r="D90" i="228"/>
  <c r="D89" i="228"/>
  <c r="D88" i="228"/>
  <c r="D87" i="228"/>
  <c r="D86" i="228"/>
  <c r="D85" i="228"/>
  <c r="D84" i="228"/>
  <c r="D83" i="228"/>
  <c r="D82" i="228"/>
  <c r="D81" i="228"/>
  <c r="D80" i="228"/>
  <c r="D79" i="228"/>
  <c r="D78" i="228"/>
  <c r="D77" i="228"/>
  <c r="D76" i="228"/>
  <c r="D75" i="228"/>
  <c r="D74" i="228"/>
  <c r="D73" i="228"/>
  <c r="D72" i="228"/>
  <c r="D71" i="228"/>
  <c r="D70" i="228"/>
  <c r="D69" i="228"/>
  <c r="D68" i="228"/>
  <c r="D67" i="228"/>
  <c r="D66" i="228"/>
  <c r="D65" i="228"/>
  <c r="D64" i="228"/>
  <c r="D63" i="228"/>
  <c r="D62" i="228"/>
  <c r="D61" i="228"/>
  <c r="D60" i="228"/>
  <c r="D59" i="228"/>
  <c r="D58" i="228"/>
  <c r="D57" i="228"/>
  <c r="D56" i="228"/>
  <c r="D55" i="228"/>
  <c r="D54" i="228"/>
  <c r="D53" i="228"/>
  <c r="D52" i="228"/>
  <c r="D51" i="228"/>
  <c r="D50" i="228"/>
  <c r="D49" i="228"/>
  <c r="D48" i="228"/>
  <c r="D47" i="228"/>
  <c r="D46" i="228"/>
  <c r="D45" i="228"/>
  <c r="D44" i="228"/>
  <c r="D43" i="228"/>
  <c r="D42" i="228"/>
  <c r="D41" i="228"/>
  <c r="D40" i="228"/>
  <c r="D39" i="228"/>
  <c r="D38" i="228"/>
  <c r="D37" i="228"/>
  <c r="D36" i="228"/>
  <c r="D35" i="228"/>
  <c r="D34" i="228"/>
  <c r="D33" i="228"/>
  <c r="D32" i="228"/>
  <c r="D31" i="228"/>
  <c r="D30" i="228"/>
  <c r="D29" i="228"/>
  <c r="D28" i="228"/>
  <c r="D27" i="228"/>
  <c r="D26" i="228"/>
  <c r="D25" i="228"/>
  <c r="D24" i="228"/>
  <c r="D23" i="228"/>
  <c r="D22" i="228"/>
  <c r="D21" i="228"/>
  <c r="D20" i="228"/>
  <c r="D19" i="228"/>
  <c r="D18" i="228"/>
  <c r="D17" i="228"/>
  <c r="D16" i="228"/>
  <c r="D15" i="228"/>
  <c r="D14" i="228"/>
  <c r="D13" i="228"/>
  <c r="D12" i="228"/>
  <c r="D11" i="228"/>
  <c r="D10" i="228"/>
  <c r="D9" i="228"/>
  <c r="D8" i="228"/>
  <c r="D7" i="228"/>
  <c r="D6" i="228"/>
  <c r="D5" i="228"/>
  <c r="D4" i="228"/>
  <c r="D3" i="228"/>
  <c r="D2" i="228"/>
  <c r="AB41" i="226"/>
  <c r="AA40" i="226"/>
  <c r="AB40" i="226" s="1"/>
  <c r="AA39" i="226"/>
  <c r="AB39" i="226" s="1"/>
  <c r="AA38" i="226"/>
  <c r="AB38" i="226" s="1"/>
  <c r="AA37" i="226"/>
  <c r="AB37" i="226" s="1"/>
  <c r="AA36" i="226"/>
  <c r="AB36" i="226" s="1"/>
  <c r="AA35" i="226"/>
  <c r="AB35" i="226" s="1"/>
  <c r="AB34" i="226"/>
  <c r="AA33" i="226"/>
  <c r="AB33" i="226" s="1"/>
  <c r="AA32" i="226"/>
  <c r="AB32" i="226" s="1"/>
  <c r="AA31" i="226"/>
  <c r="AB31" i="226" s="1"/>
  <c r="AA30" i="226"/>
  <c r="AB30" i="226" s="1"/>
  <c r="AA29" i="226"/>
  <c r="AB29" i="226" s="1"/>
  <c r="AA28" i="226"/>
  <c r="AB28" i="226" s="1"/>
  <c r="AA27" i="226"/>
  <c r="AB27" i="226" s="1"/>
  <c r="AA26" i="226"/>
  <c r="AB26" i="226" s="1"/>
  <c r="AA25" i="226"/>
  <c r="AB25" i="226" s="1"/>
  <c r="AA24" i="226"/>
  <c r="AB24" i="226" s="1"/>
  <c r="AA23" i="226"/>
  <c r="AB23" i="226" s="1"/>
  <c r="AA22" i="226"/>
  <c r="AB22" i="226" s="1"/>
  <c r="AA21" i="226"/>
  <c r="AB21" i="226" s="1"/>
  <c r="AA20" i="226"/>
  <c r="AB20" i="226" s="1"/>
  <c r="AA19" i="226"/>
  <c r="AB19" i="226" s="1"/>
  <c r="AA18" i="226"/>
  <c r="AB18" i="226" s="1"/>
  <c r="AA16" i="226"/>
  <c r="AB16" i="226" s="1"/>
  <c r="AA14" i="226"/>
  <c r="AA13" i="226"/>
  <c r="R44" i="226"/>
  <c r="S44" i="226"/>
  <c r="AA44" i="226"/>
  <c r="T5" i="226" l="1"/>
  <c r="AB44" i="226"/>
  <c r="J106" i="231"/>
  <c r="J100" i="231"/>
  <c r="J97" i="231"/>
  <c r="J103" i="231"/>
  <c r="J91" i="231"/>
  <c r="J94" i="231"/>
  <c r="J85" i="231"/>
  <c r="J88" i="231"/>
  <c r="V5" i="226"/>
  <c r="Y5" i="226" s="1"/>
  <c r="S45" i="226"/>
  <c r="S48" i="226" s="1"/>
  <c r="J107" i="231"/>
  <c r="J86" i="231"/>
  <c r="J104" i="231"/>
  <c r="J87" i="231"/>
  <c r="J98" i="231"/>
  <c r="J95" i="231"/>
  <c r="J99" i="231"/>
  <c r="J92" i="231"/>
  <c r="J89" i="231"/>
  <c r="J93" i="231"/>
  <c r="J96" i="231"/>
  <c r="J101" i="231"/>
  <c r="J105" i="231"/>
  <c r="J90" i="231"/>
  <c r="J102" i="231"/>
  <c r="E5" i="226"/>
  <c r="AB14" i="226"/>
  <c r="AB13" i="226"/>
  <c r="AB15" i="226"/>
  <c r="AB17" i="226"/>
  <c r="J84" i="231" l="1"/>
  <c r="J108" i="231" s="1"/>
  <c r="J80" i="231" s="1"/>
  <c r="J21" i="231" s="1"/>
  <c r="H108" i="231"/>
  <c r="T22" i="226"/>
  <c r="U22" i="226" s="1"/>
  <c r="AC22" i="226" s="1"/>
  <c r="T16" i="226"/>
  <c r="U16" i="226" s="1"/>
  <c r="AC16" i="226" s="1"/>
  <c r="T23" i="226"/>
  <c r="U23" i="226" s="1"/>
  <c r="AC23" i="226" s="1"/>
  <c r="T24" i="226"/>
  <c r="U24" i="226" s="1"/>
  <c r="AC24" i="226" s="1"/>
  <c r="T26" i="226"/>
  <c r="U26" i="226" s="1"/>
  <c r="AC26" i="226" s="1"/>
  <c r="T20" i="226"/>
  <c r="U20" i="226" s="1"/>
  <c r="AC20" i="226" s="1"/>
  <c r="T19" i="226"/>
  <c r="U19" i="226" s="1"/>
  <c r="T17" i="226"/>
  <c r="U17" i="226" s="1"/>
  <c r="AC17" i="226" s="1"/>
  <c r="T13" i="226"/>
  <c r="U13" i="226" s="1"/>
  <c r="T25" i="226"/>
  <c r="U25" i="226" s="1"/>
  <c r="AC25" i="226" s="1"/>
  <c r="T21" i="226"/>
  <c r="U21" i="226" s="1"/>
  <c r="AC21" i="226" s="1"/>
  <c r="T18" i="226"/>
  <c r="U18" i="226" s="1"/>
  <c r="AC18" i="226" s="1"/>
  <c r="T15" i="226"/>
  <c r="U15" i="226" s="1"/>
  <c r="AC15" i="226" s="1"/>
  <c r="T14" i="226"/>
  <c r="U14" i="226" s="1"/>
  <c r="AC14" i="226" s="1"/>
  <c r="W5" i="226"/>
  <c r="T43" i="226"/>
  <c r="U43" i="226" s="1"/>
  <c r="AC43" i="226" s="1"/>
  <c r="T42" i="226"/>
  <c r="U42" i="226" s="1"/>
  <c r="AC42" i="226" s="1"/>
  <c r="T34" i="226"/>
  <c r="U34" i="226" s="1"/>
  <c r="AC34" i="226" s="1"/>
  <c r="T36" i="226"/>
  <c r="U36" i="226" s="1"/>
  <c r="AC36" i="226" s="1"/>
  <c r="T39" i="226"/>
  <c r="U39" i="226" s="1"/>
  <c r="AC39" i="226" s="1"/>
  <c r="T33" i="226"/>
  <c r="U33" i="226" s="1"/>
  <c r="AC33" i="226" s="1"/>
  <c r="T35" i="226"/>
  <c r="U35" i="226" s="1"/>
  <c r="AC35" i="226" s="1"/>
  <c r="T37" i="226"/>
  <c r="U37" i="226" s="1"/>
  <c r="AC37" i="226" s="1"/>
  <c r="T40" i="226"/>
  <c r="U40" i="226" s="1"/>
  <c r="AC40" i="226" s="1"/>
  <c r="T41" i="226"/>
  <c r="U41" i="226" s="1"/>
  <c r="AC41" i="226" s="1"/>
  <c r="T38" i="226"/>
  <c r="U38" i="226" s="1"/>
  <c r="AC38" i="226" s="1"/>
  <c r="T28" i="226"/>
  <c r="U28" i="226" s="1"/>
  <c r="AC28" i="226" s="1"/>
  <c r="T27" i="226"/>
  <c r="U27" i="226" s="1"/>
  <c r="AC27" i="226" s="1"/>
  <c r="T32" i="226"/>
  <c r="U32" i="226" s="1"/>
  <c r="AC32" i="226" s="1"/>
  <c r="T31" i="226"/>
  <c r="U31" i="226" s="1"/>
  <c r="AC31" i="226" s="1"/>
  <c r="T30" i="226"/>
  <c r="U30" i="226" s="1"/>
  <c r="AC30" i="226" s="1"/>
  <c r="J46" i="231"/>
  <c r="J15" i="231" s="1"/>
  <c r="T29" i="226"/>
  <c r="U29" i="226" s="1"/>
  <c r="AC29" i="226" s="1"/>
  <c r="U44" i="226"/>
  <c r="AC44" i="226" l="1"/>
  <c r="AC13" i="226"/>
  <c r="U45" i="226"/>
  <c r="AC19" i="226"/>
  <c r="H28" i="207" l="1"/>
  <c r="X801" i="164"/>
  <c r="X800" i="164"/>
  <c r="X799" i="164"/>
  <c r="X798" i="164"/>
  <c r="X797" i="164"/>
  <c r="X796" i="164"/>
  <c r="X785" i="164"/>
  <c r="X784" i="164"/>
  <c r="X783" i="164"/>
  <c r="X782" i="164"/>
  <c r="X781" i="164"/>
  <c r="X780" i="164"/>
  <c r="X769" i="164"/>
  <c r="X768" i="164"/>
  <c r="X767" i="164"/>
  <c r="X766" i="164"/>
  <c r="X765" i="164"/>
  <c r="X764" i="164"/>
  <c r="X753" i="164"/>
  <c r="X752" i="164"/>
  <c r="X751" i="164"/>
  <c r="X750" i="164"/>
  <c r="X749" i="164"/>
  <c r="X748" i="164"/>
  <c r="X737" i="164"/>
  <c r="X736" i="164"/>
  <c r="X735" i="164"/>
  <c r="X734" i="164"/>
  <c r="X733" i="164"/>
  <c r="X732" i="164"/>
  <c r="X721" i="164"/>
  <c r="X720" i="164"/>
  <c r="X719" i="164"/>
  <c r="X718" i="164"/>
  <c r="X717" i="164"/>
  <c r="X716" i="164"/>
  <c r="X705" i="164"/>
  <c r="X704" i="164"/>
  <c r="X703" i="164"/>
  <c r="X702" i="164"/>
  <c r="X701" i="164"/>
  <c r="X700" i="164"/>
  <c r="X689" i="164"/>
  <c r="X688" i="164"/>
  <c r="X687" i="164"/>
  <c r="X686" i="164"/>
  <c r="Z686" i="164" s="1" a="1"/>
  <c r="Z686" i="164" s="1"/>
  <c r="X685" i="164"/>
  <c r="X684" i="164"/>
  <c r="X673" i="164"/>
  <c r="X672" i="164"/>
  <c r="X671" i="164"/>
  <c r="X670" i="164"/>
  <c r="X669" i="164"/>
  <c r="X668" i="164"/>
  <c r="X657" i="164"/>
  <c r="X656" i="164"/>
  <c r="X655" i="164"/>
  <c r="X654" i="164"/>
  <c r="X653" i="164"/>
  <c r="X652" i="164"/>
  <c r="X641" i="164"/>
  <c r="X640" i="164"/>
  <c r="X639" i="164"/>
  <c r="X638" i="164"/>
  <c r="X637" i="164"/>
  <c r="X636" i="164"/>
  <c r="X625" i="164"/>
  <c r="X624" i="164"/>
  <c r="X623" i="164"/>
  <c r="X622" i="164"/>
  <c r="X621" i="164"/>
  <c r="X620" i="164"/>
  <c r="X609" i="164"/>
  <c r="X608" i="164"/>
  <c r="X607" i="164"/>
  <c r="X606" i="164"/>
  <c r="X605" i="164"/>
  <c r="X604" i="164"/>
  <c r="X593" i="164"/>
  <c r="X592" i="164"/>
  <c r="X591" i="164"/>
  <c r="X590" i="164"/>
  <c r="X589" i="164"/>
  <c r="X588" i="164"/>
  <c r="X577" i="164"/>
  <c r="X576" i="164"/>
  <c r="X575" i="164"/>
  <c r="X574" i="164"/>
  <c r="X573" i="164"/>
  <c r="X572" i="164"/>
  <c r="X561" i="164"/>
  <c r="X560" i="164"/>
  <c r="X559" i="164"/>
  <c r="X558" i="164"/>
  <c r="X557" i="164"/>
  <c r="X556" i="164"/>
  <c r="X545" i="164"/>
  <c r="X544" i="164"/>
  <c r="X543" i="164"/>
  <c r="X542" i="164"/>
  <c r="X541" i="164"/>
  <c r="X540" i="164"/>
  <c r="X529" i="164"/>
  <c r="X528" i="164"/>
  <c r="X527" i="164"/>
  <c r="X526" i="164"/>
  <c r="X525" i="164"/>
  <c r="X524" i="164"/>
  <c r="X513" i="164"/>
  <c r="X512" i="164"/>
  <c r="X511" i="164"/>
  <c r="X510" i="164"/>
  <c r="X509" i="164"/>
  <c r="X508" i="164"/>
  <c r="X497" i="164"/>
  <c r="X496" i="164"/>
  <c r="X495" i="164"/>
  <c r="X494" i="164"/>
  <c r="X493" i="164"/>
  <c r="X492" i="164"/>
  <c r="X481" i="164"/>
  <c r="X480" i="164"/>
  <c r="X479" i="164"/>
  <c r="X478" i="164"/>
  <c r="X477" i="164"/>
  <c r="X476" i="164"/>
  <c r="X465" i="164"/>
  <c r="X464" i="164"/>
  <c r="X463" i="164"/>
  <c r="X462" i="164"/>
  <c r="X461" i="164"/>
  <c r="X460" i="164"/>
  <c r="X449" i="164"/>
  <c r="X448" i="164"/>
  <c r="X447" i="164"/>
  <c r="X446" i="164"/>
  <c r="X445" i="164"/>
  <c r="X444" i="164"/>
  <c r="X433" i="164"/>
  <c r="X432" i="164"/>
  <c r="X431" i="164"/>
  <c r="X430" i="164"/>
  <c r="X429" i="164"/>
  <c r="X428" i="164"/>
  <c r="X417" i="164"/>
  <c r="X416" i="164"/>
  <c r="X415" i="164"/>
  <c r="X414" i="164"/>
  <c r="X413" i="164"/>
  <c r="X412" i="164"/>
  <c r="X401" i="164"/>
  <c r="X400" i="164"/>
  <c r="X399" i="164"/>
  <c r="X398" i="164"/>
  <c r="X397" i="164"/>
  <c r="X396" i="164"/>
  <c r="X385" i="164"/>
  <c r="X384" i="164"/>
  <c r="X383" i="164"/>
  <c r="X382" i="164"/>
  <c r="X381" i="164"/>
  <c r="X380" i="164"/>
  <c r="X369" i="164"/>
  <c r="X368" i="164"/>
  <c r="X367" i="164"/>
  <c r="X366" i="164"/>
  <c r="X365" i="164"/>
  <c r="X364" i="164"/>
  <c r="X353" i="164"/>
  <c r="X352" i="164"/>
  <c r="X351" i="164"/>
  <c r="X350" i="164"/>
  <c r="X349" i="164"/>
  <c r="X348" i="164"/>
  <c r="X337" i="164"/>
  <c r="X336" i="164"/>
  <c r="X335" i="164"/>
  <c r="X334" i="164"/>
  <c r="X333" i="164"/>
  <c r="X332" i="164"/>
  <c r="X321" i="164"/>
  <c r="X320" i="164"/>
  <c r="X319" i="164"/>
  <c r="X318" i="164"/>
  <c r="X317" i="164"/>
  <c r="X316" i="164"/>
  <c r="X305" i="164"/>
  <c r="X304" i="164"/>
  <c r="X303" i="164"/>
  <c r="X302" i="164"/>
  <c r="X301" i="164"/>
  <c r="X300" i="164"/>
  <c r="X289" i="164"/>
  <c r="X288" i="164"/>
  <c r="X287" i="164"/>
  <c r="X286" i="164"/>
  <c r="X285" i="164"/>
  <c r="X284" i="164"/>
  <c r="X273" i="164"/>
  <c r="X272" i="164"/>
  <c r="X271" i="164"/>
  <c r="X270" i="164"/>
  <c r="X269" i="164"/>
  <c r="X268" i="164"/>
  <c r="X257" i="164"/>
  <c r="X256" i="164"/>
  <c r="X255" i="164"/>
  <c r="X254" i="164"/>
  <c r="X253" i="164"/>
  <c r="X252" i="164"/>
  <c r="X241" i="164"/>
  <c r="X240" i="164"/>
  <c r="X239" i="164"/>
  <c r="X238" i="164"/>
  <c r="X237" i="164"/>
  <c r="X236" i="164"/>
  <c r="X225" i="164"/>
  <c r="X224" i="164"/>
  <c r="X223" i="164"/>
  <c r="X222" i="164"/>
  <c r="X221" i="164"/>
  <c r="X220" i="164"/>
  <c r="X209" i="164"/>
  <c r="X208" i="164"/>
  <c r="X207" i="164"/>
  <c r="X206" i="164"/>
  <c r="X205" i="164"/>
  <c r="X204" i="164"/>
  <c r="X193" i="164"/>
  <c r="X192" i="164"/>
  <c r="X191" i="164"/>
  <c r="X190" i="164"/>
  <c r="X189" i="164"/>
  <c r="X188" i="164"/>
  <c r="X177" i="164"/>
  <c r="X176" i="164"/>
  <c r="X175" i="164"/>
  <c r="X174" i="164"/>
  <c r="X173" i="164"/>
  <c r="X172" i="164"/>
  <c r="X161" i="164"/>
  <c r="X160" i="164"/>
  <c r="X159" i="164"/>
  <c r="X158" i="164"/>
  <c r="X157" i="164"/>
  <c r="X156" i="164"/>
  <c r="X145" i="164"/>
  <c r="X144" i="164"/>
  <c r="X143" i="164"/>
  <c r="X142" i="164"/>
  <c r="X141" i="164"/>
  <c r="X140" i="164"/>
  <c r="X129" i="164"/>
  <c r="X128" i="164"/>
  <c r="X127" i="164"/>
  <c r="X126" i="164"/>
  <c r="X125" i="164"/>
  <c r="X124" i="164"/>
  <c r="X113" i="164"/>
  <c r="X112" i="164"/>
  <c r="X111" i="164"/>
  <c r="X110" i="164"/>
  <c r="X109" i="164"/>
  <c r="X108" i="164"/>
  <c r="X97" i="164"/>
  <c r="X96" i="164"/>
  <c r="X95" i="164"/>
  <c r="X94" i="164"/>
  <c r="X93" i="164"/>
  <c r="X92" i="164"/>
  <c r="X81" i="164"/>
  <c r="X80" i="164"/>
  <c r="X79" i="164"/>
  <c r="X78" i="164"/>
  <c r="X77" i="164"/>
  <c r="X76" i="164"/>
  <c r="X65" i="164"/>
  <c r="X64" i="164"/>
  <c r="X63" i="164"/>
  <c r="X62" i="164"/>
  <c r="X61" i="164"/>
  <c r="X60" i="164"/>
  <c r="X49" i="164"/>
  <c r="X48" i="164"/>
  <c r="X47" i="164"/>
  <c r="X46" i="164"/>
  <c r="X45" i="164"/>
  <c r="X44" i="164"/>
  <c r="X33" i="164"/>
  <c r="X32" i="164"/>
  <c r="X31" i="164"/>
  <c r="X30" i="164"/>
  <c r="X29" i="164"/>
  <c r="X28" i="164"/>
  <c r="X17" i="164"/>
  <c r="X16" i="164"/>
  <c r="X15" i="164"/>
  <c r="X14" i="164"/>
  <c r="X13" i="164"/>
  <c r="X12" i="164"/>
  <c r="Y801" i="164"/>
  <c r="W801" i="164"/>
  <c r="U801" i="164"/>
  <c r="T801" i="164"/>
  <c r="S801" i="164"/>
  <c r="R801" i="164"/>
  <c r="Y800" i="164"/>
  <c r="W800" i="164"/>
  <c r="U800" i="164"/>
  <c r="T800" i="164"/>
  <c r="S800" i="164"/>
  <c r="R800" i="164"/>
  <c r="Y799" i="164"/>
  <c r="W799" i="164"/>
  <c r="U799" i="164"/>
  <c r="T799" i="164"/>
  <c r="S799" i="164"/>
  <c r="R799" i="164"/>
  <c r="Y798" i="164"/>
  <c r="W798" i="164"/>
  <c r="U798" i="164"/>
  <c r="T798" i="164"/>
  <c r="S798" i="164"/>
  <c r="R798" i="164"/>
  <c r="Y797" i="164"/>
  <c r="W797" i="164"/>
  <c r="U797" i="164"/>
  <c r="T797" i="164"/>
  <c r="S797" i="164"/>
  <c r="R797" i="164"/>
  <c r="Y796" i="164"/>
  <c r="W796" i="164"/>
  <c r="Z798" i="164" s="1" a="1"/>
  <c r="Z798" i="164" s="1"/>
  <c r="U796" i="164"/>
  <c r="T796" i="164"/>
  <c r="S796" i="164"/>
  <c r="R796" i="164"/>
  <c r="R794" i="164"/>
  <c r="F794" i="164" s="1"/>
  <c r="AA794" i="164" s="1"/>
  <c r="R793" i="164"/>
  <c r="F793" i="164"/>
  <c r="R792" i="164"/>
  <c r="F792" i="164"/>
  <c r="R791" i="164"/>
  <c r="F791" i="164"/>
  <c r="C791" i="164"/>
  <c r="R790" i="164"/>
  <c r="Y785" i="164"/>
  <c r="W785" i="164"/>
  <c r="U785" i="164"/>
  <c r="T785" i="164"/>
  <c r="S785" i="164"/>
  <c r="R785" i="164"/>
  <c r="Y784" i="164"/>
  <c r="W784" i="164"/>
  <c r="U784" i="164"/>
  <c r="T784" i="164"/>
  <c r="S784" i="164"/>
  <c r="R784" i="164"/>
  <c r="Y783" i="164"/>
  <c r="W783" i="164"/>
  <c r="U783" i="164"/>
  <c r="T783" i="164"/>
  <c r="S783" i="164"/>
  <c r="R783" i="164"/>
  <c r="Y782" i="164"/>
  <c r="W782" i="164"/>
  <c r="U782" i="164"/>
  <c r="T782" i="164"/>
  <c r="S782" i="164"/>
  <c r="R782" i="164"/>
  <c r="Y781" i="164"/>
  <c r="W781" i="164"/>
  <c r="U781" i="164"/>
  <c r="T781" i="164"/>
  <c r="S781" i="164"/>
  <c r="R781" i="164"/>
  <c r="Y780" i="164"/>
  <c r="W780" i="164"/>
  <c r="Z784" i="164" s="1" a="1"/>
  <c r="Z784" i="164" s="1"/>
  <c r="U780" i="164"/>
  <c r="T780" i="164"/>
  <c r="S780" i="164"/>
  <c r="R780" i="164"/>
  <c r="R778" i="164"/>
  <c r="F778" i="164" s="1"/>
  <c r="AA778" i="164" s="1"/>
  <c r="R777" i="164"/>
  <c r="F777" i="164"/>
  <c r="R776" i="164"/>
  <c r="F776" i="164"/>
  <c r="R775" i="164"/>
  <c r="F775" i="164"/>
  <c r="C775" i="164"/>
  <c r="R774" i="164"/>
  <c r="Y769" i="164"/>
  <c r="W769" i="164"/>
  <c r="U769" i="164"/>
  <c r="T769" i="164"/>
  <c r="S769" i="164"/>
  <c r="R769" i="164"/>
  <c r="Y768" i="164"/>
  <c r="W768" i="164"/>
  <c r="U768" i="164"/>
  <c r="T768" i="164"/>
  <c r="S768" i="164"/>
  <c r="R768" i="164"/>
  <c r="Y767" i="164"/>
  <c r="W767" i="164"/>
  <c r="U767" i="164"/>
  <c r="T767" i="164"/>
  <c r="S767" i="164"/>
  <c r="R767" i="164"/>
  <c r="Y766" i="164"/>
  <c r="W766" i="164"/>
  <c r="U766" i="164"/>
  <c r="T766" i="164"/>
  <c r="S766" i="164"/>
  <c r="R766" i="164"/>
  <c r="Y765" i="164"/>
  <c r="W765" i="164"/>
  <c r="U765" i="164"/>
  <c r="T765" i="164"/>
  <c r="S765" i="164"/>
  <c r="R765" i="164"/>
  <c r="Y764" i="164"/>
  <c r="W764" i="164"/>
  <c r="U764" i="164"/>
  <c r="T764" i="164"/>
  <c r="S764" i="164"/>
  <c r="R764" i="164"/>
  <c r="R762" i="164"/>
  <c r="F762" i="164" s="1"/>
  <c r="AA762" i="164" s="1"/>
  <c r="R761" i="164"/>
  <c r="F761" i="164"/>
  <c r="R760" i="164"/>
  <c r="F760" i="164"/>
  <c r="R759" i="164"/>
  <c r="F759" i="164"/>
  <c r="C759" i="164"/>
  <c r="R758" i="164"/>
  <c r="Y753" i="164"/>
  <c r="W753" i="164"/>
  <c r="U753" i="164"/>
  <c r="T753" i="164"/>
  <c r="S753" i="164"/>
  <c r="R753" i="164"/>
  <c r="Y752" i="164"/>
  <c r="W752" i="164"/>
  <c r="U752" i="164"/>
  <c r="T752" i="164"/>
  <c r="S752" i="164"/>
  <c r="R752" i="164"/>
  <c r="Y751" i="164"/>
  <c r="W751" i="164"/>
  <c r="U751" i="164"/>
  <c r="T751" i="164"/>
  <c r="S751" i="164"/>
  <c r="R751" i="164"/>
  <c r="Y750" i="164"/>
  <c r="W750" i="164"/>
  <c r="Z750" i="164" s="1" a="1"/>
  <c r="Z750" i="164" s="1"/>
  <c r="U750" i="164"/>
  <c r="T750" i="164"/>
  <c r="S750" i="164"/>
  <c r="R750" i="164"/>
  <c r="Y749" i="164"/>
  <c r="W749" i="164"/>
  <c r="U749" i="164"/>
  <c r="T749" i="164"/>
  <c r="S749" i="164"/>
  <c r="R749" i="164"/>
  <c r="Y748" i="164"/>
  <c r="W748" i="164"/>
  <c r="U748" i="164"/>
  <c r="T748" i="164"/>
  <c r="S748" i="164"/>
  <c r="R748" i="164"/>
  <c r="R746" i="164"/>
  <c r="F746" i="164" s="1"/>
  <c r="AA746" i="164" s="1"/>
  <c r="R745" i="164"/>
  <c r="F745" i="164"/>
  <c r="R744" i="164"/>
  <c r="F744" i="164"/>
  <c r="R743" i="164"/>
  <c r="F743" i="164"/>
  <c r="C743" i="164"/>
  <c r="R742" i="164"/>
  <c r="Y737" i="164"/>
  <c r="W737" i="164"/>
  <c r="U737" i="164"/>
  <c r="T737" i="164"/>
  <c r="S737" i="164"/>
  <c r="R737" i="164"/>
  <c r="Y736" i="164"/>
  <c r="W736" i="164"/>
  <c r="U736" i="164"/>
  <c r="T736" i="164"/>
  <c r="S736" i="164"/>
  <c r="R736" i="164"/>
  <c r="Y735" i="164"/>
  <c r="W735" i="164"/>
  <c r="Z737" i="164" s="1" a="1"/>
  <c r="Z737" i="164" s="1"/>
  <c r="U735" i="164"/>
  <c r="T735" i="164"/>
  <c r="S735" i="164"/>
  <c r="R735" i="164"/>
  <c r="Y734" i="164"/>
  <c r="W734" i="164"/>
  <c r="U734" i="164"/>
  <c r="T734" i="164"/>
  <c r="S734" i="164"/>
  <c r="R734" i="164"/>
  <c r="Y733" i="164"/>
  <c r="W733" i="164"/>
  <c r="U733" i="164"/>
  <c r="T733" i="164"/>
  <c r="S733" i="164"/>
  <c r="R733" i="164"/>
  <c r="Y732" i="164"/>
  <c r="W732" i="164"/>
  <c r="Z734" i="164" s="1" a="1"/>
  <c r="Z734" i="164" s="1"/>
  <c r="U732" i="164"/>
  <c r="T732" i="164"/>
  <c r="S732" i="164"/>
  <c r="R732" i="164"/>
  <c r="R730" i="164"/>
  <c r="F730" i="164" s="1"/>
  <c r="AA730" i="164" s="1"/>
  <c r="R729" i="164"/>
  <c r="F729" i="164"/>
  <c r="R728" i="164"/>
  <c r="F728" i="164"/>
  <c r="R727" i="164"/>
  <c r="F727" i="164"/>
  <c r="C727" i="164"/>
  <c r="R726" i="164"/>
  <c r="Y721" i="164"/>
  <c r="W721" i="164"/>
  <c r="U721" i="164"/>
  <c r="T721" i="164"/>
  <c r="S721" i="164"/>
  <c r="R721" i="164"/>
  <c r="Y720" i="164"/>
  <c r="W720" i="164"/>
  <c r="U720" i="164"/>
  <c r="T720" i="164"/>
  <c r="S720" i="164"/>
  <c r="R720" i="164"/>
  <c r="Y719" i="164"/>
  <c r="W719" i="164"/>
  <c r="U719" i="164"/>
  <c r="T719" i="164"/>
  <c r="S719" i="164"/>
  <c r="R719" i="164"/>
  <c r="Y718" i="164"/>
  <c r="W718" i="164"/>
  <c r="U718" i="164"/>
  <c r="T718" i="164"/>
  <c r="S718" i="164"/>
  <c r="R718" i="164"/>
  <c r="Y717" i="164"/>
  <c r="W717" i="164"/>
  <c r="U717" i="164"/>
  <c r="T717" i="164"/>
  <c r="S717" i="164"/>
  <c r="R717" i="164"/>
  <c r="Y716" i="164"/>
  <c r="W716" i="164"/>
  <c r="Z718" i="164" s="1" a="1"/>
  <c r="Z718" i="164" s="1"/>
  <c r="U716" i="164"/>
  <c r="T716" i="164"/>
  <c r="S716" i="164"/>
  <c r="R716" i="164"/>
  <c r="R714" i="164"/>
  <c r="F714" i="164" s="1"/>
  <c r="AA714" i="164" s="1"/>
  <c r="R713" i="164"/>
  <c r="F713" i="164"/>
  <c r="R712" i="164"/>
  <c r="F712" i="164"/>
  <c r="R711" i="164"/>
  <c r="F711" i="164"/>
  <c r="C711" i="164"/>
  <c r="R710" i="164"/>
  <c r="Y705" i="164"/>
  <c r="W705" i="164"/>
  <c r="U705" i="164"/>
  <c r="T705" i="164"/>
  <c r="S705" i="164"/>
  <c r="R705" i="164"/>
  <c r="Y704" i="164"/>
  <c r="W704" i="164"/>
  <c r="U704" i="164"/>
  <c r="T704" i="164"/>
  <c r="S704" i="164"/>
  <c r="R704" i="164"/>
  <c r="Y703" i="164"/>
  <c r="W703" i="164"/>
  <c r="U703" i="164"/>
  <c r="T703" i="164"/>
  <c r="S703" i="164"/>
  <c r="R703" i="164"/>
  <c r="Y702" i="164"/>
  <c r="W702" i="164"/>
  <c r="U702" i="164"/>
  <c r="T702" i="164"/>
  <c r="S702" i="164"/>
  <c r="R702" i="164"/>
  <c r="Y701" i="164"/>
  <c r="W701" i="164"/>
  <c r="Z702" i="164" s="1" a="1"/>
  <c r="Z702" i="164" s="1"/>
  <c r="U701" i="164"/>
  <c r="T701" i="164"/>
  <c r="S701" i="164"/>
  <c r="R701" i="164"/>
  <c r="Y700" i="164"/>
  <c r="W700" i="164"/>
  <c r="U700" i="164"/>
  <c r="T700" i="164"/>
  <c r="S700" i="164"/>
  <c r="R700" i="164"/>
  <c r="R698" i="164"/>
  <c r="F698" i="164" s="1"/>
  <c r="AA698" i="164" s="1"/>
  <c r="R697" i="164"/>
  <c r="F697" i="164"/>
  <c r="R696" i="164"/>
  <c r="F696" i="164"/>
  <c r="R695" i="164"/>
  <c r="F695" i="164"/>
  <c r="C695" i="164"/>
  <c r="R694" i="164"/>
  <c r="Y689" i="164"/>
  <c r="W689" i="164"/>
  <c r="U689" i="164"/>
  <c r="T689" i="164"/>
  <c r="S689" i="164"/>
  <c r="R689" i="164"/>
  <c r="Y688" i="164"/>
  <c r="W688" i="164"/>
  <c r="U688" i="164"/>
  <c r="T688" i="164"/>
  <c r="S688" i="164"/>
  <c r="R688" i="164"/>
  <c r="Y687" i="164"/>
  <c r="W687" i="164"/>
  <c r="U687" i="164"/>
  <c r="T687" i="164"/>
  <c r="S687" i="164"/>
  <c r="R687" i="164"/>
  <c r="Y686" i="164"/>
  <c r="W686" i="164"/>
  <c r="U686" i="164"/>
  <c r="T686" i="164"/>
  <c r="S686" i="164"/>
  <c r="R686" i="164"/>
  <c r="Y685" i="164"/>
  <c r="W685" i="164"/>
  <c r="U685" i="164"/>
  <c r="T685" i="164"/>
  <c r="S685" i="164"/>
  <c r="R685" i="164"/>
  <c r="Y684" i="164"/>
  <c r="W684" i="164"/>
  <c r="U684" i="164"/>
  <c r="T684" i="164"/>
  <c r="S684" i="164"/>
  <c r="R684" i="164"/>
  <c r="R682" i="164"/>
  <c r="F682" i="164" s="1"/>
  <c r="AA682" i="164" s="1"/>
  <c r="R681" i="164"/>
  <c r="F681" i="164"/>
  <c r="R680" i="164"/>
  <c r="F680" i="164"/>
  <c r="R679" i="164"/>
  <c r="F679" i="164"/>
  <c r="C679" i="164"/>
  <c r="R678" i="164"/>
  <c r="Y673" i="164"/>
  <c r="W673" i="164"/>
  <c r="U673" i="164"/>
  <c r="T673" i="164"/>
  <c r="S673" i="164"/>
  <c r="R673" i="164"/>
  <c r="Y672" i="164"/>
  <c r="W672" i="164"/>
  <c r="U672" i="164"/>
  <c r="T672" i="164"/>
  <c r="S672" i="164"/>
  <c r="R672" i="164"/>
  <c r="Y671" i="164"/>
  <c r="W671" i="164"/>
  <c r="U671" i="164"/>
  <c r="T671" i="164"/>
  <c r="S671" i="164"/>
  <c r="R671" i="164"/>
  <c r="Y670" i="164"/>
  <c r="W670" i="164"/>
  <c r="U670" i="164"/>
  <c r="T670" i="164"/>
  <c r="S670" i="164"/>
  <c r="R670" i="164"/>
  <c r="Y669" i="164"/>
  <c r="W669" i="164"/>
  <c r="U669" i="164"/>
  <c r="T669" i="164"/>
  <c r="S669" i="164"/>
  <c r="R669" i="164"/>
  <c r="Y668" i="164"/>
  <c r="W668" i="164"/>
  <c r="U668" i="164"/>
  <c r="T668" i="164"/>
  <c r="S668" i="164"/>
  <c r="R668" i="164"/>
  <c r="R666" i="164"/>
  <c r="F666" i="164" s="1"/>
  <c r="AA666" i="164" s="1"/>
  <c r="R665" i="164"/>
  <c r="F665" i="164"/>
  <c r="R664" i="164"/>
  <c r="F664" i="164"/>
  <c r="R663" i="164"/>
  <c r="F663" i="164"/>
  <c r="C663" i="164"/>
  <c r="R662" i="164"/>
  <c r="Y657" i="164"/>
  <c r="W657" i="164"/>
  <c r="U657" i="164"/>
  <c r="T657" i="164"/>
  <c r="S657" i="164"/>
  <c r="R657" i="164"/>
  <c r="Y656" i="164"/>
  <c r="W656" i="164"/>
  <c r="U656" i="164"/>
  <c r="T656" i="164"/>
  <c r="S656" i="164"/>
  <c r="R656" i="164"/>
  <c r="Y655" i="164"/>
  <c r="W655" i="164"/>
  <c r="U655" i="164"/>
  <c r="T655" i="164"/>
  <c r="S655" i="164"/>
  <c r="R655" i="164"/>
  <c r="Y654" i="164"/>
  <c r="W654" i="164"/>
  <c r="U654" i="164"/>
  <c r="T654" i="164"/>
  <c r="S654" i="164"/>
  <c r="R654" i="164"/>
  <c r="Y653" i="164"/>
  <c r="W653" i="164"/>
  <c r="U653" i="164"/>
  <c r="T653" i="164"/>
  <c r="S653" i="164"/>
  <c r="R653" i="164"/>
  <c r="Y652" i="164"/>
  <c r="W652" i="164"/>
  <c r="Z654" i="164" s="1" a="1"/>
  <c r="Z654" i="164" s="1"/>
  <c r="U652" i="164"/>
  <c r="T652" i="164"/>
  <c r="S652" i="164"/>
  <c r="R652" i="164"/>
  <c r="R650" i="164"/>
  <c r="F650" i="164" s="1"/>
  <c r="AA650" i="164" s="1"/>
  <c r="R649" i="164"/>
  <c r="F649" i="164"/>
  <c r="R648" i="164"/>
  <c r="F648" i="164"/>
  <c r="R647" i="164"/>
  <c r="F647" i="164"/>
  <c r="C647" i="164"/>
  <c r="R646" i="164"/>
  <c r="Y641" i="164"/>
  <c r="W641" i="164"/>
  <c r="U641" i="164"/>
  <c r="T641" i="164"/>
  <c r="S641" i="164"/>
  <c r="R641" i="164"/>
  <c r="Y640" i="164"/>
  <c r="W640" i="164"/>
  <c r="U640" i="164"/>
  <c r="T640" i="164"/>
  <c r="S640" i="164"/>
  <c r="R640" i="164"/>
  <c r="Y639" i="164"/>
  <c r="W639" i="164"/>
  <c r="U639" i="164"/>
  <c r="T639" i="164"/>
  <c r="S639" i="164"/>
  <c r="R639" i="164"/>
  <c r="Y638" i="164"/>
  <c r="W638" i="164"/>
  <c r="U638" i="164"/>
  <c r="T638" i="164"/>
  <c r="S638" i="164"/>
  <c r="R638" i="164"/>
  <c r="Y637" i="164"/>
  <c r="W637" i="164"/>
  <c r="U637" i="164"/>
  <c r="T637" i="164"/>
  <c r="S637" i="164"/>
  <c r="R637" i="164"/>
  <c r="Y636" i="164"/>
  <c r="W636" i="164"/>
  <c r="U636" i="164"/>
  <c r="T636" i="164"/>
  <c r="S636" i="164"/>
  <c r="R636" i="164"/>
  <c r="R634" i="164"/>
  <c r="F634" i="164" s="1"/>
  <c r="AA634" i="164" s="1"/>
  <c r="R633" i="164"/>
  <c r="F633" i="164"/>
  <c r="R632" i="164"/>
  <c r="F632" i="164"/>
  <c r="R631" i="164"/>
  <c r="F631" i="164"/>
  <c r="C631" i="164"/>
  <c r="R630" i="164"/>
  <c r="Y625" i="164"/>
  <c r="W625" i="164"/>
  <c r="U625" i="164"/>
  <c r="T625" i="164"/>
  <c r="S625" i="164"/>
  <c r="R625" i="164"/>
  <c r="Y624" i="164"/>
  <c r="W624" i="164"/>
  <c r="U624" i="164"/>
  <c r="T624" i="164"/>
  <c r="S624" i="164"/>
  <c r="R624" i="164"/>
  <c r="Y623" i="164"/>
  <c r="W623" i="164"/>
  <c r="Z625" i="164" s="1" a="1"/>
  <c r="Z625" i="164" s="1"/>
  <c r="U623" i="164"/>
  <c r="T623" i="164"/>
  <c r="S623" i="164"/>
  <c r="R623" i="164"/>
  <c r="Y622" i="164"/>
  <c r="W622" i="164"/>
  <c r="U622" i="164"/>
  <c r="T622" i="164"/>
  <c r="S622" i="164"/>
  <c r="R622" i="164"/>
  <c r="Y621" i="164"/>
  <c r="W621" i="164"/>
  <c r="U621" i="164"/>
  <c r="T621" i="164"/>
  <c r="S621" i="164"/>
  <c r="R621" i="164"/>
  <c r="Y620" i="164"/>
  <c r="W620" i="164"/>
  <c r="U620" i="164"/>
  <c r="T620" i="164"/>
  <c r="S620" i="164"/>
  <c r="R620" i="164"/>
  <c r="R618" i="164"/>
  <c r="F618" i="164" s="1"/>
  <c r="AA618" i="164" s="1"/>
  <c r="R617" i="164"/>
  <c r="F617" i="164"/>
  <c r="R616" i="164"/>
  <c r="F616" i="164"/>
  <c r="R615" i="164"/>
  <c r="F615" i="164"/>
  <c r="C615" i="164"/>
  <c r="R614" i="164"/>
  <c r="Y609" i="164"/>
  <c r="W609" i="164"/>
  <c r="U609" i="164"/>
  <c r="T609" i="164"/>
  <c r="S609" i="164"/>
  <c r="R609" i="164"/>
  <c r="Y608" i="164"/>
  <c r="W608" i="164"/>
  <c r="U608" i="164"/>
  <c r="T608" i="164"/>
  <c r="S608" i="164"/>
  <c r="R608" i="164"/>
  <c r="Y607" i="164"/>
  <c r="W607" i="164"/>
  <c r="U607" i="164"/>
  <c r="T607" i="164"/>
  <c r="S607" i="164"/>
  <c r="R607" i="164"/>
  <c r="Y606" i="164"/>
  <c r="W606" i="164"/>
  <c r="U606" i="164"/>
  <c r="T606" i="164"/>
  <c r="S606" i="164"/>
  <c r="R606" i="164"/>
  <c r="Y605" i="164"/>
  <c r="W605" i="164"/>
  <c r="U605" i="164"/>
  <c r="T605" i="164"/>
  <c r="S605" i="164"/>
  <c r="R605" i="164"/>
  <c r="Y604" i="164"/>
  <c r="W604" i="164"/>
  <c r="Z608" i="164" s="1" a="1"/>
  <c r="Z608" i="164" s="1"/>
  <c r="U604" i="164"/>
  <c r="T604" i="164"/>
  <c r="S604" i="164"/>
  <c r="R604" i="164"/>
  <c r="R602" i="164"/>
  <c r="F602" i="164" s="1"/>
  <c r="AA602" i="164" s="1"/>
  <c r="R601" i="164"/>
  <c r="F601" i="164"/>
  <c r="R600" i="164"/>
  <c r="F600" i="164"/>
  <c r="R599" i="164"/>
  <c r="F599" i="164"/>
  <c r="C599" i="164"/>
  <c r="R598" i="164"/>
  <c r="Y593" i="164"/>
  <c r="W593" i="164"/>
  <c r="U593" i="164"/>
  <c r="T593" i="164"/>
  <c r="S593" i="164"/>
  <c r="R593" i="164"/>
  <c r="Y592" i="164"/>
  <c r="W592" i="164"/>
  <c r="U592" i="164"/>
  <c r="T592" i="164"/>
  <c r="S592" i="164"/>
  <c r="R592" i="164"/>
  <c r="Y591" i="164"/>
  <c r="W591" i="164"/>
  <c r="U591" i="164"/>
  <c r="T591" i="164"/>
  <c r="S591" i="164"/>
  <c r="R591" i="164"/>
  <c r="Y590" i="164"/>
  <c r="W590" i="164"/>
  <c r="U590" i="164"/>
  <c r="T590" i="164"/>
  <c r="S590" i="164"/>
  <c r="R590" i="164"/>
  <c r="Y589" i="164"/>
  <c r="W589" i="164"/>
  <c r="U589" i="164"/>
  <c r="T589" i="164"/>
  <c r="S589" i="164"/>
  <c r="R589" i="164"/>
  <c r="Y588" i="164"/>
  <c r="W588" i="164"/>
  <c r="U588" i="164"/>
  <c r="T588" i="164"/>
  <c r="S588" i="164"/>
  <c r="R588" i="164"/>
  <c r="R586" i="164"/>
  <c r="F586" i="164" s="1"/>
  <c r="AA586" i="164" s="1"/>
  <c r="R585" i="164"/>
  <c r="F585" i="164"/>
  <c r="R584" i="164"/>
  <c r="F584" i="164"/>
  <c r="R583" i="164"/>
  <c r="F583" i="164"/>
  <c r="C583" i="164"/>
  <c r="R582" i="164"/>
  <c r="Y577" i="164"/>
  <c r="W577" i="164"/>
  <c r="U577" i="164"/>
  <c r="T577" i="164"/>
  <c r="S577" i="164"/>
  <c r="R577" i="164"/>
  <c r="Y576" i="164"/>
  <c r="W576" i="164"/>
  <c r="U576" i="164"/>
  <c r="T576" i="164"/>
  <c r="S576" i="164"/>
  <c r="R576" i="164"/>
  <c r="Y575" i="164"/>
  <c r="W575" i="164"/>
  <c r="U575" i="164"/>
  <c r="T575" i="164"/>
  <c r="S575" i="164"/>
  <c r="R575" i="164"/>
  <c r="Y574" i="164"/>
  <c r="W574" i="164"/>
  <c r="U574" i="164"/>
  <c r="T574" i="164"/>
  <c r="S574" i="164"/>
  <c r="R574" i="164"/>
  <c r="Y573" i="164"/>
  <c r="W573" i="164"/>
  <c r="U573" i="164"/>
  <c r="T573" i="164"/>
  <c r="S573" i="164"/>
  <c r="R573" i="164"/>
  <c r="Y572" i="164"/>
  <c r="W572" i="164"/>
  <c r="U572" i="164"/>
  <c r="T572" i="164"/>
  <c r="S572" i="164"/>
  <c r="R572" i="164"/>
  <c r="R570" i="164"/>
  <c r="F570" i="164" s="1"/>
  <c r="AA570" i="164" s="1"/>
  <c r="R569" i="164"/>
  <c r="F569" i="164"/>
  <c r="R568" i="164"/>
  <c r="F568" i="164"/>
  <c r="R567" i="164"/>
  <c r="F567" i="164"/>
  <c r="C567" i="164"/>
  <c r="R566" i="164"/>
  <c r="Y561" i="164"/>
  <c r="W561" i="164"/>
  <c r="U561" i="164"/>
  <c r="T561" i="164"/>
  <c r="S561" i="164"/>
  <c r="R561" i="164"/>
  <c r="Y560" i="164"/>
  <c r="W560" i="164"/>
  <c r="U560" i="164"/>
  <c r="T560" i="164"/>
  <c r="S560" i="164"/>
  <c r="R560" i="164"/>
  <c r="Y559" i="164"/>
  <c r="W559" i="164"/>
  <c r="U559" i="164"/>
  <c r="T559" i="164"/>
  <c r="S559" i="164"/>
  <c r="R559" i="164"/>
  <c r="Y558" i="164"/>
  <c r="W558" i="164"/>
  <c r="U558" i="164"/>
  <c r="T558" i="164"/>
  <c r="S558" i="164"/>
  <c r="R558" i="164"/>
  <c r="Y557" i="164"/>
  <c r="W557" i="164"/>
  <c r="U557" i="164"/>
  <c r="T557" i="164"/>
  <c r="S557" i="164"/>
  <c r="R557" i="164"/>
  <c r="Y556" i="164"/>
  <c r="W556" i="164"/>
  <c r="U556" i="164"/>
  <c r="T556" i="164"/>
  <c r="S556" i="164"/>
  <c r="R556" i="164"/>
  <c r="R554" i="164"/>
  <c r="F554" i="164" s="1"/>
  <c r="AA554" i="164" s="1"/>
  <c r="R553" i="164"/>
  <c r="F553" i="164"/>
  <c r="R552" i="164"/>
  <c r="F552" i="164"/>
  <c r="R551" i="164"/>
  <c r="F551" i="164"/>
  <c r="C551" i="164"/>
  <c r="R550" i="164"/>
  <c r="Y545" i="164"/>
  <c r="W545" i="164"/>
  <c r="U545" i="164"/>
  <c r="T545" i="164"/>
  <c r="S545" i="164"/>
  <c r="R545" i="164"/>
  <c r="Y544" i="164"/>
  <c r="W544" i="164"/>
  <c r="U544" i="164"/>
  <c r="T544" i="164"/>
  <c r="S544" i="164"/>
  <c r="R544" i="164"/>
  <c r="Y543" i="164"/>
  <c r="W543" i="164"/>
  <c r="U543" i="164"/>
  <c r="T543" i="164"/>
  <c r="S543" i="164"/>
  <c r="R543" i="164"/>
  <c r="Y542" i="164"/>
  <c r="W542" i="164"/>
  <c r="U542" i="164"/>
  <c r="T542" i="164"/>
  <c r="S542" i="164"/>
  <c r="R542" i="164"/>
  <c r="Y541" i="164"/>
  <c r="W541" i="164"/>
  <c r="U541" i="164"/>
  <c r="T541" i="164"/>
  <c r="S541" i="164"/>
  <c r="R541" i="164"/>
  <c r="Y540" i="164"/>
  <c r="W540" i="164"/>
  <c r="U540" i="164"/>
  <c r="T540" i="164"/>
  <c r="S540" i="164"/>
  <c r="R540" i="164"/>
  <c r="R538" i="164"/>
  <c r="F538" i="164" s="1"/>
  <c r="AA538" i="164" s="1"/>
  <c r="R537" i="164"/>
  <c r="F537" i="164"/>
  <c r="R536" i="164"/>
  <c r="F536" i="164"/>
  <c r="R535" i="164"/>
  <c r="F535" i="164"/>
  <c r="C535" i="164"/>
  <c r="R534" i="164"/>
  <c r="Y529" i="164"/>
  <c r="W529" i="164"/>
  <c r="U529" i="164"/>
  <c r="T529" i="164"/>
  <c r="S529" i="164"/>
  <c r="R529" i="164"/>
  <c r="Y528" i="164"/>
  <c r="W528" i="164"/>
  <c r="U528" i="164"/>
  <c r="T528" i="164"/>
  <c r="S528" i="164"/>
  <c r="R528" i="164"/>
  <c r="Y527" i="164"/>
  <c r="W527" i="164"/>
  <c r="U527" i="164"/>
  <c r="T527" i="164"/>
  <c r="S527" i="164"/>
  <c r="R527" i="164"/>
  <c r="Y526" i="164"/>
  <c r="W526" i="164"/>
  <c r="U526" i="164"/>
  <c r="T526" i="164"/>
  <c r="S526" i="164"/>
  <c r="R526" i="164"/>
  <c r="Y525" i="164"/>
  <c r="W525" i="164"/>
  <c r="U525" i="164"/>
  <c r="T525" i="164"/>
  <c r="S525" i="164"/>
  <c r="R525" i="164"/>
  <c r="Y524" i="164"/>
  <c r="W524" i="164"/>
  <c r="Z526" i="164" s="1" a="1"/>
  <c r="Z526" i="164" s="1"/>
  <c r="U524" i="164"/>
  <c r="T524" i="164"/>
  <c r="S524" i="164"/>
  <c r="R524" i="164"/>
  <c r="R522" i="164"/>
  <c r="F522" i="164" s="1"/>
  <c r="AA522" i="164" s="1"/>
  <c r="R521" i="164"/>
  <c r="F521" i="164"/>
  <c r="R520" i="164"/>
  <c r="F520" i="164"/>
  <c r="R519" i="164"/>
  <c r="F519" i="164"/>
  <c r="C519" i="164"/>
  <c r="R518" i="164"/>
  <c r="Y513" i="164"/>
  <c r="W513" i="164"/>
  <c r="U513" i="164"/>
  <c r="T513" i="164"/>
  <c r="S513" i="164"/>
  <c r="R513" i="164"/>
  <c r="Y512" i="164"/>
  <c r="W512" i="164"/>
  <c r="U512" i="164"/>
  <c r="T512" i="164"/>
  <c r="S512" i="164"/>
  <c r="R512" i="164"/>
  <c r="Y511" i="164"/>
  <c r="W511" i="164"/>
  <c r="U511" i="164"/>
  <c r="T511" i="164"/>
  <c r="S511" i="164"/>
  <c r="R511" i="164"/>
  <c r="Y510" i="164"/>
  <c r="W510" i="164"/>
  <c r="U510" i="164"/>
  <c r="T510" i="164"/>
  <c r="S510" i="164"/>
  <c r="R510" i="164"/>
  <c r="Y509" i="164"/>
  <c r="W509" i="164"/>
  <c r="Z510" i="164" s="1" a="1"/>
  <c r="Z510" i="164" s="1"/>
  <c r="U509" i="164"/>
  <c r="T509" i="164"/>
  <c r="S509" i="164"/>
  <c r="R509" i="164"/>
  <c r="Y508" i="164"/>
  <c r="W508" i="164"/>
  <c r="U508" i="164"/>
  <c r="T508" i="164"/>
  <c r="S508" i="164"/>
  <c r="R508" i="164"/>
  <c r="R506" i="164"/>
  <c r="F506" i="164" s="1"/>
  <c r="AA506" i="164" s="1"/>
  <c r="R505" i="164"/>
  <c r="F505" i="164"/>
  <c r="R504" i="164"/>
  <c r="F504" i="164"/>
  <c r="R503" i="164"/>
  <c r="F503" i="164"/>
  <c r="C503" i="164"/>
  <c r="R502" i="164"/>
  <c r="Y497" i="164"/>
  <c r="W497" i="164"/>
  <c r="U497" i="164"/>
  <c r="T497" i="164"/>
  <c r="S497" i="164"/>
  <c r="R497" i="164"/>
  <c r="Y496" i="164"/>
  <c r="W496" i="164"/>
  <c r="U496" i="164"/>
  <c r="T496" i="164"/>
  <c r="S496" i="164"/>
  <c r="R496" i="164"/>
  <c r="Y495" i="164"/>
  <c r="W495" i="164"/>
  <c r="U495" i="164"/>
  <c r="T495" i="164"/>
  <c r="S495" i="164"/>
  <c r="R495" i="164"/>
  <c r="Y494" i="164"/>
  <c r="W494" i="164"/>
  <c r="U494" i="164"/>
  <c r="T494" i="164"/>
  <c r="S494" i="164"/>
  <c r="R494" i="164"/>
  <c r="Y493" i="164"/>
  <c r="W493" i="164"/>
  <c r="U493" i="164"/>
  <c r="T493" i="164"/>
  <c r="S493" i="164"/>
  <c r="R493" i="164"/>
  <c r="Y492" i="164"/>
  <c r="W492" i="164"/>
  <c r="Z492" i="164" s="1" a="1"/>
  <c r="Z492" i="164" s="1"/>
  <c r="U492" i="164"/>
  <c r="T492" i="164"/>
  <c r="S492" i="164"/>
  <c r="R492" i="164"/>
  <c r="R490" i="164"/>
  <c r="F490" i="164" s="1"/>
  <c r="AA490" i="164" s="1"/>
  <c r="R489" i="164"/>
  <c r="F489" i="164"/>
  <c r="R488" i="164"/>
  <c r="F488" i="164"/>
  <c r="R487" i="164"/>
  <c r="F487" i="164"/>
  <c r="C487" i="164"/>
  <c r="R486" i="164"/>
  <c r="Y481" i="164"/>
  <c r="W481" i="164"/>
  <c r="U481" i="164"/>
  <c r="T481" i="164"/>
  <c r="S481" i="164"/>
  <c r="R481" i="164"/>
  <c r="Y480" i="164"/>
  <c r="W480" i="164"/>
  <c r="U480" i="164"/>
  <c r="T480" i="164"/>
  <c r="S480" i="164"/>
  <c r="R480" i="164"/>
  <c r="Y479" i="164"/>
  <c r="W479" i="164"/>
  <c r="U479" i="164"/>
  <c r="T479" i="164"/>
  <c r="S479" i="164"/>
  <c r="R479" i="164"/>
  <c r="Y478" i="164"/>
  <c r="W478" i="164"/>
  <c r="U478" i="164"/>
  <c r="T478" i="164"/>
  <c r="S478" i="164"/>
  <c r="R478" i="164"/>
  <c r="Y477" i="164"/>
  <c r="W477" i="164"/>
  <c r="Z480" i="164" s="1" a="1"/>
  <c r="Z480" i="164" s="1"/>
  <c r="U477" i="164"/>
  <c r="T477" i="164"/>
  <c r="S477" i="164"/>
  <c r="R477" i="164"/>
  <c r="Y476" i="164"/>
  <c r="W476" i="164"/>
  <c r="U476" i="164"/>
  <c r="T476" i="164"/>
  <c r="S476" i="164"/>
  <c r="R476" i="164"/>
  <c r="R474" i="164"/>
  <c r="F474" i="164" s="1"/>
  <c r="AA474" i="164" s="1"/>
  <c r="R473" i="164"/>
  <c r="F473" i="164"/>
  <c r="R472" i="164"/>
  <c r="F472" i="164"/>
  <c r="R471" i="164"/>
  <c r="F471" i="164"/>
  <c r="C471" i="164"/>
  <c r="R470" i="164"/>
  <c r="Y465" i="164"/>
  <c r="W465" i="164"/>
  <c r="U465" i="164"/>
  <c r="T465" i="164"/>
  <c r="S465" i="164"/>
  <c r="R465" i="164"/>
  <c r="Y464" i="164"/>
  <c r="W464" i="164"/>
  <c r="U464" i="164"/>
  <c r="T464" i="164"/>
  <c r="S464" i="164"/>
  <c r="R464" i="164"/>
  <c r="Y463" i="164"/>
  <c r="W463" i="164"/>
  <c r="U463" i="164"/>
  <c r="T463" i="164"/>
  <c r="S463" i="164"/>
  <c r="R463" i="164"/>
  <c r="Y462" i="164"/>
  <c r="W462" i="164"/>
  <c r="U462" i="164"/>
  <c r="T462" i="164"/>
  <c r="S462" i="164"/>
  <c r="R462" i="164"/>
  <c r="Y461" i="164"/>
  <c r="W461" i="164"/>
  <c r="Z462" i="164" s="1" a="1"/>
  <c r="Z462" i="164" s="1"/>
  <c r="U461" i="164"/>
  <c r="T461" i="164"/>
  <c r="S461" i="164"/>
  <c r="R461" i="164"/>
  <c r="Y460" i="164"/>
  <c r="W460" i="164"/>
  <c r="Z461" i="164" s="1" a="1"/>
  <c r="Z461" i="164" s="1"/>
  <c r="U460" i="164"/>
  <c r="T460" i="164"/>
  <c r="S460" i="164"/>
  <c r="R460" i="164"/>
  <c r="R458" i="164"/>
  <c r="F458" i="164" s="1"/>
  <c r="AA458" i="164" s="1"/>
  <c r="R457" i="164"/>
  <c r="F457" i="164"/>
  <c r="R456" i="164"/>
  <c r="F456" i="164"/>
  <c r="R455" i="164"/>
  <c r="F455" i="164"/>
  <c r="C455" i="164"/>
  <c r="R454" i="164"/>
  <c r="Y449" i="164"/>
  <c r="W449" i="164"/>
  <c r="U449" i="164"/>
  <c r="T449" i="164"/>
  <c r="S449" i="164"/>
  <c r="R449" i="164"/>
  <c r="Y448" i="164"/>
  <c r="W448" i="164"/>
  <c r="U448" i="164"/>
  <c r="T448" i="164"/>
  <c r="S448" i="164"/>
  <c r="R448" i="164"/>
  <c r="Y447" i="164"/>
  <c r="W447" i="164"/>
  <c r="U447" i="164"/>
  <c r="T447" i="164"/>
  <c r="S447" i="164"/>
  <c r="R447" i="164"/>
  <c r="Y446" i="164"/>
  <c r="W446" i="164"/>
  <c r="Z444" i="164" s="1" a="1"/>
  <c r="Z444" i="164" s="1"/>
  <c r="U446" i="164"/>
  <c r="T446" i="164"/>
  <c r="S446" i="164"/>
  <c r="R446" i="164"/>
  <c r="Y445" i="164"/>
  <c r="W445" i="164"/>
  <c r="U445" i="164"/>
  <c r="T445" i="164"/>
  <c r="S445" i="164"/>
  <c r="R445" i="164"/>
  <c r="Y444" i="164"/>
  <c r="W444" i="164"/>
  <c r="Z446" i="164" s="1" a="1"/>
  <c r="Z446" i="164" s="1"/>
  <c r="U444" i="164"/>
  <c r="T444" i="164"/>
  <c r="S444" i="164"/>
  <c r="R444" i="164"/>
  <c r="R442" i="164"/>
  <c r="F442" i="164" s="1"/>
  <c r="AA442" i="164" s="1"/>
  <c r="R441" i="164"/>
  <c r="F441" i="164"/>
  <c r="R440" i="164"/>
  <c r="F440" i="164"/>
  <c r="R439" i="164"/>
  <c r="F439" i="164"/>
  <c r="C439" i="164"/>
  <c r="R438" i="164"/>
  <c r="Y433" i="164"/>
  <c r="W433" i="164"/>
  <c r="U433" i="164"/>
  <c r="T433" i="164"/>
  <c r="S433" i="164"/>
  <c r="R433" i="164"/>
  <c r="Y432" i="164"/>
  <c r="W432" i="164"/>
  <c r="Z429" i="164" s="1" a="1"/>
  <c r="Z429" i="164" s="1"/>
  <c r="U432" i="164"/>
  <c r="T432" i="164"/>
  <c r="S432" i="164"/>
  <c r="R432" i="164"/>
  <c r="Y431" i="164"/>
  <c r="W431" i="164"/>
  <c r="U431" i="164"/>
  <c r="T431" i="164"/>
  <c r="S431" i="164"/>
  <c r="R431" i="164"/>
  <c r="Y430" i="164"/>
  <c r="W430" i="164"/>
  <c r="U430" i="164"/>
  <c r="T430" i="164"/>
  <c r="S430" i="164"/>
  <c r="R430" i="164"/>
  <c r="Y429" i="164"/>
  <c r="W429" i="164"/>
  <c r="U429" i="164"/>
  <c r="T429" i="164"/>
  <c r="S429" i="164"/>
  <c r="R429" i="164"/>
  <c r="Y428" i="164"/>
  <c r="W428" i="164"/>
  <c r="U428" i="164"/>
  <c r="T428" i="164"/>
  <c r="S428" i="164"/>
  <c r="R428" i="164"/>
  <c r="R426" i="164"/>
  <c r="F426" i="164" s="1"/>
  <c r="AA426" i="164" s="1"/>
  <c r="R425" i="164"/>
  <c r="F425" i="164"/>
  <c r="R424" i="164"/>
  <c r="F424" i="164"/>
  <c r="R423" i="164"/>
  <c r="F423" i="164"/>
  <c r="C423" i="164"/>
  <c r="R422" i="164"/>
  <c r="Y417" i="164"/>
  <c r="W417" i="164"/>
  <c r="U417" i="164"/>
  <c r="T417" i="164"/>
  <c r="S417" i="164"/>
  <c r="R417" i="164"/>
  <c r="Y416" i="164"/>
  <c r="W416" i="164"/>
  <c r="U416" i="164"/>
  <c r="T416" i="164"/>
  <c r="S416" i="164"/>
  <c r="R416" i="164"/>
  <c r="Y415" i="164"/>
  <c r="W415" i="164"/>
  <c r="U415" i="164"/>
  <c r="T415" i="164"/>
  <c r="S415" i="164"/>
  <c r="R415" i="164"/>
  <c r="Y414" i="164"/>
  <c r="W414" i="164"/>
  <c r="U414" i="164"/>
  <c r="T414" i="164"/>
  <c r="S414" i="164"/>
  <c r="R414" i="164"/>
  <c r="Y413" i="164"/>
  <c r="W413" i="164"/>
  <c r="U413" i="164"/>
  <c r="T413" i="164"/>
  <c r="S413" i="164"/>
  <c r="R413" i="164"/>
  <c r="Y412" i="164"/>
  <c r="W412" i="164"/>
  <c r="Z416" i="164" s="1" a="1"/>
  <c r="Z416" i="164" s="1"/>
  <c r="U412" i="164"/>
  <c r="T412" i="164"/>
  <c r="S412" i="164"/>
  <c r="R412" i="164"/>
  <c r="R410" i="164"/>
  <c r="F410" i="164" s="1"/>
  <c r="AA410" i="164" s="1"/>
  <c r="R409" i="164"/>
  <c r="F409" i="164"/>
  <c r="R408" i="164"/>
  <c r="F408" i="164"/>
  <c r="R407" i="164"/>
  <c r="F407" i="164"/>
  <c r="C407" i="164"/>
  <c r="R406" i="164"/>
  <c r="Y401" i="164"/>
  <c r="W401" i="164"/>
  <c r="U401" i="164"/>
  <c r="T401" i="164"/>
  <c r="S401" i="164"/>
  <c r="R401" i="164"/>
  <c r="Y400" i="164"/>
  <c r="W400" i="164"/>
  <c r="U400" i="164"/>
  <c r="T400" i="164"/>
  <c r="S400" i="164"/>
  <c r="R400" i="164"/>
  <c r="Y399" i="164"/>
  <c r="W399" i="164"/>
  <c r="U399" i="164"/>
  <c r="T399" i="164"/>
  <c r="S399" i="164"/>
  <c r="R399" i="164"/>
  <c r="Y398" i="164"/>
  <c r="W398" i="164"/>
  <c r="U398" i="164"/>
  <c r="T398" i="164"/>
  <c r="S398" i="164"/>
  <c r="R398" i="164"/>
  <c r="Y397" i="164"/>
  <c r="W397" i="164"/>
  <c r="U397" i="164"/>
  <c r="T397" i="164"/>
  <c r="S397" i="164"/>
  <c r="R397" i="164"/>
  <c r="Y396" i="164"/>
  <c r="W396" i="164"/>
  <c r="Z397" i="164" s="1" a="1"/>
  <c r="Z397" i="164" s="1"/>
  <c r="U396" i="164"/>
  <c r="T396" i="164"/>
  <c r="S396" i="164"/>
  <c r="R396" i="164"/>
  <c r="R394" i="164"/>
  <c r="F394" i="164" s="1"/>
  <c r="AA394" i="164" s="1"/>
  <c r="R393" i="164"/>
  <c r="F393" i="164"/>
  <c r="R392" i="164"/>
  <c r="F392" i="164"/>
  <c r="R391" i="164"/>
  <c r="F391" i="164"/>
  <c r="C391" i="164"/>
  <c r="R390" i="164"/>
  <c r="Y385" i="164"/>
  <c r="W385" i="164"/>
  <c r="U385" i="164"/>
  <c r="T385" i="164"/>
  <c r="S385" i="164"/>
  <c r="R385" i="164"/>
  <c r="Y384" i="164"/>
  <c r="W384" i="164"/>
  <c r="U384" i="164"/>
  <c r="T384" i="164"/>
  <c r="S384" i="164"/>
  <c r="R384" i="164"/>
  <c r="Y383" i="164"/>
  <c r="W383" i="164"/>
  <c r="U383" i="164"/>
  <c r="T383" i="164"/>
  <c r="S383" i="164"/>
  <c r="R383" i="164"/>
  <c r="Y382" i="164"/>
  <c r="W382" i="164"/>
  <c r="Z380" i="164" s="1" a="1"/>
  <c r="Z380" i="164" s="1"/>
  <c r="U382" i="164"/>
  <c r="T382" i="164"/>
  <c r="S382" i="164"/>
  <c r="R382" i="164"/>
  <c r="Y381" i="164"/>
  <c r="W381" i="164"/>
  <c r="U381" i="164"/>
  <c r="T381" i="164"/>
  <c r="S381" i="164"/>
  <c r="R381" i="164"/>
  <c r="Y380" i="164"/>
  <c r="W380" i="164"/>
  <c r="Z382" i="164" s="1" a="1"/>
  <c r="Z382" i="164" s="1"/>
  <c r="U380" i="164"/>
  <c r="T380" i="164"/>
  <c r="S380" i="164"/>
  <c r="R380" i="164"/>
  <c r="R378" i="164"/>
  <c r="F378" i="164" s="1"/>
  <c r="AA378" i="164" s="1"/>
  <c r="R377" i="164"/>
  <c r="F377" i="164"/>
  <c r="R376" i="164"/>
  <c r="F376" i="164"/>
  <c r="R375" i="164"/>
  <c r="F375" i="164"/>
  <c r="C375" i="164"/>
  <c r="R374" i="164"/>
  <c r="Y369" i="164"/>
  <c r="W369" i="164"/>
  <c r="U369" i="164"/>
  <c r="T369" i="164"/>
  <c r="S369" i="164"/>
  <c r="R369" i="164"/>
  <c r="Y368" i="164"/>
  <c r="W368" i="164"/>
  <c r="Z365" i="164" s="1" a="1"/>
  <c r="Z365" i="164" s="1"/>
  <c r="U368" i="164"/>
  <c r="T368" i="164"/>
  <c r="S368" i="164"/>
  <c r="R368" i="164"/>
  <c r="Y367" i="164"/>
  <c r="W367" i="164"/>
  <c r="U367" i="164"/>
  <c r="T367" i="164"/>
  <c r="S367" i="164"/>
  <c r="R367" i="164"/>
  <c r="Y366" i="164"/>
  <c r="W366" i="164"/>
  <c r="U366" i="164"/>
  <c r="T366" i="164"/>
  <c r="S366" i="164"/>
  <c r="R366" i="164"/>
  <c r="Y365" i="164"/>
  <c r="W365" i="164"/>
  <c r="U365" i="164"/>
  <c r="T365" i="164"/>
  <c r="S365" i="164"/>
  <c r="R365" i="164"/>
  <c r="Y364" i="164"/>
  <c r="W364" i="164"/>
  <c r="U364" i="164"/>
  <c r="T364" i="164"/>
  <c r="S364" i="164"/>
  <c r="R364" i="164"/>
  <c r="R362" i="164"/>
  <c r="F362" i="164" s="1"/>
  <c r="AA362" i="164" s="1"/>
  <c r="R361" i="164"/>
  <c r="F361" i="164"/>
  <c r="R360" i="164"/>
  <c r="F360" i="164"/>
  <c r="R359" i="164"/>
  <c r="F359" i="164"/>
  <c r="C359" i="164"/>
  <c r="R358" i="164"/>
  <c r="Y353" i="164"/>
  <c r="W353" i="164"/>
  <c r="U353" i="164"/>
  <c r="T353" i="164"/>
  <c r="S353" i="164"/>
  <c r="R353" i="164"/>
  <c r="Y352" i="164"/>
  <c r="W352" i="164"/>
  <c r="U352" i="164"/>
  <c r="T352" i="164"/>
  <c r="S352" i="164"/>
  <c r="R352" i="164"/>
  <c r="Y351" i="164"/>
  <c r="W351" i="164"/>
  <c r="U351" i="164"/>
  <c r="T351" i="164"/>
  <c r="S351" i="164"/>
  <c r="R351" i="164"/>
  <c r="Y350" i="164"/>
  <c r="W350" i="164"/>
  <c r="U350" i="164"/>
  <c r="T350" i="164"/>
  <c r="S350" i="164"/>
  <c r="R350" i="164"/>
  <c r="Y349" i="164"/>
  <c r="W349" i="164"/>
  <c r="U349" i="164"/>
  <c r="T349" i="164"/>
  <c r="S349" i="164"/>
  <c r="R349" i="164"/>
  <c r="Y348" i="164"/>
  <c r="W348" i="164"/>
  <c r="Z352" i="164" s="1" a="1"/>
  <c r="Z352" i="164" s="1"/>
  <c r="U348" i="164"/>
  <c r="T348" i="164"/>
  <c r="S348" i="164"/>
  <c r="R348" i="164"/>
  <c r="R346" i="164"/>
  <c r="F346" i="164" s="1"/>
  <c r="AA346" i="164" s="1"/>
  <c r="R345" i="164"/>
  <c r="F345" i="164"/>
  <c r="R344" i="164"/>
  <c r="F344" i="164"/>
  <c r="R343" i="164"/>
  <c r="F343" i="164"/>
  <c r="C343" i="164"/>
  <c r="R342" i="164"/>
  <c r="Y337" i="164"/>
  <c r="W337" i="164"/>
  <c r="U337" i="164"/>
  <c r="T337" i="164"/>
  <c r="S337" i="164"/>
  <c r="R337" i="164"/>
  <c r="Y336" i="164"/>
  <c r="W336" i="164"/>
  <c r="U336" i="164"/>
  <c r="T336" i="164"/>
  <c r="S336" i="164"/>
  <c r="R336" i="164"/>
  <c r="Y335" i="164"/>
  <c r="W335" i="164"/>
  <c r="U335" i="164"/>
  <c r="T335" i="164"/>
  <c r="S335" i="164"/>
  <c r="R335" i="164"/>
  <c r="Y334" i="164"/>
  <c r="W334" i="164"/>
  <c r="U334" i="164"/>
  <c r="T334" i="164"/>
  <c r="S334" i="164"/>
  <c r="R334" i="164"/>
  <c r="Y333" i="164"/>
  <c r="W333" i="164"/>
  <c r="U333" i="164"/>
  <c r="T333" i="164"/>
  <c r="S333" i="164"/>
  <c r="R333" i="164"/>
  <c r="Y332" i="164"/>
  <c r="W332" i="164"/>
  <c r="Z333" i="164" s="1" a="1"/>
  <c r="Z333" i="164" s="1"/>
  <c r="U332" i="164"/>
  <c r="T332" i="164"/>
  <c r="S332" i="164"/>
  <c r="R332" i="164"/>
  <c r="R330" i="164"/>
  <c r="F330" i="164" s="1"/>
  <c r="AA330" i="164" s="1"/>
  <c r="R329" i="164"/>
  <c r="F329" i="164"/>
  <c r="R328" i="164"/>
  <c r="F328" i="164"/>
  <c r="R327" i="164"/>
  <c r="F327" i="164"/>
  <c r="C327" i="164"/>
  <c r="R326" i="164"/>
  <c r="Y321" i="164"/>
  <c r="W321" i="164"/>
  <c r="U321" i="164"/>
  <c r="T321" i="164"/>
  <c r="S321" i="164"/>
  <c r="R321" i="164"/>
  <c r="Y320" i="164"/>
  <c r="W320" i="164"/>
  <c r="U320" i="164"/>
  <c r="T320" i="164"/>
  <c r="S320" i="164"/>
  <c r="R320" i="164"/>
  <c r="Y319" i="164"/>
  <c r="W319" i="164"/>
  <c r="U319" i="164"/>
  <c r="T319" i="164"/>
  <c r="S319" i="164"/>
  <c r="R319" i="164"/>
  <c r="Y318" i="164"/>
  <c r="W318" i="164"/>
  <c r="Z316" i="164" s="1" a="1"/>
  <c r="Z316" i="164" s="1"/>
  <c r="U318" i="164"/>
  <c r="T318" i="164"/>
  <c r="S318" i="164"/>
  <c r="R318" i="164"/>
  <c r="Y317" i="164"/>
  <c r="W317" i="164"/>
  <c r="Z318" i="164" s="1" a="1"/>
  <c r="Z318" i="164" s="1"/>
  <c r="U317" i="164"/>
  <c r="T317" i="164"/>
  <c r="S317" i="164"/>
  <c r="R317" i="164"/>
  <c r="Y316" i="164"/>
  <c r="W316" i="164"/>
  <c r="U316" i="164"/>
  <c r="T316" i="164"/>
  <c r="S316" i="164"/>
  <c r="R316" i="164"/>
  <c r="R314" i="164"/>
  <c r="F314" i="164" s="1"/>
  <c r="AA314" i="164" s="1"/>
  <c r="R313" i="164"/>
  <c r="F313" i="164"/>
  <c r="R312" i="164"/>
  <c r="F312" i="164"/>
  <c r="R311" i="164"/>
  <c r="F311" i="164"/>
  <c r="C311" i="164"/>
  <c r="R310" i="164"/>
  <c r="Y305" i="164"/>
  <c r="W305" i="164"/>
  <c r="U305" i="164"/>
  <c r="T305" i="164"/>
  <c r="S305" i="164"/>
  <c r="R305" i="164"/>
  <c r="Y304" i="164"/>
  <c r="W304" i="164"/>
  <c r="U304" i="164"/>
  <c r="T304" i="164"/>
  <c r="S304" i="164"/>
  <c r="R304" i="164"/>
  <c r="Y303" i="164"/>
  <c r="W303" i="164"/>
  <c r="U303" i="164"/>
  <c r="T303" i="164"/>
  <c r="S303" i="164"/>
  <c r="R303" i="164"/>
  <c r="Y302" i="164"/>
  <c r="W302" i="164"/>
  <c r="U302" i="164"/>
  <c r="T302" i="164"/>
  <c r="S302" i="164"/>
  <c r="R302" i="164"/>
  <c r="Y301" i="164"/>
  <c r="W301" i="164"/>
  <c r="U301" i="164"/>
  <c r="T301" i="164"/>
  <c r="S301" i="164"/>
  <c r="R301" i="164"/>
  <c r="Y300" i="164"/>
  <c r="W300" i="164"/>
  <c r="U300" i="164"/>
  <c r="T300" i="164"/>
  <c r="S300" i="164"/>
  <c r="R300" i="164"/>
  <c r="R298" i="164"/>
  <c r="F298" i="164" s="1"/>
  <c r="AA298" i="164" s="1"/>
  <c r="R297" i="164"/>
  <c r="F297" i="164"/>
  <c r="R296" i="164"/>
  <c r="F296" i="164"/>
  <c r="R295" i="164"/>
  <c r="F295" i="164"/>
  <c r="C295" i="164"/>
  <c r="R294" i="164"/>
  <c r="Y289" i="164"/>
  <c r="W289" i="164"/>
  <c r="U289" i="164"/>
  <c r="T289" i="164"/>
  <c r="S289" i="164"/>
  <c r="R289" i="164"/>
  <c r="Y288" i="164"/>
  <c r="W288" i="164"/>
  <c r="U288" i="164"/>
  <c r="T288" i="164"/>
  <c r="S288" i="164"/>
  <c r="R288" i="164"/>
  <c r="Y287" i="164"/>
  <c r="W287" i="164"/>
  <c r="U287" i="164"/>
  <c r="T287" i="164"/>
  <c r="S287" i="164"/>
  <c r="R287" i="164"/>
  <c r="Y286" i="164"/>
  <c r="W286" i="164"/>
  <c r="U286" i="164"/>
  <c r="T286" i="164"/>
  <c r="S286" i="164"/>
  <c r="R286" i="164"/>
  <c r="Y285" i="164"/>
  <c r="W285" i="164"/>
  <c r="U285" i="164"/>
  <c r="T285" i="164"/>
  <c r="S285" i="164"/>
  <c r="R285" i="164"/>
  <c r="Y284" i="164"/>
  <c r="W284" i="164"/>
  <c r="Z288" i="164" s="1" a="1"/>
  <c r="Z288" i="164" s="1"/>
  <c r="U284" i="164"/>
  <c r="T284" i="164"/>
  <c r="S284" i="164"/>
  <c r="R284" i="164"/>
  <c r="R282" i="164"/>
  <c r="F282" i="164" s="1"/>
  <c r="AA282" i="164" s="1"/>
  <c r="R281" i="164"/>
  <c r="F281" i="164"/>
  <c r="R280" i="164"/>
  <c r="F280" i="164"/>
  <c r="R279" i="164"/>
  <c r="F279" i="164"/>
  <c r="C279" i="164"/>
  <c r="R278" i="164"/>
  <c r="Y273" i="164"/>
  <c r="W273" i="164"/>
  <c r="U273" i="164"/>
  <c r="T273" i="164"/>
  <c r="S273" i="164"/>
  <c r="R273" i="164"/>
  <c r="Y272" i="164"/>
  <c r="W272" i="164"/>
  <c r="U272" i="164"/>
  <c r="T272" i="164"/>
  <c r="S272" i="164"/>
  <c r="R272" i="164"/>
  <c r="Y271" i="164"/>
  <c r="W271" i="164"/>
  <c r="U271" i="164"/>
  <c r="T271" i="164"/>
  <c r="S271" i="164"/>
  <c r="R271" i="164"/>
  <c r="Y270" i="164"/>
  <c r="W270" i="164"/>
  <c r="U270" i="164"/>
  <c r="T270" i="164"/>
  <c r="S270" i="164"/>
  <c r="R270" i="164"/>
  <c r="Y269" i="164"/>
  <c r="W269" i="164"/>
  <c r="Z270" i="164" s="1" a="1"/>
  <c r="Z270" i="164" s="1"/>
  <c r="U269" i="164"/>
  <c r="T269" i="164"/>
  <c r="S269" i="164"/>
  <c r="R269" i="164"/>
  <c r="Y268" i="164"/>
  <c r="W268" i="164"/>
  <c r="U268" i="164"/>
  <c r="T268" i="164"/>
  <c r="S268" i="164"/>
  <c r="R268" i="164"/>
  <c r="R266" i="164"/>
  <c r="F266" i="164" s="1"/>
  <c r="AA266" i="164" s="1"/>
  <c r="R265" i="164"/>
  <c r="F265" i="164"/>
  <c r="R264" i="164"/>
  <c r="F264" i="164"/>
  <c r="R263" i="164"/>
  <c r="F263" i="164"/>
  <c r="C263" i="164"/>
  <c r="R262" i="164"/>
  <c r="Y257" i="164"/>
  <c r="W257" i="164"/>
  <c r="U257" i="164"/>
  <c r="T257" i="164"/>
  <c r="S257" i="164"/>
  <c r="R257" i="164"/>
  <c r="Y256" i="164"/>
  <c r="W256" i="164"/>
  <c r="U256" i="164"/>
  <c r="T256" i="164"/>
  <c r="S256" i="164"/>
  <c r="R256" i="164"/>
  <c r="Y255" i="164"/>
  <c r="W255" i="164"/>
  <c r="U255" i="164"/>
  <c r="T255" i="164"/>
  <c r="S255" i="164"/>
  <c r="R255" i="164"/>
  <c r="Y254" i="164"/>
  <c r="W254" i="164"/>
  <c r="U254" i="164"/>
  <c r="T254" i="164"/>
  <c r="S254" i="164"/>
  <c r="R254" i="164"/>
  <c r="Y253" i="164"/>
  <c r="W253" i="164"/>
  <c r="Z257" i="164" s="1" a="1"/>
  <c r="Z257" i="164" s="1"/>
  <c r="U253" i="164"/>
  <c r="T253" i="164"/>
  <c r="S253" i="164"/>
  <c r="R253" i="164"/>
  <c r="Y252" i="164"/>
  <c r="W252" i="164"/>
  <c r="U252" i="164"/>
  <c r="T252" i="164"/>
  <c r="S252" i="164"/>
  <c r="R252" i="164"/>
  <c r="R250" i="164"/>
  <c r="F250" i="164" s="1"/>
  <c r="AA250" i="164" s="1"/>
  <c r="R249" i="164"/>
  <c r="F249" i="164"/>
  <c r="R248" i="164"/>
  <c r="F248" i="164"/>
  <c r="R247" i="164"/>
  <c r="F247" i="164"/>
  <c r="C247" i="164"/>
  <c r="R246" i="164"/>
  <c r="Y241" i="164"/>
  <c r="W241" i="164"/>
  <c r="U241" i="164"/>
  <c r="T241" i="164"/>
  <c r="S241" i="164"/>
  <c r="R241" i="164"/>
  <c r="Y240" i="164"/>
  <c r="W240" i="164"/>
  <c r="U240" i="164"/>
  <c r="T240" i="164"/>
  <c r="S240" i="164"/>
  <c r="R240" i="164"/>
  <c r="Y239" i="164"/>
  <c r="W239" i="164"/>
  <c r="U239" i="164"/>
  <c r="T239" i="164"/>
  <c r="S239" i="164"/>
  <c r="R239" i="164"/>
  <c r="Y238" i="164"/>
  <c r="W238" i="164"/>
  <c r="U238" i="164"/>
  <c r="T238" i="164"/>
  <c r="S238" i="164"/>
  <c r="R238" i="164"/>
  <c r="Y237" i="164"/>
  <c r="W237" i="164"/>
  <c r="U237" i="164"/>
  <c r="T237" i="164"/>
  <c r="S237" i="164"/>
  <c r="R237" i="164"/>
  <c r="Y236" i="164"/>
  <c r="W236" i="164"/>
  <c r="U236" i="164"/>
  <c r="T236" i="164"/>
  <c r="S236" i="164"/>
  <c r="R236" i="164"/>
  <c r="R234" i="164"/>
  <c r="F234" i="164" s="1"/>
  <c r="AA234" i="164" s="1"/>
  <c r="R233" i="164"/>
  <c r="F233" i="164"/>
  <c r="R232" i="164"/>
  <c r="F232" i="164"/>
  <c r="R231" i="164"/>
  <c r="F231" i="164"/>
  <c r="C231" i="164"/>
  <c r="R230" i="164"/>
  <c r="Y225" i="164"/>
  <c r="W225" i="164"/>
  <c r="U225" i="164"/>
  <c r="T225" i="164"/>
  <c r="S225" i="164"/>
  <c r="R225" i="164"/>
  <c r="Y224" i="164"/>
  <c r="W224" i="164"/>
  <c r="U224" i="164"/>
  <c r="T224" i="164"/>
  <c r="S224" i="164"/>
  <c r="R224" i="164"/>
  <c r="Y223" i="164"/>
  <c r="W223" i="164"/>
  <c r="U223" i="164"/>
  <c r="T223" i="164"/>
  <c r="S223" i="164"/>
  <c r="R223" i="164"/>
  <c r="Y222" i="164"/>
  <c r="W222" i="164"/>
  <c r="U222" i="164"/>
  <c r="T222" i="164"/>
  <c r="S222" i="164"/>
  <c r="R222" i="164"/>
  <c r="Y221" i="164"/>
  <c r="W221" i="164"/>
  <c r="U221" i="164"/>
  <c r="T221" i="164"/>
  <c r="S221" i="164"/>
  <c r="R221" i="164"/>
  <c r="Y220" i="164"/>
  <c r="W220" i="164"/>
  <c r="Z221" i="164" s="1" a="1"/>
  <c r="Z221" i="164" s="1"/>
  <c r="U220" i="164"/>
  <c r="T220" i="164"/>
  <c r="S220" i="164"/>
  <c r="R220" i="164"/>
  <c r="R218" i="164"/>
  <c r="F218" i="164" s="1"/>
  <c r="AA218" i="164" s="1"/>
  <c r="R217" i="164"/>
  <c r="F217" i="164"/>
  <c r="R216" i="164"/>
  <c r="F216" i="164"/>
  <c r="R215" i="164"/>
  <c r="F215" i="164"/>
  <c r="C215" i="164"/>
  <c r="R214" i="164"/>
  <c r="Y209" i="164"/>
  <c r="W209" i="164"/>
  <c r="U209" i="164"/>
  <c r="T209" i="164"/>
  <c r="S209" i="164"/>
  <c r="R209" i="164"/>
  <c r="Y208" i="164"/>
  <c r="W208" i="164"/>
  <c r="U208" i="164"/>
  <c r="T208" i="164"/>
  <c r="S208" i="164"/>
  <c r="R208" i="164"/>
  <c r="Y207" i="164"/>
  <c r="W207" i="164"/>
  <c r="U207" i="164"/>
  <c r="T207" i="164"/>
  <c r="S207" i="164"/>
  <c r="R207" i="164"/>
  <c r="Y206" i="164"/>
  <c r="W206" i="164"/>
  <c r="U206" i="164"/>
  <c r="T206" i="164"/>
  <c r="S206" i="164"/>
  <c r="R206" i="164"/>
  <c r="Y205" i="164"/>
  <c r="Z205" i="164" a="1"/>
  <c r="Z205" i="164" s="1"/>
  <c r="W205" i="164"/>
  <c r="U205" i="164"/>
  <c r="T205" i="164"/>
  <c r="S205" i="164"/>
  <c r="R205" i="164"/>
  <c r="Y204" i="164"/>
  <c r="W204" i="164"/>
  <c r="U204" i="164"/>
  <c r="T204" i="164"/>
  <c r="S204" i="164"/>
  <c r="R204" i="164"/>
  <c r="R202" i="164"/>
  <c r="F202" i="164" s="1"/>
  <c r="AA202" i="164" s="1"/>
  <c r="R201" i="164"/>
  <c r="F201" i="164"/>
  <c r="R200" i="164"/>
  <c r="F200" i="164"/>
  <c r="R199" i="164"/>
  <c r="F199" i="164"/>
  <c r="C199" i="164"/>
  <c r="R198" i="164"/>
  <c r="Y193" i="164"/>
  <c r="W193" i="164"/>
  <c r="U193" i="164"/>
  <c r="T193" i="164"/>
  <c r="S193" i="164"/>
  <c r="R193" i="164"/>
  <c r="Y192" i="164"/>
  <c r="W192" i="164"/>
  <c r="U192" i="164"/>
  <c r="T192" i="164"/>
  <c r="S192" i="164"/>
  <c r="R192" i="164"/>
  <c r="Y191" i="164"/>
  <c r="W191" i="164"/>
  <c r="U191" i="164"/>
  <c r="T191" i="164"/>
  <c r="S191" i="164"/>
  <c r="R191" i="164"/>
  <c r="Y190" i="164"/>
  <c r="W190" i="164"/>
  <c r="U190" i="164"/>
  <c r="T190" i="164"/>
  <c r="S190" i="164"/>
  <c r="R190" i="164"/>
  <c r="Y189" i="164"/>
  <c r="Z189" i="164" a="1"/>
  <c r="Z189" i="164" s="1"/>
  <c r="W189" i="164"/>
  <c r="Z190" i="164" s="1" a="1"/>
  <c r="Z190" i="164" s="1"/>
  <c r="U189" i="164"/>
  <c r="T189" i="164"/>
  <c r="S189" i="164"/>
  <c r="R189" i="164"/>
  <c r="Y188" i="164"/>
  <c r="W188" i="164"/>
  <c r="U188" i="164"/>
  <c r="T188" i="164"/>
  <c r="S188" i="164"/>
  <c r="R188" i="164"/>
  <c r="R186" i="164"/>
  <c r="F186" i="164" s="1"/>
  <c r="AA186" i="164" s="1"/>
  <c r="R185" i="164"/>
  <c r="F185" i="164"/>
  <c r="R184" i="164"/>
  <c r="F184" i="164"/>
  <c r="R183" i="164"/>
  <c r="F183" i="164"/>
  <c r="C183" i="164"/>
  <c r="R182" i="164"/>
  <c r="Y177" i="164"/>
  <c r="W177" i="164"/>
  <c r="U177" i="164"/>
  <c r="T177" i="164"/>
  <c r="S177" i="164"/>
  <c r="R177" i="164"/>
  <c r="Y176" i="164"/>
  <c r="W176" i="164"/>
  <c r="U176" i="164"/>
  <c r="T176" i="164"/>
  <c r="S176" i="164"/>
  <c r="R176" i="164"/>
  <c r="Y175" i="164"/>
  <c r="W175" i="164"/>
  <c r="U175" i="164"/>
  <c r="T175" i="164"/>
  <c r="S175" i="164"/>
  <c r="R175" i="164"/>
  <c r="Y174" i="164"/>
  <c r="W174" i="164"/>
  <c r="Z172" i="164" s="1" a="1"/>
  <c r="Z172" i="164" s="1"/>
  <c r="U174" i="164"/>
  <c r="T174" i="164"/>
  <c r="S174" i="164"/>
  <c r="R174" i="164"/>
  <c r="Y173" i="164"/>
  <c r="W173" i="164"/>
  <c r="U173" i="164"/>
  <c r="T173" i="164"/>
  <c r="S173" i="164"/>
  <c r="R173" i="164"/>
  <c r="Y172" i="164"/>
  <c r="W172" i="164"/>
  <c r="U172" i="164"/>
  <c r="T172" i="164"/>
  <c r="S172" i="164"/>
  <c r="R172" i="164"/>
  <c r="R170" i="164"/>
  <c r="F170" i="164" s="1"/>
  <c r="AA170" i="164" s="1"/>
  <c r="R169" i="164"/>
  <c r="F169" i="164"/>
  <c r="R168" i="164"/>
  <c r="F168" i="164"/>
  <c r="R167" i="164"/>
  <c r="F167" i="164"/>
  <c r="C167" i="164"/>
  <c r="R166" i="164"/>
  <c r="Y161" i="164"/>
  <c r="W161" i="164"/>
  <c r="U161" i="164"/>
  <c r="T161" i="164"/>
  <c r="S161" i="164"/>
  <c r="R161" i="164"/>
  <c r="Y160" i="164"/>
  <c r="W160" i="164"/>
  <c r="U160" i="164"/>
  <c r="T160" i="164"/>
  <c r="S160" i="164"/>
  <c r="R160" i="164"/>
  <c r="Y159" i="164"/>
  <c r="W159" i="164"/>
  <c r="U159" i="164"/>
  <c r="T159" i="164"/>
  <c r="S159" i="164"/>
  <c r="R159" i="164"/>
  <c r="Y158" i="164"/>
  <c r="W158" i="164"/>
  <c r="U158" i="164"/>
  <c r="T158" i="164"/>
  <c r="S158" i="164"/>
  <c r="R158" i="164"/>
  <c r="Y157" i="164"/>
  <c r="W157" i="164"/>
  <c r="Z157" i="164" s="1" a="1"/>
  <c r="Z157" i="164" s="1"/>
  <c r="U157" i="164"/>
  <c r="T157" i="164"/>
  <c r="S157" i="164"/>
  <c r="R157" i="164"/>
  <c r="Y156" i="164"/>
  <c r="W156" i="164"/>
  <c r="U156" i="164"/>
  <c r="T156" i="164"/>
  <c r="S156" i="164"/>
  <c r="R156" i="164"/>
  <c r="R154" i="164"/>
  <c r="F154" i="164" s="1"/>
  <c r="AA154" i="164" s="1"/>
  <c r="R153" i="164"/>
  <c r="F153" i="164"/>
  <c r="R152" i="164"/>
  <c r="F152" i="164"/>
  <c r="R151" i="164"/>
  <c r="F151" i="164"/>
  <c r="C151" i="164"/>
  <c r="R150" i="164"/>
  <c r="Y145" i="164"/>
  <c r="W145" i="164"/>
  <c r="U145" i="164"/>
  <c r="T145" i="164"/>
  <c r="S145" i="164"/>
  <c r="R145" i="164"/>
  <c r="Y144" i="164"/>
  <c r="W144" i="164"/>
  <c r="Z141" i="164" s="1" a="1"/>
  <c r="Z141" i="164" s="1"/>
  <c r="U144" i="164"/>
  <c r="T144" i="164"/>
  <c r="S144" i="164"/>
  <c r="R144" i="164"/>
  <c r="Y143" i="164"/>
  <c r="W143" i="164"/>
  <c r="U143" i="164"/>
  <c r="T143" i="164"/>
  <c r="S143" i="164"/>
  <c r="R143" i="164"/>
  <c r="Y142" i="164"/>
  <c r="W142" i="164"/>
  <c r="U142" i="164"/>
  <c r="T142" i="164"/>
  <c r="S142" i="164"/>
  <c r="R142" i="164"/>
  <c r="Y141" i="164"/>
  <c r="W141" i="164"/>
  <c r="U141" i="164"/>
  <c r="T141" i="164"/>
  <c r="S141" i="164"/>
  <c r="R141" i="164"/>
  <c r="Y140" i="164"/>
  <c r="W140" i="164"/>
  <c r="U140" i="164"/>
  <c r="T140" i="164"/>
  <c r="S140" i="164"/>
  <c r="R140" i="164"/>
  <c r="R138" i="164"/>
  <c r="F138" i="164" s="1"/>
  <c r="AA138" i="164" s="1"/>
  <c r="R137" i="164"/>
  <c r="F137" i="164"/>
  <c r="R136" i="164"/>
  <c r="F136" i="164"/>
  <c r="R135" i="164"/>
  <c r="F135" i="164"/>
  <c r="C135" i="164"/>
  <c r="R134" i="164"/>
  <c r="Y129" i="164"/>
  <c r="W129" i="164"/>
  <c r="U129" i="164"/>
  <c r="T129" i="164"/>
  <c r="S129" i="164"/>
  <c r="R129" i="164"/>
  <c r="Y128" i="164"/>
  <c r="W128" i="164"/>
  <c r="Z129" i="164" s="1" a="1"/>
  <c r="Z129" i="164" s="1"/>
  <c r="U128" i="164"/>
  <c r="T128" i="164"/>
  <c r="S128" i="164"/>
  <c r="R128" i="164"/>
  <c r="Y127" i="164"/>
  <c r="W127" i="164"/>
  <c r="Z125" i="164" s="1" a="1"/>
  <c r="Z125" i="164" s="1"/>
  <c r="U127" i="164"/>
  <c r="T127" i="164"/>
  <c r="S127" i="164"/>
  <c r="R127" i="164"/>
  <c r="Y126" i="164"/>
  <c r="W126" i="164"/>
  <c r="U126" i="164"/>
  <c r="T126" i="164"/>
  <c r="S126" i="164"/>
  <c r="R126" i="164"/>
  <c r="Y125" i="164"/>
  <c r="W125" i="164"/>
  <c r="U125" i="164"/>
  <c r="T125" i="164"/>
  <c r="S125" i="164"/>
  <c r="R125" i="164"/>
  <c r="Y124" i="164"/>
  <c r="W124" i="164"/>
  <c r="Z126" i="164" s="1" a="1"/>
  <c r="Z126" i="164" s="1"/>
  <c r="U124" i="164"/>
  <c r="T124" i="164"/>
  <c r="S124" i="164"/>
  <c r="R124" i="164"/>
  <c r="R122" i="164"/>
  <c r="F122" i="164" s="1"/>
  <c r="AA122" i="164" s="1"/>
  <c r="R121" i="164"/>
  <c r="F121" i="164"/>
  <c r="R120" i="164"/>
  <c r="F120" i="164"/>
  <c r="R119" i="164"/>
  <c r="F119" i="164"/>
  <c r="C119" i="164"/>
  <c r="R118" i="164"/>
  <c r="Y113" i="164"/>
  <c r="W113" i="164"/>
  <c r="U113" i="164"/>
  <c r="T113" i="164"/>
  <c r="S113" i="164"/>
  <c r="R113" i="164"/>
  <c r="Y112" i="164"/>
  <c r="W112" i="164"/>
  <c r="U112" i="164"/>
  <c r="T112" i="164"/>
  <c r="S112" i="164"/>
  <c r="R112" i="164"/>
  <c r="Y111" i="164"/>
  <c r="W111" i="164"/>
  <c r="U111" i="164"/>
  <c r="T111" i="164"/>
  <c r="S111" i="164"/>
  <c r="R111" i="164"/>
  <c r="Y110" i="164"/>
  <c r="W110" i="164"/>
  <c r="U110" i="164"/>
  <c r="T110" i="164"/>
  <c r="S110" i="164"/>
  <c r="R110" i="164"/>
  <c r="Y109" i="164"/>
  <c r="W109" i="164"/>
  <c r="U109" i="164"/>
  <c r="T109" i="164"/>
  <c r="S109" i="164"/>
  <c r="R109" i="164"/>
  <c r="Y108" i="164"/>
  <c r="W108" i="164"/>
  <c r="Z108" i="164" s="1" a="1"/>
  <c r="Z108" i="164" s="1"/>
  <c r="U108" i="164"/>
  <c r="T108" i="164"/>
  <c r="S108" i="164"/>
  <c r="R108" i="164"/>
  <c r="R106" i="164"/>
  <c r="F106" i="164" s="1"/>
  <c r="AA106" i="164" s="1"/>
  <c r="R105" i="164"/>
  <c r="F105" i="164"/>
  <c r="R104" i="164"/>
  <c r="F104" i="164"/>
  <c r="R103" i="164"/>
  <c r="F103" i="164"/>
  <c r="C103" i="164"/>
  <c r="R102" i="164"/>
  <c r="Y97" i="164"/>
  <c r="W97" i="164"/>
  <c r="U97" i="164"/>
  <c r="T97" i="164"/>
  <c r="S97" i="164"/>
  <c r="R97" i="164"/>
  <c r="Y96" i="164"/>
  <c r="W96" i="164"/>
  <c r="U96" i="164"/>
  <c r="T96" i="164"/>
  <c r="S96" i="164"/>
  <c r="R96" i="164"/>
  <c r="Y95" i="164"/>
  <c r="W95" i="164"/>
  <c r="U95" i="164"/>
  <c r="T95" i="164"/>
  <c r="S95" i="164"/>
  <c r="R95" i="164"/>
  <c r="Y94" i="164"/>
  <c r="W94" i="164"/>
  <c r="U94" i="164"/>
  <c r="T94" i="164"/>
  <c r="S94" i="164"/>
  <c r="R94" i="164"/>
  <c r="Y93" i="164"/>
  <c r="Z93" i="164" a="1"/>
  <c r="Z93" i="164" s="1"/>
  <c r="W93" i="164"/>
  <c r="U93" i="164"/>
  <c r="T93" i="164"/>
  <c r="S93" i="164"/>
  <c r="R93" i="164"/>
  <c r="Y92" i="164"/>
  <c r="W92" i="164"/>
  <c r="U92" i="164"/>
  <c r="T92" i="164"/>
  <c r="S92" i="164"/>
  <c r="R92" i="164"/>
  <c r="R90" i="164"/>
  <c r="F90" i="164" s="1"/>
  <c r="AA90" i="164" s="1"/>
  <c r="R89" i="164"/>
  <c r="F89" i="164"/>
  <c r="R88" i="164"/>
  <c r="F88" i="164"/>
  <c r="R87" i="164"/>
  <c r="F87" i="164"/>
  <c r="C87" i="164"/>
  <c r="R86" i="164"/>
  <c r="Y81" i="164"/>
  <c r="W81" i="164"/>
  <c r="U81" i="164"/>
  <c r="T81" i="164"/>
  <c r="S81" i="164"/>
  <c r="R81" i="164"/>
  <c r="Y80" i="164"/>
  <c r="W80" i="164"/>
  <c r="U80" i="164"/>
  <c r="T80" i="164"/>
  <c r="S80" i="164"/>
  <c r="R80" i="164"/>
  <c r="Y79" i="164"/>
  <c r="W79" i="164"/>
  <c r="U79" i="164"/>
  <c r="T79" i="164"/>
  <c r="S79" i="164"/>
  <c r="R79" i="164"/>
  <c r="Y78" i="164"/>
  <c r="W78" i="164"/>
  <c r="Z76" i="164" s="1" a="1"/>
  <c r="Z76" i="164" s="1"/>
  <c r="U78" i="164"/>
  <c r="T78" i="164"/>
  <c r="S78" i="164"/>
  <c r="R78" i="164"/>
  <c r="Y77" i="164"/>
  <c r="W77" i="164"/>
  <c r="U77" i="164"/>
  <c r="T77" i="164"/>
  <c r="S77" i="164"/>
  <c r="R77" i="164"/>
  <c r="Y76" i="164"/>
  <c r="W76" i="164"/>
  <c r="U76" i="164"/>
  <c r="T76" i="164"/>
  <c r="S76" i="164"/>
  <c r="R76" i="164"/>
  <c r="R74" i="164"/>
  <c r="F74" i="164" s="1"/>
  <c r="AA74" i="164" s="1"/>
  <c r="R73" i="164"/>
  <c r="F73" i="164"/>
  <c r="R72" i="164"/>
  <c r="F72" i="164"/>
  <c r="R71" i="164"/>
  <c r="F71" i="164"/>
  <c r="C71" i="164"/>
  <c r="R70" i="164"/>
  <c r="Y65" i="164"/>
  <c r="W65" i="164"/>
  <c r="U65" i="164"/>
  <c r="T65" i="164"/>
  <c r="S65" i="164"/>
  <c r="R65" i="164"/>
  <c r="Y64" i="164"/>
  <c r="W64" i="164"/>
  <c r="U64" i="164"/>
  <c r="T64" i="164"/>
  <c r="S64" i="164"/>
  <c r="R64" i="164"/>
  <c r="Y63" i="164"/>
  <c r="W63" i="164"/>
  <c r="U63" i="164"/>
  <c r="T63" i="164"/>
  <c r="S63" i="164"/>
  <c r="R63" i="164"/>
  <c r="Y62" i="164"/>
  <c r="W62" i="164"/>
  <c r="U62" i="164"/>
  <c r="T62" i="164"/>
  <c r="S62" i="164"/>
  <c r="R62" i="164"/>
  <c r="Y61" i="164"/>
  <c r="W61" i="164"/>
  <c r="U61" i="164"/>
  <c r="T61" i="164"/>
  <c r="S61" i="164"/>
  <c r="R61" i="164"/>
  <c r="Y60" i="164"/>
  <c r="W60" i="164"/>
  <c r="Z61" i="164" s="1" a="1"/>
  <c r="Z61" i="164" s="1"/>
  <c r="U60" i="164"/>
  <c r="T60" i="164"/>
  <c r="S60" i="164"/>
  <c r="R60" i="164"/>
  <c r="R58" i="164"/>
  <c r="F58" i="164" s="1"/>
  <c r="AA58" i="164" s="1"/>
  <c r="R57" i="164"/>
  <c r="F57" i="164"/>
  <c r="R56" i="164"/>
  <c r="F56" i="164"/>
  <c r="R55" i="164"/>
  <c r="F55" i="164"/>
  <c r="C55" i="164"/>
  <c r="R54" i="164"/>
  <c r="Y49" i="164"/>
  <c r="W49" i="164"/>
  <c r="U49" i="164"/>
  <c r="T49" i="164"/>
  <c r="S49" i="164"/>
  <c r="R49" i="164"/>
  <c r="Y48" i="164"/>
  <c r="W48" i="164"/>
  <c r="U48" i="164"/>
  <c r="T48" i="164"/>
  <c r="S48" i="164"/>
  <c r="R48" i="164"/>
  <c r="Y47" i="164"/>
  <c r="W47" i="164"/>
  <c r="U47" i="164"/>
  <c r="T47" i="164"/>
  <c r="S47" i="164"/>
  <c r="R47" i="164"/>
  <c r="Y46" i="164"/>
  <c r="W46" i="164"/>
  <c r="U46" i="164"/>
  <c r="T46" i="164"/>
  <c r="S46" i="164"/>
  <c r="R46" i="164"/>
  <c r="Y45" i="164"/>
  <c r="W45" i="164"/>
  <c r="U45" i="164"/>
  <c r="T45" i="164"/>
  <c r="S45" i="164"/>
  <c r="R45" i="164"/>
  <c r="Y44" i="164"/>
  <c r="W44" i="164"/>
  <c r="Z46" i="164" s="1" a="1"/>
  <c r="Z46" i="164" s="1"/>
  <c r="U44" i="164"/>
  <c r="T44" i="164"/>
  <c r="S44" i="164"/>
  <c r="R44" i="164"/>
  <c r="R42" i="164"/>
  <c r="F42" i="164" s="1"/>
  <c r="AA42" i="164" s="1"/>
  <c r="R41" i="164"/>
  <c r="F41" i="164"/>
  <c r="R40" i="164"/>
  <c r="F40" i="164"/>
  <c r="R39" i="164"/>
  <c r="F39" i="164"/>
  <c r="C39" i="164"/>
  <c r="R38" i="164"/>
  <c r="Y33" i="164"/>
  <c r="W33" i="164"/>
  <c r="U33" i="164"/>
  <c r="T33" i="164"/>
  <c r="S33" i="164"/>
  <c r="R33" i="164"/>
  <c r="Y32" i="164"/>
  <c r="W32" i="164"/>
  <c r="U32" i="164"/>
  <c r="T32" i="164"/>
  <c r="S32" i="164"/>
  <c r="R32" i="164"/>
  <c r="Y31" i="164"/>
  <c r="W31" i="164"/>
  <c r="U31" i="164"/>
  <c r="T31" i="164"/>
  <c r="S31" i="164"/>
  <c r="R31" i="164"/>
  <c r="Y30" i="164"/>
  <c r="W30" i="164"/>
  <c r="U30" i="164"/>
  <c r="T30" i="164"/>
  <c r="S30" i="164"/>
  <c r="R30" i="164"/>
  <c r="Y29" i="164"/>
  <c r="W29" i="164"/>
  <c r="U29" i="164"/>
  <c r="T29" i="164"/>
  <c r="S29" i="164"/>
  <c r="R29" i="164"/>
  <c r="Y28" i="164"/>
  <c r="W28" i="164"/>
  <c r="U28" i="164"/>
  <c r="T28" i="164"/>
  <c r="S28" i="164"/>
  <c r="R28" i="164"/>
  <c r="R26" i="164"/>
  <c r="F26" i="164" s="1"/>
  <c r="AA26" i="164" s="1"/>
  <c r="R25" i="164"/>
  <c r="F25" i="164"/>
  <c r="R24" i="164"/>
  <c r="F24" i="164"/>
  <c r="R23" i="164"/>
  <c r="F23" i="164"/>
  <c r="C23" i="164"/>
  <c r="R22" i="164"/>
  <c r="R8" i="164"/>
  <c r="F8" i="164"/>
  <c r="F7" i="164"/>
  <c r="U851" i="177"/>
  <c r="S851" i="177"/>
  <c r="R851" i="177"/>
  <c r="U850" i="177"/>
  <c r="S850" i="177"/>
  <c r="R850" i="177"/>
  <c r="U849" i="177"/>
  <c r="S849" i="177"/>
  <c r="R849" i="177"/>
  <c r="U848" i="177"/>
  <c r="S848" i="177"/>
  <c r="R848" i="177"/>
  <c r="U847" i="177"/>
  <c r="S847" i="177"/>
  <c r="R847" i="177"/>
  <c r="U846" i="177"/>
  <c r="S846" i="177"/>
  <c r="R846" i="177"/>
  <c r="R844" i="177"/>
  <c r="F844" i="177" s="1"/>
  <c r="W844" i="177" s="1"/>
  <c r="R843" i="177"/>
  <c r="F843" i="177"/>
  <c r="R841" i="177"/>
  <c r="F841" i="177"/>
  <c r="R840" i="177"/>
  <c r="F840" i="177"/>
  <c r="C840" i="177"/>
  <c r="R839" i="177"/>
  <c r="U834" i="177"/>
  <c r="S834" i="177"/>
  <c r="R834" i="177"/>
  <c r="U833" i="177"/>
  <c r="S833" i="177"/>
  <c r="R833" i="177"/>
  <c r="U832" i="177"/>
  <c r="S832" i="177"/>
  <c r="R832" i="177"/>
  <c r="U831" i="177"/>
  <c r="S831" i="177"/>
  <c r="R831" i="177"/>
  <c r="U830" i="177"/>
  <c r="S830" i="177"/>
  <c r="R830" i="177"/>
  <c r="U829" i="177"/>
  <c r="S829" i="177"/>
  <c r="R829" i="177"/>
  <c r="R827" i="177"/>
  <c r="F827" i="177" s="1"/>
  <c r="W827" i="177" s="1"/>
  <c r="R826" i="177"/>
  <c r="F826" i="177"/>
  <c r="R824" i="177"/>
  <c r="F824" i="177"/>
  <c r="R823" i="177"/>
  <c r="F823" i="177"/>
  <c r="C823" i="177"/>
  <c r="R822" i="177"/>
  <c r="U817" i="177"/>
  <c r="S817" i="177"/>
  <c r="R817" i="177"/>
  <c r="U816" i="177"/>
  <c r="S816" i="177"/>
  <c r="R816" i="177"/>
  <c r="U815" i="177"/>
  <c r="S815" i="177"/>
  <c r="R815" i="177"/>
  <c r="U814" i="177"/>
  <c r="S814" i="177"/>
  <c r="R814" i="177"/>
  <c r="U813" i="177"/>
  <c r="S813" i="177"/>
  <c r="R813" i="177"/>
  <c r="U812" i="177"/>
  <c r="S812" i="177"/>
  <c r="R812" i="177"/>
  <c r="R810" i="177"/>
  <c r="F810" i="177" s="1"/>
  <c r="W810" i="177" s="1"/>
  <c r="R809" i="177"/>
  <c r="F809" i="177"/>
  <c r="R807" i="177"/>
  <c r="F807" i="177"/>
  <c r="R806" i="177"/>
  <c r="F806" i="177"/>
  <c r="C806" i="177"/>
  <c r="R805" i="177"/>
  <c r="U800" i="177"/>
  <c r="S800" i="177"/>
  <c r="R800" i="177"/>
  <c r="U799" i="177"/>
  <c r="S799" i="177"/>
  <c r="R799" i="177"/>
  <c r="U798" i="177"/>
  <c r="S798" i="177"/>
  <c r="R798" i="177"/>
  <c r="U797" i="177"/>
  <c r="S797" i="177"/>
  <c r="R797" i="177"/>
  <c r="U796" i="177"/>
  <c r="S796" i="177"/>
  <c r="R796" i="177"/>
  <c r="U795" i="177"/>
  <c r="S795" i="177"/>
  <c r="R795" i="177"/>
  <c r="R793" i="177"/>
  <c r="F793" i="177" s="1"/>
  <c r="W793" i="177" s="1"/>
  <c r="R792" i="177"/>
  <c r="F792" i="177"/>
  <c r="R790" i="177"/>
  <c r="F790" i="177"/>
  <c r="R789" i="177"/>
  <c r="F789" i="177"/>
  <c r="C789" i="177"/>
  <c r="R788" i="177"/>
  <c r="U783" i="177"/>
  <c r="S783" i="177"/>
  <c r="R783" i="177"/>
  <c r="U782" i="177"/>
  <c r="S782" i="177"/>
  <c r="R782" i="177"/>
  <c r="U781" i="177"/>
  <c r="S781" i="177"/>
  <c r="R781" i="177"/>
  <c r="U780" i="177"/>
  <c r="S780" i="177"/>
  <c r="R780" i="177"/>
  <c r="U779" i="177"/>
  <c r="S779" i="177"/>
  <c r="R779" i="177"/>
  <c r="U778" i="177"/>
  <c r="S778" i="177"/>
  <c r="R778" i="177"/>
  <c r="R776" i="177"/>
  <c r="F776" i="177" s="1"/>
  <c r="W776" i="177" s="1"/>
  <c r="R775" i="177"/>
  <c r="F775" i="177"/>
  <c r="R773" i="177"/>
  <c r="F773" i="177"/>
  <c r="R772" i="177"/>
  <c r="F772" i="177"/>
  <c r="C772" i="177"/>
  <c r="R771" i="177"/>
  <c r="U766" i="177"/>
  <c r="S766" i="177"/>
  <c r="R766" i="177"/>
  <c r="U765" i="177"/>
  <c r="S765" i="177"/>
  <c r="R765" i="177"/>
  <c r="U764" i="177"/>
  <c r="S764" i="177"/>
  <c r="R764" i="177"/>
  <c r="U763" i="177"/>
  <c r="S763" i="177"/>
  <c r="R763" i="177"/>
  <c r="U762" i="177"/>
  <c r="S762" i="177"/>
  <c r="R762" i="177"/>
  <c r="U761" i="177"/>
  <c r="S761" i="177"/>
  <c r="R761" i="177"/>
  <c r="R759" i="177"/>
  <c r="F759" i="177" s="1"/>
  <c r="W759" i="177" s="1"/>
  <c r="R758" i="177"/>
  <c r="F758" i="177"/>
  <c r="R756" i="177"/>
  <c r="F756" i="177"/>
  <c r="R755" i="177"/>
  <c r="F755" i="177"/>
  <c r="C755" i="177"/>
  <c r="R754" i="177"/>
  <c r="U749" i="177"/>
  <c r="S749" i="177"/>
  <c r="R749" i="177"/>
  <c r="U748" i="177"/>
  <c r="S748" i="177"/>
  <c r="R748" i="177"/>
  <c r="U747" i="177"/>
  <c r="S747" i="177"/>
  <c r="R747" i="177"/>
  <c r="U746" i="177"/>
  <c r="S746" i="177"/>
  <c r="R746" i="177"/>
  <c r="U745" i="177"/>
  <c r="S745" i="177"/>
  <c r="R745" i="177"/>
  <c r="U744" i="177"/>
  <c r="S744" i="177"/>
  <c r="R744" i="177"/>
  <c r="R742" i="177"/>
  <c r="F742" i="177" s="1"/>
  <c r="W742" i="177" s="1"/>
  <c r="R741" i="177"/>
  <c r="F741" i="177"/>
  <c r="R739" i="177"/>
  <c r="F739" i="177"/>
  <c r="R738" i="177"/>
  <c r="F738" i="177"/>
  <c r="C738" i="177"/>
  <c r="R737" i="177"/>
  <c r="U732" i="177"/>
  <c r="S732" i="177"/>
  <c r="R732" i="177"/>
  <c r="U731" i="177"/>
  <c r="S731" i="177"/>
  <c r="R731" i="177"/>
  <c r="U730" i="177"/>
  <c r="S730" i="177"/>
  <c r="R730" i="177"/>
  <c r="U729" i="177"/>
  <c r="S729" i="177"/>
  <c r="R729" i="177"/>
  <c r="U728" i="177"/>
  <c r="S728" i="177"/>
  <c r="R728" i="177"/>
  <c r="U727" i="177"/>
  <c r="S727" i="177"/>
  <c r="R727" i="177"/>
  <c r="R725" i="177"/>
  <c r="F725" i="177" s="1"/>
  <c r="W725" i="177" s="1"/>
  <c r="R724" i="177"/>
  <c r="F724" i="177"/>
  <c r="R722" i="177"/>
  <c r="F722" i="177"/>
  <c r="R721" i="177"/>
  <c r="F721" i="177"/>
  <c r="C721" i="177"/>
  <c r="R720" i="177"/>
  <c r="U715" i="177"/>
  <c r="S715" i="177"/>
  <c r="R715" i="177"/>
  <c r="U714" i="177"/>
  <c r="S714" i="177"/>
  <c r="R714" i="177"/>
  <c r="U713" i="177"/>
  <c r="S713" i="177"/>
  <c r="R713" i="177"/>
  <c r="U712" i="177"/>
  <c r="S712" i="177"/>
  <c r="R712" i="177"/>
  <c r="U711" i="177"/>
  <c r="S711" i="177"/>
  <c r="R711" i="177"/>
  <c r="U710" i="177"/>
  <c r="S710" i="177"/>
  <c r="R710" i="177"/>
  <c r="R708" i="177"/>
  <c r="F708" i="177" s="1"/>
  <c r="W708" i="177" s="1"/>
  <c r="R707" i="177"/>
  <c r="F707" i="177"/>
  <c r="R705" i="177"/>
  <c r="F705" i="177"/>
  <c r="R704" i="177"/>
  <c r="F704" i="177"/>
  <c r="C704" i="177"/>
  <c r="R703" i="177"/>
  <c r="U698" i="177"/>
  <c r="S698" i="177"/>
  <c r="R698" i="177"/>
  <c r="U697" i="177"/>
  <c r="S697" i="177"/>
  <c r="R697" i="177"/>
  <c r="U696" i="177"/>
  <c r="S696" i="177"/>
  <c r="R696" i="177"/>
  <c r="U695" i="177"/>
  <c r="S695" i="177"/>
  <c r="R695" i="177"/>
  <c r="U694" i="177"/>
  <c r="S694" i="177"/>
  <c r="R694" i="177"/>
  <c r="U693" i="177"/>
  <c r="S693" i="177"/>
  <c r="R693" i="177"/>
  <c r="R691" i="177"/>
  <c r="F691" i="177" s="1"/>
  <c r="W691" i="177" s="1"/>
  <c r="R690" i="177"/>
  <c r="F690" i="177"/>
  <c r="R688" i="177"/>
  <c r="F688" i="177"/>
  <c r="R687" i="177"/>
  <c r="F687" i="177"/>
  <c r="C687" i="177"/>
  <c r="R686" i="177"/>
  <c r="U681" i="177"/>
  <c r="S681" i="177"/>
  <c r="R681" i="177"/>
  <c r="U680" i="177"/>
  <c r="S680" i="177"/>
  <c r="R680" i="177"/>
  <c r="U679" i="177"/>
  <c r="S679" i="177"/>
  <c r="R679" i="177"/>
  <c r="U678" i="177"/>
  <c r="S678" i="177"/>
  <c r="R678" i="177"/>
  <c r="U677" i="177"/>
  <c r="S677" i="177"/>
  <c r="R677" i="177"/>
  <c r="U676" i="177"/>
  <c r="S676" i="177"/>
  <c r="R676" i="177"/>
  <c r="R674" i="177"/>
  <c r="F674" i="177" s="1"/>
  <c r="W674" i="177" s="1"/>
  <c r="R673" i="177"/>
  <c r="F673" i="177"/>
  <c r="R671" i="177"/>
  <c r="F671" i="177"/>
  <c r="R670" i="177"/>
  <c r="F670" i="177"/>
  <c r="C670" i="177"/>
  <c r="R669" i="177"/>
  <c r="U664" i="177"/>
  <c r="S664" i="177"/>
  <c r="R664" i="177"/>
  <c r="U663" i="177"/>
  <c r="S663" i="177"/>
  <c r="R663" i="177"/>
  <c r="U662" i="177"/>
  <c r="S662" i="177"/>
  <c r="R662" i="177"/>
  <c r="U661" i="177"/>
  <c r="S661" i="177"/>
  <c r="R661" i="177"/>
  <c r="U660" i="177"/>
  <c r="S660" i="177"/>
  <c r="R660" i="177"/>
  <c r="U659" i="177"/>
  <c r="S659" i="177"/>
  <c r="R659" i="177"/>
  <c r="R657" i="177"/>
  <c r="F657" i="177" s="1"/>
  <c r="W657" i="177" s="1"/>
  <c r="R656" i="177"/>
  <c r="F656" i="177"/>
  <c r="R654" i="177"/>
  <c r="F654" i="177"/>
  <c r="R653" i="177"/>
  <c r="F653" i="177"/>
  <c r="C653" i="177"/>
  <c r="R652" i="177"/>
  <c r="U647" i="177"/>
  <c r="S647" i="177"/>
  <c r="R647" i="177"/>
  <c r="U646" i="177"/>
  <c r="S646" i="177"/>
  <c r="R646" i="177"/>
  <c r="U645" i="177"/>
  <c r="S645" i="177"/>
  <c r="R645" i="177"/>
  <c r="U644" i="177"/>
  <c r="S644" i="177"/>
  <c r="R644" i="177"/>
  <c r="U643" i="177"/>
  <c r="S643" i="177"/>
  <c r="R643" i="177"/>
  <c r="U642" i="177"/>
  <c r="S642" i="177"/>
  <c r="R642" i="177"/>
  <c r="R640" i="177"/>
  <c r="F640" i="177" s="1"/>
  <c r="W640" i="177" s="1"/>
  <c r="R639" i="177"/>
  <c r="F639" i="177"/>
  <c r="R637" i="177"/>
  <c r="F637" i="177"/>
  <c r="R636" i="177"/>
  <c r="F636" i="177"/>
  <c r="C636" i="177"/>
  <c r="R635" i="177"/>
  <c r="U630" i="177"/>
  <c r="S630" i="177"/>
  <c r="R630" i="177"/>
  <c r="U629" i="177"/>
  <c r="S629" i="177"/>
  <c r="R629" i="177"/>
  <c r="U628" i="177"/>
  <c r="S628" i="177"/>
  <c r="R628" i="177"/>
  <c r="U627" i="177"/>
  <c r="S627" i="177"/>
  <c r="R627" i="177"/>
  <c r="U626" i="177"/>
  <c r="S626" i="177"/>
  <c r="R626" i="177"/>
  <c r="U625" i="177"/>
  <c r="S625" i="177"/>
  <c r="R625" i="177"/>
  <c r="R623" i="177"/>
  <c r="F623" i="177" s="1"/>
  <c r="W623" i="177" s="1"/>
  <c r="R622" i="177"/>
  <c r="F622" i="177"/>
  <c r="R620" i="177"/>
  <c r="F620" i="177"/>
  <c r="R619" i="177"/>
  <c r="F619" i="177"/>
  <c r="C619" i="177"/>
  <c r="R618" i="177"/>
  <c r="U613" i="177"/>
  <c r="S613" i="177"/>
  <c r="R613" i="177"/>
  <c r="U612" i="177"/>
  <c r="S612" i="177"/>
  <c r="R612" i="177"/>
  <c r="U611" i="177"/>
  <c r="S611" i="177"/>
  <c r="R611" i="177"/>
  <c r="U610" i="177"/>
  <c r="S610" i="177"/>
  <c r="R610" i="177"/>
  <c r="U609" i="177"/>
  <c r="S609" i="177"/>
  <c r="R609" i="177"/>
  <c r="U608" i="177"/>
  <c r="S608" i="177"/>
  <c r="R608" i="177"/>
  <c r="R606" i="177"/>
  <c r="F606" i="177" s="1"/>
  <c r="W606" i="177" s="1"/>
  <c r="R605" i="177"/>
  <c r="F605" i="177"/>
  <c r="R603" i="177"/>
  <c r="F603" i="177"/>
  <c r="R602" i="177"/>
  <c r="F602" i="177"/>
  <c r="C602" i="177"/>
  <c r="R601" i="177"/>
  <c r="U596" i="177"/>
  <c r="S596" i="177"/>
  <c r="R596" i="177"/>
  <c r="U595" i="177"/>
  <c r="S595" i="177"/>
  <c r="R595" i="177"/>
  <c r="U594" i="177"/>
  <c r="S594" i="177"/>
  <c r="R594" i="177"/>
  <c r="U593" i="177"/>
  <c r="S593" i="177"/>
  <c r="R593" i="177"/>
  <c r="U592" i="177"/>
  <c r="S592" i="177"/>
  <c r="R592" i="177"/>
  <c r="U591" i="177"/>
  <c r="S591" i="177"/>
  <c r="R591" i="177"/>
  <c r="R589" i="177"/>
  <c r="F589" i="177" s="1"/>
  <c r="W589" i="177" s="1"/>
  <c r="R588" i="177"/>
  <c r="F588" i="177"/>
  <c r="R586" i="177"/>
  <c r="F586" i="177"/>
  <c r="R585" i="177"/>
  <c r="F585" i="177"/>
  <c r="C585" i="177"/>
  <c r="R584" i="177"/>
  <c r="U579" i="177"/>
  <c r="S579" i="177"/>
  <c r="R579" i="177"/>
  <c r="U578" i="177"/>
  <c r="S578" i="177"/>
  <c r="R578" i="177"/>
  <c r="U577" i="177"/>
  <c r="S577" i="177"/>
  <c r="R577" i="177"/>
  <c r="U576" i="177"/>
  <c r="S576" i="177"/>
  <c r="R576" i="177"/>
  <c r="U575" i="177"/>
  <c r="S575" i="177"/>
  <c r="R575" i="177"/>
  <c r="U574" i="177"/>
  <c r="S574" i="177"/>
  <c r="R574" i="177"/>
  <c r="R572" i="177"/>
  <c r="F572" i="177" s="1"/>
  <c r="W572" i="177" s="1"/>
  <c r="R571" i="177"/>
  <c r="F571" i="177"/>
  <c r="R569" i="177"/>
  <c r="F569" i="177"/>
  <c r="R568" i="177"/>
  <c r="F568" i="177"/>
  <c r="C568" i="177"/>
  <c r="R567" i="177"/>
  <c r="U562" i="177"/>
  <c r="S562" i="177"/>
  <c r="R562" i="177"/>
  <c r="U561" i="177"/>
  <c r="S561" i="177"/>
  <c r="R561" i="177"/>
  <c r="U560" i="177"/>
  <c r="S560" i="177"/>
  <c r="R560" i="177"/>
  <c r="U559" i="177"/>
  <c r="S559" i="177"/>
  <c r="R559" i="177"/>
  <c r="U558" i="177"/>
  <c r="S558" i="177"/>
  <c r="R558" i="177"/>
  <c r="U557" i="177"/>
  <c r="S557" i="177"/>
  <c r="R557" i="177"/>
  <c r="R555" i="177"/>
  <c r="F555" i="177" s="1"/>
  <c r="W555" i="177" s="1"/>
  <c r="R554" i="177"/>
  <c r="F554" i="177"/>
  <c r="R552" i="177"/>
  <c r="F552" i="177"/>
  <c r="R551" i="177"/>
  <c r="F551" i="177"/>
  <c r="C551" i="177"/>
  <c r="R550" i="177"/>
  <c r="U545" i="177"/>
  <c r="S545" i="177"/>
  <c r="R545" i="177"/>
  <c r="U544" i="177"/>
  <c r="S544" i="177"/>
  <c r="R544" i="177"/>
  <c r="U543" i="177"/>
  <c r="S543" i="177"/>
  <c r="R543" i="177"/>
  <c r="U542" i="177"/>
  <c r="S542" i="177"/>
  <c r="R542" i="177"/>
  <c r="U541" i="177"/>
  <c r="S541" i="177"/>
  <c r="R541" i="177"/>
  <c r="U540" i="177"/>
  <c r="S540" i="177"/>
  <c r="R540" i="177"/>
  <c r="R538" i="177"/>
  <c r="F538" i="177" s="1"/>
  <c r="W538" i="177" s="1"/>
  <c r="R537" i="177"/>
  <c r="F537" i="177"/>
  <c r="R535" i="177"/>
  <c r="F535" i="177"/>
  <c r="R534" i="177"/>
  <c r="F534" i="177"/>
  <c r="C534" i="177"/>
  <c r="R533" i="177"/>
  <c r="U528" i="177"/>
  <c r="S528" i="177"/>
  <c r="R528" i="177"/>
  <c r="U527" i="177"/>
  <c r="S527" i="177"/>
  <c r="R527" i="177"/>
  <c r="U526" i="177"/>
  <c r="S526" i="177"/>
  <c r="R526" i="177"/>
  <c r="U525" i="177"/>
  <c r="S525" i="177"/>
  <c r="R525" i="177"/>
  <c r="U524" i="177"/>
  <c r="S524" i="177"/>
  <c r="R524" i="177"/>
  <c r="U523" i="177"/>
  <c r="S523" i="177"/>
  <c r="R523" i="177"/>
  <c r="R521" i="177"/>
  <c r="F521" i="177" s="1"/>
  <c r="W521" i="177" s="1"/>
  <c r="R520" i="177"/>
  <c r="F520" i="177"/>
  <c r="R518" i="177"/>
  <c r="F518" i="177"/>
  <c r="R517" i="177"/>
  <c r="F517" i="177"/>
  <c r="C517" i="177"/>
  <c r="R516" i="177"/>
  <c r="U511" i="177"/>
  <c r="S511" i="177"/>
  <c r="R511" i="177"/>
  <c r="U510" i="177"/>
  <c r="S510" i="177"/>
  <c r="R510" i="177"/>
  <c r="U509" i="177"/>
  <c r="S509" i="177"/>
  <c r="R509" i="177"/>
  <c r="U508" i="177"/>
  <c r="S508" i="177"/>
  <c r="R508" i="177"/>
  <c r="U507" i="177"/>
  <c r="S507" i="177"/>
  <c r="R507" i="177"/>
  <c r="U506" i="177"/>
  <c r="S506" i="177"/>
  <c r="R506" i="177"/>
  <c r="R504" i="177"/>
  <c r="F504" i="177" s="1"/>
  <c r="W504" i="177" s="1"/>
  <c r="R503" i="177"/>
  <c r="F503" i="177"/>
  <c r="R501" i="177"/>
  <c r="F501" i="177"/>
  <c r="R500" i="177"/>
  <c r="F500" i="177"/>
  <c r="C500" i="177"/>
  <c r="R499" i="177"/>
  <c r="U494" i="177"/>
  <c r="S494" i="177"/>
  <c r="R494" i="177"/>
  <c r="U493" i="177"/>
  <c r="S493" i="177"/>
  <c r="R493" i="177"/>
  <c r="U492" i="177"/>
  <c r="S492" i="177"/>
  <c r="R492" i="177"/>
  <c r="U491" i="177"/>
  <c r="S491" i="177"/>
  <c r="R491" i="177"/>
  <c r="U490" i="177"/>
  <c r="S490" i="177"/>
  <c r="R490" i="177"/>
  <c r="U489" i="177"/>
  <c r="S489" i="177"/>
  <c r="R489" i="177"/>
  <c r="R487" i="177"/>
  <c r="F487" i="177" s="1"/>
  <c r="W487" i="177" s="1"/>
  <c r="R486" i="177"/>
  <c r="F486" i="177"/>
  <c r="R484" i="177"/>
  <c r="F484" i="177"/>
  <c r="R483" i="177"/>
  <c r="F483" i="177"/>
  <c r="C483" i="177"/>
  <c r="R482" i="177"/>
  <c r="U477" i="177"/>
  <c r="S477" i="177"/>
  <c r="R477" i="177"/>
  <c r="U476" i="177"/>
  <c r="S476" i="177"/>
  <c r="R476" i="177"/>
  <c r="U475" i="177"/>
  <c r="S475" i="177"/>
  <c r="R475" i="177"/>
  <c r="U474" i="177"/>
  <c r="S474" i="177"/>
  <c r="R474" i="177"/>
  <c r="U473" i="177"/>
  <c r="S473" i="177"/>
  <c r="R473" i="177"/>
  <c r="U472" i="177"/>
  <c r="S472" i="177"/>
  <c r="R472" i="177"/>
  <c r="R470" i="177"/>
  <c r="F470" i="177" s="1"/>
  <c r="W470" i="177" s="1"/>
  <c r="R469" i="177"/>
  <c r="F469" i="177"/>
  <c r="R467" i="177"/>
  <c r="F467" i="177"/>
  <c r="R466" i="177"/>
  <c r="F466" i="177"/>
  <c r="C466" i="177"/>
  <c r="R465" i="177"/>
  <c r="U460" i="177"/>
  <c r="S460" i="177"/>
  <c r="R460" i="177"/>
  <c r="U459" i="177"/>
  <c r="S459" i="177"/>
  <c r="R459" i="177"/>
  <c r="U458" i="177"/>
  <c r="S458" i="177"/>
  <c r="R458" i="177"/>
  <c r="U457" i="177"/>
  <c r="S457" i="177"/>
  <c r="R457" i="177"/>
  <c r="U456" i="177"/>
  <c r="S456" i="177"/>
  <c r="R456" i="177"/>
  <c r="U455" i="177"/>
  <c r="S455" i="177"/>
  <c r="R455" i="177"/>
  <c r="R453" i="177"/>
  <c r="F453" i="177" s="1"/>
  <c r="W453" i="177" s="1"/>
  <c r="R452" i="177"/>
  <c r="F452" i="177"/>
  <c r="R450" i="177"/>
  <c r="F450" i="177"/>
  <c r="R449" i="177"/>
  <c r="F449" i="177"/>
  <c r="C449" i="177"/>
  <c r="R448" i="177"/>
  <c r="U443" i="177"/>
  <c r="S443" i="177"/>
  <c r="R443" i="177"/>
  <c r="U442" i="177"/>
  <c r="S442" i="177"/>
  <c r="R442" i="177"/>
  <c r="U441" i="177"/>
  <c r="S441" i="177"/>
  <c r="R441" i="177"/>
  <c r="U440" i="177"/>
  <c r="S440" i="177"/>
  <c r="R440" i="177"/>
  <c r="U439" i="177"/>
  <c r="S439" i="177"/>
  <c r="R439" i="177"/>
  <c r="U438" i="177"/>
  <c r="S438" i="177"/>
  <c r="R438" i="177"/>
  <c r="R436" i="177"/>
  <c r="F436" i="177" s="1"/>
  <c r="W436" i="177" s="1"/>
  <c r="R435" i="177"/>
  <c r="F435" i="177"/>
  <c r="R433" i="177"/>
  <c r="F433" i="177"/>
  <c r="R432" i="177"/>
  <c r="F432" i="177"/>
  <c r="C432" i="177"/>
  <c r="R431" i="177"/>
  <c r="U426" i="177"/>
  <c r="S426" i="177"/>
  <c r="R426" i="177"/>
  <c r="U425" i="177"/>
  <c r="S425" i="177"/>
  <c r="R425" i="177"/>
  <c r="U424" i="177"/>
  <c r="S424" i="177"/>
  <c r="R424" i="177"/>
  <c r="U423" i="177"/>
  <c r="S423" i="177"/>
  <c r="R423" i="177"/>
  <c r="U422" i="177"/>
  <c r="S422" i="177"/>
  <c r="R422" i="177"/>
  <c r="U421" i="177"/>
  <c r="S421" i="177"/>
  <c r="R421" i="177"/>
  <c r="R419" i="177"/>
  <c r="F419" i="177" s="1"/>
  <c r="W419" i="177" s="1"/>
  <c r="R418" i="177"/>
  <c r="F418" i="177"/>
  <c r="R416" i="177"/>
  <c r="F416" i="177"/>
  <c r="R415" i="177"/>
  <c r="F415" i="177"/>
  <c r="C415" i="177"/>
  <c r="R414" i="177"/>
  <c r="U409" i="177"/>
  <c r="S409" i="177"/>
  <c r="R409" i="177"/>
  <c r="U408" i="177"/>
  <c r="S408" i="177"/>
  <c r="R408" i="177"/>
  <c r="U407" i="177"/>
  <c r="S407" i="177"/>
  <c r="R407" i="177"/>
  <c r="U406" i="177"/>
  <c r="S406" i="177"/>
  <c r="R406" i="177"/>
  <c r="U405" i="177"/>
  <c r="S405" i="177"/>
  <c r="R405" i="177"/>
  <c r="U404" i="177"/>
  <c r="S404" i="177"/>
  <c r="R404" i="177"/>
  <c r="R402" i="177"/>
  <c r="F402" i="177" s="1"/>
  <c r="W402" i="177" s="1"/>
  <c r="R401" i="177"/>
  <c r="F401" i="177"/>
  <c r="R399" i="177"/>
  <c r="F399" i="177"/>
  <c r="R398" i="177"/>
  <c r="F398" i="177"/>
  <c r="C398" i="177"/>
  <c r="R397" i="177"/>
  <c r="U392" i="177"/>
  <c r="S392" i="177"/>
  <c r="R392" i="177"/>
  <c r="U391" i="177"/>
  <c r="S391" i="177"/>
  <c r="R391" i="177"/>
  <c r="U390" i="177"/>
  <c r="S390" i="177"/>
  <c r="R390" i="177"/>
  <c r="U389" i="177"/>
  <c r="S389" i="177"/>
  <c r="R389" i="177"/>
  <c r="U388" i="177"/>
  <c r="S388" i="177"/>
  <c r="R388" i="177"/>
  <c r="U387" i="177"/>
  <c r="S387" i="177"/>
  <c r="R387" i="177"/>
  <c r="R385" i="177"/>
  <c r="F385" i="177" s="1"/>
  <c r="W385" i="177" s="1"/>
  <c r="R384" i="177"/>
  <c r="F384" i="177"/>
  <c r="R382" i="177"/>
  <c r="F382" i="177"/>
  <c r="R381" i="177"/>
  <c r="F381" i="177"/>
  <c r="C381" i="177"/>
  <c r="R380" i="177"/>
  <c r="U375" i="177"/>
  <c r="S375" i="177"/>
  <c r="R375" i="177"/>
  <c r="U374" i="177"/>
  <c r="S374" i="177"/>
  <c r="R374" i="177"/>
  <c r="U373" i="177"/>
  <c r="S373" i="177"/>
  <c r="R373" i="177"/>
  <c r="U372" i="177"/>
  <c r="S372" i="177"/>
  <c r="R372" i="177"/>
  <c r="U371" i="177"/>
  <c r="S371" i="177"/>
  <c r="R371" i="177"/>
  <c r="U370" i="177"/>
  <c r="S370" i="177"/>
  <c r="R370" i="177"/>
  <c r="R368" i="177"/>
  <c r="F368" i="177" s="1"/>
  <c r="W368" i="177" s="1"/>
  <c r="R367" i="177"/>
  <c r="F367" i="177"/>
  <c r="R365" i="177"/>
  <c r="F365" i="177"/>
  <c r="R364" i="177"/>
  <c r="F364" i="177"/>
  <c r="C364" i="177"/>
  <c r="R363" i="177"/>
  <c r="U358" i="177"/>
  <c r="S358" i="177"/>
  <c r="R358" i="177"/>
  <c r="U357" i="177"/>
  <c r="S357" i="177"/>
  <c r="R357" i="177"/>
  <c r="U356" i="177"/>
  <c r="S356" i="177"/>
  <c r="R356" i="177"/>
  <c r="U355" i="177"/>
  <c r="S355" i="177"/>
  <c r="R355" i="177"/>
  <c r="U354" i="177"/>
  <c r="S354" i="177"/>
  <c r="R354" i="177"/>
  <c r="U353" i="177"/>
  <c r="S353" i="177"/>
  <c r="R353" i="177"/>
  <c r="R351" i="177"/>
  <c r="F351" i="177" s="1"/>
  <c r="W351" i="177" s="1"/>
  <c r="R350" i="177"/>
  <c r="F350" i="177"/>
  <c r="R348" i="177"/>
  <c r="F348" i="177"/>
  <c r="R347" i="177"/>
  <c r="F347" i="177"/>
  <c r="C347" i="177"/>
  <c r="R346" i="177"/>
  <c r="U341" i="177"/>
  <c r="S341" i="177"/>
  <c r="R341" i="177"/>
  <c r="U340" i="177"/>
  <c r="S340" i="177"/>
  <c r="R340" i="177"/>
  <c r="U339" i="177"/>
  <c r="S339" i="177"/>
  <c r="R339" i="177"/>
  <c r="U338" i="177"/>
  <c r="S338" i="177"/>
  <c r="R338" i="177"/>
  <c r="U337" i="177"/>
  <c r="S337" i="177"/>
  <c r="R337" i="177"/>
  <c r="U336" i="177"/>
  <c r="S336" i="177"/>
  <c r="R336" i="177"/>
  <c r="R334" i="177"/>
  <c r="F334" i="177" s="1"/>
  <c r="W334" i="177" s="1"/>
  <c r="R333" i="177"/>
  <c r="F333" i="177"/>
  <c r="R331" i="177"/>
  <c r="F331" i="177"/>
  <c r="R330" i="177"/>
  <c r="F330" i="177"/>
  <c r="C330" i="177"/>
  <c r="R329" i="177"/>
  <c r="U324" i="177"/>
  <c r="S324" i="177"/>
  <c r="R324" i="177"/>
  <c r="U323" i="177"/>
  <c r="S323" i="177"/>
  <c r="R323" i="177"/>
  <c r="U322" i="177"/>
  <c r="S322" i="177"/>
  <c r="R322" i="177"/>
  <c r="U321" i="177"/>
  <c r="S321" i="177"/>
  <c r="R321" i="177"/>
  <c r="U320" i="177"/>
  <c r="S320" i="177"/>
  <c r="R320" i="177"/>
  <c r="U319" i="177"/>
  <c r="S319" i="177"/>
  <c r="R319" i="177"/>
  <c r="R317" i="177"/>
  <c r="F317" i="177" s="1"/>
  <c r="W317" i="177" s="1"/>
  <c r="R316" i="177"/>
  <c r="F316" i="177"/>
  <c r="R314" i="177"/>
  <c r="F314" i="177"/>
  <c r="R313" i="177"/>
  <c r="F313" i="177"/>
  <c r="C313" i="177"/>
  <c r="R312" i="177"/>
  <c r="U307" i="177"/>
  <c r="S307" i="177"/>
  <c r="R307" i="177"/>
  <c r="U306" i="177"/>
  <c r="S306" i="177"/>
  <c r="R306" i="177"/>
  <c r="U305" i="177"/>
  <c r="S305" i="177"/>
  <c r="R305" i="177"/>
  <c r="U304" i="177"/>
  <c r="S304" i="177"/>
  <c r="R304" i="177"/>
  <c r="U303" i="177"/>
  <c r="S303" i="177"/>
  <c r="R303" i="177"/>
  <c r="U302" i="177"/>
  <c r="S302" i="177"/>
  <c r="R302" i="177"/>
  <c r="R300" i="177"/>
  <c r="F300" i="177" s="1"/>
  <c r="W300" i="177" s="1"/>
  <c r="R299" i="177"/>
  <c r="F299" i="177"/>
  <c r="R297" i="177"/>
  <c r="F297" i="177"/>
  <c r="R296" i="177"/>
  <c r="F296" i="177"/>
  <c r="C296" i="177"/>
  <c r="R295" i="177"/>
  <c r="U290" i="177"/>
  <c r="S290" i="177"/>
  <c r="R290" i="177"/>
  <c r="U289" i="177"/>
  <c r="S289" i="177"/>
  <c r="R289" i="177"/>
  <c r="U288" i="177"/>
  <c r="S288" i="177"/>
  <c r="R288" i="177"/>
  <c r="U287" i="177"/>
  <c r="S287" i="177"/>
  <c r="R287" i="177"/>
  <c r="U286" i="177"/>
  <c r="S286" i="177"/>
  <c r="R286" i="177"/>
  <c r="U285" i="177"/>
  <c r="S285" i="177"/>
  <c r="R285" i="177"/>
  <c r="R283" i="177"/>
  <c r="F283" i="177" s="1"/>
  <c r="W283" i="177" s="1"/>
  <c r="R282" i="177"/>
  <c r="F282" i="177"/>
  <c r="R280" i="177"/>
  <c r="F280" i="177"/>
  <c r="R279" i="177"/>
  <c r="F279" i="177"/>
  <c r="C279" i="177"/>
  <c r="R278" i="177"/>
  <c r="U273" i="177"/>
  <c r="S273" i="177"/>
  <c r="R273" i="177"/>
  <c r="U272" i="177"/>
  <c r="S272" i="177"/>
  <c r="R272" i="177"/>
  <c r="U271" i="177"/>
  <c r="S271" i="177"/>
  <c r="R271" i="177"/>
  <c r="U270" i="177"/>
  <c r="S270" i="177"/>
  <c r="R270" i="177"/>
  <c r="U269" i="177"/>
  <c r="S269" i="177"/>
  <c r="R269" i="177"/>
  <c r="U268" i="177"/>
  <c r="S268" i="177"/>
  <c r="R268" i="177"/>
  <c r="R266" i="177"/>
  <c r="F266" i="177" s="1"/>
  <c r="W266" i="177" s="1"/>
  <c r="R265" i="177"/>
  <c r="F265" i="177"/>
  <c r="R263" i="177"/>
  <c r="F263" i="177"/>
  <c r="R262" i="177"/>
  <c r="F262" i="177"/>
  <c r="C262" i="177"/>
  <c r="R261" i="177"/>
  <c r="U256" i="177"/>
  <c r="S256" i="177"/>
  <c r="R256" i="177"/>
  <c r="U255" i="177"/>
  <c r="S255" i="177"/>
  <c r="R255" i="177"/>
  <c r="U254" i="177"/>
  <c r="S254" i="177"/>
  <c r="R254" i="177"/>
  <c r="U253" i="177"/>
  <c r="S253" i="177"/>
  <c r="R253" i="177"/>
  <c r="U252" i="177"/>
  <c r="S252" i="177"/>
  <c r="R252" i="177"/>
  <c r="U251" i="177"/>
  <c r="S251" i="177"/>
  <c r="R251" i="177"/>
  <c r="R249" i="177"/>
  <c r="F249" i="177" s="1"/>
  <c r="W249" i="177" s="1"/>
  <c r="R248" i="177"/>
  <c r="F248" i="177"/>
  <c r="R246" i="177"/>
  <c r="F246" i="177"/>
  <c r="R245" i="177"/>
  <c r="F245" i="177"/>
  <c r="C245" i="177"/>
  <c r="R244" i="177"/>
  <c r="U239" i="177"/>
  <c r="S239" i="177"/>
  <c r="R239" i="177"/>
  <c r="U238" i="177"/>
  <c r="S238" i="177"/>
  <c r="R238" i="177"/>
  <c r="U237" i="177"/>
  <c r="S237" i="177"/>
  <c r="R237" i="177"/>
  <c r="U236" i="177"/>
  <c r="S236" i="177"/>
  <c r="R236" i="177"/>
  <c r="U235" i="177"/>
  <c r="S235" i="177"/>
  <c r="R235" i="177"/>
  <c r="U234" i="177"/>
  <c r="S234" i="177"/>
  <c r="R234" i="177"/>
  <c r="R232" i="177"/>
  <c r="F232" i="177" s="1"/>
  <c r="W232" i="177" s="1"/>
  <c r="R231" i="177"/>
  <c r="F231" i="177"/>
  <c r="R229" i="177"/>
  <c r="F229" i="177"/>
  <c r="R228" i="177"/>
  <c r="F228" i="177"/>
  <c r="C228" i="177"/>
  <c r="R227" i="177"/>
  <c r="U222" i="177"/>
  <c r="S222" i="177"/>
  <c r="R222" i="177"/>
  <c r="U221" i="177"/>
  <c r="S221" i="177"/>
  <c r="R221" i="177"/>
  <c r="U220" i="177"/>
  <c r="S220" i="177"/>
  <c r="R220" i="177"/>
  <c r="U219" i="177"/>
  <c r="S219" i="177"/>
  <c r="R219" i="177"/>
  <c r="U218" i="177"/>
  <c r="S218" i="177"/>
  <c r="R218" i="177"/>
  <c r="U217" i="177"/>
  <c r="S217" i="177"/>
  <c r="R217" i="177"/>
  <c r="R215" i="177"/>
  <c r="F215" i="177" s="1"/>
  <c r="W215" i="177" s="1"/>
  <c r="R214" i="177"/>
  <c r="F214" i="177"/>
  <c r="R212" i="177"/>
  <c r="F212" i="177"/>
  <c r="R211" i="177"/>
  <c r="F211" i="177"/>
  <c r="C211" i="177"/>
  <c r="R210" i="177"/>
  <c r="U205" i="177"/>
  <c r="S205" i="177"/>
  <c r="R205" i="177"/>
  <c r="U204" i="177"/>
  <c r="S204" i="177"/>
  <c r="R204" i="177"/>
  <c r="U203" i="177"/>
  <c r="S203" i="177"/>
  <c r="R203" i="177"/>
  <c r="U202" i="177"/>
  <c r="S202" i="177"/>
  <c r="R202" i="177"/>
  <c r="U201" i="177"/>
  <c r="S201" i="177"/>
  <c r="R201" i="177"/>
  <c r="U200" i="177"/>
  <c r="S200" i="177"/>
  <c r="R200" i="177"/>
  <c r="R198" i="177"/>
  <c r="F198" i="177" s="1"/>
  <c r="W198" i="177" s="1"/>
  <c r="R197" i="177"/>
  <c r="F197" i="177"/>
  <c r="R195" i="177"/>
  <c r="F195" i="177"/>
  <c r="R194" i="177"/>
  <c r="F194" i="177"/>
  <c r="C194" i="177"/>
  <c r="R193" i="177"/>
  <c r="U188" i="177"/>
  <c r="S188" i="177"/>
  <c r="R188" i="177"/>
  <c r="U187" i="177"/>
  <c r="S187" i="177"/>
  <c r="R187" i="177"/>
  <c r="U186" i="177"/>
  <c r="S186" i="177"/>
  <c r="R186" i="177"/>
  <c r="U185" i="177"/>
  <c r="S185" i="177"/>
  <c r="R185" i="177"/>
  <c r="U184" i="177"/>
  <c r="S184" i="177"/>
  <c r="R184" i="177"/>
  <c r="U183" i="177"/>
  <c r="S183" i="177"/>
  <c r="R183" i="177"/>
  <c r="R181" i="177"/>
  <c r="F181" i="177" s="1"/>
  <c r="W181" i="177" s="1"/>
  <c r="R180" i="177"/>
  <c r="F180" i="177"/>
  <c r="R178" i="177"/>
  <c r="F178" i="177"/>
  <c r="R177" i="177"/>
  <c r="F177" i="177"/>
  <c r="C177" i="177"/>
  <c r="R176" i="177"/>
  <c r="U171" i="177"/>
  <c r="S171" i="177"/>
  <c r="R171" i="177"/>
  <c r="U170" i="177"/>
  <c r="S170" i="177"/>
  <c r="R170" i="177"/>
  <c r="U169" i="177"/>
  <c r="S169" i="177"/>
  <c r="R169" i="177"/>
  <c r="U168" i="177"/>
  <c r="S168" i="177"/>
  <c r="R168" i="177"/>
  <c r="U167" i="177"/>
  <c r="S167" i="177"/>
  <c r="R167" i="177"/>
  <c r="U166" i="177"/>
  <c r="S166" i="177"/>
  <c r="R166" i="177"/>
  <c r="R164" i="177"/>
  <c r="F164" i="177" s="1"/>
  <c r="W164" i="177" s="1"/>
  <c r="R163" i="177"/>
  <c r="F163" i="177"/>
  <c r="R161" i="177"/>
  <c r="F161" i="177"/>
  <c r="R160" i="177"/>
  <c r="F160" i="177"/>
  <c r="C160" i="177"/>
  <c r="R159" i="177"/>
  <c r="U154" i="177"/>
  <c r="S154" i="177"/>
  <c r="R154" i="177"/>
  <c r="U153" i="177"/>
  <c r="S153" i="177"/>
  <c r="R153" i="177"/>
  <c r="U152" i="177"/>
  <c r="S152" i="177"/>
  <c r="R152" i="177"/>
  <c r="U151" i="177"/>
  <c r="S151" i="177"/>
  <c r="R151" i="177"/>
  <c r="U150" i="177"/>
  <c r="S150" i="177"/>
  <c r="R150" i="177"/>
  <c r="U149" i="177"/>
  <c r="S149" i="177"/>
  <c r="R149" i="177"/>
  <c r="R147" i="177"/>
  <c r="F147" i="177" s="1"/>
  <c r="W147" i="177" s="1"/>
  <c r="R146" i="177"/>
  <c r="F146" i="177"/>
  <c r="R144" i="177"/>
  <c r="F144" i="177"/>
  <c r="R143" i="177"/>
  <c r="F143" i="177"/>
  <c r="C143" i="177"/>
  <c r="R142" i="177"/>
  <c r="U137" i="177"/>
  <c r="S137" i="177"/>
  <c r="R137" i="177"/>
  <c r="U136" i="177"/>
  <c r="S136" i="177"/>
  <c r="R136" i="177"/>
  <c r="U135" i="177"/>
  <c r="S135" i="177"/>
  <c r="R135" i="177"/>
  <c r="U134" i="177"/>
  <c r="S134" i="177"/>
  <c r="R134" i="177"/>
  <c r="U133" i="177"/>
  <c r="S133" i="177"/>
  <c r="R133" i="177"/>
  <c r="U132" i="177"/>
  <c r="S132" i="177"/>
  <c r="R132" i="177"/>
  <c r="R130" i="177"/>
  <c r="F130" i="177" s="1"/>
  <c r="W130" i="177" s="1"/>
  <c r="R129" i="177"/>
  <c r="F129" i="177"/>
  <c r="R127" i="177"/>
  <c r="F127" i="177"/>
  <c r="R126" i="177"/>
  <c r="F126" i="177"/>
  <c r="C126" i="177"/>
  <c r="R125" i="177"/>
  <c r="U120" i="177"/>
  <c r="S120" i="177"/>
  <c r="R120" i="177"/>
  <c r="U119" i="177"/>
  <c r="S119" i="177"/>
  <c r="R119" i="177"/>
  <c r="U118" i="177"/>
  <c r="S118" i="177"/>
  <c r="R118" i="177"/>
  <c r="U117" i="177"/>
  <c r="S117" i="177"/>
  <c r="R117" i="177"/>
  <c r="U116" i="177"/>
  <c r="S116" i="177"/>
  <c r="R116" i="177"/>
  <c r="U115" i="177"/>
  <c r="S115" i="177"/>
  <c r="R115" i="177"/>
  <c r="R113" i="177"/>
  <c r="F113" i="177" s="1"/>
  <c r="W113" i="177" s="1"/>
  <c r="R112" i="177"/>
  <c r="F112" i="177"/>
  <c r="R110" i="177"/>
  <c r="F110" i="177"/>
  <c r="R109" i="177"/>
  <c r="F109" i="177"/>
  <c r="C109" i="177"/>
  <c r="R108" i="177"/>
  <c r="U103" i="177"/>
  <c r="S103" i="177"/>
  <c r="R103" i="177"/>
  <c r="U102" i="177"/>
  <c r="S102" i="177"/>
  <c r="R102" i="177"/>
  <c r="U101" i="177"/>
  <c r="S101" i="177"/>
  <c r="R101" i="177"/>
  <c r="U100" i="177"/>
  <c r="S100" i="177"/>
  <c r="R100" i="177"/>
  <c r="U99" i="177"/>
  <c r="S99" i="177"/>
  <c r="R99" i="177"/>
  <c r="U98" i="177"/>
  <c r="S98" i="177"/>
  <c r="R98" i="177"/>
  <c r="R96" i="177"/>
  <c r="F96" i="177" s="1"/>
  <c r="W96" i="177" s="1"/>
  <c r="R95" i="177"/>
  <c r="F95" i="177"/>
  <c r="R93" i="177"/>
  <c r="F93" i="177"/>
  <c r="R92" i="177"/>
  <c r="F92" i="177"/>
  <c r="C92" i="177"/>
  <c r="R91" i="177"/>
  <c r="U86" i="177"/>
  <c r="S86" i="177"/>
  <c r="R86" i="177"/>
  <c r="U85" i="177"/>
  <c r="S85" i="177"/>
  <c r="R85" i="177"/>
  <c r="U84" i="177"/>
  <c r="S84" i="177"/>
  <c r="R84" i="177"/>
  <c r="U83" i="177"/>
  <c r="S83" i="177"/>
  <c r="R83" i="177"/>
  <c r="U82" i="177"/>
  <c r="S82" i="177"/>
  <c r="R82" i="177"/>
  <c r="U81" i="177"/>
  <c r="S81" i="177"/>
  <c r="R81" i="177"/>
  <c r="R79" i="177"/>
  <c r="F79" i="177" s="1"/>
  <c r="W79" i="177" s="1"/>
  <c r="R78" i="177"/>
  <c r="F78" i="177"/>
  <c r="R76" i="177"/>
  <c r="F76" i="177"/>
  <c r="R75" i="177"/>
  <c r="F75" i="177"/>
  <c r="C75" i="177"/>
  <c r="R74" i="177"/>
  <c r="U69" i="177"/>
  <c r="S69" i="177"/>
  <c r="R69" i="177"/>
  <c r="U68" i="177"/>
  <c r="S68" i="177"/>
  <c r="R68" i="177"/>
  <c r="U67" i="177"/>
  <c r="S67" i="177"/>
  <c r="R67" i="177"/>
  <c r="U66" i="177"/>
  <c r="S66" i="177"/>
  <c r="R66" i="177"/>
  <c r="U65" i="177"/>
  <c r="S65" i="177"/>
  <c r="R65" i="177"/>
  <c r="U64" i="177"/>
  <c r="S64" i="177"/>
  <c r="R64" i="177"/>
  <c r="R62" i="177"/>
  <c r="F62" i="177" s="1"/>
  <c r="W62" i="177" s="1"/>
  <c r="R61" i="177"/>
  <c r="F61" i="177"/>
  <c r="R59" i="177"/>
  <c r="F59" i="177"/>
  <c r="R58" i="177"/>
  <c r="F58" i="177"/>
  <c r="C58" i="177"/>
  <c r="R57" i="177"/>
  <c r="U52" i="177"/>
  <c r="S52" i="177"/>
  <c r="R52" i="177"/>
  <c r="U51" i="177"/>
  <c r="S51" i="177"/>
  <c r="R51" i="177"/>
  <c r="U50" i="177"/>
  <c r="S50" i="177"/>
  <c r="R50" i="177"/>
  <c r="U49" i="177"/>
  <c r="S49" i="177"/>
  <c r="R49" i="177"/>
  <c r="U48" i="177"/>
  <c r="S48" i="177"/>
  <c r="R48" i="177"/>
  <c r="U47" i="177"/>
  <c r="S47" i="177"/>
  <c r="R47" i="177"/>
  <c r="R45" i="177"/>
  <c r="F45" i="177" s="1"/>
  <c r="W45" i="177" s="1"/>
  <c r="R44" i="177"/>
  <c r="F44" i="177"/>
  <c r="R42" i="177"/>
  <c r="F42" i="177"/>
  <c r="R41" i="177"/>
  <c r="F41" i="177"/>
  <c r="C41" i="177"/>
  <c r="R40" i="177"/>
  <c r="U35" i="177"/>
  <c r="S35" i="177"/>
  <c r="R35" i="177"/>
  <c r="U34" i="177"/>
  <c r="S34" i="177"/>
  <c r="R34" i="177"/>
  <c r="U33" i="177"/>
  <c r="S33" i="177"/>
  <c r="R33" i="177"/>
  <c r="U32" i="177"/>
  <c r="S32" i="177"/>
  <c r="R32" i="177"/>
  <c r="U31" i="177"/>
  <c r="S31" i="177"/>
  <c r="R31" i="177"/>
  <c r="U30" i="177"/>
  <c r="S30" i="177"/>
  <c r="R30" i="177"/>
  <c r="R28" i="177"/>
  <c r="F28" i="177" s="1"/>
  <c r="W28" i="177" s="1"/>
  <c r="R27" i="177"/>
  <c r="F27" i="177"/>
  <c r="R25" i="177"/>
  <c r="F25" i="177"/>
  <c r="R24" i="177"/>
  <c r="F24" i="177"/>
  <c r="C24" i="177"/>
  <c r="R23" i="177"/>
  <c r="R8" i="177"/>
  <c r="F8" i="177"/>
  <c r="F7" i="177"/>
  <c r="Y801" i="161"/>
  <c r="W801" i="161"/>
  <c r="U801" i="161"/>
  <c r="T801" i="161"/>
  <c r="R801" i="161"/>
  <c r="Y800" i="161"/>
  <c r="W800" i="161"/>
  <c r="U800" i="161"/>
  <c r="T800" i="161"/>
  <c r="R800" i="161"/>
  <c r="Y799" i="161"/>
  <c r="W799" i="161"/>
  <c r="U799" i="161"/>
  <c r="T799" i="161"/>
  <c r="R799" i="161"/>
  <c r="Y798" i="161"/>
  <c r="W798" i="161"/>
  <c r="U798" i="161"/>
  <c r="T798" i="161"/>
  <c r="R798" i="161"/>
  <c r="Y797" i="161"/>
  <c r="W797" i="161"/>
  <c r="U797" i="161"/>
  <c r="T797" i="161"/>
  <c r="R797" i="161"/>
  <c r="Y796" i="161"/>
  <c r="W796" i="161"/>
  <c r="U796" i="161"/>
  <c r="T796" i="161"/>
  <c r="R796" i="161"/>
  <c r="R794" i="161"/>
  <c r="F794" i="161" s="1"/>
  <c r="AA794" i="161" s="1"/>
  <c r="R793" i="161"/>
  <c r="F793" i="161"/>
  <c r="R792" i="161"/>
  <c r="F792" i="161"/>
  <c r="R791" i="161"/>
  <c r="F791" i="161"/>
  <c r="C791" i="161"/>
  <c r="R790" i="161"/>
  <c r="Y785" i="161"/>
  <c r="W785" i="161"/>
  <c r="U785" i="161"/>
  <c r="T785" i="161"/>
  <c r="R785" i="161"/>
  <c r="Y784" i="161"/>
  <c r="W784" i="161"/>
  <c r="U784" i="161"/>
  <c r="T784" i="161"/>
  <c r="R784" i="161"/>
  <c r="Y783" i="161"/>
  <c r="W783" i="161"/>
  <c r="U783" i="161"/>
  <c r="T783" i="161"/>
  <c r="R783" i="161"/>
  <c r="Y782" i="161"/>
  <c r="W782" i="161"/>
  <c r="U782" i="161"/>
  <c r="T782" i="161"/>
  <c r="R782" i="161"/>
  <c r="Y781" i="161"/>
  <c r="W781" i="161"/>
  <c r="U781" i="161"/>
  <c r="T781" i="161"/>
  <c r="R781" i="161"/>
  <c r="Y780" i="161"/>
  <c r="W780" i="161"/>
  <c r="U780" i="161"/>
  <c r="T780" i="161"/>
  <c r="R780" i="161"/>
  <c r="R778" i="161"/>
  <c r="F778" i="161" s="1"/>
  <c r="AA778" i="161" s="1"/>
  <c r="R777" i="161"/>
  <c r="F777" i="161"/>
  <c r="R776" i="161"/>
  <c r="F776" i="161"/>
  <c r="R775" i="161"/>
  <c r="F775" i="161"/>
  <c r="C775" i="161"/>
  <c r="R774" i="161"/>
  <c r="Y769" i="161"/>
  <c r="W769" i="161"/>
  <c r="U769" i="161"/>
  <c r="T769" i="161"/>
  <c r="R769" i="161"/>
  <c r="Y768" i="161"/>
  <c r="W768" i="161"/>
  <c r="U768" i="161"/>
  <c r="T768" i="161"/>
  <c r="R768" i="161"/>
  <c r="Y767" i="161"/>
  <c r="W767" i="161"/>
  <c r="U767" i="161"/>
  <c r="T767" i="161"/>
  <c r="R767" i="161"/>
  <c r="Y766" i="161"/>
  <c r="W766" i="161"/>
  <c r="U766" i="161"/>
  <c r="T766" i="161"/>
  <c r="R766" i="161"/>
  <c r="Y765" i="161"/>
  <c r="W765" i="161"/>
  <c r="U765" i="161"/>
  <c r="T765" i="161"/>
  <c r="R765" i="161"/>
  <c r="Y764" i="161"/>
  <c r="W764" i="161"/>
  <c r="U764" i="161"/>
  <c r="T764" i="161"/>
  <c r="R764" i="161"/>
  <c r="R762" i="161"/>
  <c r="F762" i="161" s="1"/>
  <c r="AA762" i="161" s="1"/>
  <c r="R761" i="161"/>
  <c r="F761" i="161"/>
  <c r="R760" i="161"/>
  <c r="F760" i="161"/>
  <c r="R759" i="161"/>
  <c r="F759" i="161"/>
  <c r="C759" i="161"/>
  <c r="R758" i="161"/>
  <c r="Y753" i="161"/>
  <c r="W753" i="161"/>
  <c r="U753" i="161"/>
  <c r="T753" i="161"/>
  <c r="R753" i="161"/>
  <c r="Y752" i="161"/>
  <c r="W752" i="161"/>
  <c r="U752" i="161"/>
  <c r="T752" i="161"/>
  <c r="R752" i="161"/>
  <c r="Y751" i="161"/>
  <c r="W751" i="161"/>
  <c r="U751" i="161"/>
  <c r="T751" i="161"/>
  <c r="R751" i="161"/>
  <c r="Y750" i="161"/>
  <c r="W750" i="161"/>
  <c r="U750" i="161"/>
  <c r="T750" i="161"/>
  <c r="R750" i="161"/>
  <c r="Y749" i="161"/>
  <c r="W749" i="161"/>
  <c r="U749" i="161"/>
  <c r="T749" i="161"/>
  <c r="R749" i="161"/>
  <c r="Y748" i="161"/>
  <c r="W748" i="161"/>
  <c r="U748" i="161"/>
  <c r="T748" i="161"/>
  <c r="R748" i="161"/>
  <c r="R746" i="161"/>
  <c r="F746" i="161" s="1"/>
  <c r="AA746" i="161" s="1"/>
  <c r="R745" i="161"/>
  <c r="F745" i="161"/>
  <c r="R744" i="161"/>
  <c r="F744" i="161"/>
  <c r="R743" i="161"/>
  <c r="F743" i="161"/>
  <c r="C743" i="161"/>
  <c r="R742" i="161"/>
  <c r="Y737" i="161"/>
  <c r="W737" i="161"/>
  <c r="U737" i="161"/>
  <c r="T737" i="161"/>
  <c r="R737" i="161"/>
  <c r="Y736" i="161"/>
  <c r="W736" i="161"/>
  <c r="U736" i="161"/>
  <c r="T736" i="161"/>
  <c r="R736" i="161"/>
  <c r="Y735" i="161"/>
  <c r="W735" i="161"/>
  <c r="U735" i="161"/>
  <c r="T735" i="161"/>
  <c r="R735" i="161"/>
  <c r="Y734" i="161"/>
  <c r="W734" i="161"/>
  <c r="U734" i="161"/>
  <c r="T734" i="161"/>
  <c r="R734" i="161"/>
  <c r="Y733" i="161"/>
  <c r="W733" i="161"/>
  <c r="U733" i="161"/>
  <c r="T733" i="161"/>
  <c r="R733" i="161"/>
  <c r="Y732" i="161"/>
  <c r="W732" i="161"/>
  <c r="U732" i="161"/>
  <c r="T732" i="161"/>
  <c r="R732" i="161"/>
  <c r="R730" i="161"/>
  <c r="F730" i="161" s="1"/>
  <c r="AA730" i="161" s="1"/>
  <c r="R729" i="161"/>
  <c r="F729" i="161"/>
  <c r="R728" i="161"/>
  <c r="F728" i="161"/>
  <c r="R727" i="161"/>
  <c r="F727" i="161"/>
  <c r="C727" i="161"/>
  <c r="R726" i="161"/>
  <c r="Y721" i="161"/>
  <c r="W721" i="161"/>
  <c r="U721" i="161"/>
  <c r="T721" i="161"/>
  <c r="R721" i="161"/>
  <c r="Y720" i="161"/>
  <c r="W720" i="161"/>
  <c r="U720" i="161"/>
  <c r="T720" i="161"/>
  <c r="R720" i="161"/>
  <c r="Y719" i="161"/>
  <c r="W719" i="161"/>
  <c r="U719" i="161"/>
  <c r="T719" i="161"/>
  <c r="R719" i="161"/>
  <c r="Y718" i="161"/>
  <c r="W718" i="161"/>
  <c r="U718" i="161"/>
  <c r="T718" i="161"/>
  <c r="R718" i="161"/>
  <c r="Y717" i="161"/>
  <c r="W717" i="161"/>
  <c r="U717" i="161"/>
  <c r="T717" i="161"/>
  <c r="R717" i="161"/>
  <c r="Y716" i="161"/>
  <c r="W716" i="161"/>
  <c r="U716" i="161"/>
  <c r="T716" i="161"/>
  <c r="R716" i="161"/>
  <c r="R714" i="161"/>
  <c r="F714" i="161" s="1"/>
  <c r="AA714" i="161" s="1"/>
  <c r="R713" i="161"/>
  <c r="F713" i="161"/>
  <c r="R712" i="161"/>
  <c r="F712" i="161"/>
  <c r="R711" i="161"/>
  <c r="F711" i="161"/>
  <c r="C711" i="161"/>
  <c r="R710" i="161"/>
  <c r="Y705" i="161"/>
  <c r="W705" i="161"/>
  <c r="U705" i="161"/>
  <c r="T705" i="161"/>
  <c r="R705" i="161"/>
  <c r="Y704" i="161"/>
  <c r="W704" i="161"/>
  <c r="U704" i="161"/>
  <c r="T704" i="161"/>
  <c r="R704" i="161"/>
  <c r="Y703" i="161"/>
  <c r="W703" i="161"/>
  <c r="U703" i="161"/>
  <c r="T703" i="161"/>
  <c r="R703" i="161"/>
  <c r="Y702" i="161"/>
  <c r="W702" i="161"/>
  <c r="U702" i="161"/>
  <c r="T702" i="161"/>
  <c r="R702" i="161"/>
  <c r="Y701" i="161"/>
  <c r="W701" i="161"/>
  <c r="U701" i="161"/>
  <c r="T701" i="161"/>
  <c r="R701" i="161"/>
  <c r="Y700" i="161"/>
  <c r="W700" i="161"/>
  <c r="U700" i="161"/>
  <c r="T700" i="161"/>
  <c r="R700" i="161"/>
  <c r="R698" i="161"/>
  <c r="F698" i="161" s="1"/>
  <c r="AA698" i="161" s="1"/>
  <c r="R697" i="161"/>
  <c r="F697" i="161"/>
  <c r="R696" i="161"/>
  <c r="F696" i="161"/>
  <c r="R695" i="161"/>
  <c r="F695" i="161"/>
  <c r="C695" i="161"/>
  <c r="R694" i="161"/>
  <c r="Y689" i="161"/>
  <c r="W689" i="161"/>
  <c r="U689" i="161"/>
  <c r="T689" i="161"/>
  <c r="R689" i="161"/>
  <c r="Y688" i="161"/>
  <c r="W688" i="161"/>
  <c r="U688" i="161"/>
  <c r="T688" i="161"/>
  <c r="R688" i="161"/>
  <c r="Y687" i="161"/>
  <c r="W687" i="161"/>
  <c r="U687" i="161"/>
  <c r="T687" i="161"/>
  <c r="R687" i="161"/>
  <c r="Y686" i="161"/>
  <c r="W686" i="161"/>
  <c r="U686" i="161"/>
  <c r="T686" i="161"/>
  <c r="R686" i="161"/>
  <c r="Y685" i="161"/>
  <c r="W685" i="161"/>
  <c r="U685" i="161"/>
  <c r="T685" i="161"/>
  <c r="R685" i="161"/>
  <c r="Y684" i="161"/>
  <c r="W684" i="161"/>
  <c r="U684" i="161"/>
  <c r="T684" i="161"/>
  <c r="R684" i="161"/>
  <c r="R682" i="161"/>
  <c r="F682" i="161" s="1"/>
  <c r="AA682" i="161" s="1"/>
  <c r="R681" i="161"/>
  <c r="F681" i="161"/>
  <c r="R680" i="161"/>
  <c r="F680" i="161"/>
  <c r="R679" i="161"/>
  <c r="F679" i="161"/>
  <c r="C679" i="161"/>
  <c r="R678" i="161"/>
  <c r="Y673" i="161"/>
  <c r="W673" i="161"/>
  <c r="U673" i="161"/>
  <c r="T673" i="161"/>
  <c r="R673" i="161"/>
  <c r="Y672" i="161"/>
  <c r="W672" i="161"/>
  <c r="U672" i="161"/>
  <c r="T672" i="161"/>
  <c r="R672" i="161"/>
  <c r="Y671" i="161"/>
  <c r="W671" i="161"/>
  <c r="U671" i="161"/>
  <c r="T671" i="161"/>
  <c r="R671" i="161"/>
  <c r="Y670" i="161"/>
  <c r="W670" i="161"/>
  <c r="U670" i="161"/>
  <c r="T670" i="161"/>
  <c r="R670" i="161"/>
  <c r="Y669" i="161"/>
  <c r="W669" i="161"/>
  <c r="U669" i="161"/>
  <c r="T669" i="161"/>
  <c r="R669" i="161"/>
  <c r="Y668" i="161"/>
  <c r="W668" i="161"/>
  <c r="U668" i="161"/>
  <c r="T668" i="161"/>
  <c r="R668" i="161"/>
  <c r="R666" i="161"/>
  <c r="F666" i="161" s="1"/>
  <c r="AA666" i="161" s="1"/>
  <c r="R665" i="161"/>
  <c r="F665" i="161"/>
  <c r="R664" i="161"/>
  <c r="F664" i="161"/>
  <c r="R663" i="161"/>
  <c r="F663" i="161"/>
  <c r="C663" i="161"/>
  <c r="R662" i="161"/>
  <c r="Y657" i="161"/>
  <c r="W657" i="161"/>
  <c r="U657" i="161"/>
  <c r="T657" i="161"/>
  <c r="R657" i="161"/>
  <c r="Y656" i="161"/>
  <c r="W656" i="161"/>
  <c r="U656" i="161"/>
  <c r="T656" i="161"/>
  <c r="R656" i="161"/>
  <c r="Y655" i="161"/>
  <c r="W655" i="161"/>
  <c r="U655" i="161"/>
  <c r="T655" i="161"/>
  <c r="R655" i="161"/>
  <c r="Y654" i="161"/>
  <c r="W654" i="161"/>
  <c r="U654" i="161"/>
  <c r="T654" i="161"/>
  <c r="R654" i="161"/>
  <c r="Y653" i="161"/>
  <c r="W653" i="161"/>
  <c r="U653" i="161"/>
  <c r="T653" i="161"/>
  <c r="R653" i="161"/>
  <c r="Y652" i="161"/>
  <c r="W652" i="161"/>
  <c r="U652" i="161"/>
  <c r="T652" i="161"/>
  <c r="R652" i="161"/>
  <c r="R650" i="161"/>
  <c r="F650" i="161" s="1"/>
  <c r="AA650" i="161" s="1"/>
  <c r="R649" i="161"/>
  <c r="F649" i="161"/>
  <c r="R648" i="161"/>
  <c r="F648" i="161"/>
  <c r="R647" i="161"/>
  <c r="F647" i="161"/>
  <c r="C647" i="161"/>
  <c r="R646" i="161"/>
  <c r="Y641" i="161"/>
  <c r="W641" i="161"/>
  <c r="U641" i="161"/>
  <c r="T641" i="161"/>
  <c r="R641" i="161"/>
  <c r="Y640" i="161"/>
  <c r="W640" i="161"/>
  <c r="U640" i="161"/>
  <c r="T640" i="161"/>
  <c r="R640" i="161"/>
  <c r="Y639" i="161"/>
  <c r="W639" i="161"/>
  <c r="U639" i="161"/>
  <c r="T639" i="161"/>
  <c r="R639" i="161"/>
  <c r="Y638" i="161"/>
  <c r="W638" i="161"/>
  <c r="U638" i="161"/>
  <c r="T638" i="161"/>
  <c r="R638" i="161"/>
  <c r="Y637" i="161"/>
  <c r="W637" i="161"/>
  <c r="U637" i="161"/>
  <c r="T637" i="161"/>
  <c r="R637" i="161"/>
  <c r="Y636" i="161"/>
  <c r="W636" i="161"/>
  <c r="U636" i="161"/>
  <c r="T636" i="161"/>
  <c r="R636" i="161"/>
  <c r="R634" i="161"/>
  <c r="F634" i="161" s="1"/>
  <c r="AA634" i="161" s="1"/>
  <c r="R633" i="161"/>
  <c r="F633" i="161"/>
  <c r="R632" i="161"/>
  <c r="F632" i="161"/>
  <c r="R631" i="161"/>
  <c r="F631" i="161"/>
  <c r="C631" i="161"/>
  <c r="R630" i="161"/>
  <c r="Y625" i="161"/>
  <c r="W625" i="161"/>
  <c r="U625" i="161"/>
  <c r="T625" i="161"/>
  <c r="R625" i="161"/>
  <c r="Y624" i="161"/>
  <c r="W624" i="161"/>
  <c r="U624" i="161"/>
  <c r="T624" i="161"/>
  <c r="R624" i="161"/>
  <c r="Y623" i="161"/>
  <c r="W623" i="161"/>
  <c r="U623" i="161"/>
  <c r="T623" i="161"/>
  <c r="R623" i="161"/>
  <c r="Y622" i="161"/>
  <c r="W622" i="161"/>
  <c r="U622" i="161"/>
  <c r="T622" i="161"/>
  <c r="R622" i="161"/>
  <c r="Y621" i="161"/>
  <c r="W621" i="161"/>
  <c r="U621" i="161"/>
  <c r="T621" i="161"/>
  <c r="R621" i="161"/>
  <c r="Y620" i="161"/>
  <c r="W620" i="161"/>
  <c r="U620" i="161"/>
  <c r="T620" i="161"/>
  <c r="R620" i="161"/>
  <c r="R618" i="161"/>
  <c r="F618" i="161" s="1"/>
  <c r="AA618" i="161" s="1"/>
  <c r="R617" i="161"/>
  <c r="F617" i="161"/>
  <c r="R616" i="161"/>
  <c r="F616" i="161"/>
  <c r="R615" i="161"/>
  <c r="F615" i="161"/>
  <c r="C615" i="161"/>
  <c r="R614" i="161"/>
  <c r="Y609" i="161"/>
  <c r="W609" i="161"/>
  <c r="U609" i="161"/>
  <c r="T609" i="161"/>
  <c r="R609" i="161"/>
  <c r="Y608" i="161"/>
  <c r="W608" i="161"/>
  <c r="U608" i="161"/>
  <c r="T608" i="161"/>
  <c r="R608" i="161"/>
  <c r="Y607" i="161"/>
  <c r="W607" i="161"/>
  <c r="U607" i="161"/>
  <c r="T607" i="161"/>
  <c r="R607" i="161"/>
  <c r="Y606" i="161"/>
  <c r="W606" i="161"/>
  <c r="U606" i="161"/>
  <c r="T606" i="161"/>
  <c r="R606" i="161"/>
  <c r="Y605" i="161"/>
  <c r="W605" i="161"/>
  <c r="U605" i="161"/>
  <c r="T605" i="161"/>
  <c r="R605" i="161"/>
  <c r="Y604" i="161"/>
  <c r="W604" i="161"/>
  <c r="U604" i="161"/>
  <c r="T604" i="161"/>
  <c r="R604" i="161"/>
  <c r="R602" i="161"/>
  <c r="F602" i="161" s="1"/>
  <c r="AA602" i="161" s="1"/>
  <c r="R601" i="161"/>
  <c r="F601" i="161"/>
  <c r="R600" i="161"/>
  <c r="F600" i="161"/>
  <c r="R599" i="161"/>
  <c r="F599" i="161"/>
  <c r="C599" i="161"/>
  <c r="R598" i="161"/>
  <c r="Y593" i="161"/>
  <c r="W593" i="161"/>
  <c r="U593" i="161"/>
  <c r="T593" i="161"/>
  <c r="R593" i="161"/>
  <c r="Y592" i="161"/>
  <c r="W592" i="161"/>
  <c r="U592" i="161"/>
  <c r="T592" i="161"/>
  <c r="R592" i="161"/>
  <c r="Y591" i="161"/>
  <c r="W591" i="161"/>
  <c r="U591" i="161"/>
  <c r="T591" i="161"/>
  <c r="R591" i="161"/>
  <c r="Y590" i="161"/>
  <c r="W590" i="161"/>
  <c r="U590" i="161"/>
  <c r="T590" i="161"/>
  <c r="R590" i="161"/>
  <c r="Y589" i="161"/>
  <c r="W589" i="161"/>
  <c r="U589" i="161"/>
  <c r="T589" i="161"/>
  <c r="R589" i="161"/>
  <c r="Y588" i="161"/>
  <c r="W588" i="161"/>
  <c r="U588" i="161"/>
  <c r="T588" i="161"/>
  <c r="R588" i="161"/>
  <c r="R586" i="161"/>
  <c r="F586" i="161" s="1"/>
  <c r="AA586" i="161" s="1"/>
  <c r="R585" i="161"/>
  <c r="F585" i="161"/>
  <c r="R584" i="161"/>
  <c r="F584" i="161"/>
  <c r="R583" i="161"/>
  <c r="F583" i="161"/>
  <c r="C583" i="161"/>
  <c r="R582" i="161"/>
  <c r="Y577" i="161"/>
  <c r="W577" i="161"/>
  <c r="U577" i="161"/>
  <c r="T577" i="161"/>
  <c r="R577" i="161"/>
  <c r="Y576" i="161"/>
  <c r="W576" i="161"/>
  <c r="U576" i="161"/>
  <c r="T576" i="161"/>
  <c r="R576" i="161"/>
  <c r="Y575" i="161"/>
  <c r="W575" i="161"/>
  <c r="U575" i="161"/>
  <c r="T575" i="161"/>
  <c r="R575" i="161"/>
  <c r="Y574" i="161"/>
  <c r="W574" i="161"/>
  <c r="U574" i="161"/>
  <c r="T574" i="161"/>
  <c r="R574" i="161"/>
  <c r="Y573" i="161"/>
  <c r="W573" i="161"/>
  <c r="U573" i="161"/>
  <c r="T573" i="161"/>
  <c r="R573" i="161"/>
  <c r="Y572" i="161"/>
  <c r="W572" i="161"/>
  <c r="U572" i="161"/>
  <c r="T572" i="161"/>
  <c r="R572" i="161"/>
  <c r="R570" i="161"/>
  <c r="F570" i="161" s="1"/>
  <c r="AA570" i="161" s="1"/>
  <c r="R569" i="161"/>
  <c r="F569" i="161"/>
  <c r="R568" i="161"/>
  <c r="F568" i="161"/>
  <c r="R567" i="161"/>
  <c r="F567" i="161"/>
  <c r="C567" i="161"/>
  <c r="R566" i="161"/>
  <c r="Y561" i="161"/>
  <c r="W561" i="161"/>
  <c r="U561" i="161"/>
  <c r="T561" i="161"/>
  <c r="R561" i="161"/>
  <c r="Y560" i="161"/>
  <c r="W560" i="161"/>
  <c r="U560" i="161"/>
  <c r="T560" i="161"/>
  <c r="R560" i="161"/>
  <c r="Y559" i="161"/>
  <c r="W559" i="161"/>
  <c r="U559" i="161"/>
  <c r="T559" i="161"/>
  <c r="R559" i="161"/>
  <c r="Y558" i="161"/>
  <c r="W558" i="161"/>
  <c r="U558" i="161"/>
  <c r="T558" i="161"/>
  <c r="R558" i="161"/>
  <c r="Y557" i="161"/>
  <c r="W557" i="161"/>
  <c r="U557" i="161"/>
  <c r="T557" i="161"/>
  <c r="R557" i="161"/>
  <c r="Y556" i="161"/>
  <c r="W556" i="161"/>
  <c r="U556" i="161"/>
  <c r="T556" i="161"/>
  <c r="R556" i="161"/>
  <c r="R554" i="161"/>
  <c r="F554" i="161" s="1"/>
  <c r="AA554" i="161" s="1"/>
  <c r="R553" i="161"/>
  <c r="F553" i="161"/>
  <c r="R552" i="161"/>
  <c r="F552" i="161"/>
  <c r="R551" i="161"/>
  <c r="F551" i="161"/>
  <c r="C551" i="161"/>
  <c r="R550" i="161"/>
  <c r="Y545" i="161"/>
  <c r="W545" i="161"/>
  <c r="U545" i="161"/>
  <c r="T545" i="161"/>
  <c r="R545" i="161"/>
  <c r="Y544" i="161"/>
  <c r="W544" i="161"/>
  <c r="U544" i="161"/>
  <c r="T544" i="161"/>
  <c r="R544" i="161"/>
  <c r="Y543" i="161"/>
  <c r="W543" i="161"/>
  <c r="U543" i="161"/>
  <c r="T543" i="161"/>
  <c r="R543" i="161"/>
  <c r="Y542" i="161"/>
  <c r="W542" i="161"/>
  <c r="U542" i="161"/>
  <c r="T542" i="161"/>
  <c r="R542" i="161"/>
  <c r="Y541" i="161"/>
  <c r="W541" i="161"/>
  <c r="U541" i="161"/>
  <c r="T541" i="161"/>
  <c r="R541" i="161"/>
  <c r="Y540" i="161"/>
  <c r="W540" i="161"/>
  <c r="U540" i="161"/>
  <c r="T540" i="161"/>
  <c r="R540" i="161"/>
  <c r="R538" i="161"/>
  <c r="F538" i="161" s="1"/>
  <c r="AA538" i="161" s="1"/>
  <c r="R537" i="161"/>
  <c r="F537" i="161"/>
  <c r="R536" i="161"/>
  <c r="F536" i="161"/>
  <c r="R535" i="161"/>
  <c r="F535" i="161"/>
  <c r="C535" i="161"/>
  <c r="R534" i="161"/>
  <c r="Y529" i="161"/>
  <c r="W529" i="161"/>
  <c r="U529" i="161"/>
  <c r="T529" i="161"/>
  <c r="R529" i="161"/>
  <c r="Y528" i="161"/>
  <c r="W528" i="161"/>
  <c r="U528" i="161"/>
  <c r="T528" i="161"/>
  <c r="R528" i="161"/>
  <c r="Y527" i="161"/>
  <c r="W527" i="161"/>
  <c r="U527" i="161"/>
  <c r="T527" i="161"/>
  <c r="R527" i="161"/>
  <c r="Y526" i="161"/>
  <c r="W526" i="161"/>
  <c r="U526" i="161"/>
  <c r="T526" i="161"/>
  <c r="R526" i="161"/>
  <c r="Y525" i="161"/>
  <c r="W525" i="161"/>
  <c r="U525" i="161"/>
  <c r="T525" i="161"/>
  <c r="R525" i="161"/>
  <c r="Y524" i="161"/>
  <c r="W524" i="161"/>
  <c r="U524" i="161"/>
  <c r="T524" i="161"/>
  <c r="R524" i="161"/>
  <c r="R522" i="161"/>
  <c r="F522" i="161" s="1"/>
  <c r="AA522" i="161" s="1"/>
  <c r="R521" i="161"/>
  <c r="F521" i="161"/>
  <c r="R520" i="161"/>
  <c r="F520" i="161"/>
  <c r="R519" i="161"/>
  <c r="F519" i="161"/>
  <c r="C519" i="161"/>
  <c r="R518" i="161"/>
  <c r="Y513" i="161"/>
  <c r="W513" i="161"/>
  <c r="U513" i="161"/>
  <c r="T513" i="161"/>
  <c r="R513" i="161"/>
  <c r="Y512" i="161"/>
  <c r="W512" i="161"/>
  <c r="U512" i="161"/>
  <c r="T512" i="161"/>
  <c r="R512" i="161"/>
  <c r="Y511" i="161"/>
  <c r="W511" i="161"/>
  <c r="U511" i="161"/>
  <c r="T511" i="161"/>
  <c r="R511" i="161"/>
  <c r="Y510" i="161"/>
  <c r="W510" i="161"/>
  <c r="U510" i="161"/>
  <c r="T510" i="161"/>
  <c r="R510" i="161"/>
  <c r="Y509" i="161"/>
  <c r="W509" i="161"/>
  <c r="U509" i="161"/>
  <c r="T509" i="161"/>
  <c r="R509" i="161"/>
  <c r="Y508" i="161"/>
  <c r="W508" i="161"/>
  <c r="U508" i="161"/>
  <c r="T508" i="161"/>
  <c r="R508" i="161"/>
  <c r="R506" i="161"/>
  <c r="F506" i="161" s="1"/>
  <c r="AA506" i="161" s="1"/>
  <c r="R505" i="161"/>
  <c r="F505" i="161"/>
  <c r="R504" i="161"/>
  <c r="F504" i="161"/>
  <c r="R503" i="161"/>
  <c r="F503" i="161"/>
  <c r="C503" i="161"/>
  <c r="R502" i="161"/>
  <c r="Y497" i="161"/>
  <c r="W497" i="161"/>
  <c r="U497" i="161"/>
  <c r="T497" i="161"/>
  <c r="R497" i="161"/>
  <c r="Y496" i="161"/>
  <c r="W496" i="161"/>
  <c r="U496" i="161"/>
  <c r="T496" i="161"/>
  <c r="R496" i="161"/>
  <c r="Y495" i="161"/>
  <c r="W495" i="161"/>
  <c r="U495" i="161"/>
  <c r="T495" i="161"/>
  <c r="R495" i="161"/>
  <c r="Y494" i="161"/>
  <c r="W494" i="161"/>
  <c r="U494" i="161"/>
  <c r="T494" i="161"/>
  <c r="R494" i="161"/>
  <c r="Y493" i="161"/>
  <c r="W493" i="161"/>
  <c r="U493" i="161"/>
  <c r="T493" i="161"/>
  <c r="R493" i="161"/>
  <c r="Y492" i="161"/>
  <c r="W492" i="161"/>
  <c r="U492" i="161"/>
  <c r="T492" i="161"/>
  <c r="R492" i="161"/>
  <c r="R490" i="161"/>
  <c r="F490" i="161" s="1"/>
  <c r="AA490" i="161" s="1"/>
  <c r="R489" i="161"/>
  <c r="F489" i="161"/>
  <c r="R488" i="161"/>
  <c r="F488" i="161"/>
  <c r="R487" i="161"/>
  <c r="F487" i="161"/>
  <c r="C487" i="161"/>
  <c r="R486" i="161"/>
  <c r="Y481" i="161"/>
  <c r="W481" i="161"/>
  <c r="U481" i="161"/>
  <c r="T481" i="161"/>
  <c r="R481" i="161"/>
  <c r="Y480" i="161"/>
  <c r="W480" i="161"/>
  <c r="U480" i="161"/>
  <c r="T480" i="161"/>
  <c r="R480" i="161"/>
  <c r="Y479" i="161"/>
  <c r="W479" i="161"/>
  <c r="U479" i="161"/>
  <c r="T479" i="161"/>
  <c r="R479" i="161"/>
  <c r="Y478" i="161"/>
  <c r="W478" i="161"/>
  <c r="U478" i="161"/>
  <c r="T478" i="161"/>
  <c r="R478" i="161"/>
  <c r="Y477" i="161"/>
  <c r="W477" i="161"/>
  <c r="U477" i="161"/>
  <c r="T477" i="161"/>
  <c r="R477" i="161"/>
  <c r="Y476" i="161"/>
  <c r="W476" i="161"/>
  <c r="U476" i="161"/>
  <c r="T476" i="161"/>
  <c r="R476" i="161"/>
  <c r="R474" i="161"/>
  <c r="F474" i="161" s="1"/>
  <c r="AA474" i="161" s="1"/>
  <c r="R473" i="161"/>
  <c r="F473" i="161"/>
  <c r="R472" i="161"/>
  <c r="F472" i="161"/>
  <c r="R471" i="161"/>
  <c r="F471" i="161"/>
  <c r="C471" i="161"/>
  <c r="R470" i="161"/>
  <c r="Y465" i="161"/>
  <c r="W465" i="161"/>
  <c r="U465" i="161"/>
  <c r="T465" i="161"/>
  <c r="R465" i="161"/>
  <c r="Y464" i="161"/>
  <c r="W464" i="161"/>
  <c r="U464" i="161"/>
  <c r="T464" i="161"/>
  <c r="R464" i="161"/>
  <c r="Y463" i="161"/>
  <c r="W463" i="161"/>
  <c r="U463" i="161"/>
  <c r="T463" i="161"/>
  <c r="R463" i="161"/>
  <c r="Y462" i="161"/>
  <c r="W462" i="161"/>
  <c r="U462" i="161"/>
  <c r="T462" i="161"/>
  <c r="R462" i="161"/>
  <c r="Y461" i="161"/>
  <c r="W461" i="161"/>
  <c r="U461" i="161"/>
  <c r="T461" i="161"/>
  <c r="R461" i="161"/>
  <c r="Y460" i="161"/>
  <c r="W460" i="161"/>
  <c r="U460" i="161"/>
  <c r="T460" i="161"/>
  <c r="R460" i="161"/>
  <c r="R458" i="161"/>
  <c r="F458" i="161" s="1"/>
  <c r="AA458" i="161" s="1"/>
  <c r="R457" i="161"/>
  <c r="F457" i="161"/>
  <c r="R456" i="161"/>
  <c r="F456" i="161"/>
  <c r="R455" i="161"/>
  <c r="F455" i="161"/>
  <c r="C455" i="161"/>
  <c r="R454" i="161"/>
  <c r="Y449" i="161"/>
  <c r="W449" i="161"/>
  <c r="U449" i="161"/>
  <c r="T449" i="161"/>
  <c r="R449" i="161"/>
  <c r="Y448" i="161"/>
  <c r="W448" i="161"/>
  <c r="U448" i="161"/>
  <c r="T448" i="161"/>
  <c r="R448" i="161"/>
  <c r="Y447" i="161"/>
  <c r="W447" i="161"/>
  <c r="U447" i="161"/>
  <c r="T447" i="161"/>
  <c r="R447" i="161"/>
  <c r="Y446" i="161"/>
  <c r="W446" i="161"/>
  <c r="U446" i="161"/>
  <c r="T446" i="161"/>
  <c r="R446" i="161"/>
  <c r="Y445" i="161"/>
  <c r="W445" i="161"/>
  <c r="U445" i="161"/>
  <c r="T445" i="161"/>
  <c r="R445" i="161"/>
  <c r="Y444" i="161"/>
  <c r="W444" i="161"/>
  <c r="U444" i="161"/>
  <c r="T444" i="161"/>
  <c r="R444" i="161"/>
  <c r="R442" i="161"/>
  <c r="F442" i="161" s="1"/>
  <c r="AA442" i="161" s="1"/>
  <c r="R441" i="161"/>
  <c r="F441" i="161"/>
  <c r="R440" i="161"/>
  <c r="F440" i="161"/>
  <c r="R439" i="161"/>
  <c r="F439" i="161"/>
  <c r="C439" i="161"/>
  <c r="R438" i="161"/>
  <c r="Y433" i="161"/>
  <c r="W433" i="161"/>
  <c r="U433" i="161"/>
  <c r="T433" i="161"/>
  <c r="R433" i="161"/>
  <c r="Y432" i="161"/>
  <c r="W432" i="161"/>
  <c r="U432" i="161"/>
  <c r="T432" i="161"/>
  <c r="R432" i="161"/>
  <c r="Y431" i="161"/>
  <c r="W431" i="161"/>
  <c r="U431" i="161"/>
  <c r="T431" i="161"/>
  <c r="R431" i="161"/>
  <c r="Y430" i="161"/>
  <c r="W430" i="161"/>
  <c r="U430" i="161"/>
  <c r="T430" i="161"/>
  <c r="R430" i="161"/>
  <c r="Y429" i="161"/>
  <c r="W429" i="161"/>
  <c r="U429" i="161"/>
  <c r="T429" i="161"/>
  <c r="R429" i="161"/>
  <c r="Y428" i="161"/>
  <c r="W428" i="161"/>
  <c r="U428" i="161"/>
  <c r="T428" i="161"/>
  <c r="R428" i="161"/>
  <c r="R426" i="161"/>
  <c r="F426" i="161" s="1"/>
  <c r="AA426" i="161" s="1"/>
  <c r="R425" i="161"/>
  <c r="F425" i="161"/>
  <c r="R424" i="161"/>
  <c r="F424" i="161"/>
  <c r="R423" i="161"/>
  <c r="F423" i="161"/>
  <c r="C423" i="161"/>
  <c r="R422" i="161"/>
  <c r="Y417" i="161"/>
  <c r="W417" i="161"/>
  <c r="U417" i="161"/>
  <c r="T417" i="161"/>
  <c r="R417" i="161"/>
  <c r="Y416" i="161"/>
  <c r="W416" i="161"/>
  <c r="U416" i="161"/>
  <c r="T416" i="161"/>
  <c r="R416" i="161"/>
  <c r="Y415" i="161"/>
  <c r="W415" i="161"/>
  <c r="U415" i="161"/>
  <c r="T415" i="161"/>
  <c r="R415" i="161"/>
  <c r="Y414" i="161"/>
  <c r="W414" i="161"/>
  <c r="U414" i="161"/>
  <c r="T414" i="161"/>
  <c r="R414" i="161"/>
  <c r="Y413" i="161"/>
  <c r="W413" i="161"/>
  <c r="U413" i="161"/>
  <c r="T413" i="161"/>
  <c r="R413" i="161"/>
  <c r="Y412" i="161"/>
  <c r="W412" i="161"/>
  <c r="U412" i="161"/>
  <c r="T412" i="161"/>
  <c r="R412" i="161"/>
  <c r="R410" i="161"/>
  <c r="F410" i="161" s="1"/>
  <c r="AA410" i="161" s="1"/>
  <c r="R409" i="161"/>
  <c r="F409" i="161"/>
  <c r="R408" i="161"/>
  <c r="F408" i="161"/>
  <c r="R407" i="161"/>
  <c r="F407" i="161"/>
  <c r="C407" i="161"/>
  <c r="R406" i="161"/>
  <c r="Y401" i="161"/>
  <c r="W401" i="161"/>
  <c r="U401" i="161"/>
  <c r="T401" i="161"/>
  <c r="R401" i="161"/>
  <c r="Y400" i="161"/>
  <c r="W400" i="161"/>
  <c r="U400" i="161"/>
  <c r="T400" i="161"/>
  <c r="R400" i="161"/>
  <c r="Y399" i="161"/>
  <c r="W399" i="161"/>
  <c r="U399" i="161"/>
  <c r="T399" i="161"/>
  <c r="R399" i="161"/>
  <c r="Y398" i="161"/>
  <c r="W398" i="161"/>
  <c r="U398" i="161"/>
  <c r="T398" i="161"/>
  <c r="R398" i="161"/>
  <c r="Y397" i="161"/>
  <c r="W397" i="161"/>
  <c r="U397" i="161"/>
  <c r="T397" i="161"/>
  <c r="R397" i="161"/>
  <c r="Y396" i="161"/>
  <c r="W396" i="161"/>
  <c r="U396" i="161"/>
  <c r="T396" i="161"/>
  <c r="R396" i="161"/>
  <c r="R394" i="161"/>
  <c r="F394" i="161" s="1"/>
  <c r="AA394" i="161" s="1"/>
  <c r="R393" i="161"/>
  <c r="F393" i="161"/>
  <c r="R392" i="161"/>
  <c r="F392" i="161"/>
  <c r="R391" i="161"/>
  <c r="F391" i="161"/>
  <c r="C391" i="161"/>
  <c r="R390" i="161"/>
  <c r="Y385" i="161"/>
  <c r="W385" i="161"/>
  <c r="U385" i="161"/>
  <c r="T385" i="161"/>
  <c r="R385" i="161"/>
  <c r="Y384" i="161"/>
  <c r="W384" i="161"/>
  <c r="U384" i="161"/>
  <c r="T384" i="161"/>
  <c r="R384" i="161"/>
  <c r="Y383" i="161"/>
  <c r="W383" i="161"/>
  <c r="U383" i="161"/>
  <c r="T383" i="161"/>
  <c r="R383" i="161"/>
  <c r="Y382" i="161"/>
  <c r="W382" i="161"/>
  <c r="U382" i="161"/>
  <c r="T382" i="161"/>
  <c r="R382" i="161"/>
  <c r="Y381" i="161"/>
  <c r="W381" i="161"/>
  <c r="U381" i="161"/>
  <c r="T381" i="161"/>
  <c r="R381" i="161"/>
  <c r="Y380" i="161"/>
  <c r="W380" i="161"/>
  <c r="U380" i="161"/>
  <c r="T380" i="161"/>
  <c r="R380" i="161"/>
  <c r="R378" i="161"/>
  <c r="F378" i="161" s="1"/>
  <c r="AA378" i="161" s="1"/>
  <c r="R377" i="161"/>
  <c r="F377" i="161"/>
  <c r="R376" i="161"/>
  <c r="F376" i="161"/>
  <c r="R375" i="161"/>
  <c r="F375" i="161"/>
  <c r="C375" i="161"/>
  <c r="R374" i="161"/>
  <c r="Y369" i="161"/>
  <c r="W369" i="161"/>
  <c r="U369" i="161"/>
  <c r="T369" i="161"/>
  <c r="R369" i="161"/>
  <c r="Y368" i="161"/>
  <c r="W368" i="161"/>
  <c r="U368" i="161"/>
  <c r="T368" i="161"/>
  <c r="R368" i="161"/>
  <c r="Y367" i="161"/>
  <c r="W367" i="161"/>
  <c r="U367" i="161"/>
  <c r="T367" i="161"/>
  <c r="R367" i="161"/>
  <c r="Y366" i="161"/>
  <c r="W366" i="161"/>
  <c r="U366" i="161"/>
  <c r="T366" i="161"/>
  <c r="R366" i="161"/>
  <c r="Y365" i="161"/>
  <c r="W365" i="161"/>
  <c r="U365" i="161"/>
  <c r="T365" i="161"/>
  <c r="R365" i="161"/>
  <c r="Y364" i="161"/>
  <c r="W364" i="161"/>
  <c r="U364" i="161"/>
  <c r="T364" i="161"/>
  <c r="R364" i="161"/>
  <c r="R362" i="161"/>
  <c r="F362" i="161" s="1"/>
  <c r="AA362" i="161" s="1"/>
  <c r="R361" i="161"/>
  <c r="F361" i="161"/>
  <c r="R360" i="161"/>
  <c r="F360" i="161"/>
  <c r="R359" i="161"/>
  <c r="F359" i="161"/>
  <c r="C359" i="161"/>
  <c r="R358" i="161"/>
  <c r="Y353" i="161"/>
  <c r="W353" i="161"/>
  <c r="U353" i="161"/>
  <c r="T353" i="161"/>
  <c r="R353" i="161"/>
  <c r="Y352" i="161"/>
  <c r="W352" i="161"/>
  <c r="U352" i="161"/>
  <c r="T352" i="161"/>
  <c r="R352" i="161"/>
  <c r="Y351" i="161"/>
  <c r="W351" i="161"/>
  <c r="U351" i="161"/>
  <c r="T351" i="161"/>
  <c r="R351" i="161"/>
  <c r="Y350" i="161"/>
  <c r="W350" i="161"/>
  <c r="U350" i="161"/>
  <c r="T350" i="161"/>
  <c r="R350" i="161"/>
  <c r="Y349" i="161"/>
  <c r="W349" i="161"/>
  <c r="U349" i="161"/>
  <c r="T349" i="161"/>
  <c r="R349" i="161"/>
  <c r="Y348" i="161"/>
  <c r="W348" i="161"/>
  <c r="U348" i="161"/>
  <c r="T348" i="161"/>
  <c r="R348" i="161"/>
  <c r="R346" i="161"/>
  <c r="F346" i="161" s="1"/>
  <c r="AA346" i="161" s="1"/>
  <c r="R345" i="161"/>
  <c r="F345" i="161"/>
  <c r="R344" i="161"/>
  <c r="F344" i="161"/>
  <c r="R343" i="161"/>
  <c r="F343" i="161"/>
  <c r="C343" i="161"/>
  <c r="R342" i="161"/>
  <c r="Y337" i="161"/>
  <c r="W337" i="161"/>
  <c r="U337" i="161"/>
  <c r="T337" i="161"/>
  <c r="R337" i="161"/>
  <c r="Y336" i="161"/>
  <c r="W336" i="161"/>
  <c r="U336" i="161"/>
  <c r="T336" i="161"/>
  <c r="R336" i="161"/>
  <c r="Y335" i="161"/>
  <c r="W335" i="161"/>
  <c r="U335" i="161"/>
  <c r="T335" i="161"/>
  <c r="R335" i="161"/>
  <c r="Y334" i="161"/>
  <c r="W334" i="161"/>
  <c r="U334" i="161"/>
  <c r="T334" i="161"/>
  <c r="R334" i="161"/>
  <c r="Y333" i="161"/>
  <c r="W333" i="161"/>
  <c r="U333" i="161"/>
  <c r="T333" i="161"/>
  <c r="R333" i="161"/>
  <c r="Y332" i="161"/>
  <c r="W332" i="161"/>
  <c r="U332" i="161"/>
  <c r="T332" i="161"/>
  <c r="R332" i="161"/>
  <c r="R330" i="161"/>
  <c r="F330" i="161" s="1"/>
  <c r="AA330" i="161" s="1"/>
  <c r="R329" i="161"/>
  <c r="F329" i="161"/>
  <c r="R328" i="161"/>
  <c r="F328" i="161"/>
  <c r="R327" i="161"/>
  <c r="F327" i="161"/>
  <c r="C327" i="161"/>
  <c r="R326" i="161"/>
  <c r="Y321" i="161"/>
  <c r="W321" i="161"/>
  <c r="U321" i="161"/>
  <c r="T321" i="161"/>
  <c r="R321" i="161"/>
  <c r="Y320" i="161"/>
  <c r="W320" i="161"/>
  <c r="U320" i="161"/>
  <c r="T320" i="161"/>
  <c r="R320" i="161"/>
  <c r="Y319" i="161"/>
  <c r="W319" i="161"/>
  <c r="U319" i="161"/>
  <c r="T319" i="161"/>
  <c r="R319" i="161"/>
  <c r="Y318" i="161"/>
  <c r="W318" i="161"/>
  <c r="U318" i="161"/>
  <c r="T318" i="161"/>
  <c r="R318" i="161"/>
  <c r="Y317" i="161"/>
  <c r="W317" i="161"/>
  <c r="U317" i="161"/>
  <c r="T317" i="161"/>
  <c r="R317" i="161"/>
  <c r="Y316" i="161"/>
  <c r="W316" i="161"/>
  <c r="U316" i="161"/>
  <c r="T316" i="161"/>
  <c r="R316" i="161"/>
  <c r="R314" i="161"/>
  <c r="F314" i="161" s="1"/>
  <c r="AA314" i="161" s="1"/>
  <c r="R313" i="161"/>
  <c r="F313" i="161"/>
  <c r="R312" i="161"/>
  <c r="F312" i="161"/>
  <c r="R311" i="161"/>
  <c r="F311" i="161"/>
  <c r="C311" i="161"/>
  <c r="R310" i="161"/>
  <c r="Y305" i="161"/>
  <c r="W305" i="161"/>
  <c r="U305" i="161"/>
  <c r="T305" i="161"/>
  <c r="R305" i="161"/>
  <c r="Y304" i="161"/>
  <c r="W304" i="161"/>
  <c r="U304" i="161"/>
  <c r="T304" i="161"/>
  <c r="R304" i="161"/>
  <c r="Y303" i="161"/>
  <c r="W303" i="161"/>
  <c r="U303" i="161"/>
  <c r="T303" i="161"/>
  <c r="R303" i="161"/>
  <c r="Y302" i="161"/>
  <c r="W302" i="161"/>
  <c r="U302" i="161"/>
  <c r="T302" i="161"/>
  <c r="R302" i="161"/>
  <c r="Y301" i="161"/>
  <c r="W301" i="161"/>
  <c r="U301" i="161"/>
  <c r="T301" i="161"/>
  <c r="R301" i="161"/>
  <c r="Y300" i="161"/>
  <c r="W300" i="161"/>
  <c r="U300" i="161"/>
  <c r="T300" i="161"/>
  <c r="R300" i="161"/>
  <c r="R298" i="161"/>
  <c r="F298" i="161" s="1"/>
  <c r="AA298" i="161" s="1"/>
  <c r="R297" i="161"/>
  <c r="F297" i="161"/>
  <c r="R296" i="161"/>
  <c r="F296" i="161"/>
  <c r="R295" i="161"/>
  <c r="F295" i="161"/>
  <c r="C295" i="161"/>
  <c r="R294" i="161"/>
  <c r="Y289" i="161"/>
  <c r="W289" i="161"/>
  <c r="U289" i="161"/>
  <c r="T289" i="161"/>
  <c r="R289" i="161"/>
  <c r="Y288" i="161"/>
  <c r="W288" i="161"/>
  <c r="U288" i="161"/>
  <c r="T288" i="161"/>
  <c r="R288" i="161"/>
  <c r="Y287" i="161"/>
  <c r="W287" i="161"/>
  <c r="U287" i="161"/>
  <c r="T287" i="161"/>
  <c r="R287" i="161"/>
  <c r="Y286" i="161"/>
  <c r="W286" i="161"/>
  <c r="U286" i="161"/>
  <c r="T286" i="161"/>
  <c r="R286" i="161"/>
  <c r="W285" i="161"/>
  <c r="U285" i="161"/>
  <c r="T285" i="161"/>
  <c r="R285" i="161"/>
  <c r="Y284" i="161"/>
  <c r="W284" i="161"/>
  <c r="U284" i="161"/>
  <c r="T284" i="161"/>
  <c r="R284" i="161"/>
  <c r="R282" i="161"/>
  <c r="F282" i="161" s="1"/>
  <c r="AA282" i="161" s="1"/>
  <c r="R281" i="161"/>
  <c r="F281" i="161"/>
  <c r="R280" i="161"/>
  <c r="F280" i="161"/>
  <c r="R279" i="161"/>
  <c r="F279" i="161"/>
  <c r="C279" i="161"/>
  <c r="R278" i="161"/>
  <c r="Y273" i="161"/>
  <c r="W273" i="161"/>
  <c r="U273" i="161"/>
  <c r="T273" i="161"/>
  <c r="R273" i="161"/>
  <c r="Y272" i="161"/>
  <c r="W272" i="161"/>
  <c r="U272" i="161"/>
  <c r="T272" i="161"/>
  <c r="R272" i="161"/>
  <c r="Y271" i="161"/>
  <c r="W271" i="161"/>
  <c r="U271" i="161"/>
  <c r="T271" i="161"/>
  <c r="R271" i="161"/>
  <c r="Y270" i="161"/>
  <c r="W270" i="161"/>
  <c r="U270" i="161"/>
  <c r="T270" i="161"/>
  <c r="R270" i="161"/>
  <c r="Y269" i="161"/>
  <c r="W269" i="161"/>
  <c r="U269" i="161"/>
  <c r="T269" i="161"/>
  <c r="R269" i="161"/>
  <c r="Y268" i="161"/>
  <c r="W268" i="161"/>
  <c r="U268" i="161"/>
  <c r="T268" i="161"/>
  <c r="R268" i="161"/>
  <c r="R266" i="161"/>
  <c r="F266" i="161" s="1"/>
  <c r="AA266" i="161" s="1"/>
  <c r="R265" i="161"/>
  <c r="F265" i="161"/>
  <c r="R264" i="161"/>
  <c r="F264" i="161"/>
  <c r="R263" i="161"/>
  <c r="F263" i="161"/>
  <c r="C263" i="161"/>
  <c r="R262" i="161"/>
  <c r="Y257" i="161"/>
  <c r="W257" i="161"/>
  <c r="U257" i="161"/>
  <c r="T257" i="161"/>
  <c r="R257" i="161"/>
  <c r="Y256" i="161"/>
  <c r="W256" i="161"/>
  <c r="U256" i="161"/>
  <c r="T256" i="161"/>
  <c r="R256" i="161"/>
  <c r="Y255" i="161"/>
  <c r="W255" i="161"/>
  <c r="U255" i="161"/>
  <c r="T255" i="161"/>
  <c r="R255" i="161"/>
  <c r="Y254" i="161"/>
  <c r="W254" i="161"/>
  <c r="U254" i="161"/>
  <c r="T254" i="161"/>
  <c r="R254" i="161"/>
  <c r="Y253" i="161"/>
  <c r="W253" i="161"/>
  <c r="U253" i="161"/>
  <c r="T253" i="161"/>
  <c r="R253" i="161"/>
  <c r="Y252" i="161"/>
  <c r="W252" i="161"/>
  <c r="U252" i="161"/>
  <c r="T252" i="161"/>
  <c r="R252" i="161"/>
  <c r="R250" i="161"/>
  <c r="F250" i="161" s="1"/>
  <c r="AA250" i="161" s="1"/>
  <c r="R249" i="161"/>
  <c r="F249" i="161"/>
  <c r="R248" i="161"/>
  <c r="F248" i="161"/>
  <c r="R247" i="161"/>
  <c r="F247" i="161"/>
  <c r="C247" i="161"/>
  <c r="R246" i="161"/>
  <c r="Y241" i="161"/>
  <c r="W241" i="161"/>
  <c r="U241" i="161"/>
  <c r="T241" i="161"/>
  <c r="R241" i="161"/>
  <c r="Y240" i="161"/>
  <c r="W240" i="161"/>
  <c r="U240" i="161"/>
  <c r="T240" i="161"/>
  <c r="R240" i="161"/>
  <c r="Y239" i="161"/>
  <c r="W239" i="161"/>
  <c r="U239" i="161"/>
  <c r="T239" i="161"/>
  <c r="R239" i="161"/>
  <c r="Y238" i="161"/>
  <c r="W238" i="161"/>
  <c r="U238" i="161"/>
  <c r="T238" i="161"/>
  <c r="R238" i="161"/>
  <c r="Y237" i="161"/>
  <c r="W237" i="161"/>
  <c r="U237" i="161"/>
  <c r="T237" i="161"/>
  <c r="R237" i="161"/>
  <c r="Y236" i="161"/>
  <c r="W236" i="161"/>
  <c r="U236" i="161"/>
  <c r="T236" i="161"/>
  <c r="R236" i="161"/>
  <c r="R234" i="161"/>
  <c r="F234" i="161" s="1"/>
  <c r="AA234" i="161" s="1"/>
  <c r="R233" i="161"/>
  <c r="F233" i="161"/>
  <c r="R232" i="161"/>
  <c r="F232" i="161"/>
  <c r="R231" i="161"/>
  <c r="F231" i="161"/>
  <c r="C231" i="161"/>
  <c r="R230" i="161"/>
  <c r="Y225" i="161"/>
  <c r="W225" i="161"/>
  <c r="U225" i="161"/>
  <c r="T225" i="161"/>
  <c r="R225" i="161"/>
  <c r="Y224" i="161"/>
  <c r="W224" i="161"/>
  <c r="U224" i="161"/>
  <c r="T224" i="161"/>
  <c r="R224" i="161"/>
  <c r="Y223" i="161"/>
  <c r="W223" i="161"/>
  <c r="U223" i="161"/>
  <c r="T223" i="161"/>
  <c r="R223" i="161"/>
  <c r="Y222" i="161"/>
  <c r="W222" i="161"/>
  <c r="U222" i="161"/>
  <c r="T222" i="161"/>
  <c r="R222" i="161"/>
  <c r="Y221" i="161"/>
  <c r="W221" i="161"/>
  <c r="U221" i="161"/>
  <c r="T221" i="161"/>
  <c r="R221" i="161"/>
  <c r="Y220" i="161"/>
  <c r="W220" i="161"/>
  <c r="U220" i="161"/>
  <c r="T220" i="161"/>
  <c r="R220" i="161"/>
  <c r="R218" i="161"/>
  <c r="F218" i="161" s="1"/>
  <c r="AA218" i="161" s="1"/>
  <c r="R217" i="161"/>
  <c r="F217" i="161"/>
  <c r="R216" i="161"/>
  <c r="F216" i="161"/>
  <c r="R215" i="161"/>
  <c r="F215" i="161"/>
  <c r="C215" i="161"/>
  <c r="R214" i="161"/>
  <c r="Y209" i="161"/>
  <c r="W209" i="161"/>
  <c r="U209" i="161"/>
  <c r="T209" i="161"/>
  <c r="R209" i="161"/>
  <c r="Y208" i="161"/>
  <c r="W208" i="161"/>
  <c r="U208" i="161"/>
  <c r="T208" i="161"/>
  <c r="R208" i="161"/>
  <c r="Y207" i="161"/>
  <c r="W207" i="161"/>
  <c r="U207" i="161"/>
  <c r="T207" i="161"/>
  <c r="R207" i="161"/>
  <c r="Y206" i="161"/>
  <c r="W206" i="161"/>
  <c r="U206" i="161"/>
  <c r="T206" i="161"/>
  <c r="R206" i="161"/>
  <c r="Y205" i="161"/>
  <c r="W205" i="161"/>
  <c r="U205" i="161"/>
  <c r="T205" i="161"/>
  <c r="R205" i="161"/>
  <c r="Y204" i="161"/>
  <c r="W204" i="161"/>
  <c r="U204" i="161"/>
  <c r="T204" i="161"/>
  <c r="R204" i="161"/>
  <c r="R202" i="161"/>
  <c r="F202" i="161" s="1"/>
  <c r="AA202" i="161" s="1"/>
  <c r="R201" i="161"/>
  <c r="F201" i="161"/>
  <c r="R200" i="161"/>
  <c r="F200" i="161"/>
  <c r="R199" i="161"/>
  <c r="F199" i="161"/>
  <c r="C199" i="161"/>
  <c r="R198" i="161"/>
  <c r="Y193" i="161"/>
  <c r="W193" i="161"/>
  <c r="U193" i="161"/>
  <c r="T193" i="161"/>
  <c r="R193" i="161"/>
  <c r="Y192" i="161"/>
  <c r="W192" i="161"/>
  <c r="U192" i="161"/>
  <c r="T192" i="161"/>
  <c r="R192" i="161"/>
  <c r="Y191" i="161"/>
  <c r="W191" i="161"/>
  <c r="U191" i="161"/>
  <c r="T191" i="161"/>
  <c r="R191" i="161"/>
  <c r="Y190" i="161"/>
  <c r="W190" i="161"/>
  <c r="U190" i="161"/>
  <c r="T190" i="161"/>
  <c r="R190" i="161"/>
  <c r="Y189" i="161"/>
  <c r="W189" i="161"/>
  <c r="U189" i="161"/>
  <c r="T189" i="161"/>
  <c r="R189" i="161"/>
  <c r="Y188" i="161"/>
  <c r="W188" i="161"/>
  <c r="U188" i="161"/>
  <c r="T188" i="161"/>
  <c r="R188" i="161"/>
  <c r="R186" i="161"/>
  <c r="F186" i="161" s="1"/>
  <c r="AA186" i="161" s="1"/>
  <c r="R185" i="161"/>
  <c r="F185" i="161"/>
  <c r="R184" i="161"/>
  <c r="F184" i="161"/>
  <c r="R183" i="161"/>
  <c r="F183" i="161"/>
  <c r="C183" i="161"/>
  <c r="R182" i="161"/>
  <c r="Y177" i="161"/>
  <c r="W177" i="161"/>
  <c r="U177" i="161"/>
  <c r="T177" i="161"/>
  <c r="R177" i="161"/>
  <c r="Y176" i="161"/>
  <c r="W176" i="161"/>
  <c r="U176" i="161"/>
  <c r="T176" i="161"/>
  <c r="R176" i="161"/>
  <c r="Y175" i="161"/>
  <c r="W175" i="161"/>
  <c r="U175" i="161"/>
  <c r="T175" i="161"/>
  <c r="R175" i="161"/>
  <c r="Y174" i="161"/>
  <c r="W174" i="161"/>
  <c r="U174" i="161"/>
  <c r="T174" i="161"/>
  <c r="R174" i="161"/>
  <c r="Y173" i="161"/>
  <c r="W173" i="161"/>
  <c r="U173" i="161"/>
  <c r="T173" i="161"/>
  <c r="R173" i="161"/>
  <c r="Y172" i="161"/>
  <c r="W172" i="161"/>
  <c r="U172" i="161"/>
  <c r="T172" i="161"/>
  <c r="R172" i="161"/>
  <c r="R170" i="161"/>
  <c r="F170" i="161" s="1"/>
  <c r="AA170" i="161" s="1"/>
  <c r="R169" i="161"/>
  <c r="F169" i="161"/>
  <c r="R168" i="161"/>
  <c r="F168" i="161"/>
  <c r="R167" i="161"/>
  <c r="F167" i="161"/>
  <c r="C167" i="161"/>
  <c r="R166" i="161"/>
  <c r="Y161" i="161"/>
  <c r="W161" i="161"/>
  <c r="U161" i="161"/>
  <c r="T161" i="161"/>
  <c r="R161" i="161"/>
  <c r="Y160" i="161"/>
  <c r="W160" i="161"/>
  <c r="U160" i="161"/>
  <c r="T160" i="161"/>
  <c r="R160" i="161"/>
  <c r="Y159" i="161"/>
  <c r="W159" i="161"/>
  <c r="U159" i="161"/>
  <c r="T159" i="161"/>
  <c r="R159" i="161"/>
  <c r="Y158" i="161"/>
  <c r="W158" i="161"/>
  <c r="U158" i="161"/>
  <c r="T158" i="161"/>
  <c r="R158" i="161"/>
  <c r="Y157" i="161"/>
  <c r="W157" i="161"/>
  <c r="U157" i="161"/>
  <c r="T157" i="161"/>
  <c r="R157" i="161"/>
  <c r="Y156" i="161"/>
  <c r="W156" i="161"/>
  <c r="U156" i="161"/>
  <c r="T156" i="161"/>
  <c r="R156" i="161"/>
  <c r="R154" i="161"/>
  <c r="F154" i="161" s="1"/>
  <c r="AA154" i="161" s="1"/>
  <c r="R153" i="161"/>
  <c r="F153" i="161"/>
  <c r="R152" i="161"/>
  <c r="F152" i="161"/>
  <c r="R151" i="161"/>
  <c r="F151" i="161"/>
  <c r="C151" i="161"/>
  <c r="R150" i="161"/>
  <c r="Y145" i="161"/>
  <c r="W145" i="161"/>
  <c r="U145" i="161"/>
  <c r="T145" i="161"/>
  <c r="R145" i="161"/>
  <c r="Y144" i="161"/>
  <c r="W144" i="161"/>
  <c r="U144" i="161"/>
  <c r="T144" i="161"/>
  <c r="R144" i="161"/>
  <c r="Y143" i="161"/>
  <c r="W143" i="161"/>
  <c r="U143" i="161"/>
  <c r="T143" i="161"/>
  <c r="R143" i="161"/>
  <c r="Y142" i="161"/>
  <c r="W142" i="161"/>
  <c r="U142" i="161"/>
  <c r="T142" i="161"/>
  <c r="R142" i="161"/>
  <c r="Y141" i="161"/>
  <c r="W141" i="161"/>
  <c r="U141" i="161"/>
  <c r="T141" i="161"/>
  <c r="R141" i="161"/>
  <c r="Y140" i="161"/>
  <c r="W140" i="161"/>
  <c r="U140" i="161"/>
  <c r="T140" i="161"/>
  <c r="R140" i="161"/>
  <c r="R138" i="161"/>
  <c r="F138" i="161" s="1"/>
  <c r="AA138" i="161" s="1"/>
  <c r="R137" i="161"/>
  <c r="F137" i="161"/>
  <c r="R136" i="161"/>
  <c r="F136" i="161"/>
  <c r="R135" i="161"/>
  <c r="F135" i="161"/>
  <c r="C135" i="161"/>
  <c r="R134" i="161"/>
  <c r="Y129" i="161"/>
  <c r="W129" i="161"/>
  <c r="U129" i="161"/>
  <c r="T129" i="161"/>
  <c r="R129" i="161"/>
  <c r="Y128" i="161"/>
  <c r="W128" i="161"/>
  <c r="U128" i="161"/>
  <c r="T128" i="161"/>
  <c r="R128" i="161"/>
  <c r="Y127" i="161"/>
  <c r="W127" i="161"/>
  <c r="U127" i="161"/>
  <c r="T127" i="161"/>
  <c r="R127" i="161"/>
  <c r="Y126" i="161"/>
  <c r="W126" i="161"/>
  <c r="U126" i="161"/>
  <c r="T126" i="161"/>
  <c r="R126" i="161"/>
  <c r="Y125" i="161"/>
  <c r="W125" i="161"/>
  <c r="U125" i="161"/>
  <c r="T125" i="161"/>
  <c r="R125" i="161"/>
  <c r="Y124" i="161"/>
  <c r="W124" i="161"/>
  <c r="U124" i="161"/>
  <c r="T124" i="161"/>
  <c r="R124" i="161"/>
  <c r="R122" i="161"/>
  <c r="F122" i="161" s="1"/>
  <c r="AA122" i="161" s="1"/>
  <c r="R121" i="161"/>
  <c r="F121" i="161"/>
  <c r="R120" i="161"/>
  <c r="F120" i="161"/>
  <c r="R119" i="161"/>
  <c r="F119" i="161"/>
  <c r="C119" i="161"/>
  <c r="R118" i="161"/>
  <c r="Y113" i="161"/>
  <c r="W113" i="161"/>
  <c r="U113" i="161"/>
  <c r="T113" i="161"/>
  <c r="R113" i="161"/>
  <c r="Y112" i="161"/>
  <c r="W112" i="161"/>
  <c r="U112" i="161"/>
  <c r="T112" i="161"/>
  <c r="R112" i="161"/>
  <c r="Y111" i="161"/>
  <c r="W111" i="161"/>
  <c r="U111" i="161"/>
  <c r="T111" i="161"/>
  <c r="R111" i="161"/>
  <c r="Y110" i="161"/>
  <c r="W110" i="161"/>
  <c r="U110" i="161"/>
  <c r="T110" i="161"/>
  <c r="R110" i="161"/>
  <c r="Y109" i="161"/>
  <c r="W109" i="161"/>
  <c r="U109" i="161"/>
  <c r="T109" i="161"/>
  <c r="R109" i="161"/>
  <c r="Y108" i="161"/>
  <c r="W108" i="161"/>
  <c r="U108" i="161"/>
  <c r="T108" i="161"/>
  <c r="R108" i="161"/>
  <c r="R106" i="161"/>
  <c r="F106" i="161" s="1"/>
  <c r="AA106" i="161" s="1"/>
  <c r="R105" i="161"/>
  <c r="F105" i="161"/>
  <c r="R104" i="161"/>
  <c r="F104" i="161"/>
  <c r="R103" i="161"/>
  <c r="F103" i="161"/>
  <c r="C103" i="161"/>
  <c r="R102" i="161"/>
  <c r="Y97" i="161"/>
  <c r="W97" i="161"/>
  <c r="U97" i="161"/>
  <c r="T97" i="161"/>
  <c r="R97" i="161"/>
  <c r="Y96" i="161"/>
  <c r="W96" i="161"/>
  <c r="U96" i="161"/>
  <c r="T96" i="161"/>
  <c r="R96" i="161"/>
  <c r="Y95" i="161"/>
  <c r="W95" i="161"/>
  <c r="U95" i="161"/>
  <c r="T95" i="161"/>
  <c r="R95" i="161"/>
  <c r="Y94" i="161"/>
  <c r="W94" i="161"/>
  <c r="U94" i="161"/>
  <c r="T94" i="161"/>
  <c r="R94" i="161"/>
  <c r="Y93" i="161"/>
  <c r="W93" i="161"/>
  <c r="U93" i="161"/>
  <c r="T93" i="161"/>
  <c r="R93" i="161"/>
  <c r="Y92" i="161"/>
  <c r="W92" i="161"/>
  <c r="U92" i="161"/>
  <c r="T92" i="161"/>
  <c r="R92" i="161"/>
  <c r="R90" i="161"/>
  <c r="F90" i="161" s="1"/>
  <c r="AA90" i="161" s="1"/>
  <c r="R89" i="161"/>
  <c r="F89" i="161"/>
  <c r="R88" i="161"/>
  <c r="F88" i="161"/>
  <c r="R87" i="161"/>
  <c r="F87" i="161"/>
  <c r="C87" i="161"/>
  <c r="R86" i="161"/>
  <c r="Y81" i="161"/>
  <c r="W81" i="161"/>
  <c r="U81" i="161"/>
  <c r="T81" i="161"/>
  <c r="R81" i="161"/>
  <c r="Y80" i="161"/>
  <c r="W80" i="161"/>
  <c r="U80" i="161"/>
  <c r="T80" i="161"/>
  <c r="R80" i="161"/>
  <c r="Y79" i="161"/>
  <c r="W79" i="161"/>
  <c r="U79" i="161"/>
  <c r="T79" i="161"/>
  <c r="R79" i="161"/>
  <c r="Y78" i="161"/>
  <c r="W78" i="161"/>
  <c r="U78" i="161"/>
  <c r="T78" i="161"/>
  <c r="R78" i="161"/>
  <c r="Y77" i="161"/>
  <c r="W77" i="161"/>
  <c r="U77" i="161"/>
  <c r="T77" i="161"/>
  <c r="R77" i="161"/>
  <c r="Y76" i="161"/>
  <c r="W76" i="161"/>
  <c r="U76" i="161"/>
  <c r="T76" i="161"/>
  <c r="R76" i="161"/>
  <c r="R74" i="161"/>
  <c r="F74" i="161" s="1"/>
  <c r="AA74" i="161" s="1"/>
  <c r="R73" i="161"/>
  <c r="F73" i="161"/>
  <c r="R72" i="161"/>
  <c r="F72" i="161"/>
  <c r="R71" i="161"/>
  <c r="F71" i="161"/>
  <c r="C71" i="161"/>
  <c r="R70" i="161"/>
  <c r="Y65" i="161"/>
  <c r="W65" i="161"/>
  <c r="U65" i="161"/>
  <c r="T65" i="161"/>
  <c r="R65" i="161"/>
  <c r="Y64" i="161"/>
  <c r="W64" i="161"/>
  <c r="U64" i="161"/>
  <c r="T64" i="161"/>
  <c r="R64" i="161"/>
  <c r="Y63" i="161"/>
  <c r="W63" i="161"/>
  <c r="U63" i="161"/>
  <c r="T63" i="161"/>
  <c r="R63" i="161"/>
  <c r="Y62" i="161"/>
  <c r="W62" i="161"/>
  <c r="U62" i="161"/>
  <c r="T62" i="161"/>
  <c r="R62" i="161"/>
  <c r="Y61" i="161"/>
  <c r="W61" i="161"/>
  <c r="U61" i="161"/>
  <c r="T61" i="161"/>
  <c r="R61" i="161"/>
  <c r="Y60" i="161"/>
  <c r="W60" i="161"/>
  <c r="U60" i="161"/>
  <c r="T60" i="161"/>
  <c r="R60" i="161"/>
  <c r="R58" i="161"/>
  <c r="F58" i="161" s="1"/>
  <c r="AA58" i="161" s="1"/>
  <c r="R57" i="161"/>
  <c r="F57" i="161"/>
  <c r="R56" i="161"/>
  <c r="F56" i="161"/>
  <c r="R55" i="161"/>
  <c r="F55" i="161"/>
  <c r="C55" i="161"/>
  <c r="R54" i="161"/>
  <c r="Y49" i="161"/>
  <c r="W49" i="161"/>
  <c r="U49" i="161"/>
  <c r="T49" i="161"/>
  <c r="R49" i="161"/>
  <c r="Y48" i="161"/>
  <c r="W48" i="161"/>
  <c r="U48" i="161"/>
  <c r="T48" i="161"/>
  <c r="R48" i="161"/>
  <c r="Y47" i="161"/>
  <c r="W47" i="161"/>
  <c r="U47" i="161"/>
  <c r="T47" i="161"/>
  <c r="R47" i="161"/>
  <c r="Y46" i="161"/>
  <c r="W46" i="161"/>
  <c r="U46" i="161"/>
  <c r="T46" i="161"/>
  <c r="R46" i="161"/>
  <c r="Y45" i="161"/>
  <c r="W45" i="161"/>
  <c r="U45" i="161"/>
  <c r="T45" i="161"/>
  <c r="R45" i="161"/>
  <c r="Y44" i="161"/>
  <c r="W44" i="161"/>
  <c r="U44" i="161"/>
  <c r="T44" i="161"/>
  <c r="R44" i="161"/>
  <c r="R42" i="161"/>
  <c r="F42" i="161" s="1"/>
  <c r="AA42" i="161" s="1"/>
  <c r="R41" i="161"/>
  <c r="F41" i="161"/>
  <c r="R40" i="161"/>
  <c r="F40" i="161"/>
  <c r="R39" i="161"/>
  <c r="F39" i="161"/>
  <c r="C39" i="161"/>
  <c r="R38" i="161"/>
  <c r="Y33" i="161"/>
  <c r="W33" i="161"/>
  <c r="U33" i="161"/>
  <c r="T33" i="161"/>
  <c r="R33" i="161"/>
  <c r="Y32" i="161"/>
  <c r="W32" i="161"/>
  <c r="U32" i="161"/>
  <c r="T32" i="161"/>
  <c r="R32" i="161"/>
  <c r="Y31" i="161"/>
  <c r="W31" i="161"/>
  <c r="U31" i="161"/>
  <c r="T31" i="161"/>
  <c r="R31" i="161"/>
  <c r="Y30" i="161"/>
  <c r="W30" i="161"/>
  <c r="U30" i="161"/>
  <c r="T30" i="161"/>
  <c r="R30" i="161"/>
  <c r="Y29" i="161"/>
  <c r="W29" i="161"/>
  <c r="U29" i="161"/>
  <c r="T29" i="161"/>
  <c r="R29" i="161"/>
  <c r="Y28" i="161"/>
  <c r="W28" i="161"/>
  <c r="U28" i="161"/>
  <c r="T28" i="161"/>
  <c r="R28" i="161"/>
  <c r="R26" i="161"/>
  <c r="F26" i="161" s="1"/>
  <c r="AA26" i="161" s="1"/>
  <c r="R25" i="161"/>
  <c r="F25" i="161"/>
  <c r="R24" i="161"/>
  <c r="F24" i="161"/>
  <c r="R23" i="161"/>
  <c r="F23" i="161"/>
  <c r="C23" i="161"/>
  <c r="R22" i="161"/>
  <c r="R8" i="161"/>
  <c r="F8" i="161"/>
  <c r="F7" i="161"/>
  <c r="X390" i="165"/>
  <c r="X391" i="165"/>
  <c r="AA280" i="161" l="1"/>
  <c r="AA281" i="161"/>
  <c r="AA279" i="161"/>
  <c r="X657" i="161"/>
  <c r="Z657" i="161" s="1" a="1"/>
  <c r="Z657" i="161" s="1"/>
  <c r="X401" i="161"/>
  <c r="Z401" i="161" s="1" a="1"/>
  <c r="Z401" i="161" s="1"/>
  <c r="X700" i="161"/>
  <c r="Z700" i="161" s="1" a="1"/>
  <c r="Z700" i="161" s="1"/>
  <c r="X780" i="161"/>
  <c r="Z780" i="161" s="1" a="1"/>
  <c r="Z780" i="161" s="1"/>
  <c r="X463" i="161"/>
  <c r="Z463" i="161" s="1" a="1"/>
  <c r="Z463" i="161" s="1"/>
  <c r="X673" i="161"/>
  <c r="Z673" i="161" s="1" a="1"/>
  <c r="Z673" i="161" s="1"/>
  <c r="X225" i="161"/>
  <c r="Z225" i="161" s="1" a="1"/>
  <c r="Z225" i="161" s="1"/>
  <c r="X304" i="161"/>
  <c r="Z304" i="161" s="1" a="1"/>
  <c r="Z304" i="161" s="1"/>
  <c r="X417" i="161"/>
  <c r="Z417" i="161" s="1" a="1"/>
  <c r="Z417" i="161" s="1"/>
  <c r="X145" i="161"/>
  <c r="Z145" i="161" s="1" a="1"/>
  <c r="Z145" i="161" s="1"/>
  <c r="X481" i="161"/>
  <c r="Z481" i="161" s="1" a="1"/>
  <c r="Z481" i="161" s="1"/>
  <c r="X560" i="161"/>
  <c r="Z560" i="161" s="1" a="1"/>
  <c r="Z560" i="161" s="1"/>
  <c r="X193" i="161"/>
  <c r="Z193" i="161" s="1" a="1"/>
  <c r="Z193" i="161" s="1"/>
  <c r="X529" i="161"/>
  <c r="Z529" i="161" s="1" a="1"/>
  <c r="Z529" i="161" s="1"/>
  <c r="X161" i="161"/>
  <c r="Z161" i="161" s="1" a="1"/>
  <c r="Z161" i="161" s="1"/>
  <c r="X111" i="161"/>
  <c r="Z111" i="161" s="1" a="1"/>
  <c r="Z111" i="161" s="1"/>
  <c r="X190" i="161"/>
  <c r="Z190" i="161" s="1" a="1"/>
  <c r="Z190" i="161" s="1"/>
  <c r="X652" i="161"/>
  <c r="Z652" i="161" s="1" a="1"/>
  <c r="Z652" i="161" s="1"/>
  <c r="X575" i="161"/>
  <c r="Z575" i="161" s="1" a="1"/>
  <c r="Z575" i="161" s="1"/>
  <c r="X302" i="161"/>
  <c r="Z302" i="161" s="1" a="1"/>
  <c r="Z302" i="161" s="1"/>
  <c r="X705" i="161"/>
  <c r="Z705" i="161" s="1" a="1"/>
  <c r="Z705" i="161" s="1"/>
  <c r="X412" i="161"/>
  <c r="Z412" i="161" s="1" a="1"/>
  <c r="Z412" i="161" s="1"/>
  <c r="X750" i="161"/>
  <c r="Z750" i="161" s="1" a="1"/>
  <c r="Z750" i="161" s="1"/>
  <c r="X413" i="161"/>
  <c r="Z413" i="161" s="1" a="1"/>
  <c r="Z413" i="161" s="1"/>
  <c r="X204" i="161"/>
  <c r="Z204" i="161" s="1" a="1"/>
  <c r="Z204" i="161" s="1"/>
  <c r="X289" i="161"/>
  <c r="Z289" i="161" s="1" a="1"/>
  <c r="Z289" i="161" s="1"/>
  <c r="X445" i="161"/>
  <c r="Z445" i="161" s="1" a="1"/>
  <c r="Z445" i="161" s="1"/>
  <c r="X685" i="161"/>
  <c r="Z685" i="161" s="1" a="1"/>
  <c r="Z685" i="161" s="1"/>
  <c r="X462" i="161"/>
  <c r="X253" i="161"/>
  <c r="X369" i="161"/>
  <c r="Z369" i="161" s="1" a="1"/>
  <c r="Z369" i="161" s="1"/>
  <c r="X609" i="161"/>
  <c r="Z609" i="161" s="1" a="1"/>
  <c r="Z609" i="161" s="1"/>
  <c r="X781" i="161"/>
  <c r="Z781" i="161" s="1" a="1"/>
  <c r="Z781" i="161" s="1"/>
  <c r="X270" i="161"/>
  <c r="X305" i="161"/>
  <c r="Z305" i="161" s="1" a="1"/>
  <c r="Z305" i="161" s="1"/>
  <c r="X753" i="161"/>
  <c r="Z753" i="161" s="1" a="1"/>
  <c r="Z753" i="161" s="1"/>
  <c r="X524" i="161"/>
  <c r="Z524" i="161" s="1" a="1"/>
  <c r="Z524" i="161" s="1"/>
  <c r="X33" i="161"/>
  <c r="Z33" i="161" s="1" a="1"/>
  <c r="Z33" i="161" s="1"/>
  <c r="X433" i="161"/>
  <c r="Z433" i="161" s="1" a="1"/>
  <c r="Z433" i="161" s="1"/>
  <c r="X545" i="161"/>
  <c r="Z545" i="161" s="1" a="1"/>
  <c r="Z545" i="161" s="1"/>
  <c r="X525" i="161"/>
  <c r="Z525" i="161" s="1" a="1"/>
  <c r="Z525" i="161" s="1"/>
  <c r="X238" i="161"/>
  <c r="Z238" i="161" s="1" a="1"/>
  <c r="Z238" i="161" s="1"/>
  <c r="X350" i="161"/>
  <c r="Z350" i="161" s="1" a="1"/>
  <c r="Z350" i="161" s="1"/>
  <c r="X477" i="161"/>
  <c r="Z477" i="161" s="1" a="1"/>
  <c r="Z477" i="161" s="1"/>
  <c r="X589" i="161"/>
  <c r="Z589" i="161" s="1" a="1"/>
  <c r="Z589" i="161" s="1"/>
  <c r="X526" i="161"/>
  <c r="Z526" i="161" s="1" a="1"/>
  <c r="Z526" i="161" s="1"/>
  <c r="X125" i="161"/>
  <c r="Z125" i="161" s="1" a="1"/>
  <c r="Z125" i="161" s="1"/>
  <c r="X446" i="161"/>
  <c r="Z446" i="161" s="1" a="1"/>
  <c r="Z446" i="161" s="1"/>
  <c r="X334" i="161"/>
  <c r="Z334" i="161" s="1" a="1"/>
  <c r="Z334" i="161" s="1"/>
  <c r="X62" i="161"/>
  <c r="Z62" i="161" s="1" a="1"/>
  <c r="Z62" i="161" s="1"/>
  <c r="X112" i="161"/>
  <c r="Z112" i="161" s="1" a="1"/>
  <c r="Z112" i="161" s="1"/>
  <c r="X273" i="161"/>
  <c r="Z273" i="161" s="1" a="1"/>
  <c r="Z273" i="161" s="1"/>
  <c r="X653" i="161"/>
  <c r="Z653" i="161" s="1" a="1"/>
  <c r="Z653" i="161" s="1"/>
  <c r="X78" i="161"/>
  <c r="Z78" i="161" s="1" a="1"/>
  <c r="Z78" i="161" s="1"/>
  <c r="X240" i="161"/>
  <c r="Z240" i="161" s="1" a="1"/>
  <c r="Z240" i="161" s="1"/>
  <c r="X300" i="161"/>
  <c r="Z300" i="161" s="1" a="1"/>
  <c r="Z300" i="161" s="1"/>
  <c r="X317" i="161"/>
  <c r="Z317" i="161" s="1" a="1"/>
  <c r="Z317" i="161" s="1"/>
  <c r="X590" i="161"/>
  <c r="Z590" i="161" s="1" a="1"/>
  <c r="Z590" i="161" s="1"/>
  <c r="X703" i="161"/>
  <c r="Z703" i="161" s="1" a="1"/>
  <c r="Z703" i="161" s="1"/>
  <c r="X716" i="161"/>
  <c r="Z716" i="161" s="1" a="1"/>
  <c r="Z716" i="161" s="1"/>
  <c r="X188" i="161"/>
  <c r="Z188" i="161" s="1" a="1"/>
  <c r="Z188" i="161" s="1"/>
  <c r="X701" i="161"/>
  <c r="Z701" i="161" s="1" a="1"/>
  <c r="Z701" i="161" s="1"/>
  <c r="X156" i="161"/>
  <c r="Z156" i="161" s="1" a="1"/>
  <c r="Z156" i="161" s="1"/>
  <c r="X638" i="161"/>
  <c r="Z638" i="161" s="1" a="1"/>
  <c r="Z638" i="161" s="1"/>
  <c r="X189" i="161"/>
  <c r="Z189" i="161" s="1" a="1"/>
  <c r="Z189" i="161" s="1"/>
  <c r="X97" i="161"/>
  <c r="Z97" i="161" s="1" a="1"/>
  <c r="Z97" i="161" s="1"/>
  <c r="X704" i="161"/>
  <c r="Z704" i="161" s="1" a="1"/>
  <c r="Z704" i="161" s="1"/>
  <c r="X64" i="161"/>
  <c r="Z64" i="161" s="1" a="1"/>
  <c r="Z64" i="161" s="1"/>
  <c r="X63" i="161"/>
  <c r="X252" i="161"/>
  <c r="Z252" i="161" s="1" a="1"/>
  <c r="Z252" i="161" s="1"/>
  <c r="X476" i="161"/>
  <c r="Z476" i="161" s="1" a="1"/>
  <c r="Z476" i="161" s="1"/>
  <c r="X510" i="161"/>
  <c r="Z510" i="161" s="1" a="1"/>
  <c r="Z510" i="161" s="1"/>
  <c r="X28" i="161"/>
  <c r="Z28" i="161" s="1" a="1"/>
  <c r="Z28" i="161" s="1"/>
  <c r="X128" i="161"/>
  <c r="Z128" i="161" s="1" a="1"/>
  <c r="Z128" i="161" s="1"/>
  <c r="X254" i="161"/>
  <c r="Z254" i="161" s="1" a="1"/>
  <c r="Z254" i="161" s="1"/>
  <c r="X367" i="161"/>
  <c r="Z367" i="161" s="1" a="1"/>
  <c r="Z367" i="161" s="1"/>
  <c r="X428" i="161"/>
  <c r="Z428" i="161" s="1" a="1"/>
  <c r="Z428" i="161" s="1"/>
  <c r="X480" i="161"/>
  <c r="Z480" i="161" s="1" a="1"/>
  <c r="Z480" i="161" s="1"/>
  <c r="X541" i="161"/>
  <c r="Z541" i="161" s="1" a="1"/>
  <c r="Z541" i="161" s="1"/>
  <c r="X593" i="161"/>
  <c r="Z593" i="161" s="1" a="1"/>
  <c r="Z593" i="161" s="1"/>
  <c r="X237" i="161"/>
  <c r="Z237" i="161" s="1" a="1"/>
  <c r="Z237" i="161" s="1"/>
  <c r="X349" i="161"/>
  <c r="Z349" i="161" s="1" a="1"/>
  <c r="Z349" i="161" s="1"/>
  <c r="X80" i="161"/>
  <c r="Z80" i="161" s="1" a="1"/>
  <c r="Z80" i="161" s="1"/>
  <c r="X79" i="161"/>
  <c r="Z79" i="161" s="1" a="1"/>
  <c r="Z79" i="161" s="1"/>
  <c r="X768" i="161"/>
  <c r="Z768" i="161" s="1" a="1"/>
  <c r="Z768" i="161" s="1"/>
  <c r="X767" i="161"/>
  <c r="Z767" i="161" s="1" a="1"/>
  <c r="Z767" i="161" s="1"/>
  <c r="X766" i="161"/>
  <c r="Z766" i="161" s="1" a="1"/>
  <c r="Z766" i="161" s="1"/>
  <c r="X801" i="161"/>
  <c r="Z801" i="161" s="1" a="1"/>
  <c r="Z801" i="161" s="1"/>
  <c r="X800" i="161"/>
  <c r="Z800" i="161" s="1" a="1"/>
  <c r="Z800" i="161" s="1"/>
  <c r="X796" i="161"/>
  <c r="X718" i="161"/>
  <c r="Z718" i="161" s="1" a="1"/>
  <c r="Z718" i="161" s="1"/>
  <c r="X717" i="161"/>
  <c r="Z717" i="161" s="1" a="1"/>
  <c r="Z717" i="161" s="1"/>
  <c r="X764" i="161"/>
  <c r="Z764" i="161" s="1" a="1"/>
  <c r="Z764" i="161" s="1"/>
  <c r="X126" i="161"/>
  <c r="Z126" i="161" s="1" a="1"/>
  <c r="Z126" i="161" s="1"/>
  <c r="X301" i="161"/>
  <c r="Z301" i="161" s="1" a="1"/>
  <c r="Z301" i="161" s="1"/>
  <c r="X365" i="161"/>
  <c r="Z365" i="161" s="1" a="1"/>
  <c r="Z365" i="161" s="1"/>
  <c r="X414" i="161"/>
  <c r="Z414" i="161" s="1" a="1"/>
  <c r="Z414" i="161" s="1"/>
  <c r="X478" i="161"/>
  <c r="Z478" i="161" s="1" a="1"/>
  <c r="Z478" i="161" s="1"/>
  <c r="X591" i="161"/>
  <c r="Z591" i="161" s="1" a="1"/>
  <c r="Z591" i="161" s="1"/>
  <c r="X765" i="161"/>
  <c r="Z765" i="161" s="1" a="1"/>
  <c r="Z765" i="161" s="1"/>
  <c r="X734" i="161"/>
  <c r="Z734" i="161" s="1" a="1"/>
  <c r="Z734" i="161" s="1"/>
  <c r="X733" i="161"/>
  <c r="Z733" i="161" s="1" a="1"/>
  <c r="Z733" i="161" s="1"/>
  <c r="X732" i="161"/>
  <c r="Z732" i="161" s="1" a="1"/>
  <c r="Z732" i="161" s="1"/>
  <c r="X127" i="161"/>
  <c r="X366" i="161"/>
  <c r="Z366" i="161" s="1" a="1"/>
  <c r="Z366" i="161" s="1"/>
  <c r="X479" i="161"/>
  <c r="Z479" i="161" s="1" a="1"/>
  <c r="Z479" i="161" s="1"/>
  <c r="X540" i="161"/>
  <c r="Z540" i="161" s="1" a="1"/>
  <c r="Z540" i="161" s="1"/>
  <c r="X592" i="161"/>
  <c r="Z592" i="161" s="1" a="1"/>
  <c r="Z592" i="161" s="1"/>
  <c r="X769" i="161"/>
  <c r="Z769" i="161" s="1" a="1"/>
  <c r="Z769" i="161" s="1"/>
  <c r="X208" i="161"/>
  <c r="Z208" i="161" s="1" a="1"/>
  <c r="Z208" i="161" s="1"/>
  <c r="X207" i="161"/>
  <c r="Z207" i="161" s="1" a="1"/>
  <c r="Z207" i="161" s="1"/>
  <c r="X528" i="161"/>
  <c r="Z528" i="161" s="1" a="1"/>
  <c r="Z528" i="161" s="1"/>
  <c r="X527" i="161"/>
  <c r="Z527" i="161" s="1" a="1"/>
  <c r="Z527" i="161" s="1"/>
  <c r="X31" i="161"/>
  <c r="Z31" i="161" s="1" a="1"/>
  <c r="Z31" i="161" s="1"/>
  <c r="X81" i="161"/>
  <c r="Z81" i="161" s="1" a="1"/>
  <c r="Z81" i="161" s="1"/>
  <c r="X129" i="161"/>
  <c r="Z129" i="161" s="1" a="1"/>
  <c r="Z129" i="161" s="1"/>
  <c r="X205" i="161"/>
  <c r="Z205" i="161" s="1" a="1"/>
  <c r="Z205" i="161" s="1"/>
  <c r="X255" i="161"/>
  <c r="X316" i="161"/>
  <c r="Z316" i="161" s="1" a="1"/>
  <c r="Z316" i="161" s="1"/>
  <c r="X368" i="161"/>
  <c r="Z368" i="161" s="1" a="1"/>
  <c r="Z368" i="161" s="1"/>
  <c r="X429" i="161"/>
  <c r="Z429" i="161" s="1" a="1"/>
  <c r="Z429" i="161" s="1"/>
  <c r="X604" i="161"/>
  <c r="Z604" i="161" s="1" a="1"/>
  <c r="Z604" i="161" s="1"/>
  <c r="X668" i="161"/>
  <c r="Z668" i="161" s="1" a="1"/>
  <c r="Z668" i="161" s="1"/>
  <c r="X719" i="161"/>
  <c r="Z719" i="161" s="1" a="1"/>
  <c r="Z719" i="161" s="1"/>
  <c r="X77" i="161"/>
  <c r="Z77" i="161" s="1" a="1"/>
  <c r="Z77" i="161" s="1"/>
  <c r="X303" i="161"/>
  <c r="Z303" i="161" s="1" a="1"/>
  <c r="Z303" i="161" s="1"/>
  <c r="X494" i="161"/>
  <c r="Z494" i="161" s="1" a="1"/>
  <c r="Z494" i="161" s="1"/>
  <c r="X493" i="161"/>
  <c r="Z493" i="161" s="1" a="1"/>
  <c r="Z493" i="161" s="1"/>
  <c r="X785" i="161"/>
  <c r="Z785" i="161" s="1" a="1"/>
  <c r="Z785" i="161" s="1"/>
  <c r="X32" i="161"/>
  <c r="Z32" i="161" s="1" a="1"/>
  <c r="Z32" i="161" s="1"/>
  <c r="X92" i="161"/>
  <c r="Z92" i="161" s="1" a="1"/>
  <c r="Z92" i="161" s="1"/>
  <c r="X140" i="161"/>
  <c r="Z140" i="161" s="1" a="1"/>
  <c r="Z140" i="161" s="1"/>
  <c r="X206" i="161"/>
  <c r="Z206" i="161" s="1" a="1"/>
  <c r="Z206" i="161" s="1"/>
  <c r="X256" i="161"/>
  <c r="X492" i="161"/>
  <c r="Z492" i="161" s="1" a="1"/>
  <c r="Z492" i="161" s="1"/>
  <c r="X556" i="161"/>
  <c r="Z556" i="161" s="1" a="1"/>
  <c r="Z556" i="161" s="1"/>
  <c r="X607" i="161"/>
  <c r="Z607" i="161" s="1" a="1"/>
  <c r="Z607" i="161" s="1"/>
  <c r="X669" i="161"/>
  <c r="Z669" i="161" s="1" a="1"/>
  <c r="Z669" i="161" s="1"/>
  <c r="X720" i="161"/>
  <c r="Z720" i="161" s="1" a="1"/>
  <c r="Z720" i="161" s="1"/>
  <c r="X782" i="161"/>
  <c r="Z782" i="161" s="1" a="1"/>
  <c r="Z782" i="161" s="1"/>
  <c r="X382" i="161"/>
  <c r="Z382" i="161" s="1" a="1"/>
  <c r="Z382" i="161" s="1"/>
  <c r="X381" i="161"/>
  <c r="Z381" i="161" s="1" a="1"/>
  <c r="Z381" i="161" s="1"/>
  <c r="X320" i="161"/>
  <c r="Z320" i="161" s="1" a="1"/>
  <c r="Z320" i="161" s="1"/>
  <c r="X319" i="161"/>
  <c r="Z319" i="161" s="1" a="1"/>
  <c r="Z319" i="161" s="1"/>
  <c r="X318" i="161"/>
  <c r="Z318" i="161" s="1" a="1"/>
  <c r="Z318" i="161" s="1"/>
  <c r="X192" i="161"/>
  <c r="Z192" i="161" s="1" a="1"/>
  <c r="Z192" i="161" s="1"/>
  <c r="X191" i="161"/>
  <c r="Z191" i="161" s="1" a="1"/>
  <c r="Z191" i="161" s="1"/>
  <c r="X416" i="161"/>
  <c r="Z416" i="161" s="1" a="1"/>
  <c r="Z416" i="161" s="1"/>
  <c r="X465" i="161"/>
  <c r="Z465" i="161" s="1" a="1"/>
  <c r="Z465" i="161" s="1"/>
  <c r="X464" i="161"/>
  <c r="Z464" i="161" s="1" a="1"/>
  <c r="Z464" i="161" s="1"/>
  <c r="X460" i="161"/>
  <c r="Z460" i="161" s="1" a="1"/>
  <c r="Z460" i="161" s="1"/>
  <c r="X93" i="161"/>
  <c r="Z93" i="161" s="1" a="1"/>
  <c r="Z93" i="161" s="1"/>
  <c r="X143" i="161"/>
  <c r="Z143" i="161" s="1" a="1"/>
  <c r="Z143" i="161" s="1"/>
  <c r="X209" i="161"/>
  <c r="Z209" i="161" s="1" a="1"/>
  <c r="Z209" i="161" s="1"/>
  <c r="X257" i="161"/>
  <c r="Z257" i="161" s="1" a="1"/>
  <c r="Z257" i="161" s="1"/>
  <c r="X321" i="161"/>
  <c r="Z321" i="161" s="1" a="1"/>
  <c r="Z321" i="161" s="1"/>
  <c r="X380" i="161"/>
  <c r="Z380" i="161" s="1" a="1"/>
  <c r="Z380" i="161" s="1"/>
  <c r="X444" i="161"/>
  <c r="Z444" i="161" s="1" a="1"/>
  <c r="Z444" i="161" s="1"/>
  <c r="X495" i="161"/>
  <c r="X557" i="161"/>
  <c r="X608" i="161"/>
  <c r="Z608" i="161" s="1" a="1"/>
  <c r="Z608" i="161" s="1"/>
  <c r="X670" i="161"/>
  <c r="Z670" i="161" s="1" a="1"/>
  <c r="Z670" i="161" s="1"/>
  <c r="X721" i="161"/>
  <c r="Z721" i="161" s="1" a="1"/>
  <c r="Z721" i="161" s="1"/>
  <c r="X783" i="161"/>
  <c r="Z783" i="161" s="1" a="1"/>
  <c r="Z783" i="161" s="1"/>
  <c r="X46" i="161"/>
  <c r="Z46" i="161" s="1" a="1"/>
  <c r="Z46" i="161" s="1"/>
  <c r="X45" i="161"/>
  <c r="Z45" i="161" s="1" a="1"/>
  <c r="Z45" i="161" s="1"/>
  <c r="X44" i="161"/>
  <c r="Z44" i="161" s="1" a="1"/>
  <c r="Z44" i="161" s="1"/>
  <c r="X94" i="161"/>
  <c r="Z94" i="161" s="1" a="1"/>
  <c r="Z94" i="161" s="1"/>
  <c r="X144" i="161"/>
  <c r="Z144" i="161" s="1" a="1"/>
  <c r="Z144" i="161" s="1"/>
  <c r="X220" i="161"/>
  <c r="Z220" i="161" s="1" a="1"/>
  <c r="Z220" i="161" s="1"/>
  <c r="X268" i="161"/>
  <c r="Z268" i="161" s="1" a="1"/>
  <c r="Z268" i="161" s="1"/>
  <c r="X332" i="161"/>
  <c r="Z332" i="161" s="1" a="1"/>
  <c r="Z332" i="161" s="1"/>
  <c r="X383" i="161"/>
  <c r="Z383" i="161" s="1" a="1"/>
  <c r="Z383" i="161" s="1"/>
  <c r="X496" i="161"/>
  <c r="X558" i="161"/>
  <c r="Z558" i="161" s="1" a="1"/>
  <c r="Z558" i="161" s="1"/>
  <c r="X671" i="161"/>
  <c r="Z671" i="161" s="1" a="1"/>
  <c r="Z671" i="161" s="1"/>
  <c r="X735" i="161"/>
  <c r="Z735" i="161" s="1" a="1"/>
  <c r="Z735" i="161" s="1"/>
  <c r="X784" i="161"/>
  <c r="Z784" i="161" s="1" a="1"/>
  <c r="Z784" i="161" s="1"/>
  <c r="X736" i="161"/>
  <c r="Z736" i="161" s="1" a="1"/>
  <c r="Z736" i="161" s="1"/>
  <c r="X286" i="161"/>
  <c r="Z286" i="161" s="1" a="1"/>
  <c r="Z286" i="161" s="1"/>
  <c r="X285" i="161"/>
  <c r="Z285" i="161" s="1" a="1"/>
  <c r="Z285" i="161" s="1"/>
  <c r="X284" i="161"/>
  <c r="Z284" i="161" s="1" a="1"/>
  <c r="Z284" i="161" s="1"/>
  <c r="X622" i="161"/>
  <c r="Z622" i="161" s="1" a="1"/>
  <c r="Z622" i="161" s="1"/>
  <c r="X621" i="161"/>
  <c r="X620" i="161"/>
  <c r="Z620" i="161" s="1" a="1"/>
  <c r="Z620" i="161" s="1"/>
  <c r="X61" i="161"/>
  <c r="X288" i="161"/>
  <c r="Z288" i="161" s="1" a="1"/>
  <c r="Z288" i="161" s="1"/>
  <c r="X637" i="161"/>
  <c r="Z637" i="161" s="1" a="1"/>
  <c r="Z637" i="161" s="1"/>
  <c r="X702" i="161"/>
  <c r="Z702" i="161" s="1" a="1"/>
  <c r="Z702" i="161" s="1"/>
  <c r="X352" i="161"/>
  <c r="Z352" i="161" s="1" a="1"/>
  <c r="Z352" i="161" s="1"/>
  <c r="X65" i="161"/>
  <c r="Z65" i="161" s="1" a="1"/>
  <c r="Z65" i="161" s="1"/>
  <c r="X239" i="161"/>
  <c r="Z239" i="161" s="1" a="1"/>
  <c r="Z239" i="161" s="1"/>
  <c r="X351" i="161"/>
  <c r="Z351" i="161" s="1" a="1"/>
  <c r="Z351" i="161" s="1"/>
  <c r="X641" i="161"/>
  <c r="Z641" i="161" s="1" a="1"/>
  <c r="Z641" i="161" s="1"/>
  <c r="X76" i="161"/>
  <c r="Z76" i="161" s="1" a="1"/>
  <c r="Z76" i="161" s="1"/>
  <c r="X432" i="161"/>
  <c r="Z432" i="161" s="1" a="1"/>
  <c r="Z432" i="161" s="1"/>
  <c r="X431" i="161"/>
  <c r="Z431" i="161" s="1" a="1"/>
  <c r="Z431" i="161" s="1"/>
  <c r="X430" i="161"/>
  <c r="Z430" i="161" s="1" a="1"/>
  <c r="Z430" i="161" s="1"/>
  <c r="X47" i="161"/>
  <c r="Z47" i="161" s="1" a="1"/>
  <c r="Z47" i="161" s="1"/>
  <c r="X95" i="161"/>
  <c r="Z95" i="161" s="1" a="1"/>
  <c r="Z95" i="161" s="1"/>
  <c r="X271" i="161"/>
  <c r="Z271" i="161" s="1" a="1"/>
  <c r="Z271" i="161" s="1"/>
  <c r="X333" i="161"/>
  <c r="Z333" i="161" s="1" a="1"/>
  <c r="Z333" i="161" s="1"/>
  <c r="X384" i="161"/>
  <c r="Z384" i="161" s="1" a="1"/>
  <c r="Z384" i="161" s="1"/>
  <c r="X497" i="161"/>
  <c r="Z497" i="161" s="1" a="1"/>
  <c r="Z497" i="161" s="1"/>
  <c r="X559" i="161"/>
  <c r="Z559" i="161" s="1" a="1"/>
  <c r="Z559" i="161" s="1"/>
  <c r="X797" i="161"/>
  <c r="Z797" i="161" s="1" a="1"/>
  <c r="Z797" i="161" s="1"/>
  <c r="X176" i="161"/>
  <c r="Z176" i="161" s="1" a="1"/>
  <c r="Z176" i="161" s="1"/>
  <c r="X353" i="161"/>
  <c r="Z353" i="161" s="1" a="1"/>
  <c r="Z353" i="161" s="1"/>
  <c r="X398" i="161"/>
  <c r="Z398" i="161" s="1" a="1"/>
  <c r="Z398" i="161" s="1"/>
  <c r="X397" i="161"/>
  <c r="Z397" i="161" s="1" a="1"/>
  <c r="Z397" i="161" s="1"/>
  <c r="X396" i="161"/>
  <c r="Z396" i="161" s="1" a="1"/>
  <c r="Z396" i="161" s="1"/>
  <c r="X449" i="161"/>
  <c r="Z449" i="161" s="1" a="1"/>
  <c r="Z449" i="161" s="1"/>
  <c r="X509" i="161"/>
  <c r="Z509" i="161" s="1" a="1"/>
  <c r="Z509" i="161" s="1"/>
  <c r="X508" i="161"/>
  <c r="Z508" i="161" s="1" a="1"/>
  <c r="Z508" i="161" s="1"/>
  <c r="X588" i="161"/>
  <c r="Z588" i="161" s="1" a="1"/>
  <c r="Z588" i="161" s="1"/>
  <c r="X640" i="161"/>
  <c r="Z640" i="161" s="1" a="1"/>
  <c r="Z640" i="161" s="1"/>
  <c r="X639" i="161"/>
  <c r="Z639" i="161" s="1" a="1"/>
  <c r="Z639" i="161" s="1"/>
  <c r="X48" i="161"/>
  <c r="Z48" i="161" s="1" a="1"/>
  <c r="Z48" i="161" s="1"/>
  <c r="X96" i="161"/>
  <c r="Z96" i="161" s="1" a="1"/>
  <c r="Z96" i="161" s="1"/>
  <c r="X222" i="161"/>
  <c r="Z222" i="161" s="1" a="1"/>
  <c r="Z222" i="161" s="1"/>
  <c r="X272" i="161"/>
  <c r="Z272" i="161" s="1" a="1"/>
  <c r="Z272" i="161" s="1"/>
  <c r="X385" i="161"/>
  <c r="Z385" i="161" s="1" a="1"/>
  <c r="Z385" i="161" s="1"/>
  <c r="X447" i="161"/>
  <c r="Z447" i="161" s="1" a="1"/>
  <c r="Z447" i="161" s="1"/>
  <c r="X511" i="161"/>
  <c r="Z511" i="161" s="1" a="1"/>
  <c r="Z511" i="161" s="1"/>
  <c r="X624" i="161"/>
  <c r="Z624" i="161" s="1" a="1"/>
  <c r="Z624" i="161" s="1"/>
  <c r="X737" i="161"/>
  <c r="Z737" i="161" s="1" a="1"/>
  <c r="Z737" i="161" s="1"/>
  <c r="X798" i="161"/>
  <c r="X113" i="161"/>
  <c r="Z113" i="161" s="1" a="1"/>
  <c r="Z113" i="161" s="1"/>
  <c r="X108" i="161"/>
  <c r="Z108" i="161" s="1" a="1"/>
  <c r="Z108" i="161" s="1"/>
  <c r="X577" i="161"/>
  <c r="Z577" i="161" s="1" a="1"/>
  <c r="Z577" i="161" s="1"/>
  <c r="X576" i="161"/>
  <c r="Z576" i="161" s="1" a="1"/>
  <c r="Z576" i="161" s="1"/>
  <c r="X572" i="161"/>
  <c r="Z572" i="161" s="1" a="1"/>
  <c r="Z572" i="161" s="1"/>
  <c r="X221" i="161"/>
  <c r="Z221" i="161" s="1" a="1"/>
  <c r="Z221" i="161" s="1"/>
  <c r="X623" i="161"/>
  <c r="Z623" i="161" s="1" a="1"/>
  <c r="Z623" i="161" s="1"/>
  <c r="X799" i="161"/>
  <c r="Z799" i="161" s="1" a="1"/>
  <c r="Z799" i="161" s="1"/>
  <c r="X337" i="161"/>
  <c r="Z337" i="161" s="1" a="1"/>
  <c r="Z337" i="161" s="1"/>
  <c r="X752" i="161"/>
  <c r="Z752" i="161" s="1" a="1"/>
  <c r="Z752" i="161" s="1"/>
  <c r="X751" i="161"/>
  <c r="Z751" i="161" s="1" a="1"/>
  <c r="Z751" i="161" s="1"/>
  <c r="X241" i="161"/>
  <c r="Z241" i="161" s="1" a="1"/>
  <c r="Z241" i="161" s="1"/>
  <c r="X236" i="161"/>
  <c r="Z236" i="161" s="1" a="1"/>
  <c r="Z236" i="161" s="1"/>
  <c r="X689" i="161"/>
  <c r="Z689" i="161" s="1" a="1"/>
  <c r="Z689" i="161" s="1"/>
  <c r="X688" i="161"/>
  <c r="Z688" i="161" s="1" a="1"/>
  <c r="Z688" i="161" s="1"/>
  <c r="X684" i="161"/>
  <c r="Z684" i="161" s="1" a="1"/>
  <c r="Z684" i="161" s="1"/>
  <c r="X142" i="161"/>
  <c r="Z142" i="161" s="1" a="1"/>
  <c r="Z142" i="161" s="1"/>
  <c r="X141" i="161"/>
  <c r="Z141" i="161" s="1" a="1"/>
  <c r="Z141" i="161" s="1"/>
  <c r="X30" i="161"/>
  <c r="Z30" i="161" s="1" a="1"/>
  <c r="Z30" i="161" s="1"/>
  <c r="X29" i="161"/>
  <c r="Z29" i="161" s="1" a="1"/>
  <c r="Z29" i="161" s="1"/>
  <c r="X158" i="161"/>
  <c r="Z158" i="161" s="1" a="1"/>
  <c r="Z158" i="161" s="1"/>
  <c r="X157" i="161"/>
  <c r="Z157" i="161" s="1" a="1"/>
  <c r="Z157" i="161" s="1"/>
  <c r="X672" i="161"/>
  <c r="Z672" i="161" s="1" a="1"/>
  <c r="Z672" i="161" s="1"/>
  <c r="X544" i="161"/>
  <c r="Z544" i="161" s="1" a="1"/>
  <c r="Z544" i="161" s="1"/>
  <c r="X543" i="161"/>
  <c r="Z543" i="161" s="1" a="1"/>
  <c r="Z543" i="161" s="1"/>
  <c r="X542" i="161"/>
  <c r="Z542" i="161" s="1" a="1"/>
  <c r="Z542" i="161" s="1"/>
  <c r="X49" i="161"/>
  <c r="Z49" i="161" s="1" a="1"/>
  <c r="Z49" i="161" s="1"/>
  <c r="X109" i="161"/>
  <c r="Z109" i="161" s="1" a="1"/>
  <c r="Z109" i="161" s="1"/>
  <c r="X159" i="161"/>
  <c r="Z159" i="161" s="1" a="1"/>
  <c r="Z159" i="161" s="1"/>
  <c r="X223" i="161"/>
  <c r="Z223" i="161" s="1" a="1"/>
  <c r="Z223" i="161" s="1"/>
  <c r="X335" i="161"/>
  <c r="Z335" i="161" s="1" a="1"/>
  <c r="Z335" i="161" s="1"/>
  <c r="X399" i="161"/>
  <c r="Z399" i="161" s="1" a="1"/>
  <c r="Z399" i="161" s="1"/>
  <c r="X448" i="161"/>
  <c r="Z448" i="161" s="1" a="1"/>
  <c r="Z448" i="161" s="1"/>
  <c r="X512" i="161"/>
  <c r="Z512" i="161" s="1" a="1"/>
  <c r="Z512" i="161" s="1"/>
  <c r="X573" i="161"/>
  <c r="Z573" i="161" s="1" a="1"/>
  <c r="Z573" i="161" s="1"/>
  <c r="X625" i="161"/>
  <c r="Z625" i="161" s="1" a="1"/>
  <c r="Z625" i="161" s="1"/>
  <c r="X686" i="161"/>
  <c r="Z686" i="161" s="1" a="1"/>
  <c r="Z686" i="161" s="1"/>
  <c r="X748" i="161"/>
  <c r="Z748" i="161" s="1" a="1"/>
  <c r="Z748" i="161" s="1"/>
  <c r="X364" i="161"/>
  <c r="Z364" i="161" s="1" a="1"/>
  <c r="Z364" i="161" s="1"/>
  <c r="X561" i="161"/>
  <c r="Z561" i="161" s="1" a="1"/>
  <c r="Z561" i="161" s="1"/>
  <c r="X606" i="161"/>
  <c r="Z606" i="161" s="1" a="1"/>
  <c r="Z606" i="161" s="1"/>
  <c r="X605" i="161"/>
  <c r="Z605" i="161" s="1" a="1"/>
  <c r="Z605" i="161" s="1"/>
  <c r="X656" i="161"/>
  <c r="Z656" i="161" s="1" a="1"/>
  <c r="Z656" i="161" s="1"/>
  <c r="X655" i="161"/>
  <c r="Z655" i="161" s="1" a="1"/>
  <c r="Z655" i="161" s="1"/>
  <c r="X654" i="161"/>
  <c r="Z654" i="161" s="1" a="1"/>
  <c r="Z654" i="161" s="1"/>
  <c r="X60" i="161"/>
  <c r="Z60" i="161" s="1" a="1"/>
  <c r="Z60" i="161" s="1"/>
  <c r="X110" i="161"/>
  <c r="Z110" i="161" s="1" a="1"/>
  <c r="Z110" i="161" s="1"/>
  <c r="X160" i="161"/>
  <c r="Z160" i="161" s="1" a="1"/>
  <c r="Z160" i="161" s="1"/>
  <c r="X224" i="161"/>
  <c r="Z224" i="161" s="1" a="1"/>
  <c r="Z224" i="161" s="1"/>
  <c r="X287" i="161"/>
  <c r="Z287" i="161" s="1" a="1"/>
  <c r="Z287" i="161" s="1"/>
  <c r="X336" i="161"/>
  <c r="Z336" i="161" s="1" a="1"/>
  <c r="Z336" i="161" s="1"/>
  <c r="X400" i="161"/>
  <c r="Z400" i="161" s="1" a="1"/>
  <c r="Z400" i="161" s="1"/>
  <c r="X461" i="161"/>
  <c r="Z461" i="161" s="1" a="1"/>
  <c r="Z461" i="161" s="1"/>
  <c r="X513" i="161"/>
  <c r="Z513" i="161" s="1" a="1"/>
  <c r="Z513" i="161" s="1"/>
  <c r="X574" i="161"/>
  <c r="Z574" i="161" s="1" a="1"/>
  <c r="Z574" i="161" s="1"/>
  <c r="X636" i="161"/>
  <c r="Z636" i="161" s="1" a="1"/>
  <c r="Z636" i="161" s="1"/>
  <c r="X687" i="161"/>
  <c r="Z687" i="161" s="1" a="1"/>
  <c r="Z687" i="161" s="1"/>
  <c r="X749" i="161"/>
  <c r="Z749" i="161" s="1" a="1"/>
  <c r="Z749" i="161" s="1"/>
  <c r="X269" i="161"/>
  <c r="Z269" i="161" s="1" a="1"/>
  <c r="Z269" i="161" s="1"/>
  <c r="X415" i="161"/>
  <c r="Z415" i="161" s="1" a="1"/>
  <c r="Z415" i="161" s="1"/>
  <c r="X348" i="161"/>
  <c r="Z348" i="161" s="1" a="1"/>
  <c r="Z348" i="161" s="1"/>
  <c r="X124" i="161"/>
  <c r="Z124" i="161" s="1" a="1"/>
  <c r="Z124" i="161" s="1"/>
  <c r="G124" i="152"/>
  <c r="H124" i="152" s="1"/>
  <c r="Z529" i="164" a="1"/>
  <c r="Z529" i="164" s="1"/>
  <c r="Z558" i="164" a="1"/>
  <c r="Z558" i="164" s="1"/>
  <c r="Z576" i="164" a="1"/>
  <c r="Z576" i="164" s="1"/>
  <c r="Z524" i="164" a="1"/>
  <c r="Z524" i="164" s="1"/>
  <c r="Z785" i="164" a="1"/>
  <c r="Z785" i="164" s="1"/>
  <c r="Z33" i="164" a="1"/>
  <c r="Z33" i="164" s="1"/>
  <c r="Z78" i="164" a="1"/>
  <c r="Z78" i="164" s="1"/>
  <c r="Z96" i="164" a="1"/>
  <c r="Z96" i="164" s="1"/>
  <c r="Z97" i="164" a="1"/>
  <c r="Z97" i="164" s="1"/>
  <c r="Z160" i="164" a="1"/>
  <c r="Z160" i="164" s="1"/>
  <c r="Z192" i="164" a="1"/>
  <c r="Z192" i="164" s="1"/>
  <c r="Z209" i="164" a="1"/>
  <c r="Z209" i="164" s="1"/>
  <c r="Z237" i="164" a="1"/>
  <c r="Z237" i="164" s="1"/>
  <c r="Z301" i="164" a="1"/>
  <c r="Z301" i="164" s="1"/>
  <c r="Z688" i="164" a="1"/>
  <c r="Z688" i="164" s="1"/>
  <c r="Z704" i="164" a="1"/>
  <c r="Z704" i="164" s="1"/>
  <c r="Z732" i="164" a="1"/>
  <c r="Z732" i="164" s="1"/>
  <c r="Z44" i="164" a="1"/>
  <c r="Z44" i="164" s="1"/>
  <c r="Z60" i="164" a="1"/>
  <c r="Z60" i="164" s="1"/>
  <c r="Z77" i="164" a="1"/>
  <c r="Z77" i="164" s="1"/>
  <c r="Z173" i="164" a="1"/>
  <c r="Z173" i="164" s="1"/>
  <c r="Z193" i="164" a="1"/>
  <c r="Z193" i="164" s="1"/>
  <c r="Z241" i="164" a="1"/>
  <c r="Z241" i="164" s="1"/>
  <c r="Z273" i="164" a="1"/>
  <c r="Z273" i="164" s="1"/>
  <c r="Z304" i="164" a="1"/>
  <c r="Z304" i="164" s="1"/>
  <c r="Z335" i="164" a="1"/>
  <c r="Z335" i="164" s="1"/>
  <c r="Z399" i="164" a="1"/>
  <c r="Z399" i="164" s="1"/>
  <c r="Z464" i="164" a="1"/>
  <c r="Z464" i="164" s="1"/>
  <c r="Z481" i="164" a="1"/>
  <c r="Z481" i="164" s="1"/>
  <c r="Z544" i="164" a="1"/>
  <c r="Z544" i="164" s="1"/>
  <c r="Z561" i="164" a="1"/>
  <c r="Z561" i="164" s="1"/>
  <c r="Z588" i="164" a="1"/>
  <c r="Z588" i="164" s="1"/>
  <c r="Z622" i="164" a="1"/>
  <c r="Z622" i="164" s="1"/>
  <c r="Z717" i="164" a="1"/>
  <c r="Z717" i="164" s="1"/>
  <c r="Z749" i="164" a="1"/>
  <c r="Z749" i="164" s="1"/>
  <c r="Z768" i="164" a="1"/>
  <c r="Z768" i="164" s="1"/>
  <c r="Z797" i="164" a="1"/>
  <c r="Z797" i="164" s="1"/>
  <c r="Z81" i="164" a="1"/>
  <c r="Z81" i="164" s="1"/>
  <c r="Z140" i="164" a="1"/>
  <c r="Z140" i="164" s="1"/>
  <c r="Z176" i="164" a="1"/>
  <c r="Z176" i="164" s="1"/>
  <c r="Z238" i="164" a="1"/>
  <c r="Z238" i="164" s="1"/>
  <c r="Z289" i="164" a="1"/>
  <c r="Z289" i="164" s="1"/>
  <c r="Z302" i="164" a="1"/>
  <c r="Z302" i="164" s="1"/>
  <c r="Z353" i="164" a="1"/>
  <c r="Z353" i="164" s="1"/>
  <c r="Z368" i="164" a="1"/>
  <c r="Z368" i="164" s="1"/>
  <c r="Z417" i="164" a="1"/>
  <c r="Z417" i="164" s="1"/>
  <c r="Z432" i="164" a="1"/>
  <c r="Z432" i="164" s="1"/>
  <c r="Z465" i="164" a="1"/>
  <c r="Z465" i="164" s="1"/>
  <c r="Z497" i="164" a="1"/>
  <c r="Z497" i="164" s="1"/>
  <c r="Z640" i="164" a="1"/>
  <c r="Z640" i="164" s="1"/>
  <c r="Z657" i="164" a="1"/>
  <c r="Z657" i="164" s="1"/>
  <c r="Z689" i="164" a="1"/>
  <c r="Z689" i="164" s="1"/>
  <c r="Z721" i="164" a="1"/>
  <c r="Z721" i="164" s="1"/>
  <c r="Z752" i="164" a="1"/>
  <c r="Z752" i="164" s="1"/>
  <c r="Z753" i="164" a="1"/>
  <c r="Z753" i="164" s="1"/>
  <c r="Z796" i="164" a="1"/>
  <c r="Z796" i="164" s="1"/>
  <c r="Z28" i="164" a="1"/>
  <c r="Z28" i="164" s="1"/>
  <c r="Z159" i="164" a="1"/>
  <c r="Z159" i="164" s="1"/>
  <c r="Z161" i="164" a="1"/>
  <c r="Z161" i="164" s="1"/>
  <c r="Z256" i="164" a="1"/>
  <c r="Z256" i="164" s="1"/>
  <c r="Z284" i="164" a="1"/>
  <c r="Z284" i="164" s="1"/>
  <c r="Z320" i="164" a="1"/>
  <c r="Z320" i="164" s="1"/>
  <c r="Z348" i="164" a="1"/>
  <c r="Z348" i="164" s="1"/>
  <c r="Z384" i="164" a="1"/>
  <c r="Z384" i="164" s="1"/>
  <c r="Z412" i="164" a="1"/>
  <c r="Z412" i="164" s="1"/>
  <c r="Z448" i="164" a="1"/>
  <c r="Z448" i="164" s="1"/>
  <c r="Z528" i="164" a="1"/>
  <c r="Z528" i="164" s="1"/>
  <c r="Z652" i="164" a="1"/>
  <c r="Z652" i="164" s="1"/>
  <c r="Z705" i="164" a="1"/>
  <c r="Z705" i="164" s="1"/>
  <c r="Z65" i="164" a="1"/>
  <c r="Z65" i="164" s="1"/>
  <c r="Z113" i="164" a="1"/>
  <c r="Z113" i="164" s="1"/>
  <c r="Z268" i="164" a="1"/>
  <c r="Z268" i="164" s="1"/>
  <c r="Z286" i="164" a="1"/>
  <c r="Z286" i="164" s="1"/>
  <c r="Z350" i="164" a="1"/>
  <c r="Z350" i="164" s="1"/>
  <c r="Z414" i="164" a="1"/>
  <c r="Z414" i="164" s="1"/>
  <c r="Z476" i="164" a="1"/>
  <c r="Z476" i="164" s="1"/>
  <c r="Z494" i="164" a="1"/>
  <c r="Z494" i="164" s="1"/>
  <c r="Z593" i="164" a="1"/>
  <c r="Z593" i="164" s="1"/>
  <c r="Z620" i="164" a="1"/>
  <c r="Z620" i="164" s="1"/>
  <c r="Z700" i="164" a="1"/>
  <c r="Z700" i="164" s="1"/>
  <c r="Z736" i="164" a="1"/>
  <c r="Z736" i="164" s="1"/>
  <c r="Z769" i="164" a="1"/>
  <c r="Z769" i="164" s="1"/>
  <c r="Z782" i="164" a="1"/>
  <c r="Z782" i="164" s="1"/>
  <c r="Z30" i="164" a="1"/>
  <c r="Z30" i="164" s="1"/>
  <c r="Z94" i="164" a="1"/>
  <c r="Z94" i="164" s="1"/>
  <c r="Z128" i="164" a="1"/>
  <c r="Z128" i="164" s="1"/>
  <c r="Z145" i="164" a="1"/>
  <c r="Z145" i="164" s="1"/>
  <c r="Z204" i="164" a="1"/>
  <c r="Z204" i="164" s="1"/>
  <c r="Z236" i="164" a="1"/>
  <c r="Z236" i="164" s="1"/>
  <c r="Z303" i="164" a="1"/>
  <c r="Z303" i="164" s="1"/>
  <c r="Z367" i="164" a="1"/>
  <c r="Z367" i="164" s="1"/>
  <c r="Z431" i="164" a="1"/>
  <c r="Z431" i="164" s="1"/>
  <c r="Z512" i="164" a="1"/>
  <c r="Z512" i="164" s="1"/>
  <c r="Z672" i="164" a="1"/>
  <c r="Z672" i="164" s="1"/>
  <c r="Z684" i="164" a="1"/>
  <c r="Z684" i="164" s="1"/>
  <c r="Z764" i="164" a="1"/>
  <c r="Z764" i="164" s="1"/>
  <c r="Z49" i="164" a="1"/>
  <c r="Z49" i="164" s="1"/>
  <c r="Z109" i="164" a="1"/>
  <c r="Z109" i="164" s="1"/>
  <c r="Z207" i="164" a="1"/>
  <c r="Z207" i="164" s="1"/>
  <c r="Z224" i="164" a="1"/>
  <c r="Z224" i="164" s="1"/>
  <c r="Z225" i="164" a="1"/>
  <c r="Z225" i="164" s="1"/>
  <c r="Z321" i="164" a="1"/>
  <c r="Z321" i="164" s="1"/>
  <c r="Z336" i="164" a="1"/>
  <c r="Z336" i="164" s="1"/>
  <c r="Z385" i="164" a="1"/>
  <c r="Z385" i="164" s="1"/>
  <c r="Z400" i="164" a="1"/>
  <c r="Z400" i="164" s="1"/>
  <c r="Z449" i="164" a="1"/>
  <c r="Z449" i="164" s="1"/>
  <c r="Z478" i="164" a="1"/>
  <c r="Z478" i="164" s="1"/>
  <c r="Z556" i="164" a="1"/>
  <c r="Z556" i="164" s="1"/>
  <c r="Z590" i="164" a="1"/>
  <c r="Z590" i="164" s="1"/>
  <c r="Z720" i="164" a="1"/>
  <c r="Z720" i="164" s="1"/>
  <c r="Z766" i="164" a="1"/>
  <c r="Z766" i="164" s="1"/>
  <c r="Z781" i="164" a="1"/>
  <c r="Z781" i="164" s="1"/>
  <c r="Z800" i="164" a="1"/>
  <c r="Z800" i="164" s="1"/>
  <c r="AA695" i="164"/>
  <c r="AA712" i="164"/>
  <c r="AA728" i="164"/>
  <c r="AA745" i="164"/>
  <c r="AA791" i="164"/>
  <c r="AA583" i="164"/>
  <c r="AA727" i="164"/>
  <c r="AA167" i="164"/>
  <c r="AA392" i="164"/>
  <c r="AA584" i="164"/>
  <c r="AA744" i="164"/>
  <c r="AA663" i="164"/>
  <c r="AA729" i="164"/>
  <c r="AA119" i="164"/>
  <c r="AA231" i="164"/>
  <c r="AA295" i="164"/>
  <c r="AA567" i="164"/>
  <c r="AA503" i="164"/>
  <c r="AA647" i="164"/>
  <c r="AA711" i="164"/>
  <c r="AA631" i="164"/>
  <c r="AA679" i="164"/>
  <c r="AA743" i="164"/>
  <c r="AA793" i="164"/>
  <c r="AA615" i="164"/>
  <c r="AA360" i="164"/>
  <c r="AA424" i="164"/>
  <c r="AA487" i="164"/>
  <c r="AA504" i="164"/>
  <c r="AA233" i="164"/>
  <c r="AA263" i="164"/>
  <c r="AA297" i="164"/>
  <c r="AA361" i="164"/>
  <c r="AA552" i="164"/>
  <c r="AA599" i="164"/>
  <c r="AA759" i="164"/>
  <c r="AA680" i="164"/>
  <c r="AA697" i="164"/>
  <c r="AA760" i="164"/>
  <c r="AA777" i="164"/>
  <c r="AA761" i="164"/>
  <c r="AA775" i="164"/>
  <c r="AA648" i="164"/>
  <c r="AA696" i="164"/>
  <c r="AA439" i="164"/>
  <c r="AA456" i="164"/>
  <c r="AA489" i="164"/>
  <c r="AA519" i="164"/>
  <c r="AA776" i="164"/>
  <c r="AA792" i="164"/>
  <c r="AA665" i="164"/>
  <c r="AA377" i="164"/>
  <c r="AA423" i="164"/>
  <c r="AA537" i="164"/>
  <c r="AA551" i="164"/>
  <c r="AA199" i="164"/>
  <c r="AA407" i="164"/>
  <c r="AA616" i="164"/>
  <c r="AA713" i="164"/>
  <c r="AA455" i="164"/>
  <c r="AA471" i="164"/>
  <c r="AA488" i="164"/>
  <c r="AA105" i="164"/>
  <c r="AA247" i="164"/>
  <c r="AA311" i="164"/>
  <c r="AA375" i="164"/>
  <c r="AA280" i="164"/>
  <c r="AA313" i="164"/>
  <c r="AA343" i="164"/>
  <c r="AA393" i="164"/>
  <c r="AA521" i="164"/>
  <c r="AA568" i="164"/>
  <c r="AA585" i="164"/>
  <c r="AA632" i="164"/>
  <c r="AA649" i="164"/>
  <c r="Z701" i="164" a="1"/>
  <c r="Z701" i="164" s="1"/>
  <c r="Z733" i="164" a="1"/>
  <c r="Z733" i="164" s="1"/>
  <c r="Z765" i="164" a="1"/>
  <c r="Z765" i="164" s="1"/>
  <c r="AA168" i="164"/>
  <c r="AA264" i="164"/>
  <c r="AA281" i="164"/>
  <c r="AA327" i="164"/>
  <c r="AA440" i="164"/>
  <c r="AA472" i="164"/>
  <c r="AA505" i="164"/>
  <c r="AA535" i="164"/>
  <c r="Z703" i="164" a="1"/>
  <c r="Z703" i="164" s="1"/>
  <c r="Z735" i="164" a="1"/>
  <c r="Z735" i="164" s="1"/>
  <c r="Z767" i="164" a="1"/>
  <c r="Z767" i="164" s="1"/>
  <c r="Z799" i="164" a="1"/>
  <c r="Z799" i="164" s="1"/>
  <c r="AA569" i="164"/>
  <c r="AA633" i="164"/>
  <c r="Z716" i="164" a="1"/>
  <c r="Z716" i="164" s="1"/>
  <c r="Z748" i="164" a="1"/>
  <c r="Z748" i="164" s="1"/>
  <c r="Z780" i="164" a="1"/>
  <c r="Z780" i="164" s="1"/>
  <c r="AA328" i="164"/>
  <c r="AA345" i="164"/>
  <c r="AA391" i="164"/>
  <c r="AA536" i="164"/>
  <c r="AA553" i="164"/>
  <c r="AA600" i="164"/>
  <c r="AA617" i="164"/>
  <c r="AA664" i="164"/>
  <c r="AA681" i="164"/>
  <c r="Z801" i="164" a="1"/>
  <c r="Z801" i="164" s="1"/>
  <c r="AA279" i="164"/>
  <c r="AA312" i="164"/>
  <c r="AA329" i="164"/>
  <c r="AA359" i="164"/>
  <c r="AA520" i="164"/>
  <c r="Z719" i="164" a="1"/>
  <c r="Z719" i="164" s="1"/>
  <c r="Z751" i="164" a="1"/>
  <c r="Z751" i="164" s="1"/>
  <c r="Z783" i="164" a="1"/>
  <c r="Z783" i="164" s="1"/>
  <c r="AA601" i="164"/>
  <c r="Z493" i="164" a="1"/>
  <c r="Z493" i="164" s="1"/>
  <c r="Z513" i="164" a="1"/>
  <c r="Z513" i="164" s="1"/>
  <c r="Z525" i="164" a="1"/>
  <c r="Z525" i="164" s="1"/>
  <c r="Z545" i="164" a="1"/>
  <c r="Z545" i="164" s="1"/>
  <c r="Z557" i="164" a="1"/>
  <c r="Z557" i="164" s="1"/>
  <c r="Z577" i="164" a="1"/>
  <c r="Z577" i="164" s="1"/>
  <c r="Z589" i="164" a="1"/>
  <c r="Z589" i="164" s="1"/>
  <c r="Z609" i="164" a="1"/>
  <c r="Z609" i="164" s="1"/>
  <c r="Z621" i="164" a="1"/>
  <c r="Z621" i="164" s="1"/>
  <c r="Z641" i="164" a="1"/>
  <c r="Z641" i="164" s="1"/>
  <c r="Z653" i="164" a="1"/>
  <c r="Z653" i="164" s="1"/>
  <c r="Z673" i="164" a="1"/>
  <c r="Z673" i="164" s="1"/>
  <c r="Z685" i="164" a="1"/>
  <c r="Z685" i="164" s="1"/>
  <c r="Z495" i="164" a="1"/>
  <c r="Z495" i="164" s="1"/>
  <c r="Z527" i="164" a="1"/>
  <c r="Z527" i="164" s="1"/>
  <c r="Z559" i="164" a="1"/>
  <c r="Z559" i="164" s="1"/>
  <c r="Z591" i="164" a="1"/>
  <c r="Z591" i="164" s="1"/>
  <c r="Z623" i="164" a="1"/>
  <c r="Z623" i="164" s="1"/>
  <c r="Z655" i="164" a="1"/>
  <c r="Z655" i="164" s="1"/>
  <c r="Z687" i="164" a="1"/>
  <c r="Z687" i="164" s="1"/>
  <c r="AA215" i="164"/>
  <c r="AA408" i="164"/>
  <c r="AA457" i="164"/>
  <c r="Z496" i="164" a="1"/>
  <c r="Z496" i="164" s="1"/>
  <c r="Z508" i="164" a="1"/>
  <c r="Z508" i="164" s="1"/>
  <c r="Z540" i="164" a="1"/>
  <c r="Z540" i="164" s="1"/>
  <c r="Z560" i="164" a="1"/>
  <c r="Z560" i="164" s="1"/>
  <c r="Z572" i="164" a="1"/>
  <c r="Z572" i="164" s="1"/>
  <c r="Z592" i="164" a="1"/>
  <c r="Z592" i="164" s="1"/>
  <c r="Z604" i="164" a="1"/>
  <c r="Z604" i="164" s="1"/>
  <c r="Z624" i="164" a="1"/>
  <c r="Z624" i="164" s="1"/>
  <c r="Z636" i="164" a="1"/>
  <c r="Z636" i="164" s="1"/>
  <c r="Z656" i="164" a="1"/>
  <c r="Z656" i="164" s="1"/>
  <c r="Z668" i="164" a="1"/>
  <c r="Z668" i="164" s="1"/>
  <c r="AA249" i="164"/>
  <c r="AA376" i="164"/>
  <c r="AA441" i="164"/>
  <c r="AA473" i="164"/>
  <c r="Z509" i="164" a="1"/>
  <c r="Z509" i="164" s="1"/>
  <c r="Z541" i="164" a="1"/>
  <c r="Z541" i="164" s="1"/>
  <c r="Z573" i="164" a="1"/>
  <c r="Z573" i="164" s="1"/>
  <c r="Z605" i="164" a="1"/>
  <c r="Z605" i="164" s="1"/>
  <c r="Z637" i="164" a="1"/>
  <c r="Z637" i="164" s="1"/>
  <c r="Z669" i="164" a="1"/>
  <c r="Z669" i="164" s="1"/>
  <c r="AA183" i="164"/>
  <c r="AA344" i="164"/>
  <c r="AA409" i="164"/>
  <c r="AA425" i="164"/>
  <c r="Z542" i="164" a="1"/>
  <c r="Z542" i="164" s="1"/>
  <c r="Z574" i="164" a="1"/>
  <c r="Z574" i="164" s="1"/>
  <c r="Z606" i="164" a="1"/>
  <c r="Z606" i="164" s="1"/>
  <c r="Z638" i="164" a="1"/>
  <c r="Z638" i="164" s="1"/>
  <c r="Z670" i="164" a="1"/>
  <c r="Z670" i="164" s="1"/>
  <c r="Z511" i="164" a="1"/>
  <c r="Z511" i="164" s="1"/>
  <c r="Z543" i="164" a="1"/>
  <c r="Z543" i="164" s="1"/>
  <c r="Z575" i="164" a="1"/>
  <c r="Z575" i="164" s="1"/>
  <c r="Z607" i="164" a="1"/>
  <c r="Z607" i="164" s="1"/>
  <c r="Z639" i="164" a="1"/>
  <c r="Z639" i="164" s="1"/>
  <c r="Z671" i="164" a="1"/>
  <c r="Z671" i="164" s="1"/>
  <c r="AA71" i="164"/>
  <c r="AA184" i="164"/>
  <c r="AA200" i="164"/>
  <c r="AA217" i="164"/>
  <c r="AA296" i="164"/>
  <c r="AA135" i="164"/>
  <c r="Z285" i="164" a="1"/>
  <c r="Z285" i="164" s="1"/>
  <c r="Z305" i="164" a="1"/>
  <c r="Z305" i="164" s="1"/>
  <c r="Z317" i="164" a="1"/>
  <c r="Z317" i="164" s="1"/>
  <c r="Z337" i="164" a="1"/>
  <c r="Z337" i="164" s="1"/>
  <c r="Z349" i="164" a="1"/>
  <c r="Z349" i="164" s="1"/>
  <c r="Z369" i="164" a="1"/>
  <c r="Z369" i="164" s="1"/>
  <c r="Z381" i="164" a="1"/>
  <c r="Z381" i="164" s="1"/>
  <c r="Z401" i="164" a="1"/>
  <c r="Z401" i="164" s="1"/>
  <c r="Z413" i="164" a="1"/>
  <c r="Z413" i="164" s="1"/>
  <c r="Z433" i="164" a="1"/>
  <c r="Z433" i="164" s="1"/>
  <c r="Z445" i="164" a="1"/>
  <c r="Z445" i="164" s="1"/>
  <c r="Z477" i="164" a="1"/>
  <c r="Z477" i="164" s="1"/>
  <c r="Z287" i="164" a="1"/>
  <c r="Z287" i="164" s="1"/>
  <c r="Z319" i="164" a="1"/>
  <c r="Z319" i="164" s="1"/>
  <c r="Z351" i="164" a="1"/>
  <c r="Z351" i="164" s="1"/>
  <c r="Z383" i="164" a="1"/>
  <c r="Z383" i="164" s="1"/>
  <c r="Z415" i="164" a="1"/>
  <c r="Z415" i="164" s="1"/>
  <c r="Z447" i="164" a="1"/>
  <c r="Z447" i="164" s="1"/>
  <c r="Z479" i="164" a="1"/>
  <c r="Z479" i="164" s="1"/>
  <c r="AA87" i="164"/>
  <c r="AA137" i="164"/>
  <c r="AA248" i="164"/>
  <c r="Z300" i="164" a="1"/>
  <c r="Z300" i="164" s="1"/>
  <c r="Z332" i="164" a="1"/>
  <c r="Z332" i="164" s="1"/>
  <c r="Z364" i="164" a="1"/>
  <c r="Z364" i="164" s="1"/>
  <c r="Z396" i="164" a="1"/>
  <c r="Z396" i="164" s="1"/>
  <c r="Z428" i="164" a="1"/>
  <c r="Z428" i="164" s="1"/>
  <c r="Z460" i="164" a="1"/>
  <c r="Z460" i="164" s="1"/>
  <c r="AA216" i="164"/>
  <c r="AA232" i="164"/>
  <c r="AA265" i="164"/>
  <c r="Z334" i="164" a="1"/>
  <c r="Z334" i="164" s="1"/>
  <c r="Z366" i="164" a="1"/>
  <c r="Z366" i="164" s="1"/>
  <c r="Z398" i="164" a="1"/>
  <c r="Z398" i="164" s="1"/>
  <c r="Z430" i="164" a="1"/>
  <c r="Z430" i="164" s="1"/>
  <c r="AA151" i="164"/>
  <c r="Z463" i="164" a="1"/>
  <c r="Z463" i="164" s="1"/>
  <c r="AA152" i="164"/>
  <c r="AA153" i="164"/>
  <c r="AA169" i="164"/>
  <c r="AA201" i="164"/>
  <c r="Z269" i="164" a="1"/>
  <c r="Z269" i="164" s="1"/>
  <c r="Z239" i="164" a="1"/>
  <c r="Z239" i="164" s="1"/>
  <c r="Z271" i="164" a="1"/>
  <c r="Z271" i="164" s="1"/>
  <c r="AA89" i="164"/>
  <c r="Z220" i="164" a="1"/>
  <c r="Z220" i="164" s="1"/>
  <c r="Z240" i="164" a="1"/>
  <c r="Z240" i="164" s="1"/>
  <c r="Z252" i="164" a="1"/>
  <c r="Z252" i="164" s="1"/>
  <c r="Z272" i="164" a="1"/>
  <c r="Z272" i="164" s="1"/>
  <c r="Z253" i="164" a="1"/>
  <c r="Z253" i="164" s="1"/>
  <c r="Z222" i="164" a="1"/>
  <c r="Z222" i="164" s="1"/>
  <c r="Z254" i="164" a="1"/>
  <c r="Z254" i="164" s="1"/>
  <c r="Z223" i="164" a="1"/>
  <c r="Z223" i="164" s="1"/>
  <c r="Z255" i="164" a="1"/>
  <c r="Z255" i="164" s="1"/>
  <c r="AA103" i="164"/>
  <c r="AA120" i="164"/>
  <c r="AA185" i="164"/>
  <c r="Z174" i="164" a="1"/>
  <c r="Z174" i="164" s="1"/>
  <c r="Z206" i="164" a="1"/>
  <c r="Z206" i="164" s="1"/>
  <c r="Z175" i="164" a="1"/>
  <c r="Z175" i="164" s="1"/>
  <c r="Z156" i="164" a="1"/>
  <c r="Z156" i="164" s="1"/>
  <c r="Z188" i="164" a="1"/>
  <c r="Z188" i="164" s="1"/>
  <c r="Z208" i="164" a="1"/>
  <c r="Z208" i="164" s="1"/>
  <c r="Z177" i="164" a="1"/>
  <c r="Z177" i="164" s="1"/>
  <c r="Z158" i="164" a="1"/>
  <c r="Z158" i="164" s="1"/>
  <c r="AA88" i="164"/>
  <c r="AA104" i="164"/>
  <c r="AA136" i="164"/>
  <c r="Z191" i="164" a="1"/>
  <c r="Z191" i="164" s="1"/>
  <c r="AA72" i="164"/>
  <c r="AA121" i="164"/>
  <c r="Z110" i="164" a="1"/>
  <c r="Z110" i="164" s="1"/>
  <c r="Z142" i="164" a="1"/>
  <c r="Z142" i="164" s="1"/>
  <c r="Z111" i="164" a="1"/>
  <c r="Z111" i="164" s="1"/>
  <c r="Z143" i="164" a="1"/>
  <c r="Z143" i="164" s="1"/>
  <c r="Z92" i="164" a="1"/>
  <c r="Z92" i="164" s="1"/>
  <c r="Z112" i="164" a="1"/>
  <c r="Z112" i="164" s="1"/>
  <c r="Z124" i="164" a="1"/>
  <c r="Z124" i="164" s="1"/>
  <c r="Z144" i="164" a="1"/>
  <c r="Z144" i="164" s="1"/>
  <c r="Z95" i="164" a="1"/>
  <c r="Z95" i="164" s="1"/>
  <c r="Z127" i="164" a="1"/>
  <c r="Z127" i="164" s="1"/>
  <c r="AA39" i="164"/>
  <c r="AA41" i="164"/>
  <c r="AA73" i="164"/>
  <c r="AA40" i="164"/>
  <c r="AA55" i="164"/>
  <c r="AA56" i="164"/>
  <c r="Z79" i="164" a="1"/>
  <c r="Z79" i="164" s="1"/>
  <c r="Z80" i="164" a="1"/>
  <c r="Z80" i="164" s="1"/>
  <c r="AA57" i="164"/>
  <c r="Z62" i="164" a="1"/>
  <c r="Z62" i="164" s="1"/>
  <c r="Z63" i="164" a="1"/>
  <c r="Z63" i="164" s="1"/>
  <c r="AA24" i="164"/>
  <c r="Z64" i="164" a="1"/>
  <c r="Z64" i="164" s="1"/>
  <c r="AA23" i="164"/>
  <c r="Z45" i="164" a="1"/>
  <c r="Z45" i="164" s="1"/>
  <c r="Z47" i="164" a="1"/>
  <c r="Z47" i="164" s="1"/>
  <c r="Z48" i="164" a="1"/>
  <c r="Z48" i="164" s="1"/>
  <c r="AA25" i="164"/>
  <c r="Z29" i="164" a="1"/>
  <c r="Z29" i="164" s="1"/>
  <c r="Z31" i="164" a="1"/>
  <c r="Z31" i="164" s="1"/>
  <c r="Z32" i="164" a="1"/>
  <c r="Z32" i="164" s="1"/>
  <c r="AA8" i="164"/>
  <c r="T592" i="177"/>
  <c r="T729" i="177"/>
  <c r="T696" i="177"/>
  <c r="T832" i="177"/>
  <c r="T239" i="177"/>
  <c r="V239" i="177" s="1" a="1"/>
  <c r="V239" i="177" s="1"/>
  <c r="T375" i="177"/>
  <c r="V375" i="177" s="1" a="1"/>
  <c r="V375" i="177" s="1"/>
  <c r="T613" i="177"/>
  <c r="V613" i="177" s="1" a="1"/>
  <c r="V613" i="177" s="1"/>
  <c r="T628" i="177"/>
  <c r="T813" i="177"/>
  <c r="T153" i="177"/>
  <c r="V153" i="177" s="1" a="1"/>
  <c r="V153" i="177" s="1"/>
  <c r="T98" i="177"/>
  <c r="T188" i="177"/>
  <c r="V188" i="177" s="1" a="1"/>
  <c r="V188" i="177" s="1"/>
  <c r="T323" i="177"/>
  <c r="T455" i="177"/>
  <c r="T540" i="177"/>
  <c r="V540" i="177" s="1" a="1"/>
  <c r="V540" i="177" s="1"/>
  <c r="T678" i="177"/>
  <c r="V678" i="177" s="1" a="1"/>
  <c r="V678" i="177" s="1"/>
  <c r="T815" i="177"/>
  <c r="V815" i="177" s="1" a="1"/>
  <c r="V815" i="177" s="1"/>
  <c r="T509" i="177"/>
  <c r="W636" i="177"/>
  <c r="T645" i="177"/>
  <c r="V645" i="177" s="1" a="1"/>
  <c r="V645" i="177" s="1"/>
  <c r="T779" i="177"/>
  <c r="T69" i="177"/>
  <c r="T425" i="177"/>
  <c r="V425" i="177" s="1" a="1"/>
  <c r="V425" i="177" s="1"/>
  <c r="T115" i="177"/>
  <c r="T205" i="177"/>
  <c r="V205" i="177" s="1" a="1"/>
  <c r="V205" i="177" s="1"/>
  <c r="T341" i="177"/>
  <c r="T477" i="177"/>
  <c r="T558" i="177"/>
  <c r="V558" i="177" s="1" a="1"/>
  <c r="V558" i="177" s="1"/>
  <c r="T694" i="177"/>
  <c r="T829" i="177"/>
  <c r="T851" i="177"/>
  <c r="V851" i="177" s="1" a="1"/>
  <c r="V851" i="177" s="1"/>
  <c r="T251" i="177"/>
  <c r="V251" i="177" s="1" a="1"/>
  <c r="V251" i="177" s="1"/>
  <c r="T391" i="177"/>
  <c r="T81" i="177"/>
  <c r="T169" i="177"/>
  <c r="V169" i="177" s="1" a="1"/>
  <c r="V169" i="177" s="1"/>
  <c r="T305" i="177"/>
  <c r="T441" i="177"/>
  <c r="T511" i="177"/>
  <c r="V511" i="177" s="1" a="1"/>
  <c r="V511" i="177" s="1"/>
  <c r="T527" i="177"/>
  <c r="V527" i="177" s="1" a="1"/>
  <c r="V527" i="177" s="1"/>
  <c r="T715" i="177"/>
  <c r="V715" i="177" s="1" a="1"/>
  <c r="V715" i="177" s="1"/>
  <c r="T745" i="177"/>
  <c r="T783" i="177"/>
  <c r="T137" i="177"/>
  <c r="V137" i="177" s="1" a="1"/>
  <c r="V137" i="177" s="1"/>
  <c r="T218" i="177"/>
  <c r="V218" i="177" s="1" a="1"/>
  <c r="V218" i="177" s="1"/>
  <c r="T354" i="177"/>
  <c r="T577" i="177"/>
  <c r="T647" i="177"/>
  <c r="V647" i="177" s="1" a="1"/>
  <c r="V647" i="177" s="1"/>
  <c r="T677" i="177"/>
  <c r="T713" i="177"/>
  <c r="T849" i="177"/>
  <c r="T47" i="177"/>
  <c r="V47" i="177" s="1" a="1"/>
  <c r="V47" i="177" s="1"/>
  <c r="T270" i="177"/>
  <c r="V270" i="177" s="1" a="1"/>
  <c r="V270" i="177" s="1"/>
  <c r="T409" i="177"/>
  <c r="V409" i="177" s="1" a="1"/>
  <c r="V409" i="177" s="1"/>
  <c r="T490" i="177"/>
  <c r="T541" i="177"/>
  <c r="V541" i="177" s="1" a="1"/>
  <c r="V541" i="177" s="1"/>
  <c r="T560" i="177"/>
  <c r="T626" i="177"/>
  <c r="T762" i="177"/>
  <c r="T609" i="177"/>
  <c r="V609" i="177" s="1" a="1"/>
  <c r="V609" i="177" s="1"/>
  <c r="V628" i="177" a="1"/>
  <c r="V628" i="177" s="1"/>
  <c r="T64" i="177"/>
  <c r="T83" i="177"/>
  <c r="T102" i="177"/>
  <c r="V102" i="177" s="1" a="1"/>
  <c r="V102" i="177" s="1"/>
  <c r="T132" i="177"/>
  <c r="T151" i="177"/>
  <c r="T170" i="177"/>
  <c r="V170" i="177" s="1" a="1"/>
  <c r="V170" i="177" s="1"/>
  <c r="T200" i="177"/>
  <c r="V200" i="177" s="1" a="1"/>
  <c r="V200" i="177" s="1"/>
  <c r="T219" i="177"/>
  <c r="V219" i="177" s="1" a="1"/>
  <c r="V219" i="177" s="1"/>
  <c r="T238" i="177"/>
  <c r="V238" i="177" s="1" a="1"/>
  <c r="V238" i="177" s="1"/>
  <c r="T268" i="177"/>
  <c r="V268" i="177" s="1" a="1"/>
  <c r="V268" i="177" s="1"/>
  <c r="T287" i="177"/>
  <c r="T306" i="177"/>
  <c r="T336" i="177"/>
  <c r="T355" i="177"/>
  <c r="V355" i="177" s="1" a="1"/>
  <c r="V355" i="177" s="1"/>
  <c r="T374" i="177"/>
  <c r="T404" i="177"/>
  <c r="V404" i="177" s="1" a="1"/>
  <c r="V404" i="177" s="1"/>
  <c r="T423" i="177"/>
  <c r="V423" i="177" s="1" a="1"/>
  <c r="V423" i="177" s="1"/>
  <c r="T442" i="177"/>
  <c r="V442" i="177" s="1" a="1"/>
  <c r="V442" i="177" s="1"/>
  <c r="T472" i="177"/>
  <c r="V472" i="177" s="1" a="1"/>
  <c r="V472" i="177" s="1"/>
  <c r="T491" i="177"/>
  <c r="T510" i="177"/>
  <c r="V510" i="177" s="1" a="1"/>
  <c r="V510" i="177" s="1"/>
  <c r="T559" i="177"/>
  <c r="V559" i="177" s="1" a="1"/>
  <c r="V559" i="177" s="1"/>
  <c r="T578" i="177"/>
  <c r="T608" i="177"/>
  <c r="V608" i="177" s="1" a="1"/>
  <c r="V608" i="177" s="1"/>
  <c r="T627" i="177"/>
  <c r="V627" i="177" s="1" a="1"/>
  <c r="V627" i="177" s="1"/>
  <c r="T646" i="177"/>
  <c r="V646" i="177" s="1" a="1"/>
  <c r="V646" i="177" s="1"/>
  <c r="T676" i="177"/>
  <c r="V676" i="177" s="1" a="1"/>
  <c r="V676" i="177" s="1"/>
  <c r="T695" i="177"/>
  <c r="T714" i="177"/>
  <c r="T744" i="177"/>
  <c r="V744" i="177" s="1" a="1"/>
  <c r="V744" i="177" s="1"/>
  <c r="T763" i="177"/>
  <c r="T782" i="177"/>
  <c r="V782" i="177" s="1" a="1"/>
  <c r="V782" i="177" s="1"/>
  <c r="T812" i="177"/>
  <c r="V812" i="177" s="1" a="1"/>
  <c r="V812" i="177" s="1"/>
  <c r="T831" i="177"/>
  <c r="T850" i="177"/>
  <c r="V850" i="177" s="1" a="1"/>
  <c r="V850" i="177" s="1"/>
  <c r="T65" i="177"/>
  <c r="T84" i="177"/>
  <c r="T103" i="177"/>
  <c r="V103" i="177" s="1" a="1"/>
  <c r="V103" i="177" s="1"/>
  <c r="T133" i="177"/>
  <c r="T152" i="177"/>
  <c r="V152" i="177" s="1" a="1"/>
  <c r="V152" i="177" s="1"/>
  <c r="T171" i="177"/>
  <c r="V171" i="177" s="1" a="1"/>
  <c r="V171" i="177" s="1"/>
  <c r="T201" i="177"/>
  <c r="V201" i="177" s="1" a="1"/>
  <c r="V201" i="177" s="1"/>
  <c r="T220" i="177"/>
  <c r="V220" i="177" s="1" a="1"/>
  <c r="V220" i="177" s="1"/>
  <c r="T269" i="177"/>
  <c r="V269" i="177" s="1" a="1"/>
  <c r="V269" i="177" s="1"/>
  <c r="T288" i="177"/>
  <c r="V288" i="177" s="1" a="1"/>
  <c r="V288" i="177" s="1"/>
  <c r="T307" i="177"/>
  <c r="V307" i="177" s="1" a="1"/>
  <c r="V307" i="177" s="1"/>
  <c r="T337" i="177"/>
  <c r="T356" i="177"/>
  <c r="V356" i="177" s="1" a="1"/>
  <c r="V356" i="177" s="1"/>
  <c r="T405" i="177"/>
  <c r="V405" i="177" s="1" a="1"/>
  <c r="V405" i="177" s="1"/>
  <c r="T424" i="177"/>
  <c r="T443" i="177"/>
  <c r="V443" i="177" s="1" a="1"/>
  <c r="V443" i="177" s="1"/>
  <c r="T473" i="177"/>
  <c r="T492" i="177"/>
  <c r="T579" i="177"/>
  <c r="V579" i="177" s="1" a="1"/>
  <c r="V579" i="177" s="1"/>
  <c r="T764" i="177"/>
  <c r="V578" i="177" a="1"/>
  <c r="V578" i="177" s="1"/>
  <c r="T66" i="177"/>
  <c r="T85" i="177"/>
  <c r="T134" i="177"/>
  <c r="V134" i="177" s="1" a="1"/>
  <c r="V134" i="177" s="1"/>
  <c r="T183" i="177"/>
  <c r="V183" i="177" s="1" a="1"/>
  <c r="V183" i="177" s="1"/>
  <c r="T202" i="177"/>
  <c r="V202" i="177" s="1" a="1"/>
  <c r="V202" i="177" s="1"/>
  <c r="T221" i="177"/>
  <c r="V221" i="177" s="1" a="1"/>
  <c r="V221" i="177" s="1"/>
  <c r="T289" i="177"/>
  <c r="V289" i="177" s="1" a="1"/>
  <c r="V289" i="177" s="1"/>
  <c r="T319" i="177"/>
  <c r="V319" i="177" s="1" a="1"/>
  <c r="V319" i="177" s="1"/>
  <c r="T338" i="177"/>
  <c r="T357" i="177"/>
  <c r="T387" i="177"/>
  <c r="V387" i="177" s="1" a="1"/>
  <c r="V387" i="177" s="1"/>
  <c r="T406" i="177"/>
  <c r="T474" i="177"/>
  <c r="V474" i="177" s="1" a="1"/>
  <c r="V474" i="177" s="1"/>
  <c r="T493" i="177"/>
  <c r="V493" i="177" s="1" a="1"/>
  <c r="V493" i="177" s="1"/>
  <c r="T523" i="177"/>
  <c r="V523" i="177" s="1" a="1"/>
  <c r="V523" i="177" s="1"/>
  <c r="T542" i="177"/>
  <c r="V542" i="177" s="1" a="1"/>
  <c r="V542" i="177" s="1"/>
  <c r="T561" i="177"/>
  <c r="V561" i="177" s="1" a="1"/>
  <c r="V561" i="177" s="1"/>
  <c r="T591" i="177"/>
  <c r="T610" i="177"/>
  <c r="V610" i="177" s="1" a="1"/>
  <c r="V610" i="177" s="1"/>
  <c r="T629" i="177"/>
  <c r="V629" i="177" s="1" a="1"/>
  <c r="V629" i="177" s="1"/>
  <c r="T659" i="177"/>
  <c r="V659" i="177" s="1" a="1"/>
  <c r="V659" i="177" s="1"/>
  <c r="T697" i="177"/>
  <c r="V697" i="177" s="1" a="1"/>
  <c r="V697" i="177" s="1"/>
  <c r="T727" i="177"/>
  <c r="V727" i="177" s="1" a="1"/>
  <c r="V727" i="177" s="1"/>
  <c r="T746" i="177"/>
  <c r="V746" i="177" s="1" a="1"/>
  <c r="V746" i="177" s="1"/>
  <c r="T765" i="177"/>
  <c r="V765" i="177" s="1" a="1"/>
  <c r="V765" i="177" s="1"/>
  <c r="T795" i="177"/>
  <c r="T814" i="177"/>
  <c r="V814" i="177" s="1" a="1"/>
  <c r="V814" i="177" s="1"/>
  <c r="T833" i="177"/>
  <c r="V833" i="177" s="1" a="1"/>
  <c r="V833" i="177" s="1"/>
  <c r="V271" i="177" a="1"/>
  <c r="V271" i="177" s="1"/>
  <c r="V560" i="177" a="1"/>
  <c r="V560" i="177" s="1"/>
  <c r="T48" i="177"/>
  <c r="V48" i="177" s="1" a="1"/>
  <c r="V48" i="177" s="1"/>
  <c r="T67" i="177"/>
  <c r="V67" i="177" s="1" a="1"/>
  <c r="V67" i="177" s="1"/>
  <c r="T86" i="177"/>
  <c r="T116" i="177"/>
  <c r="V116" i="177" s="1" a="1"/>
  <c r="V116" i="177" s="1"/>
  <c r="T135" i="177"/>
  <c r="V135" i="177" s="1" a="1"/>
  <c r="V135" i="177" s="1"/>
  <c r="T154" i="177"/>
  <c r="T184" i="177"/>
  <c r="V184" i="177" s="1" a="1"/>
  <c r="V184" i="177" s="1"/>
  <c r="T203" i="177"/>
  <c r="V203" i="177" s="1" a="1"/>
  <c r="V203" i="177" s="1"/>
  <c r="T222" i="177"/>
  <c r="V222" i="177" s="1" a="1"/>
  <c r="V222" i="177" s="1"/>
  <c r="T252" i="177"/>
  <c r="V252" i="177" s="1" a="1"/>
  <c r="V252" i="177" s="1"/>
  <c r="T271" i="177"/>
  <c r="T290" i="177"/>
  <c r="V290" i="177" s="1" a="1"/>
  <c r="V290" i="177" s="1"/>
  <c r="T320" i="177"/>
  <c r="T339" i="177"/>
  <c r="T358" i="177"/>
  <c r="T388" i="177"/>
  <c r="T407" i="177"/>
  <c r="V407" i="177" s="1" a="1"/>
  <c r="V407" i="177" s="1"/>
  <c r="T426" i="177"/>
  <c r="V426" i="177" s="1" a="1"/>
  <c r="V426" i="177" s="1"/>
  <c r="T456" i="177"/>
  <c r="V456" i="177" s="1" a="1"/>
  <c r="V456" i="177" s="1"/>
  <c r="T475" i="177"/>
  <c r="V475" i="177" s="1" a="1"/>
  <c r="V475" i="177" s="1"/>
  <c r="T494" i="177"/>
  <c r="T524" i="177"/>
  <c r="V524" i="177" s="1" a="1"/>
  <c r="V524" i="177" s="1"/>
  <c r="T543" i="177"/>
  <c r="V543" i="177" s="1" a="1"/>
  <c r="V543" i="177" s="1"/>
  <c r="T562" i="177"/>
  <c r="V562" i="177" s="1" a="1"/>
  <c r="V562" i="177" s="1"/>
  <c r="T611" i="177"/>
  <c r="V611" i="177" s="1" a="1"/>
  <c r="V611" i="177" s="1"/>
  <c r="T630" i="177"/>
  <c r="V630" i="177" s="1" a="1"/>
  <c r="V630" i="177" s="1"/>
  <c r="T660" i="177"/>
  <c r="T679" i="177"/>
  <c r="V679" i="177" s="1" a="1"/>
  <c r="V679" i="177" s="1"/>
  <c r="T698" i="177"/>
  <c r="T728" i="177"/>
  <c r="V728" i="177" s="1" a="1"/>
  <c r="V728" i="177" s="1"/>
  <c r="T747" i="177"/>
  <c r="V747" i="177" s="1" a="1"/>
  <c r="V747" i="177" s="1"/>
  <c r="T766" i="177"/>
  <c r="V766" i="177" s="1" a="1"/>
  <c r="V766" i="177" s="1"/>
  <c r="T796" i="177"/>
  <c r="V796" i="177" s="1" a="1"/>
  <c r="V796" i="177" s="1"/>
  <c r="T834" i="177"/>
  <c r="V834" i="177" s="1" a="1"/>
  <c r="V834" i="177" s="1"/>
  <c r="W806" i="177"/>
  <c r="T49" i="177"/>
  <c r="V49" i="177" s="1" a="1"/>
  <c r="V49" i="177" s="1"/>
  <c r="T68" i="177"/>
  <c r="V68" i="177" s="1" a="1"/>
  <c r="V68" i="177" s="1"/>
  <c r="T117" i="177"/>
  <c r="T136" i="177"/>
  <c r="V136" i="177" s="1" a="1"/>
  <c r="V136" i="177" s="1"/>
  <c r="T166" i="177"/>
  <c r="V166" i="177" s="1" a="1"/>
  <c r="V166" i="177" s="1"/>
  <c r="T185" i="177"/>
  <c r="V185" i="177" s="1" a="1"/>
  <c r="V185" i="177" s="1"/>
  <c r="T204" i="177"/>
  <c r="V204" i="177" s="1" a="1"/>
  <c r="V204" i="177" s="1"/>
  <c r="T234" i="177"/>
  <c r="V234" i="177" s="1" a="1"/>
  <c r="V234" i="177" s="1"/>
  <c r="T253" i="177"/>
  <c r="V253" i="177" s="1" a="1"/>
  <c r="V253" i="177" s="1"/>
  <c r="T272" i="177"/>
  <c r="V272" i="177" s="1" a="1"/>
  <c r="V272" i="177" s="1"/>
  <c r="T302" i="177"/>
  <c r="T321" i="177"/>
  <c r="V321" i="177" s="1" a="1"/>
  <c r="V321" i="177" s="1"/>
  <c r="T340" i="177"/>
  <c r="V340" i="177" s="1" a="1"/>
  <c r="V340" i="177" s="1"/>
  <c r="T370" i="177"/>
  <c r="T389" i="177"/>
  <c r="V389" i="177" s="1" a="1"/>
  <c r="V389" i="177" s="1"/>
  <c r="T408" i="177"/>
  <c r="T438" i="177"/>
  <c r="V438" i="177" s="1" a="1"/>
  <c r="V438" i="177" s="1"/>
  <c r="T457" i="177"/>
  <c r="T476" i="177"/>
  <c r="T506" i="177"/>
  <c r="T525" i="177"/>
  <c r="V525" i="177" s="1" a="1"/>
  <c r="V525" i="177" s="1"/>
  <c r="T544" i="177"/>
  <c r="T574" i="177"/>
  <c r="V574" i="177" s="1" a="1"/>
  <c r="V574" i="177" s="1"/>
  <c r="T593" i="177"/>
  <c r="V593" i="177" s="1" a="1"/>
  <c r="V593" i="177" s="1"/>
  <c r="T612" i="177"/>
  <c r="V612" i="177" s="1" a="1"/>
  <c r="V612" i="177" s="1"/>
  <c r="T642" i="177"/>
  <c r="T661" i="177"/>
  <c r="V661" i="177" s="1" a="1"/>
  <c r="V661" i="177" s="1"/>
  <c r="T680" i="177"/>
  <c r="V680" i="177" s="1" a="1"/>
  <c r="V680" i="177" s="1"/>
  <c r="T710" i="177"/>
  <c r="T748" i="177"/>
  <c r="V748" i="177" s="1" a="1"/>
  <c r="V748" i="177" s="1"/>
  <c r="T778" i="177"/>
  <c r="V778" i="177" s="1" a="1"/>
  <c r="V778" i="177" s="1"/>
  <c r="T797" i="177"/>
  <c r="V797" i="177" s="1" a="1"/>
  <c r="V797" i="177" s="1"/>
  <c r="T816" i="177"/>
  <c r="V816" i="177" s="1" a="1"/>
  <c r="V816" i="177" s="1"/>
  <c r="T846" i="177"/>
  <c r="V695" i="177" a="1"/>
  <c r="V695" i="177" s="1"/>
  <c r="V729" i="177" a="1"/>
  <c r="V729" i="177" s="1"/>
  <c r="T50" i="177"/>
  <c r="V50" i="177" s="1" a="1"/>
  <c r="V50" i="177" s="1"/>
  <c r="T99" i="177"/>
  <c r="V99" i="177" s="1" a="1"/>
  <c r="V99" i="177" s="1"/>
  <c r="T118" i="177"/>
  <c r="V118" i="177" s="1" a="1"/>
  <c r="V118" i="177" s="1"/>
  <c r="T167" i="177"/>
  <c r="V167" i="177" s="1" a="1"/>
  <c r="V167" i="177" s="1"/>
  <c r="T186" i="177"/>
  <c r="V186" i="177" s="1" a="1"/>
  <c r="V186" i="177" s="1"/>
  <c r="T235" i="177"/>
  <c r="V235" i="177" s="1" a="1"/>
  <c r="V235" i="177" s="1"/>
  <c r="T254" i="177"/>
  <c r="V254" i="177" s="1" a="1"/>
  <c r="V254" i="177" s="1"/>
  <c r="T273" i="177"/>
  <c r="V273" i="177" s="1" a="1"/>
  <c r="V273" i="177" s="1"/>
  <c r="T303" i="177"/>
  <c r="V303" i="177" s="1" a="1"/>
  <c r="V303" i="177" s="1"/>
  <c r="T322" i="177"/>
  <c r="T371" i="177"/>
  <c r="V371" i="177" s="1" a="1"/>
  <c r="V371" i="177" s="1"/>
  <c r="T390" i="177"/>
  <c r="T439" i="177"/>
  <c r="V439" i="177" s="1" a="1"/>
  <c r="V439" i="177" s="1"/>
  <c r="T458" i="177"/>
  <c r="T507" i="177"/>
  <c r="V507" i="177" s="1" a="1"/>
  <c r="V507" i="177" s="1"/>
  <c r="T526" i="177"/>
  <c r="T545" i="177"/>
  <c r="V545" i="177" s="1" a="1"/>
  <c r="V545" i="177" s="1"/>
  <c r="T575" i="177"/>
  <c r="T594" i="177"/>
  <c r="V594" i="177" s="1" a="1"/>
  <c r="V594" i="177" s="1"/>
  <c r="T643" i="177"/>
  <c r="T662" i="177"/>
  <c r="V662" i="177" s="1" a="1"/>
  <c r="V662" i="177" s="1"/>
  <c r="T681" i="177"/>
  <c r="V681" i="177" s="1" a="1"/>
  <c r="V681" i="177" s="1"/>
  <c r="T711" i="177"/>
  <c r="V711" i="177" s="1" a="1"/>
  <c r="V711" i="177" s="1"/>
  <c r="T730" i="177"/>
  <c r="T749" i="177"/>
  <c r="V749" i="177" s="1" a="1"/>
  <c r="V749" i="177" s="1"/>
  <c r="T798" i="177"/>
  <c r="V798" i="177" s="1" a="1"/>
  <c r="V798" i="177" s="1"/>
  <c r="T817" i="177"/>
  <c r="V817" i="177" s="1" a="1"/>
  <c r="V817" i="177" s="1"/>
  <c r="T847" i="177"/>
  <c r="V339" i="177" a="1"/>
  <c r="V339" i="177" s="1"/>
  <c r="V492" i="177" a="1"/>
  <c r="V492" i="177" s="1"/>
  <c r="T51" i="177"/>
  <c r="V51" i="177" s="1" a="1"/>
  <c r="V51" i="177" s="1"/>
  <c r="T100" i="177"/>
  <c r="V100" i="177" s="1" a="1"/>
  <c r="V100" i="177" s="1"/>
  <c r="T119" i="177"/>
  <c r="V119" i="177" s="1" a="1"/>
  <c r="V119" i="177" s="1"/>
  <c r="T149" i="177"/>
  <c r="V149" i="177" s="1" a="1"/>
  <c r="V149" i="177" s="1"/>
  <c r="T168" i="177"/>
  <c r="V168" i="177" s="1" a="1"/>
  <c r="V168" i="177" s="1"/>
  <c r="T187" i="177"/>
  <c r="V187" i="177" s="1" a="1"/>
  <c r="V187" i="177" s="1"/>
  <c r="T217" i="177"/>
  <c r="V217" i="177" s="1" a="1"/>
  <c r="V217" i="177" s="1"/>
  <c r="T236" i="177"/>
  <c r="V236" i="177" s="1" a="1"/>
  <c r="V236" i="177" s="1"/>
  <c r="T255" i="177"/>
  <c r="V255" i="177" s="1" a="1"/>
  <c r="V255" i="177" s="1"/>
  <c r="T285" i="177"/>
  <c r="V285" i="177" s="1" a="1"/>
  <c r="V285" i="177" s="1"/>
  <c r="T304" i="177"/>
  <c r="T353" i="177"/>
  <c r="V353" i="177" s="1" a="1"/>
  <c r="V353" i="177" s="1"/>
  <c r="T372" i="177"/>
  <c r="V372" i="177" s="1" a="1"/>
  <c r="V372" i="177" s="1"/>
  <c r="T421" i="177"/>
  <c r="V421" i="177" s="1" a="1"/>
  <c r="V421" i="177" s="1"/>
  <c r="T440" i="177"/>
  <c r="V440" i="177" s="1" a="1"/>
  <c r="V440" i="177" s="1"/>
  <c r="T459" i="177"/>
  <c r="V459" i="177" s="1" a="1"/>
  <c r="V459" i="177" s="1"/>
  <c r="T489" i="177"/>
  <c r="T508" i="177"/>
  <c r="V508" i="177" s="1" a="1"/>
  <c r="V508" i="177" s="1"/>
  <c r="T557" i="177"/>
  <c r="T576" i="177"/>
  <c r="T595" i="177"/>
  <c r="T625" i="177"/>
  <c r="V625" i="177" s="1" a="1"/>
  <c r="V625" i="177" s="1"/>
  <c r="T644" i="177"/>
  <c r="V644" i="177" s="1" a="1"/>
  <c r="V644" i="177" s="1"/>
  <c r="T663" i="177"/>
  <c r="T693" i="177"/>
  <c r="V693" i="177" s="1" a="1"/>
  <c r="V693" i="177" s="1"/>
  <c r="T712" i="177"/>
  <c r="V712" i="177" s="1" a="1"/>
  <c r="V712" i="177" s="1"/>
  <c r="T731" i="177"/>
  <c r="V731" i="177" s="1" a="1"/>
  <c r="V731" i="177" s="1"/>
  <c r="T761" i="177"/>
  <c r="V761" i="177" s="1" a="1"/>
  <c r="V761" i="177" s="1"/>
  <c r="T780" i="177"/>
  <c r="V780" i="177" s="1" a="1"/>
  <c r="V780" i="177" s="1"/>
  <c r="T799" i="177"/>
  <c r="V799" i="177" s="1" a="1"/>
  <c r="V799" i="177" s="1"/>
  <c r="T848" i="177"/>
  <c r="V848" i="177" s="1" a="1"/>
  <c r="V848" i="177" s="1"/>
  <c r="V85" i="177" a="1"/>
  <c r="V85" i="177" s="1"/>
  <c r="V357" i="177" a="1"/>
  <c r="V357" i="177" s="1"/>
  <c r="T33" i="177"/>
  <c r="V33" i="177" s="1" a="1"/>
  <c r="V33" i="177" s="1"/>
  <c r="V476" i="177" a="1"/>
  <c r="V476" i="177" s="1"/>
  <c r="V783" i="177" a="1"/>
  <c r="V783" i="177" s="1"/>
  <c r="V832" i="177" a="1"/>
  <c r="V832" i="177" s="1"/>
  <c r="T52" i="177"/>
  <c r="T82" i="177"/>
  <c r="T101" i="177"/>
  <c r="V101" i="177" s="1" a="1"/>
  <c r="V101" i="177" s="1"/>
  <c r="T120" i="177"/>
  <c r="T150" i="177"/>
  <c r="V150" i="177" s="1" a="1"/>
  <c r="V150" i="177" s="1"/>
  <c r="T237" i="177"/>
  <c r="V237" i="177" s="1" a="1"/>
  <c r="V237" i="177" s="1"/>
  <c r="T256" i="177"/>
  <c r="V256" i="177" s="1" a="1"/>
  <c r="V256" i="177" s="1"/>
  <c r="T286" i="177"/>
  <c r="T324" i="177"/>
  <c r="T373" i="177"/>
  <c r="T392" i="177"/>
  <c r="V392" i="177" s="1" a="1"/>
  <c r="V392" i="177" s="1"/>
  <c r="T422" i="177"/>
  <c r="V422" i="177" s="1" a="1"/>
  <c r="V422" i="177" s="1"/>
  <c r="T460" i="177"/>
  <c r="V460" i="177" s="1" a="1"/>
  <c r="V460" i="177" s="1"/>
  <c r="T528" i="177"/>
  <c r="T596" i="177"/>
  <c r="V596" i="177" s="1" a="1"/>
  <c r="V596" i="177" s="1"/>
  <c r="T664" i="177"/>
  <c r="V664" i="177" s="1" a="1"/>
  <c r="V664" i="177" s="1"/>
  <c r="T732" i="177"/>
  <c r="T781" i="177"/>
  <c r="V781" i="177" s="1" a="1"/>
  <c r="V781" i="177" s="1"/>
  <c r="T800" i="177"/>
  <c r="V800" i="177" s="1" a="1"/>
  <c r="V800" i="177" s="1"/>
  <c r="T830" i="177"/>
  <c r="T30" i="177"/>
  <c r="V30" i="177" s="1" a="1"/>
  <c r="V30" i="177" s="1"/>
  <c r="W401" i="177"/>
  <c r="T31" i="177"/>
  <c r="V31" i="177" s="1" a="1"/>
  <c r="V31" i="177" s="1"/>
  <c r="T32" i="177"/>
  <c r="T34" i="177"/>
  <c r="V34" i="177" s="1" a="1"/>
  <c r="V34" i="177" s="1"/>
  <c r="T35" i="177"/>
  <c r="W449" i="177"/>
  <c r="W484" i="177"/>
  <c r="W518" i="177"/>
  <c r="W469" i="177"/>
  <c r="W554" i="177"/>
  <c r="W687" i="177"/>
  <c r="W823" i="177"/>
  <c r="W843" i="177"/>
  <c r="W551" i="177"/>
  <c r="W571" i="177"/>
  <c r="W585" i="177"/>
  <c r="W809" i="177"/>
  <c r="W619" i="177"/>
  <c r="W639" i="177"/>
  <c r="W653" i="177"/>
  <c r="W688" i="177"/>
  <c r="W722" i="177"/>
  <c r="W807" i="177"/>
  <c r="W602" i="177"/>
  <c r="W367" i="177"/>
  <c r="W398" i="177"/>
  <c r="W637" i="177"/>
  <c r="W690" i="177"/>
  <c r="W704" i="177"/>
  <c r="W738" i="177"/>
  <c r="W537" i="177"/>
  <c r="W670" i="177"/>
  <c r="W705" i="177"/>
  <c r="W840" i="177"/>
  <c r="W450" i="177"/>
  <c r="W534" i="177"/>
  <c r="W673" i="177"/>
  <c r="W569" i="177"/>
  <c r="W605" i="177"/>
  <c r="W350" i="177"/>
  <c r="W364" i="177"/>
  <c r="W433" i="177"/>
  <c r="W654" i="177"/>
  <c r="W789" i="177"/>
  <c r="W92" i="177"/>
  <c r="W517" i="177"/>
  <c r="W741" i="177"/>
  <c r="W568" i="177"/>
  <c r="W333" i="177"/>
  <c r="W382" i="177"/>
  <c r="W416" i="177"/>
  <c r="W483" i="177"/>
  <c r="W552" i="177"/>
  <c r="W586" i="177"/>
  <c r="W758" i="177"/>
  <c r="W772" i="177"/>
  <c r="W841" i="177"/>
  <c r="W622" i="177"/>
  <c r="W432" i="177"/>
  <c r="W163" i="177"/>
  <c r="W177" i="177"/>
  <c r="W214" i="177"/>
  <c r="W314" i="177"/>
  <c r="W330" i="177"/>
  <c r="W399" i="177"/>
  <c r="W466" i="177"/>
  <c r="W500" i="177"/>
  <c r="W520" i="177"/>
  <c r="W603" i="177"/>
  <c r="W755" i="177"/>
  <c r="W381" i="177"/>
  <c r="W721" i="177"/>
  <c r="W756" i="177"/>
  <c r="W790" i="177"/>
  <c r="W112" i="177"/>
  <c r="W246" i="177"/>
  <c r="W501" i="177"/>
  <c r="W313" i="177"/>
  <c r="W129" i="177"/>
  <c r="W143" i="177"/>
  <c r="W161" i="177"/>
  <c r="W228" i="177"/>
  <c r="W588" i="177"/>
  <c r="W707" i="177"/>
  <c r="W739" i="177"/>
  <c r="W792" i="177"/>
  <c r="W826" i="177"/>
  <c r="V849" i="177" a="1"/>
  <c r="V849" i="177" s="1"/>
  <c r="W773" i="177"/>
  <c r="W316" i="177"/>
  <c r="W452" i="177"/>
  <c r="W486" i="177"/>
  <c r="W656" i="177"/>
  <c r="W775" i="177"/>
  <c r="V847" i="177" a="1"/>
  <c r="V847" i="177" s="1"/>
  <c r="W160" i="177"/>
  <c r="W297" i="177"/>
  <c r="W415" i="177"/>
  <c r="W435" i="177"/>
  <c r="W467" i="177"/>
  <c r="W671" i="177"/>
  <c r="W620" i="177"/>
  <c r="W724" i="177"/>
  <c r="W824" i="177"/>
  <c r="V846" i="177" a="1"/>
  <c r="V846" i="177" s="1"/>
  <c r="W503" i="177"/>
  <c r="W535" i="177"/>
  <c r="V441" i="177" a="1"/>
  <c r="V441" i="177" s="1"/>
  <c r="W194" i="177"/>
  <c r="W245" i="177"/>
  <c r="W348" i="177"/>
  <c r="V477" i="177" a="1"/>
  <c r="V477" i="177" s="1"/>
  <c r="V473" i="177" a="1"/>
  <c r="V473" i="177" s="1"/>
  <c r="W263" i="177"/>
  <c r="W282" i="177"/>
  <c r="W296" i="177"/>
  <c r="W197" i="177"/>
  <c r="W212" i="177"/>
  <c r="W331" i="177"/>
  <c r="W384" i="177"/>
  <c r="V455" i="177" a="1"/>
  <c r="V455" i="177" s="1"/>
  <c r="V458" i="177" a="1"/>
  <c r="V458" i="177" s="1"/>
  <c r="W299" i="177"/>
  <c r="W365" i="177"/>
  <c r="V457" i="177" a="1"/>
  <c r="V457" i="177" s="1"/>
  <c r="V506" i="177" a="1"/>
  <c r="V506" i="177" s="1"/>
  <c r="V528" i="177" a="1"/>
  <c r="V528" i="177" s="1"/>
  <c r="V592" i="177" a="1"/>
  <c r="V592" i="177" s="1"/>
  <c r="V642" i="177" a="1"/>
  <c r="V642" i="177" s="1"/>
  <c r="V660" i="177" a="1"/>
  <c r="V660" i="177" s="1"/>
  <c r="V696" i="177" a="1"/>
  <c r="V696" i="177" s="1"/>
  <c r="V710" i="177" a="1"/>
  <c r="V710" i="177" s="1"/>
  <c r="V714" i="177" a="1"/>
  <c r="V714" i="177" s="1"/>
  <c r="V732" i="177" a="1"/>
  <c r="V732" i="177" s="1"/>
  <c r="V764" i="177" a="1"/>
  <c r="V764" i="177" s="1"/>
  <c r="W418" i="177"/>
  <c r="V491" i="177" a="1"/>
  <c r="V491" i="177" s="1"/>
  <c r="V509" i="177" a="1"/>
  <c r="V509" i="177" s="1"/>
  <c r="V577" i="177" a="1"/>
  <c r="V577" i="177" s="1"/>
  <c r="V591" i="177" a="1"/>
  <c r="V591" i="177" s="1"/>
  <c r="V595" i="177" a="1"/>
  <c r="V595" i="177" s="1"/>
  <c r="V663" i="177" a="1"/>
  <c r="V663" i="177" s="1"/>
  <c r="V677" i="177" a="1"/>
  <c r="V677" i="177" s="1"/>
  <c r="V713" i="177" a="1"/>
  <c r="V713" i="177" s="1"/>
  <c r="V745" i="177" a="1"/>
  <c r="V745" i="177" s="1"/>
  <c r="V763" i="177" a="1"/>
  <c r="V763" i="177" s="1"/>
  <c r="V795" i="177" a="1"/>
  <c r="V795" i="177" s="1"/>
  <c r="V813" i="177" a="1"/>
  <c r="V813" i="177" s="1"/>
  <c r="V831" i="177" a="1"/>
  <c r="V831" i="177" s="1"/>
  <c r="V490" i="177" a="1"/>
  <c r="V490" i="177" s="1"/>
  <c r="V494" i="177" a="1"/>
  <c r="V494" i="177" s="1"/>
  <c r="V526" i="177" a="1"/>
  <c r="V526" i="177" s="1"/>
  <c r="V544" i="177" a="1"/>
  <c r="V544" i="177" s="1"/>
  <c r="V576" i="177" a="1"/>
  <c r="V576" i="177" s="1"/>
  <c r="V626" i="177" a="1"/>
  <c r="V626" i="177" s="1"/>
  <c r="V694" i="177" a="1"/>
  <c r="V694" i="177" s="1"/>
  <c r="V698" i="177" a="1"/>
  <c r="V698" i="177" s="1"/>
  <c r="V730" i="177" a="1"/>
  <c r="V730" i="177" s="1"/>
  <c r="V762" i="177" a="1"/>
  <c r="V762" i="177" s="1"/>
  <c r="V830" i="177" a="1"/>
  <c r="V830" i="177" s="1"/>
  <c r="W262" i="177"/>
  <c r="W347" i="177"/>
  <c r="V489" i="177" a="1"/>
  <c r="V489" i="177" s="1"/>
  <c r="V557" i="177" a="1"/>
  <c r="V557" i="177" s="1"/>
  <c r="V575" i="177" a="1"/>
  <c r="V575" i="177" s="1"/>
  <c r="V643" i="177" a="1"/>
  <c r="V643" i="177" s="1"/>
  <c r="V779" i="177" a="1"/>
  <c r="V779" i="177" s="1"/>
  <c r="V829" i="177" a="1"/>
  <c r="V829" i="177" s="1"/>
  <c r="W76" i="177"/>
  <c r="W109" i="177"/>
  <c r="W195" i="177"/>
  <c r="W211" i="177"/>
  <c r="W231" i="177"/>
  <c r="V302" i="177" a="1"/>
  <c r="V302" i="177" s="1"/>
  <c r="V306" i="177" a="1"/>
  <c r="V306" i="177" s="1"/>
  <c r="V320" i="177" a="1"/>
  <c r="V320" i="177" s="1"/>
  <c r="V324" i="177" a="1"/>
  <c r="V324" i="177" s="1"/>
  <c r="V338" i="177" a="1"/>
  <c r="V338" i="177" s="1"/>
  <c r="V370" i="177" a="1"/>
  <c r="V370" i="177" s="1"/>
  <c r="V374" i="177" a="1"/>
  <c r="V374" i="177" s="1"/>
  <c r="V388" i="177" a="1"/>
  <c r="V388" i="177" s="1"/>
  <c r="V406" i="177" a="1"/>
  <c r="V406" i="177" s="1"/>
  <c r="V424" i="177" a="1"/>
  <c r="V424" i="177" s="1"/>
  <c r="V305" i="177" a="1"/>
  <c r="V305" i="177" s="1"/>
  <c r="V323" i="177" a="1"/>
  <c r="V323" i="177" s="1"/>
  <c r="V337" i="177" a="1"/>
  <c r="V337" i="177" s="1"/>
  <c r="V341" i="177" a="1"/>
  <c r="V341" i="177" s="1"/>
  <c r="V373" i="177" a="1"/>
  <c r="V373" i="177" s="1"/>
  <c r="V391" i="177" a="1"/>
  <c r="V391" i="177" s="1"/>
  <c r="W144" i="177"/>
  <c r="W248" i="177"/>
  <c r="W265" i="177"/>
  <c r="W44" i="177"/>
  <c r="V304" i="177" a="1"/>
  <c r="V304" i="177" s="1"/>
  <c r="V322" i="177" a="1"/>
  <c r="V322" i="177" s="1"/>
  <c r="V336" i="177" a="1"/>
  <c r="V336" i="177" s="1"/>
  <c r="V354" i="177" a="1"/>
  <c r="V354" i="177" s="1"/>
  <c r="V358" i="177" a="1"/>
  <c r="V358" i="177" s="1"/>
  <c r="V390" i="177" a="1"/>
  <c r="V390" i="177" s="1"/>
  <c r="V408" i="177" a="1"/>
  <c r="V408" i="177" s="1"/>
  <c r="W126" i="177"/>
  <c r="W146" i="177"/>
  <c r="W178" i="177"/>
  <c r="W279" i="177"/>
  <c r="W127" i="177"/>
  <c r="W180" i="177"/>
  <c r="W229" i="177"/>
  <c r="W280" i="177"/>
  <c r="V287" i="177" a="1"/>
  <c r="V287" i="177" s="1"/>
  <c r="V286" i="177" a="1"/>
  <c r="V286" i="177" s="1"/>
  <c r="W93" i="177"/>
  <c r="V133" i="177" a="1"/>
  <c r="V133" i="177" s="1"/>
  <c r="V151" i="177" a="1"/>
  <c r="V151" i="177" s="1"/>
  <c r="W110" i="177"/>
  <c r="W58" i="177"/>
  <c r="V132" i="177" a="1"/>
  <c r="V132" i="177" s="1"/>
  <c r="V154" i="177" a="1"/>
  <c r="V154" i="177" s="1"/>
  <c r="W59" i="177"/>
  <c r="W61" i="177"/>
  <c r="W95" i="177"/>
  <c r="W27" i="177"/>
  <c r="W41" i="177"/>
  <c r="V117" i="177" a="1"/>
  <c r="V117" i="177" s="1"/>
  <c r="W75" i="177"/>
  <c r="V98" i="177" a="1"/>
  <c r="V98" i="177" s="1"/>
  <c r="V120" i="177" a="1"/>
  <c r="V120" i="177" s="1"/>
  <c r="W78" i="177"/>
  <c r="V115" i="177" a="1"/>
  <c r="V115" i="177" s="1"/>
  <c r="V66" i="177" a="1"/>
  <c r="V66" i="177" s="1"/>
  <c r="V84" i="177" a="1"/>
  <c r="V84" i="177" s="1"/>
  <c r="V65" i="177" a="1"/>
  <c r="V65" i="177" s="1"/>
  <c r="V69" i="177" a="1"/>
  <c r="V69" i="177" s="1"/>
  <c r="V83" i="177" a="1"/>
  <c r="V83" i="177" s="1"/>
  <c r="V64" i="177" a="1"/>
  <c r="V64" i="177" s="1"/>
  <c r="V82" i="177" a="1"/>
  <c r="V82" i="177" s="1"/>
  <c r="V86" i="177" a="1"/>
  <c r="V86" i="177" s="1"/>
  <c r="W24" i="177"/>
  <c r="V81" i="177" a="1"/>
  <c r="V81" i="177" s="1"/>
  <c r="W42" i="177"/>
  <c r="V52" i="177" a="1"/>
  <c r="V52" i="177" s="1"/>
  <c r="W25" i="177"/>
  <c r="V32" i="177" a="1"/>
  <c r="V32" i="177" s="1"/>
  <c r="V35" i="177" a="1"/>
  <c r="V35" i="177" s="1"/>
  <c r="W8" i="177"/>
  <c r="AA665" i="161"/>
  <c r="AA776" i="161"/>
  <c r="AA713" i="161"/>
  <c r="AA569" i="161"/>
  <c r="AA121" i="161"/>
  <c r="AA201" i="161"/>
  <c r="AA344" i="161"/>
  <c r="AA455" i="161"/>
  <c r="AA296" i="161"/>
  <c r="AA537" i="161"/>
  <c r="X172" i="161"/>
  <c r="Z172" i="161" s="1" a="1"/>
  <c r="Z172" i="161" s="1"/>
  <c r="AA137" i="161"/>
  <c r="AA471" i="161"/>
  <c r="X173" i="161"/>
  <c r="Z173" i="161" s="1" a="1"/>
  <c r="Z173" i="161" s="1"/>
  <c r="X174" i="161"/>
  <c r="Z174" i="161" s="1" a="1"/>
  <c r="Z174" i="161" s="1"/>
  <c r="X175" i="161"/>
  <c r="Z175" i="161" s="1" a="1"/>
  <c r="Z175" i="161" s="1"/>
  <c r="X177" i="161"/>
  <c r="Z177" i="161" s="1" a="1"/>
  <c r="Z177" i="161" s="1"/>
  <c r="AA247" i="161"/>
  <c r="AA345" i="161"/>
  <c r="AA551" i="161"/>
  <c r="AA728" i="161"/>
  <c r="AA217" i="161"/>
  <c r="AA264" i="161"/>
  <c r="AA601" i="161"/>
  <c r="AA631" i="161"/>
  <c r="AA648" i="161"/>
  <c r="AA761" i="161"/>
  <c r="AA792" i="161"/>
  <c r="AA583" i="161"/>
  <c r="AA265" i="161"/>
  <c r="AA440" i="161"/>
  <c r="AA489" i="161"/>
  <c r="AA775" i="161"/>
  <c r="AA375" i="161"/>
  <c r="AA424" i="161"/>
  <c r="AA503" i="161"/>
  <c r="AA695" i="161"/>
  <c r="AA313" i="161"/>
  <c r="AA487" i="161"/>
  <c r="AA535" i="161"/>
  <c r="AA600" i="161"/>
  <c r="AA791" i="161"/>
  <c r="AA40" i="161"/>
  <c r="AA136" i="161"/>
  <c r="AA183" i="161"/>
  <c r="AA295" i="161"/>
  <c r="AA377" i="161"/>
  <c r="AA519" i="161"/>
  <c r="AA663" i="161"/>
  <c r="AA745" i="161"/>
  <c r="AA536" i="161"/>
  <c r="AA632" i="161"/>
  <c r="AA649" i="161"/>
  <c r="AA664" i="161"/>
  <c r="AA777" i="161"/>
  <c r="AA616" i="161"/>
  <c r="AA743" i="161"/>
  <c r="AA425" i="161"/>
  <c r="AA472" i="161"/>
  <c r="AA680" i="161"/>
  <c r="AA697" i="161"/>
  <c r="AA727" i="161"/>
  <c r="AA793" i="161"/>
  <c r="AA263" i="161"/>
  <c r="AA568" i="161"/>
  <c r="AA585" i="161"/>
  <c r="AA647" i="161"/>
  <c r="AA760" i="161"/>
  <c r="AA615" i="161"/>
  <c r="AA360" i="161"/>
  <c r="AA521" i="161"/>
  <c r="AA744" i="161"/>
  <c r="AA311" i="161"/>
  <c r="AA248" i="161"/>
  <c r="AA105" i="161"/>
  <c r="AA135" i="161"/>
  <c r="AA249" i="161"/>
  <c r="AA439" i="161"/>
  <c r="AA505" i="161"/>
  <c r="AA567" i="161"/>
  <c r="AA584" i="161"/>
  <c r="AA633" i="161"/>
  <c r="AA679" i="161"/>
  <c r="AA759" i="161"/>
  <c r="AA552" i="161"/>
  <c r="AA233" i="161"/>
  <c r="AA409" i="161"/>
  <c r="AA553" i="161"/>
  <c r="AA617" i="161"/>
  <c r="AA681" i="161"/>
  <c r="AA423" i="161"/>
  <c r="AA457" i="161"/>
  <c r="AA473" i="161"/>
  <c r="AA711" i="161"/>
  <c r="Z796" i="161" a="1"/>
  <c r="Z796" i="161" s="1"/>
  <c r="Z798" i="161" a="1"/>
  <c r="Z798" i="161" s="1"/>
  <c r="AA120" i="161"/>
  <c r="AA200" i="161"/>
  <c r="AA488" i="161"/>
  <c r="AA359" i="161"/>
  <c r="AA297" i="161"/>
  <c r="AA89" i="161"/>
  <c r="AA119" i="161"/>
  <c r="AA199" i="161"/>
  <c r="AA215" i="161"/>
  <c r="AA232" i="161"/>
  <c r="AA361" i="161"/>
  <c r="AA408" i="161"/>
  <c r="AA599" i="161"/>
  <c r="AA712" i="161"/>
  <c r="AA504" i="161"/>
  <c r="AA520" i="161"/>
  <c r="AA696" i="161"/>
  <c r="AA729" i="161"/>
  <c r="AA328" i="161"/>
  <c r="AA151" i="161"/>
  <c r="AA169" i="161"/>
  <c r="AA231" i="161"/>
  <c r="AA312" i="161"/>
  <c r="AA329" i="161"/>
  <c r="AA391" i="161"/>
  <c r="AA407" i="161"/>
  <c r="AA456" i="161"/>
  <c r="Z557" i="161" a="1"/>
  <c r="Z557" i="161" s="1"/>
  <c r="Z621" i="161" a="1"/>
  <c r="Z621" i="161" s="1"/>
  <c r="AA441" i="161"/>
  <c r="AA184" i="161"/>
  <c r="AA392" i="161"/>
  <c r="AA216" i="161"/>
  <c r="AA327" i="161"/>
  <c r="AA343" i="161"/>
  <c r="AA376" i="161"/>
  <c r="AA393" i="161"/>
  <c r="AA185" i="161"/>
  <c r="Z270" i="161" a="1"/>
  <c r="Z270" i="161" s="1"/>
  <c r="Z462" i="161" a="1"/>
  <c r="Z462" i="161" s="1"/>
  <c r="AA167" i="161"/>
  <c r="AA41" i="161"/>
  <c r="AA103" i="161"/>
  <c r="AA153" i="161"/>
  <c r="Z495" i="161" a="1"/>
  <c r="Z495" i="161" s="1"/>
  <c r="Z496" i="161" a="1"/>
  <c r="Z496" i="161" s="1"/>
  <c r="AA104" i="161"/>
  <c r="AA168" i="161"/>
  <c r="AA71" i="161"/>
  <c r="AA39" i="161"/>
  <c r="Z253" i="161" a="1"/>
  <c r="Z253" i="161" s="1"/>
  <c r="Z255" i="161" a="1"/>
  <c r="Z255" i="161" s="1"/>
  <c r="Z256" i="161" a="1"/>
  <c r="Z256" i="161" s="1"/>
  <c r="AA87" i="161"/>
  <c r="AA152" i="161"/>
  <c r="Z127" i="161" a="1"/>
  <c r="Z127" i="161" s="1"/>
  <c r="AA88" i="161"/>
  <c r="AA73" i="161"/>
  <c r="AA55" i="161"/>
  <c r="AA56" i="161"/>
  <c r="AA72" i="161"/>
  <c r="AA57" i="161"/>
  <c r="Z61" i="161" a="1"/>
  <c r="Z61" i="161" s="1"/>
  <c r="Z63" i="161" a="1"/>
  <c r="Z63" i="161" s="1"/>
  <c r="AA23" i="161"/>
  <c r="AA24" i="161"/>
  <c r="AA25" i="161"/>
  <c r="AA8" i="161"/>
  <c r="Z751" i="165" l="1"/>
  <c r="X751" i="165"/>
  <c r="V751" i="165"/>
  <c r="U751" i="165"/>
  <c r="S751" i="165"/>
  <c r="R751" i="165"/>
  <c r="Z750" i="165"/>
  <c r="X750" i="165"/>
  <c r="V750" i="165"/>
  <c r="U750" i="165"/>
  <c r="S750" i="165"/>
  <c r="R750" i="165"/>
  <c r="V749" i="165"/>
  <c r="U749" i="165"/>
  <c r="S749" i="165"/>
  <c r="R749" i="165"/>
  <c r="V748" i="165"/>
  <c r="U748" i="165"/>
  <c r="S748" i="165"/>
  <c r="R748" i="165"/>
  <c r="Z748" i="165" s="1"/>
  <c r="Z747" i="165"/>
  <c r="AB747" i="165" s="1" a="1"/>
  <c r="AB747" i="165" s="1"/>
  <c r="X747" i="165"/>
  <c r="V747" i="165"/>
  <c r="U747" i="165"/>
  <c r="S747" i="165"/>
  <c r="R747" i="165"/>
  <c r="R744" i="165"/>
  <c r="F744" i="165"/>
  <c r="R743" i="165"/>
  <c r="F743" i="165"/>
  <c r="R742" i="165"/>
  <c r="F742" i="165"/>
  <c r="C742" i="165"/>
  <c r="R741" i="165"/>
  <c r="Z736" i="165"/>
  <c r="X736" i="165"/>
  <c r="V736" i="165"/>
  <c r="U736" i="165"/>
  <c r="S736" i="165"/>
  <c r="R736" i="165"/>
  <c r="Z735" i="165"/>
  <c r="X735" i="165"/>
  <c r="V735" i="165"/>
  <c r="U735" i="165"/>
  <c r="S735" i="165"/>
  <c r="R735" i="165"/>
  <c r="V734" i="165"/>
  <c r="U734" i="165"/>
  <c r="S734" i="165"/>
  <c r="R734" i="165"/>
  <c r="Z734" i="165" s="1"/>
  <c r="V733" i="165"/>
  <c r="U733" i="165"/>
  <c r="S733" i="165"/>
  <c r="R733" i="165"/>
  <c r="Z733" i="165" s="1"/>
  <c r="Z732" i="165"/>
  <c r="AB732" i="165" s="1" a="1"/>
  <c r="AB732" i="165" s="1"/>
  <c r="X732" i="165"/>
  <c r="V732" i="165"/>
  <c r="U732" i="165"/>
  <c r="S732" i="165"/>
  <c r="R732" i="165"/>
  <c r="R729" i="165"/>
  <c r="F729" i="165"/>
  <c r="R728" i="165"/>
  <c r="F728" i="165"/>
  <c r="R727" i="165"/>
  <c r="F727" i="165"/>
  <c r="C727" i="165"/>
  <c r="R726" i="165"/>
  <c r="Z721" i="165"/>
  <c r="X721" i="165"/>
  <c r="V721" i="165"/>
  <c r="U721" i="165"/>
  <c r="S721" i="165"/>
  <c r="R721" i="165"/>
  <c r="Z720" i="165"/>
  <c r="X720" i="165"/>
  <c r="V720" i="165"/>
  <c r="U720" i="165"/>
  <c r="S720" i="165"/>
  <c r="R720" i="165"/>
  <c r="V719" i="165"/>
  <c r="U719" i="165"/>
  <c r="S719" i="165"/>
  <c r="R719" i="165"/>
  <c r="Z719" i="165" s="1"/>
  <c r="V718" i="165"/>
  <c r="U718" i="165"/>
  <c r="S718" i="165"/>
  <c r="R718" i="165"/>
  <c r="Z717" i="165"/>
  <c r="AB717" i="165" s="1" a="1"/>
  <c r="AB717" i="165" s="1"/>
  <c r="X717" i="165"/>
  <c r="V717" i="165"/>
  <c r="U717" i="165"/>
  <c r="S717" i="165"/>
  <c r="R717" i="165"/>
  <c r="R714" i="165"/>
  <c r="F714" i="165"/>
  <c r="R713" i="165"/>
  <c r="F713" i="165"/>
  <c r="R712" i="165"/>
  <c r="F712" i="165"/>
  <c r="C712" i="165"/>
  <c r="R711" i="165"/>
  <c r="Z706" i="165"/>
  <c r="X706" i="165"/>
  <c r="V706" i="165"/>
  <c r="U706" i="165"/>
  <c r="S706" i="165"/>
  <c r="R706" i="165"/>
  <c r="Z705" i="165"/>
  <c r="X705" i="165"/>
  <c r="V705" i="165"/>
  <c r="U705" i="165"/>
  <c r="S705" i="165"/>
  <c r="R705" i="165"/>
  <c r="V704" i="165"/>
  <c r="U704" i="165"/>
  <c r="S704" i="165"/>
  <c r="R704" i="165"/>
  <c r="Z704" i="165" s="1"/>
  <c r="V703" i="165"/>
  <c r="U703" i="165"/>
  <c r="S703" i="165"/>
  <c r="R703" i="165"/>
  <c r="Z703" i="165" s="1"/>
  <c r="Z702" i="165"/>
  <c r="AB702" i="165" s="1" a="1"/>
  <c r="AB702" i="165" s="1"/>
  <c r="X702" i="165"/>
  <c r="V702" i="165"/>
  <c r="U702" i="165"/>
  <c r="S702" i="165"/>
  <c r="R702" i="165"/>
  <c r="R699" i="165"/>
  <c r="F699" i="165"/>
  <c r="R698" i="165"/>
  <c r="F698" i="165"/>
  <c r="R697" i="165"/>
  <c r="F697" i="165"/>
  <c r="C697" i="165"/>
  <c r="R696" i="165"/>
  <c r="Z691" i="165"/>
  <c r="X691" i="165"/>
  <c r="V691" i="165"/>
  <c r="U691" i="165"/>
  <c r="S691" i="165"/>
  <c r="R691" i="165"/>
  <c r="Z690" i="165"/>
  <c r="X690" i="165"/>
  <c r="V690" i="165"/>
  <c r="U690" i="165"/>
  <c r="S690" i="165"/>
  <c r="R690" i="165"/>
  <c r="V689" i="165"/>
  <c r="U689" i="165"/>
  <c r="S689" i="165"/>
  <c r="R689" i="165"/>
  <c r="V688" i="165"/>
  <c r="U688" i="165"/>
  <c r="S688" i="165"/>
  <c r="R688" i="165"/>
  <c r="Z688" i="165" s="1"/>
  <c r="Z687" i="165"/>
  <c r="AB687" i="165" s="1" a="1"/>
  <c r="AB687" i="165" s="1"/>
  <c r="X687" i="165"/>
  <c r="V687" i="165"/>
  <c r="U687" i="165"/>
  <c r="S687" i="165"/>
  <c r="R687" i="165"/>
  <c r="R684" i="165"/>
  <c r="F684" i="165"/>
  <c r="R683" i="165"/>
  <c r="F683" i="165"/>
  <c r="R682" i="165"/>
  <c r="F682" i="165"/>
  <c r="C682" i="165"/>
  <c r="R681" i="165"/>
  <c r="Z676" i="165"/>
  <c r="X676" i="165"/>
  <c r="V676" i="165"/>
  <c r="U676" i="165"/>
  <c r="S676" i="165"/>
  <c r="R676" i="165"/>
  <c r="Z675" i="165"/>
  <c r="X675" i="165"/>
  <c r="V675" i="165"/>
  <c r="U675" i="165"/>
  <c r="S675" i="165"/>
  <c r="R675" i="165"/>
  <c r="V674" i="165"/>
  <c r="U674" i="165"/>
  <c r="S674" i="165"/>
  <c r="R674" i="165"/>
  <c r="V673" i="165"/>
  <c r="U673" i="165"/>
  <c r="S673" i="165"/>
  <c r="R673" i="165"/>
  <c r="Z673" i="165" s="1"/>
  <c r="Z672" i="165"/>
  <c r="AB672" i="165" s="1" a="1"/>
  <c r="AB672" i="165" s="1"/>
  <c r="X672" i="165"/>
  <c r="V672" i="165"/>
  <c r="U672" i="165"/>
  <c r="S672" i="165"/>
  <c r="R672" i="165"/>
  <c r="R669" i="165"/>
  <c r="F669" i="165"/>
  <c r="R668" i="165"/>
  <c r="F668" i="165"/>
  <c r="R667" i="165"/>
  <c r="F667" i="165"/>
  <c r="C667" i="165"/>
  <c r="R666" i="165"/>
  <c r="Z661" i="165"/>
  <c r="X661" i="165"/>
  <c r="V661" i="165"/>
  <c r="U661" i="165"/>
  <c r="S661" i="165"/>
  <c r="R661" i="165"/>
  <c r="Z660" i="165"/>
  <c r="X660" i="165"/>
  <c r="V660" i="165"/>
  <c r="U660" i="165"/>
  <c r="S660" i="165"/>
  <c r="R660" i="165"/>
  <c r="V659" i="165"/>
  <c r="U659" i="165"/>
  <c r="S659" i="165"/>
  <c r="R659" i="165"/>
  <c r="Z659" i="165" s="1"/>
  <c r="V658" i="165"/>
  <c r="U658" i="165"/>
  <c r="S658" i="165"/>
  <c r="R658" i="165"/>
  <c r="Z658" i="165" s="1"/>
  <c r="Z657" i="165"/>
  <c r="AB657" i="165" s="1" a="1"/>
  <c r="AB657" i="165" s="1"/>
  <c r="X657" i="165"/>
  <c r="V657" i="165"/>
  <c r="U657" i="165"/>
  <c r="S657" i="165"/>
  <c r="R657" i="165"/>
  <c r="R654" i="165"/>
  <c r="F654" i="165"/>
  <c r="R653" i="165"/>
  <c r="F653" i="165"/>
  <c r="R652" i="165"/>
  <c r="F652" i="165"/>
  <c r="C652" i="165"/>
  <c r="R651" i="165"/>
  <c r="Z646" i="165"/>
  <c r="X646" i="165"/>
  <c r="V646" i="165"/>
  <c r="U646" i="165"/>
  <c r="S646" i="165"/>
  <c r="R646" i="165"/>
  <c r="Z645" i="165"/>
  <c r="X645" i="165"/>
  <c r="V645" i="165"/>
  <c r="U645" i="165"/>
  <c r="S645" i="165"/>
  <c r="R645" i="165"/>
  <c r="V644" i="165"/>
  <c r="U644" i="165"/>
  <c r="S644" i="165"/>
  <c r="R644" i="165"/>
  <c r="Z644" i="165" s="1"/>
  <c r="V643" i="165"/>
  <c r="U643" i="165"/>
  <c r="S643" i="165"/>
  <c r="R643" i="165"/>
  <c r="Z643" i="165" s="1"/>
  <c r="Z642" i="165"/>
  <c r="AB642" i="165" s="1" a="1"/>
  <c r="AB642" i="165" s="1"/>
  <c r="X642" i="165"/>
  <c r="V642" i="165"/>
  <c r="U642" i="165"/>
  <c r="S642" i="165"/>
  <c r="R642" i="165"/>
  <c r="R639" i="165"/>
  <c r="F639" i="165"/>
  <c r="R638" i="165"/>
  <c r="F638" i="165"/>
  <c r="R637" i="165"/>
  <c r="F637" i="165"/>
  <c r="C637" i="165"/>
  <c r="R636" i="165"/>
  <c r="Z631" i="165"/>
  <c r="X631" i="165"/>
  <c r="V631" i="165"/>
  <c r="U631" i="165"/>
  <c r="S631" i="165"/>
  <c r="R631" i="165"/>
  <c r="Z630" i="165"/>
  <c r="X630" i="165"/>
  <c r="V630" i="165"/>
  <c r="U630" i="165"/>
  <c r="S630" i="165"/>
  <c r="R630" i="165"/>
  <c r="V629" i="165"/>
  <c r="U629" i="165"/>
  <c r="S629" i="165"/>
  <c r="R629" i="165"/>
  <c r="V628" i="165"/>
  <c r="U628" i="165"/>
  <c r="S628" i="165"/>
  <c r="R628" i="165"/>
  <c r="Z628" i="165" s="1"/>
  <c r="Z627" i="165"/>
  <c r="AB627" i="165" s="1" a="1"/>
  <c r="AB627" i="165" s="1"/>
  <c r="X627" i="165"/>
  <c r="V627" i="165"/>
  <c r="U627" i="165"/>
  <c r="S627" i="165"/>
  <c r="R627" i="165"/>
  <c r="R624" i="165"/>
  <c r="F624" i="165"/>
  <c r="R623" i="165"/>
  <c r="F623" i="165"/>
  <c r="R622" i="165"/>
  <c r="F622" i="165"/>
  <c r="C622" i="165"/>
  <c r="R621" i="165"/>
  <c r="Z616" i="165"/>
  <c r="X616" i="165"/>
  <c r="V616" i="165"/>
  <c r="U616" i="165"/>
  <c r="S616" i="165"/>
  <c r="R616" i="165"/>
  <c r="Z615" i="165"/>
  <c r="X615" i="165"/>
  <c r="V615" i="165"/>
  <c r="U615" i="165"/>
  <c r="S615" i="165"/>
  <c r="R615" i="165"/>
  <c r="V614" i="165"/>
  <c r="U614" i="165"/>
  <c r="S614" i="165"/>
  <c r="R614" i="165"/>
  <c r="Z614" i="165" s="1"/>
  <c r="V613" i="165"/>
  <c r="U613" i="165"/>
  <c r="S613" i="165"/>
  <c r="R613" i="165"/>
  <c r="Z613" i="165" s="1"/>
  <c r="Z612" i="165"/>
  <c r="AB612" i="165" s="1" a="1"/>
  <c r="AB612" i="165" s="1"/>
  <c r="X612" i="165"/>
  <c r="V612" i="165"/>
  <c r="U612" i="165"/>
  <c r="S612" i="165"/>
  <c r="R612" i="165"/>
  <c r="R609" i="165"/>
  <c r="F609" i="165"/>
  <c r="R608" i="165"/>
  <c r="F608" i="165"/>
  <c r="R607" i="165"/>
  <c r="F607" i="165"/>
  <c r="C607" i="165"/>
  <c r="R606" i="165"/>
  <c r="Z601" i="165"/>
  <c r="X601" i="165"/>
  <c r="V601" i="165"/>
  <c r="U601" i="165"/>
  <c r="S601" i="165"/>
  <c r="R601" i="165"/>
  <c r="Z600" i="165"/>
  <c r="X600" i="165"/>
  <c r="V600" i="165"/>
  <c r="U600" i="165"/>
  <c r="S600" i="165"/>
  <c r="R600" i="165"/>
  <c r="V599" i="165"/>
  <c r="U599" i="165"/>
  <c r="S599" i="165"/>
  <c r="R599" i="165"/>
  <c r="Z599" i="165" s="1"/>
  <c r="V598" i="165"/>
  <c r="U598" i="165"/>
  <c r="S598" i="165"/>
  <c r="R598" i="165"/>
  <c r="Z598" i="165" s="1"/>
  <c r="Z597" i="165"/>
  <c r="AB597" i="165" s="1" a="1"/>
  <c r="AB597" i="165" s="1"/>
  <c r="X597" i="165"/>
  <c r="V597" i="165"/>
  <c r="U597" i="165"/>
  <c r="S597" i="165"/>
  <c r="R597" i="165"/>
  <c r="R594" i="165"/>
  <c r="F594" i="165"/>
  <c r="R593" i="165"/>
  <c r="F593" i="165"/>
  <c r="R592" i="165"/>
  <c r="F592" i="165"/>
  <c r="C592" i="165"/>
  <c r="R591" i="165"/>
  <c r="Z586" i="165"/>
  <c r="X586" i="165"/>
  <c r="V586" i="165"/>
  <c r="U586" i="165"/>
  <c r="S586" i="165"/>
  <c r="R586" i="165"/>
  <c r="Z585" i="165"/>
  <c r="X585" i="165"/>
  <c r="V585" i="165"/>
  <c r="U585" i="165"/>
  <c r="S585" i="165"/>
  <c r="R585" i="165"/>
  <c r="V584" i="165"/>
  <c r="U584" i="165"/>
  <c r="S584" i="165"/>
  <c r="R584" i="165"/>
  <c r="Z584" i="165" s="1"/>
  <c r="V583" i="165"/>
  <c r="U583" i="165"/>
  <c r="S583" i="165"/>
  <c r="R583" i="165"/>
  <c r="Z583" i="165" s="1"/>
  <c r="Z582" i="165"/>
  <c r="AB582" i="165" s="1" a="1"/>
  <c r="AB582" i="165" s="1"/>
  <c r="X582" i="165"/>
  <c r="V582" i="165"/>
  <c r="U582" i="165"/>
  <c r="S582" i="165"/>
  <c r="R582" i="165"/>
  <c r="R579" i="165"/>
  <c r="F579" i="165"/>
  <c r="R578" i="165"/>
  <c r="F578" i="165"/>
  <c r="R577" i="165"/>
  <c r="F577" i="165"/>
  <c r="C577" i="165"/>
  <c r="R576" i="165"/>
  <c r="Z571" i="165"/>
  <c r="X571" i="165"/>
  <c r="V571" i="165"/>
  <c r="U571" i="165"/>
  <c r="S571" i="165"/>
  <c r="R571" i="165"/>
  <c r="Z570" i="165"/>
  <c r="X570" i="165"/>
  <c r="V570" i="165"/>
  <c r="U570" i="165"/>
  <c r="S570" i="165"/>
  <c r="R570" i="165"/>
  <c r="V569" i="165"/>
  <c r="U569" i="165"/>
  <c r="S569" i="165"/>
  <c r="R569" i="165"/>
  <c r="V568" i="165"/>
  <c r="U568" i="165"/>
  <c r="S568" i="165"/>
  <c r="R568" i="165"/>
  <c r="Z567" i="165"/>
  <c r="AB567" i="165" s="1" a="1"/>
  <c r="AB567" i="165" s="1"/>
  <c r="X567" i="165"/>
  <c r="V567" i="165"/>
  <c r="U567" i="165"/>
  <c r="S567" i="165"/>
  <c r="R567" i="165"/>
  <c r="R564" i="165"/>
  <c r="F564" i="165"/>
  <c r="R563" i="165"/>
  <c r="F563" i="165"/>
  <c r="R562" i="165"/>
  <c r="F562" i="165"/>
  <c r="C562" i="165"/>
  <c r="R561" i="165"/>
  <c r="Z556" i="165"/>
  <c r="X556" i="165"/>
  <c r="V556" i="165"/>
  <c r="U556" i="165"/>
  <c r="S556" i="165"/>
  <c r="R556" i="165"/>
  <c r="Z555" i="165"/>
  <c r="X555" i="165"/>
  <c r="V555" i="165"/>
  <c r="U555" i="165"/>
  <c r="S555" i="165"/>
  <c r="R555" i="165"/>
  <c r="V554" i="165"/>
  <c r="U554" i="165"/>
  <c r="S554" i="165"/>
  <c r="R554" i="165"/>
  <c r="Z554" i="165" s="1"/>
  <c r="V553" i="165"/>
  <c r="U553" i="165"/>
  <c r="S553" i="165"/>
  <c r="R553" i="165"/>
  <c r="Z553" i="165" s="1"/>
  <c r="Z552" i="165"/>
  <c r="AB552" i="165" s="1" a="1"/>
  <c r="AB552" i="165" s="1"/>
  <c r="X552" i="165"/>
  <c r="V552" i="165"/>
  <c r="U552" i="165"/>
  <c r="S552" i="165"/>
  <c r="R552" i="165"/>
  <c r="R549" i="165"/>
  <c r="F549" i="165"/>
  <c r="R548" i="165"/>
  <c r="F548" i="165"/>
  <c r="R547" i="165"/>
  <c r="F547" i="165"/>
  <c r="C547" i="165"/>
  <c r="R546" i="165"/>
  <c r="Z541" i="165"/>
  <c r="X541" i="165"/>
  <c r="V541" i="165"/>
  <c r="U541" i="165"/>
  <c r="S541" i="165"/>
  <c r="R541" i="165"/>
  <c r="Z540" i="165"/>
  <c r="X540" i="165"/>
  <c r="V540" i="165"/>
  <c r="U540" i="165"/>
  <c r="S540" i="165"/>
  <c r="R540" i="165"/>
  <c r="V539" i="165"/>
  <c r="U539" i="165"/>
  <c r="S539" i="165"/>
  <c r="R539" i="165"/>
  <c r="Z539" i="165" s="1"/>
  <c r="V538" i="165"/>
  <c r="U538" i="165"/>
  <c r="S538" i="165"/>
  <c r="R538" i="165"/>
  <c r="Z538" i="165" s="1"/>
  <c r="Z537" i="165"/>
  <c r="AB537" i="165" s="1" a="1"/>
  <c r="AB537" i="165" s="1"/>
  <c r="X537" i="165"/>
  <c r="V537" i="165"/>
  <c r="U537" i="165"/>
  <c r="S537" i="165"/>
  <c r="R537" i="165"/>
  <c r="R534" i="165"/>
  <c r="F534" i="165"/>
  <c r="R533" i="165"/>
  <c r="F533" i="165"/>
  <c r="R532" i="165"/>
  <c r="F532" i="165"/>
  <c r="C532" i="165"/>
  <c r="R531" i="165"/>
  <c r="Z526" i="165"/>
  <c r="X526" i="165"/>
  <c r="V526" i="165"/>
  <c r="U526" i="165"/>
  <c r="S526" i="165"/>
  <c r="R526" i="165"/>
  <c r="Z525" i="165"/>
  <c r="X525" i="165"/>
  <c r="V525" i="165"/>
  <c r="U525" i="165"/>
  <c r="S525" i="165"/>
  <c r="R525" i="165"/>
  <c r="V524" i="165"/>
  <c r="U524" i="165"/>
  <c r="S524" i="165"/>
  <c r="R524" i="165"/>
  <c r="Z524" i="165" s="1"/>
  <c r="V523" i="165"/>
  <c r="U523" i="165"/>
  <c r="S523" i="165"/>
  <c r="R523" i="165"/>
  <c r="Z523" i="165" s="1"/>
  <c r="Z522" i="165"/>
  <c r="AB522" i="165" s="1" a="1"/>
  <c r="AB522" i="165" s="1"/>
  <c r="X522" i="165"/>
  <c r="V522" i="165"/>
  <c r="U522" i="165"/>
  <c r="S522" i="165"/>
  <c r="R522" i="165"/>
  <c r="R519" i="165"/>
  <c r="F519" i="165"/>
  <c r="R518" i="165"/>
  <c r="F518" i="165"/>
  <c r="R517" i="165"/>
  <c r="F517" i="165"/>
  <c r="C517" i="165"/>
  <c r="R516" i="165"/>
  <c r="Z511" i="165"/>
  <c r="X511" i="165"/>
  <c r="V511" i="165"/>
  <c r="U511" i="165"/>
  <c r="S511" i="165"/>
  <c r="R511" i="165"/>
  <c r="Z510" i="165"/>
  <c r="X510" i="165"/>
  <c r="V510" i="165"/>
  <c r="U510" i="165"/>
  <c r="S510" i="165"/>
  <c r="R510" i="165"/>
  <c r="V509" i="165"/>
  <c r="U509" i="165"/>
  <c r="S509" i="165"/>
  <c r="R509" i="165"/>
  <c r="Z509" i="165" s="1"/>
  <c r="V508" i="165"/>
  <c r="U508" i="165"/>
  <c r="S508" i="165"/>
  <c r="R508" i="165"/>
  <c r="Z508" i="165" s="1"/>
  <c r="Z507" i="165"/>
  <c r="AB507" i="165" s="1" a="1"/>
  <c r="AB507" i="165" s="1"/>
  <c r="X507" i="165"/>
  <c r="V507" i="165"/>
  <c r="U507" i="165"/>
  <c r="S507" i="165"/>
  <c r="R507" i="165"/>
  <c r="R504" i="165"/>
  <c r="F504" i="165"/>
  <c r="R503" i="165"/>
  <c r="F503" i="165"/>
  <c r="R502" i="165"/>
  <c r="F502" i="165"/>
  <c r="C502" i="165"/>
  <c r="R501" i="165"/>
  <c r="Z496" i="165"/>
  <c r="X496" i="165"/>
  <c r="V496" i="165"/>
  <c r="U496" i="165"/>
  <c r="S496" i="165"/>
  <c r="R496" i="165"/>
  <c r="Z495" i="165"/>
  <c r="X495" i="165"/>
  <c r="V495" i="165"/>
  <c r="U495" i="165"/>
  <c r="S495" i="165"/>
  <c r="R495" i="165"/>
  <c r="V494" i="165"/>
  <c r="U494" i="165"/>
  <c r="S494" i="165"/>
  <c r="R494" i="165"/>
  <c r="Z494" i="165" s="1"/>
  <c r="V493" i="165"/>
  <c r="U493" i="165"/>
  <c r="S493" i="165"/>
  <c r="R493" i="165"/>
  <c r="Z493" i="165" s="1"/>
  <c r="Z492" i="165"/>
  <c r="AB492" i="165" s="1" a="1"/>
  <c r="AB492" i="165" s="1"/>
  <c r="X492" i="165"/>
  <c r="V492" i="165"/>
  <c r="U492" i="165"/>
  <c r="S492" i="165"/>
  <c r="R492" i="165"/>
  <c r="R489" i="165"/>
  <c r="F489" i="165"/>
  <c r="R488" i="165"/>
  <c r="F488" i="165"/>
  <c r="R487" i="165"/>
  <c r="F487" i="165"/>
  <c r="C487" i="165"/>
  <c r="R486" i="165"/>
  <c r="Z481" i="165"/>
  <c r="X481" i="165"/>
  <c r="V481" i="165"/>
  <c r="U481" i="165"/>
  <c r="S481" i="165"/>
  <c r="R481" i="165"/>
  <c r="Z480" i="165"/>
  <c r="X480" i="165"/>
  <c r="V480" i="165"/>
  <c r="U480" i="165"/>
  <c r="S480" i="165"/>
  <c r="R480" i="165"/>
  <c r="V479" i="165"/>
  <c r="U479" i="165"/>
  <c r="S479" i="165"/>
  <c r="R479" i="165"/>
  <c r="Z479" i="165" s="1"/>
  <c r="V478" i="165"/>
  <c r="U478" i="165"/>
  <c r="S478" i="165"/>
  <c r="R478" i="165"/>
  <c r="Z478" i="165" s="1"/>
  <c r="Z477" i="165"/>
  <c r="AB477" i="165" s="1" a="1"/>
  <c r="AB477" i="165" s="1"/>
  <c r="X477" i="165"/>
  <c r="V477" i="165"/>
  <c r="U477" i="165"/>
  <c r="S477" i="165"/>
  <c r="R477" i="165"/>
  <c r="R474" i="165"/>
  <c r="F474" i="165"/>
  <c r="R473" i="165"/>
  <c r="F473" i="165"/>
  <c r="R472" i="165"/>
  <c r="F472" i="165"/>
  <c r="C472" i="165"/>
  <c r="R471" i="165"/>
  <c r="Z466" i="165"/>
  <c r="X466" i="165"/>
  <c r="V466" i="165"/>
  <c r="U466" i="165"/>
  <c r="S466" i="165"/>
  <c r="R466" i="165"/>
  <c r="Z465" i="165"/>
  <c r="X465" i="165"/>
  <c r="V465" i="165"/>
  <c r="U465" i="165"/>
  <c r="S465" i="165"/>
  <c r="R465" i="165"/>
  <c r="V464" i="165"/>
  <c r="U464" i="165"/>
  <c r="S464" i="165"/>
  <c r="R464" i="165"/>
  <c r="Z464" i="165" s="1"/>
  <c r="V463" i="165"/>
  <c r="U463" i="165"/>
  <c r="S463" i="165"/>
  <c r="R463" i="165"/>
  <c r="Z463" i="165" s="1"/>
  <c r="Z462" i="165"/>
  <c r="AB462" i="165" s="1" a="1"/>
  <c r="AB462" i="165" s="1"/>
  <c r="X462" i="165"/>
  <c r="V462" i="165"/>
  <c r="U462" i="165"/>
  <c r="S462" i="165"/>
  <c r="R462" i="165"/>
  <c r="R459" i="165"/>
  <c r="F459" i="165"/>
  <c r="R458" i="165"/>
  <c r="F458" i="165"/>
  <c r="R457" i="165"/>
  <c r="F457" i="165"/>
  <c r="C457" i="165"/>
  <c r="R456" i="165"/>
  <c r="Z451" i="165"/>
  <c r="X451" i="165"/>
  <c r="V451" i="165"/>
  <c r="U451" i="165"/>
  <c r="S451" i="165"/>
  <c r="R451" i="165"/>
  <c r="Z450" i="165"/>
  <c r="X450" i="165"/>
  <c r="V450" i="165"/>
  <c r="U450" i="165"/>
  <c r="S450" i="165"/>
  <c r="R450" i="165"/>
  <c r="V449" i="165"/>
  <c r="U449" i="165"/>
  <c r="S449" i="165"/>
  <c r="R449" i="165"/>
  <c r="V448" i="165"/>
  <c r="U448" i="165"/>
  <c r="S448" i="165"/>
  <c r="R448" i="165"/>
  <c r="Z447" i="165"/>
  <c r="AB447" i="165" s="1" a="1"/>
  <c r="AB447" i="165" s="1"/>
  <c r="X447" i="165"/>
  <c r="V447" i="165"/>
  <c r="U447" i="165"/>
  <c r="S447" i="165"/>
  <c r="R447" i="165"/>
  <c r="R444" i="165"/>
  <c r="F444" i="165"/>
  <c r="R443" i="165"/>
  <c r="F443" i="165"/>
  <c r="R442" i="165"/>
  <c r="F442" i="165"/>
  <c r="C442" i="165"/>
  <c r="R441" i="165"/>
  <c r="Z436" i="165"/>
  <c r="X436" i="165"/>
  <c r="V436" i="165"/>
  <c r="U436" i="165"/>
  <c r="S436" i="165"/>
  <c r="R436" i="165"/>
  <c r="Z435" i="165"/>
  <c r="X435" i="165"/>
  <c r="V435" i="165"/>
  <c r="U435" i="165"/>
  <c r="S435" i="165"/>
  <c r="R435" i="165"/>
  <c r="V434" i="165"/>
  <c r="U434" i="165"/>
  <c r="S434" i="165"/>
  <c r="R434" i="165"/>
  <c r="Z434" i="165" s="1"/>
  <c r="V433" i="165"/>
  <c r="U433" i="165"/>
  <c r="S433" i="165"/>
  <c r="R433" i="165"/>
  <c r="Z433" i="165" s="1"/>
  <c r="Z432" i="165"/>
  <c r="AB432" i="165" s="1" a="1"/>
  <c r="AB432" i="165" s="1"/>
  <c r="X432" i="165"/>
  <c r="V432" i="165"/>
  <c r="U432" i="165"/>
  <c r="S432" i="165"/>
  <c r="R432" i="165"/>
  <c r="R429" i="165"/>
  <c r="F429" i="165"/>
  <c r="R428" i="165"/>
  <c r="F428" i="165"/>
  <c r="R427" i="165"/>
  <c r="F427" i="165"/>
  <c r="C427" i="165"/>
  <c r="R426" i="165"/>
  <c r="Z421" i="165"/>
  <c r="X421" i="165"/>
  <c r="V421" i="165"/>
  <c r="U421" i="165"/>
  <c r="S421" i="165"/>
  <c r="R421" i="165"/>
  <c r="Z420" i="165"/>
  <c r="X420" i="165"/>
  <c r="V420" i="165"/>
  <c r="U420" i="165"/>
  <c r="S420" i="165"/>
  <c r="R420" i="165"/>
  <c r="V419" i="165"/>
  <c r="U419" i="165"/>
  <c r="S419" i="165"/>
  <c r="R419" i="165"/>
  <c r="Z419" i="165" s="1"/>
  <c r="V418" i="165"/>
  <c r="U418" i="165"/>
  <c r="S418" i="165"/>
  <c r="R418" i="165"/>
  <c r="Z418" i="165" s="1"/>
  <c r="Z417" i="165"/>
  <c r="AB417" i="165" s="1" a="1"/>
  <c r="AB417" i="165" s="1"/>
  <c r="X417" i="165"/>
  <c r="V417" i="165"/>
  <c r="U417" i="165"/>
  <c r="S417" i="165"/>
  <c r="R417" i="165"/>
  <c r="R414" i="165"/>
  <c r="F414" i="165"/>
  <c r="R413" i="165"/>
  <c r="F413" i="165"/>
  <c r="R412" i="165"/>
  <c r="F412" i="165"/>
  <c r="C412" i="165"/>
  <c r="R411" i="165"/>
  <c r="Z406" i="165"/>
  <c r="X406" i="165"/>
  <c r="V406" i="165"/>
  <c r="U406" i="165"/>
  <c r="S406" i="165"/>
  <c r="R406" i="165"/>
  <c r="Z405" i="165"/>
  <c r="X405" i="165"/>
  <c r="V405" i="165"/>
  <c r="U405" i="165"/>
  <c r="S405" i="165"/>
  <c r="R405" i="165"/>
  <c r="V404" i="165"/>
  <c r="U404" i="165"/>
  <c r="S404" i="165"/>
  <c r="R404" i="165"/>
  <c r="Z404" i="165" s="1"/>
  <c r="V403" i="165"/>
  <c r="U403" i="165"/>
  <c r="S403" i="165"/>
  <c r="R403" i="165"/>
  <c r="Z403" i="165" s="1"/>
  <c r="Z402" i="165"/>
  <c r="AB402" i="165" s="1" a="1"/>
  <c r="AB402" i="165" s="1"/>
  <c r="X402" i="165"/>
  <c r="V402" i="165"/>
  <c r="U402" i="165"/>
  <c r="S402" i="165"/>
  <c r="R402" i="165"/>
  <c r="R399" i="165"/>
  <c r="F399" i="165"/>
  <c r="R398" i="165"/>
  <c r="F398" i="165"/>
  <c r="R397" i="165"/>
  <c r="F397" i="165"/>
  <c r="C397" i="165"/>
  <c r="R396" i="165"/>
  <c r="Z391" i="165"/>
  <c r="V391" i="165"/>
  <c r="U391" i="165"/>
  <c r="S391" i="165"/>
  <c r="R391" i="165"/>
  <c r="Z390" i="165"/>
  <c r="V390" i="165"/>
  <c r="U390" i="165"/>
  <c r="S390" i="165"/>
  <c r="R390" i="165"/>
  <c r="V389" i="165"/>
  <c r="U389" i="165"/>
  <c r="S389" i="165"/>
  <c r="R389" i="165"/>
  <c r="V388" i="165"/>
  <c r="U388" i="165"/>
  <c r="S388" i="165"/>
  <c r="R388" i="165"/>
  <c r="Z387" i="165"/>
  <c r="AB387" i="165" s="1" a="1"/>
  <c r="AB387" i="165" s="1"/>
  <c r="X387" i="165"/>
  <c r="V387" i="165"/>
  <c r="U387" i="165"/>
  <c r="S387" i="165"/>
  <c r="R387" i="165"/>
  <c r="R384" i="165"/>
  <c r="F384" i="165"/>
  <c r="R383" i="165"/>
  <c r="F383" i="165"/>
  <c r="R382" i="165"/>
  <c r="F382" i="165"/>
  <c r="C382" i="165"/>
  <c r="R381" i="165"/>
  <c r="Z376" i="165"/>
  <c r="X376" i="165"/>
  <c r="V376" i="165"/>
  <c r="U376" i="165"/>
  <c r="S376" i="165"/>
  <c r="R376" i="165"/>
  <c r="Z375" i="165"/>
  <c r="X375" i="165"/>
  <c r="V375" i="165"/>
  <c r="U375" i="165"/>
  <c r="S375" i="165"/>
  <c r="R375" i="165"/>
  <c r="V374" i="165"/>
  <c r="U374" i="165"/>
  <c r="S374" i="165"/>
  <c r="R374" i="165"/>
  <c r="Z374" i="165" s="1"/>
  <c r="V373" i="165"/>
  <c r="U373" i="165"/>
  <c r="S373" i="165"/>
  <c r="R373" i="165"/>
  <c r="Z373" i="165" s="1"/>
  <c r="Z372" i="165"/>
  <c r="AB372" i="165" s="1" a="1"/>
  <c r="AB372" i="165" s="1"/>
  <c r="X372" i="165"/>
  <c r="V372" i="165"/>
  <c r="U372" i="165"/>
  <c r="S372" i="165"/>
  <c r="R372" i="165"/>
  <c r="R369" i="165"/>
  <c r="F369" i="165"/>
  <c r="R368" i="165"/>
  <c r="F368" i="165"/>
  <c r="R367" i="165"/>
  <c r="F367" i="165"/>
  <c r="C367" i="165"/>
  <c r="R366" i="165"/>
  <c r="Z361" i="165"/>
  <c r="X361" i="165"/>
  <c r="V361" i="165"/>
  <c r="U361" i="165"/>
  <c r="S361" i="165"/>
  <c r="R361" i="165"/>
  <c r="Z360" i="165"/>
  <c r="X360" i="165"/>
  <c r="V360" i="165"/>
  <c r="U360" i="165"/>
  <c r="S360" i="165"/>
  <c r="R360" i="165"/>
  <c r="V359" i="165"/>
  <c r="U359" i="165"/>
  <c r="S359" i="165"/>
  <c r="R359" i="165"/>
  <c r="Z359" i="165" s="1"/>
  <c r="V358" i="165"/>
  <c r="U358" i="165"/>
  <c r="S358" i="165"/>
  <c r="R358" i="165"/>
  <c r="Z358" i="165" s="1"/>
  <c r="Z357" i="165"/>
  <c r="AB357" i="165" s="1" a="1"/>
  <c r="AB357" i="165" s="1"/>
  <c r="X357" i="165"/>
  <c r="V357" i="165"/>
  <c r="U357" i="165"/>
  <c r="S357" i="165"/>
  <c r="R357" i="165"/>
  <c r="R354" i="165"/>
  <c r="F354" i="165"/>
  <c r="R353" i="165"/>
  <c r="F353" i="165"/>
  <c r="R352" i="165"/>
  <c r="F352" i="165"/>
  <c r="C352" i="165"/>
  <c r="R351" i="165"/>
  <c r="Z346" i="165"/>
  <c r="X346" i="165"/>
  <c r="V346" i="165"/>
  <c r="U346" i="165"/>
  <c r="S346" i="165"/>
  <c r="R346" i="165"/>
  <c r="Z345" i="165"/>
  <c r="X345" i="165"/>
  <c r="V345" i="165"/>
  <c r="U345" i="165"/>
  <c r="S345" i="165"/>
  <c r="R345" i="165"/>
  <c r="V344" i="165"/>
  <c r="U344" i="165"/>
  <c r="S344" i="165"/>
  <c r="R344" i="165"/>
  <c r="Z344" i="165" s="1"/>
  <c r="V343" i="165"/>
  <c r="U343" i="165"/>
  <c r="S343" i="165"/>
  <c r="R343" i="165"/>
  <c r="Z342" i="165"/>
  <c r="AB342" i="165" s="1" a="1"/>
  <c r="AB342" i="165" s="1"/>
  <c r="X342" i="165"/>
  <c r="V342" i="165"/>
  <c r="U342" i="165"/>
  <c r="S342" i="165"/>
  <c r="R342" i="165"/>
  <c r="R339" i="165"/>
  <c r="F339" i="165"/>
  <c r="R338" i="165"/>
  <c r="F338" i="165"/>
  <c r="R337" i="165"/>
  <c r="F337" i="165"/>
  <c r="C337" i="165"/>
  <c r="R336" i="165"/>
  <c r="Z331" i="165"/>
  <c r="X331" i="165"/>
  <c r="V331" i="165"/>
  <c r="U331" i="165"/>
  <c r="S331" i="165"/>
  <c r="R331" i="165"/>
  <c r="Z330" i="165"/>
  <c r="X330" i="165"/>
  <c r="V330" i="165"/>
  <c r="U330" i="165"/>
  <c r="S330" i="165"/>
  <c r="R330" i="165"/>
  <c r="V329" i="165"/>
  <c r="U329" i="165"/>
  <c r="S329" i="165"/>
  <c r="R329" i="165"/>
  <c r="V328" i="165"/>
  <c r="U328" i="165"/>
  <c r="S328" i="165"/>
  <c r="R328" i="165"/>
  <c r="Z328" i="165" s="1"/>
  <c r="Z327" i="165"/>
  <c r="AB327" i="165" s="1" a="1"/>
  <c r="AB327" i="165" s="1"/>
  <c r="X327" i="165"/>
  <c r="V327" i="165"/>
  <c r="U327" i="165"/>
  <c r="S327" i="165"/>
  <c r="R327" i="165"/>
  <c r="R324" i="165"/>
  <c r="F324" i="165"/>
  <c r="R323" i="165"/>
  <c r="F323" i="165"/>
  <c r="R322" i="165"/>
  <c r="F322" i="165"/>
  <c r="C322" i="165"/>
  <c r="R321" i="165"/>
  <c r="Z316" i="165"/>
  <c r="X316" i="165"/>
  <c r="V316" i="165"/>
  <c r="U316" i="165"/>
  <c r="S316" i="165"/>
  <c r="R316" i="165"/>
  <c r="Z315" i="165"/>
  <c r="X315" i="165"/>
  <c r="V315" i="165"/>
  <c r="U315" i="165"/>
  <c r="S315" i="165"/>
  <c r="R315" i="165"/>
  <c r="V314" i="165"/>
  <c r="U314" i="165"/>
  <c r="S314" i="165"/>
  <c r="R314" i="165"/>
  <c r="Z314" i="165" s="1"/>
  <c r="Z313" i="165"/>
  <c r="V313" i="165"/>
  <c r="U313" i="165"/>
  <c r="S313" i="165"/>
  <c r="R313" i="165"/>
  <c r="Z312" i="165"/>
  <c r="AB312" i="165" s="1" a="1"/>
  <c r="AB312" i="165" s="1"/>
  <c r="X312" i="165"/>
  <c r="V312" i="165"/>
  <c r="U312" i="165"/>
  <c r="S312" i="165"/>
  <c r="R312" i="165"/>
  <c r="R309" i="165"/>
  <c r="F309" i="165"/>
  <c r="R308" i="165"/>
  <c r="F308" i="165"/>
  <c r="R307" i="165"/>
  <c r="F307" i="165"/>
  <c r="C307" i="165"/>
  <c r="R306" i="165"/>
  <c r="Z301" i="165"/>
  <c r="X301" i="165"/>
  <c r="V301" i="165"/>
  <c r="U301" i="165"/>
  <c r="S301" i="165"/>
  <c r="R301" i="165"/>
  <c r="Z300" i="165"/>
  <c r="X300" i="165"/>
  <c r="V300" i="165"/>
  <c r="U300" i="165"/>
  <c r="S300" i="165"/>
  <c r="R300" i="165"/>
  <c r="V299" i="165"/>
  <c r="U299" i="165"/>
  <c r="S299" i="165"/>
  <c r="R299" i="165"/>
  <c r="Z299" i="165" s="1"/>
  <c r="V298" i="165"/>
  <c r="U298" i="165"/>
  <c r="S298" i="165"/>
  <c r="R298" i="165"/>
  <c r="Z298" i="165" s="1"/>
  <c r="Z297" i="165"/>
  <c r="AB297" i="165" s="1" a="1"/>
  <c r="AB297" i="165" s="1"/>
  <c r="X297" i="165"/>
  <c r="V297" i="165"/>
  <c r="U297" i="165"/>
  <c r="S297" i="165"/>
  <c r="R297" i="165"/>
  <c r="R294" i="165"/>
  <c r="F294" i="165"/>
  <c r="R293" i="165"/>
  <c r="F293" i="165"/>
  <c r="R292" i="165"/>
  <c r="F292" i="165"/>
  <c r="C292" i="165"/>
  <c r="R291" i="165"/>
  <c r="Z286" i="165"/>
  <c r="X286" i="165"/>
  <c r="V286" i="165"/>
  <c r="U286" i="165"/>
  <c r="S286" i="165"/>
  <c r="R286" i="165"/>
  <c r="Z285" i="165"/>
  <c r="X285" i="165"/>
  <c r="V285" i="165"/>
  <c r="U285" i="165"/>
  <c r="S285" i="165"/>
  <c r="R285" i="165"/>
  <c r="V284" i="165"/>
  <c r="U284" i="165"/>
  <c r="S284" i="165"/>
  <c r="R284" i="165"/>
  <c r="Z284" i="165" s="1"/>
  <c r="V283" i="165"/>
  <c r="U283" i="165"/>
  <c r="S283" i="165"/>
  <c r="R283" i="165"/>
  <c r="Z283" i="165" s="1"/>
  <c r="Z282" i="165"/>
  <c r="AB282" i="165" s="1" a="1"/>
  <c r="AB282" i="165" s="1"/>
  <c r="X282" i="165"/>
  <c r="V282" i="165"/>
  <c r="U282" i="165"/>
  <c r="S282" i="165"/>
  <c r="R282" i="165"/>
  <c r="R279" i="165"/>
  <c r="F279" i="165"/>
  <c r="R278" i="165"/>
  <c r="F278" i="165"/>
  <c r="R277" i="165"/>
  <c r="F277" i="165"/>
  <c r="C277" i="165"/>
  <c r="R276" i="165"/>
  <c r="Z271" i="165"/>
  <c r="X271" i="165"/>
  <c r="V271" i="165"/>
  <c r="U271" i="165"/>
  <c r="S271" i="165"/>
  <c r="R271" i="165"/>
  <c r="Z270" i="165"/>
  <c r="X270" i="165"/>
  <c r="V270" i="165"/>
  <c r="U270" i="165"/>
  <c r="S270" i="165"/>
  <c r="R270" i="165"/>
  <c r="V269" i="165"/>
  <c r="U269" i="165"/>
  <c r="S269" i="165"/>
  <c r="R269" i="165"/>
  <c r="Z269" i="165" s="1"/>
  <c r="V268" i="165"/>
  <c r="U268" i="165"/>
  <c r="S268" i="165"/>
  <c r="R268" i="165"/>
  <c r="Z268" i="165" s="1"/>
  <c r="Z267" i="165"/>
  <c r="AB267" i="165" s="1" a="1"/>
  <c r="AB267" i="165" s="1"/>
  <c r="X267" i="165"/>
  <c r="V267" i="165"/>
  <c r="U267" i="165"/>
  <c r="S267" i="165"/>
  <c r="R267" i="165"/>
  <c r="R264" i="165"/>
  <c r="F264" i="165"/>
  <c r="R263" i="165"/>
  <c r="F263" i="165"/>
  <c r="R262" i="165"/>
  <c r="F262" i="165"/>
  <c r="C262" i="165"/>
  <c r="R261" i="165"/>
  <c r="Z256" i="165"/>
  <c r="X256" i="165"/>
  <c r="V256" i="165"/>
  <c r="U256" i="165"/>
  <c r="S256" i="165"/>
  <c r="R256" i="165"/>
  <c r="Z255" i="165"/>
  <c r="X255" i="165"/>
  <c r="V255" i="165"/>
  <c r="U255" i="165"/>
  <c r="S255" i="165"/>
  <c r="R255" i="165"/>
  <c r="V254" i="165"/>
  <c r="U254" i="165"/>
  <c r="S254" i="165"/>
  <c r="R254" i="165"/>
  <c r="Z254" i="165" s="1"/>
  <c r="V253" i="165"/>
  <c r="U253" i="165"/>
  <c r="S253" i="165"/>
  <c r="R253" i="165"/>
  <c r="Z253" i="165" s="1"/>
  <c r="Z252" i="165"/>
  <c r="AB252" i="165" s="1" a="1"/>
  <c r="AB252" i="165" s="1"/>
  <c r="X252" i="165"/>
  <c r="V252" i="165"/>
  <c r="U252" i="165"/>
  <c r="S252" i="165"/>
  <c r="R252" i="165"/>
  <c r="R249" i="165"/>
  <c r="F249" i="165"/>
  <c r="R248" i="165"/>
  <c r="F248" i="165"/>
  <c r="R247" i="165"/>
  <c r="F247" i="165"/>
  <c r="C247" i="165"/>
  <c r="R246" i="165"/>
  <c r="Z241" i="165"/>
  <c r="X241" i="165"/>
  <c r="V241" i="165"/>
  <c r="U241" i="165"/>
  <c r="S241" i="165"/>
  <c r="R241" i="165"/>
  <c r="Z240" i="165"/>
  <c r="X240" i="165"/>
  <c r="V240" i="165"/>
  <c r="U240" i="165"/>
  <c r="S240" i="165"/>
  <c r="R240" i="165"/>
  <c r="V239" i="165"/>
  <c r="U239" i="165"/>
  <c r="S239" i="165"/>
  <c r="R239" i="165"/>
  <c r="Z239" i="165" s="1"/>
  <c r="V238" i="165"/>
  <c r="U238" i="165"/>
  <c r="S238" i="165"/>
  <c r="R238" i="165"/>
  <c r="Z238" i="165" s="1"/>
  <c r="Z237" i="165"/>
  <c r="AB237" i="165" s="1" a="1"/>
  <c r="AB237" i="165" s="1"/>
  <c r="X237" i="165"/>
  <c r="V237" i="165"/>
  <c r="U237" i="165"/>
  <c r="S237" i="165"/>
  <c r="R237" i="165"/>
  <c r="R234" i="165"/>
  <c r="F234" i="165"/>
  <c r="R233" i="165"/>
  <c r="F233" i="165"/>
  <c r="R232" i="165"/>
  <c r="F232" i="165"/>
  <c r="C232" i="165"/>
  <c r="R231" i="165"/>
  <c r="Z226" i="165"/>
  <c r="X226" i="165"/>
  <c r="V226" i="165"/>
  <c r="U226" i="165"/>
  <c r="S226" i="165"/>
  <c r="R226" i="165"/>
  <c r="Z225" i="165"/>
  <c r="X225" i="165"/>
  <c r="V225" i="165"/>
  <c r="U225" i="165"/>
  <c r="S225" i="165"/>
  <c r="R225" i="165"/>
  <c r="V224" i="165"/>
  <c r="U224" i="165"/>
  <c r="S224" i="165"/>
  <c r="R224" i="165"/>
  <c r="Z224" i="165" s="1"/>
  <c r="V223" i="165"/>
  <c r="U223" i="165"/>
  <c r="S223" i="165"/>
  <c r="R223" i="165"/>
  <c r="Z223" i="165" s="1"/>
  <c r="Z222" i="165"/>
  <c r="AB222" i="165" s="1" a="1"/>
  <c r="AB222" i="165" s="1"/>
  <c r="X222" i="165"/>
  <c r="V222" i="165"/>
  <c r="U222" i="165"/>
  <c r="S222" i="165"/>
  <c r="R222" i="165"/>
  <c r="R219" i="165"/>
  <c r="F219" i="165"/>
  <c r="R218" i="165"/>
  <c r="F218" i="165"/>
  <c r="R217" i="165"/>
  <c r="F217" i="165"/>
  <c r="C217" i="165"/>
  <c r="R216" i="165"/>
  <c r="Z211" i="165"/>
  <c r="X211" i="165"/>
  <c r="V211" i="165"/>
  <c r="U211" i="165"/>
  <c r="S211" i="165"/>
  <c r="R211" i="165"/>
  <c r="Z210" i="165"/>
  <c r="X210" i="165"/>
  <c r="V210" i="165"/>
  <c r="U210" i="165"/>
  <c r="S210" i="165"/>
  <c r="R210" i="165"/>
  <c r="V209" i="165"/>
  <c r="U209" i="165"/>
  <c r="S209" i="165"/>
  <c r="R209" i="165"/>
  <c r="Z209" i="165" s="1"/>
  <c r="V208" i="165"/>
  <c r="U208" i="165"/>
  <c r="S208" i="165"/>
  <c r="R208" i="165"/>
  <c r="Z208" i="165" s="1"/>
  <c r="Z207" i="165"/>
  <c r="AB207" i="165" s="1" a="1"/>
  <c r="AB207" i="165" s="1"/>
  <c r="X207" i="165"/>
  <c r="V207" i="165"/>
  <c r="U207" i="165"/>
  <c r="S207" i="165"/>
  <c r="R207" i="165"/>
  <c r="R204" i="165"/>
  <c r="F204" i="165"/>
  <c r="R203" i="165"/>
  <c r="F203" i="165"/>
  <c r="R202" i="165"/>
  <c r="F202" i="165"/>
  <c r="C202" i="165"/>
  <c r="R201" i="165"/>
  <c r="Z196" i="165"/>
  <c r="X196" i="165"/>
  <c r="V196" i="165"/>
  <c r="U196" i="165"/>
  <c r="S196" i="165"/>
  <c r="R196" i="165"/>
  <c r="Z195" i="165"/>
  <c r="X195" i="165"/>
  <c r="V195" i="165"/>
  <c r="U195" i="165"/>
  <c r="S195" i="165"/>
  <c r="R195" i="165"/>
  <c r="V194" i="165"/>
  <c r="U194" i="165"/>
  <c r="S194" i="165"/>
  <c r="R194" i="165"/>
  <c r="Z194" i="165" s="1"/>
  <c r="V193" i="165"/>
  <c r="U193" i="165"/>
  <c r="S193" i="165"/>
  <c r="R193" i="165"/>
  <c r="Z193" i="165" s="1"/>
  <c r="Z192" i="165"/>
  <c r="AB192" i="165" s="1" a="1"/>
  <c r="AB192" i="165" s="1"/>
  <c r="X192" i="165"/>
  <c r="V192" i="165"/>
  <c r="U192" i="165"/>
  <c r="S192" i="165"/>
  <c r="R192" i="165"/>
  <c r="R189" i="165"/>
  <c r="F189" i="165"/>
  <c r="R188" i="165"/>
  <c r="F188" i="165"/>
  <c r="R187" i="165"/>
  <c r="F187" i="165"/>
  <c r="C187" i="165"/>
  <c r="R186" i="165"/>
  <c r="Z181" i="165"/>
  <c r="X181" i="165"/>
  <c r="V181" i="165"/>
  <c r="U181" i="165"/>
  <c r="S181" i="165"/>
  <c r="R181" i="165"/>
  <c r="Z180" i="165"/>
  <c r="X180" i="165"/>
  <c r="V180" i="165"/>
  <c r="U180" i="165"/>
  <c r="S180" i="165"/>
  <c r="R180" i="165"/>
  <c r="V179" i="165"/>
  <c r="U179" i="165"/>
  <c r="S179" i="165"/>
  <c r="R179" i="165"/>
  <c r="Z179" i="165" s="1"/>
  <c r="V178" i="165"/>
  <c r="U178" i="165"/>
  <c r="S178" i="165"/>
  <c r="R178" i="165"/>
  <c r="Z178" i="165" s="1"/>
  <c r="Z177" i="165"/>
  <c r="AB177" i="165" s="1" a="1"/>
  <c r="AB177" i="165" s="1"/>
  <c r="X177" i="165"/>
  <c r="V177" i="165"/>
  <c r="U177" i="165"/>
  <c r="S177" i="165"/>
  <c r="R177" i="165"/>
  <c r="R174" i="165"/>
  <c r="F174" i="165"/>
  <c r="R173" i="165"/>
  <c r="F173" i="165"/>
  <c r="R172" i="165"/>
  <c r="F172" i="165"/>
  <c r="C172" i="165"/>
  <c r="R171" i="165"/>
  <c r="Z166" i="165"/>
  <c r="X166" i="165"/>
  <c r="V166" i="165"/>
  <c r="U166" i="165"/>
  <c r="S166" i="165"/>
  <c r="R166" i="165"/>
  <c r="Z165" i="165"/>
  <c r="X165" i="165"/>
  <c r="V165" i="165"/>
  <c r="U165" i="165"/>
  <c r="S165" i="165"/>
  <c r="R165" i="165"/>
  <c r="V164" i="165"/>
  <c r="U164" i="165"/>
  <c r="S164" i="165"/>
  <c r="R164" i="165"/>
  <c r="Z164" i="165" s="1"/>
  <c r="V163" i="165"/>
  <c r="U163" i="165"/>
  <c r="S163" i="165"/>
  <c r="R163" i="165"/>
  <c r="Z163" i="165" s="1"/>
  <c r="Z162" i="165"/>
  <c r="AB162" i="165" s="1" a="1"/>
  <c r="AB162" i="165" s="1"/>
  <c r="X162" i="165"/>
  <c r="V162" i="165"/>
  <c r="U162" i="165"/>
  <c r="S162" i="165"/>
  <c r="R162" i="165"/>
  <c r="R159" i="165"/>
  <c r="F159" i="165"/>
  <c r="R158" i="165"/>
  <c r="F158" i="165"/>
  <c r="R157" i="165"/>
  <c r="F157" i="165"/>
  <c r="C157" i="165"/>
  <c r="R156" i="165"/>
  <c r="Z151" i="165"/>
  <c r="X151" i="165"/>
  <c r="V151" i="165"/>
  <c r="U151" i="165"/>
  <c r="S151" i="165"/>
  <c r="R151" i="165"/>
  <c r="Z150" i="165"/>
  <c r="X150" i="165"/>
  <c r="V150" i="165"/>
  <c r="U150" i="165"/>
  <c r="S150" i="165"/>
  <c r="R150" i="165"/>
  <c r="V149" i="165"/>
  <c r="U149" i="165"/>
  <c r="S149" i="165"/>
  <c r="R149" i="165"/>
  <c r="Z149" i="165" s="1"/>
  <c r="V148" i="165"/>
  <c r="U148" i="165"/>
  <c r="S148" i="165"/>
  <c r="R148" i="165"/>
  <c r="Z148" i="165" s="1"/>
  <c r="Z147" i="165"/>
  <c r="AB147" i="165" s="1" a="1"/>
  <c r="AB147" i="165" s="1"/>
  <c r="X147" i="165"/>
  <c r="V147" i="165"/>
  <c r="U147" i="165"/>
  <c r="S147" i="165"/>
  <c r="R147" i="165"/>
  <c r="R144" i="165"/>
  <c r="F144" i="165"/>
  <c r="R143" i="165"/>
  <c r="F143" i="165"/>
  <c r="R142" i="165"/>
  <c r="F142" i="165"/>
  <c r="C142" i="165"/>
  <c r="R141" i="165"/>
  <c r="Z136" i="165"/>
  <c r="X136" i="165"/>
  <c r="V136" i="165"/>
  <c r="U136" i="165"/>
  <c r="S136" i="165"/>
  <c r="R136" i="165"/>
  <c r="Z135" i="165"/>
  <c r="X135" i="165"/>
  <c r="V135" i="165"/>
  <c r="U135" i="165"/>
  <c r="S135" i="165"/>
  <c r="R135" i="165"/>
  <c r="V134" i="165"/>
  <c r="U134" i="165"/>
  <c r="S134" i="165"/>
  <c r="R134" i="165"/>
  <c r="Z134" i="165" s="1"/>
  <c r="V133" i="165"/>
  <c r="U133" i="165"/>
  <c r="S133" i="165"/>
  <c r="R133" i="165"/>
  <c r="Z133" i="165" s="1"/>
  <c r="Z132" i="165"/>
  <c r="AB132" i="165" s="1" a="1"/>
  <c r="AB132" i="165" s="1"/>
  <c r="X132" i="165"/>
  <c r="V132" i="165"/>
  <c r="U132" i="165"/>
  <c r="S132" i="165"/>
  <c r="R132" i="165"/>
  <c r="R129" i="165"/>
  <c r="F129" i="165"/>
  <c r="R128" i="165"/>
  <c r="F128" i="165"/>
  <c r="R127" i="165"/>
  <c r="F127" i="165"/>
  <c r="C127" i="165"/>
  <c r="R126" i="165"/>
  <c r="Z121" i="165"/>
  <c r="X121" i="165"/>
  <c r="V121" i="165"/>
  <c r="U121" i="165"/>
  <c r="S121" i="165"/>
  <c r="R121" i="165"/>
  <c r="Z120" i="165"/>
  <c r="X120" i="165"/>
  <c r="V120" i="165"/>
  <c r="U120" i="165"/>
  <c r="S120" i="165"/>
  <c r="R120" i="165"/>
  <c r="V119" i="165"/>
  <c r="U119" i="165"/>
  <c r="S119" i="165"/>
  <c r="R119" i="165"/>
  <c r="Z119" i="165" s="1"/>
  <c r="V118" i="165"/>
  <c r="U118" i="165"/>
  <c r="S118" i="165"/>
  <c r="R118" i="165"/>
  <c r="Z118" i="165" s="1"/>
  <c r="Z117" i="165"/>
  <c r="AB117" i="165" s="1" a="1"/>
  <c r="AB117" i="165" s="1"/>
  <c r="X117" i="165"/>
  <c r="V117" i="165"/>
  <c r="U117" i="165"/>
  <c r="S117" i="165"/>
  <c r="R117" i="165"/>
  <c r="R114" i="165"/>
  <c r="F114" i="165"/>
  <c r="R113" i="165"/>
  <c r="F113" i="165"/>
  <c r="R112" i="165"/>
  <c r="F112" i="165"/>
  <c r="C112" i="165"/>
  <c r="R111" i="165"/>
  <c r="Z106" i="165"/>
  <c r="X106" i="165"/>
  <c r="V106" i="165"/>
  <c r="U106" i="165"/>
  <c r="S106" i="165"/>
  <c r="R106" i="165"/>
  <c r="Z105" i="165"/>
  <c r="X105" i="165"/>
  <c r="V105" i="165"/>
  <c r="U105" i="165"/>
  <c r="S105" i="165"/>
  <c r="R105" i="165"/>
  <c r="V104" i="165"/>
  <c r="U104" i="165"/>
  <c r="S104" i="165"/>
  <c r="R104" i="165"/>
  <c r="Z104" i="165" s="1"/>
  <c r="V103" i="165"/>
  <c r="U103" i="165"/>
  <c r="S103" i="165"/>
  <c r="R103" i="165"/>
  <c r="Z103" i="165" s="1"/>
  <c r="Z102" i="165"/>
  <c r="AB102" i="165" s="1" a="1"/>
  <c r="AB102" i="165" s="1"/>
  <c r="X102" i="165"/>
  <c r="V102" i="165"/>
  <c r="U102" i="165"/>
  <c r="S102" i="165"/>
  <c r="R102" i="165"/>
  <c r="R99" i="165"/>
  <c r="F99" i="165"/>
  <c r="R98" i="165"/>
  <c r="F98" i="165"/>
  <c r="R97" i="165"/>
  <c r="F97" i="165"/>
  <c r="C97" i="165"/>
  <c r="R96" i="165"/>
  <c r="Z91" i="165"/>
  <c r="X91" i="165"/>
  <c r="V91" i="165"/>
  <c r="U91" i="165"/>
  <c r="S91" i="165"/>
  <c r="R91" i="165"/>
  <c r="Z90" i="165"/>
  <c r="X90" i="165"/>
  <c r="V90" i="165"/>
  <c r="U90" i="165"/>
  <c r="S90" i="165"/>
  <c r="R90" i="165"/>
  <c r="V89" i="165"/>
  <c r="U89" i="165"/>
  <c r="S89" i="165"/>
  <c r="R89" i="165"/>
  <c r="Z89" i="165" s="1"/>
  <c r="V88" i="165"/>
  <c r="U88" i="165"/>
  <c r="S88" i="165"/>
  <c r="R88" i="165"/>
  <c r="Z88" i="165" s="1"/>
  <c r="Z87" i="165"/>
  <c r="AB87" i="165" s="1" a="1"/>
  <c r="AB87" i="165" s="1"/>
  <c r="X87" i="165"/>
  <c r="V87" i="165"/>
  <c r="U87" i="165"/>
  <c r="S87" i="165"/>
  <c r="R87" i="165"/>
  <c r="R84" i="165"/>
  <c r="F84" i="165"/>
  <c r="R83" i="165"/>
  <c r="F83" i="165"/>
  <c r="R82" i="165"/>
  <c r="F82" i="165"/>
  <c r="C82" i="165"/>
  <c r="R81" i="165"/>
  <c r="Z76" i="165"/>
  <c r="X76" i="165"/>
  <c r="V76" i="165"/>
  <c r="U76" i="165"/>
  <c r="S76" i="165"/>
  <c r="R76" i="165"/>
  <c r="Z75" i="165"/>
  <c r="X75" i="165"/>
  <c r="V75" i="165"/>
  <c r="U75" i="165"/>
  <c r="S75" i="165"/>
  <c r="R75" i="165"/>
  <c r="V74" i="165"/>
  <c r="U74" i="165"/>
  <c r="S74" i="165"/>
  <c r="R74" i="165"/>
  <c r="Z74" i="165" s="1"/>
  <c r="V73" i="165"/>
  <c r="U73" i="165"/>
  <c r="S73" i="165"/>
  <c r="R73" i="165"/>
  <c r="Z73" i="165" s="1"/>
  <c r="Z72" i="165"/>
  <c r="AB72" i="165" s="1" a="1"/>
  <c r="AB72" i="165" s="1"/>
  <c r="X72" i="165"/>
  <c r="V72" i="165"/>
  <c r="U72" i="165"/>
  <c r="S72" i="165"/>
  <c r="R72" i="165"/>
  <c r="R69" i="165"/>
  <c r="F69" i="165"/>
  <c r="R68" i="165"/>
  <c r="F68" i="165"/>
  <c r="R67" i="165"/>
  <c r="F67" i="165"/>
  <c r="C67" i="165"/>
  <c r="R66" i="165"/>
  <c r="Z61" i="165"/>
  <c r="X61" i="165"/>
  <c r="V61" i="165"/>
  <c r="U61" i="165"/>
  <c r="S61" i="165"/>
  <c r="R61" i="165"/>
  <c r="Z60" i="165"/>
  <c r="X60" i="165"/>
  <c r="V60" i="165"/>
  <c r="U60" i="165"/>
  <c r="S60" i="165"/>
  <c r="R60" i="165"/>
  <c r="V59" i="165"/>
  <c r="X59" i="165" s="1"/>
  <c r="U59" i="165"/>
  <c r="S59" i="165"/>
  <c r="R59" i="165"/>
  <c r="Z59" i="165" s="1"/>
  <c r="V58" i="165"/>
  <c r="U58" i="165"/>
  <c r="S58" i="165"/>
  <c r="R58" i="165"/>
  <c r="Z58" i="165" s="1"/>
  <c r="Z57" i="165"/>
  <c r="AB57" i="165" s="1" a="1"/>
  <c r="AB57" i="165" s="1"/>
  <c r="X57" i="165"/>
  <c r="V57" i="165"/>
  <c r="U57" i="165"/>
  <c r="S57" i="165"/>
  <c r="R57" i="165"/>
  <c r="R54" i="165"/>
  <c r="F54" i="165"/>
  <c r="R53" i="165"/>
  <c r="F53" i="165"/>
  <c r="R52" i="165"/>
  <c r="F52" i="165"/>
  <c r="C52" i="165"/>
  <c r="R51" i="165"/>
  <c r="Z46" i="165"/>
  <c r="X46" i="165"/>
  <c r="V46" i="165"/>
  <c r="U46" i="165"/>
  <c r="S46" i="165"/>
  <c r="R46" i="165"/>
  <c r="Z45" i="165"/>
  <c r="X45" i="165"/>
  <c r="V45" i="165"/>
  <c r="U45" i="165"/>
  <c r="S45" i="165"/>
  <c r="R45" i="165"/>
  <c r="V44" i="165"/>
  <c r="U44" i="165"/>
  <c r="S44" i="165"/>
  <c r="R44" i="165"/>
  <c r="Z44" i="165" s="1"/>
  <c r="Z43" i="165"/>
  <c r="V43" i="165"/>
  <c r="U43" i="165"/>
  <c r="S43" i="165"/>
  <c r="R43" i="165"/>
  <c r="Z42" i="165"/>
  <c r="AB42" i="165" s="1" a="1"/>
  <c r="AB42" i="165" s="1"/>
  <c r="X42" i="165"/>
  <c r="V42" i="165"/>
  <c r="U42" i="165"/>
  <c r="S42" i="165"/>
  <c r="R42" i="165"/>
  <c r="R39" i="165"/>
  <c r="F39" i="165"/>
  <c r="R38" i="165"/>
  <c r="F38" i="165"/>
  <c r="R37" i="165"/>
  <c r="F37" i="165"/>
  <c r="C37" i="165"/>
  <c r="R36" i="165"/>
  <c r="Z31" i="165"/>
  <c r="X31" i="165"/>
  <c r="V31" i="165"/>
  <c r="U31" i="165"/>
  <c r="S31" i="165"/>
  <c r="R31" i="165"/>
  <c r="Z30" i="165"/>
  <c r="X30" i="165"/>
  <c r="V30" i="165"/>
  <c r="U30" i="165"/>
  <c r="S30" i="165"/>
  <c r="R30" i="165"/>
  <c r="V29" i="165"/>
  <c r="U29" i="165"/>
  <c r="S29" i="165"/>
  <c r="R29" i="165"/>
  <c r="Z29" i="165" s="1"/>
  <c r="V28" i="165"/>
  <c r="U28" i="165"/>
  <c r="S28" i="165"/>
  <c r="R28" i="165"/>
  <c r="Z27" i="165"/>
  <c r="AB27" i="165" s="1" a="1"/>
  <c r="AB27" i="165" s="1"/>
  <c r="X27" i="165"/>
  <c r="V27" i="165"/>
  <c r="U27" i="165"/>
  <c r="S27" i="165"/>
  <c r="R27" i="165"/>
  <c r="R24" i="165"/>
  <c r="F24" i="165"/>
  <c r="R23" i="165"/>
  <c r="F23" i="165"/>
  <c r="R22" i="165"/>
  <c r="F22" i="165"/>
  <c r="C22" i="165"/>
  <c r="R21" i="165"/>
  <c r="X208" i="165" l="1"/>
  <c r="X133" i="165"/>
  <c r="R295" i="165"/>
  <c r="F295" i="165" s="1"/>
  <c r="AB295" i="165" s="1"/>
  <c r="X73" i="165"/>
  <c r="Z389" i="165"/>
  <c r="X389" i="165"/>
  <c r="X433" i="165"/>
  <c r="R505" i="165"/>
  <c r="F505" i="165" s="1"/>
  <c r="AB505" i="165" s="1"/>
  <c r="X388" i="165"/>
  <c r="X569" i="165"/>
  <c r="X749" i="165"/>
  <c r="R55" i="165"/>
  <c r="F55" i="165" s="1"/>
  <c r="AB55" i="165" s="1"/>
  <c r="X314" i="165"/>
  <c r="X28" i="165"/>
  <c r="R355" i="165"/>
  <c r="F355" i="165" s="1"/>
  <c r="AB355" i="165" s="1"/>
  <c r="X568" i="165"/>
  <c r="Y569" i="165" s="1"/>
  <c r="AA569" i="165" s="1" a="1"/>
  <c r="AA569" i="165" s="1"/>
  <c r="X179" i="165"/>
  <c r="X193" i="165"/>
  <c r="X493" i="165"/>
  <c r="X268" i="165"/>
  <c r="R280" i="165"/>
  <c r="F280" i="165" s="1"/>
  <c r="AB280" i="165" s="1"/>
  <c r="X313" i="165"/>
  <c r="X673" i="165"/>
  <c r="Y674" i="165" s="1"/>
  <c r="AA674" i="165" s="1" a="1"/>
  <c r="AA674" i="165" s="1"/>
  <c r="X119" i="165"/>
  <c r="R175" i="165"/>
  <c r="F175" i="165" s="1"/>
  <c r="AB175" i="165" s="1"/>
  <c r="X43" i="165"/>
  <c r="X89" i="165"/>
  <c r="X253" i="165"/>
  <c r="X629" i="165"/>
  <c r="R205" i="165"/>
  <c r="F205" i="165" s="1"/>
  <c r="AB205" i="165" s="1"/>
  <c r="R145" i="165"/>
  <c r="F145" i="165" s="1"/>
  <c r="AB145" i="165" s="1"/>
  <c r="Y316" i="165"/>
  <c r="AA316" i="165" s="1" a="1"/>
  <c r="AA316" i="165" s="1"/>
  <c r="X44" i="165"/>
  <c r="R70" i="165"/>
  <c r="F70" i="165" s="1"/>
  <c r="AB70" i="165" s="1"/>
  <c r="X74" i="165"/>
  <c r="Y73" i="165" s="1"/>
  <c r="AA73" i="165" s="1" a="1"/>
  <c r="AA73" i="165" s="1"/>
  <c r="X148" i="165"/>
  <c r="X194" i="165"/>
  <c r="Y196" i="165" s="1"/>
  <c r="AA196" i="165" s="1" a="1"/>
  <c r="AA196" i="165" s="1"/>
  <c r="R250" i="165"/>
  <c r="F250" i="165" s="1"/>
  <c r="AB250" i="165" s="1"/>
  <c r="X328" i="165"/>
  <c r="Y194" i="165"/>
  <c r="Y314" i="165"/>
  <c r="AA314" i="165" s="1" a="1"/>
  <c r="AA314" i="165" s="1"/>
  <c r="R100" i="165"/>
  <c r="F100" i="165" s="1"/>
  <c r="AB100" i="165" s="1"/>
  <c r="X104" i="165"/>
  <c r="X224" i="165"/>
  <c r="X269" i="165"/>
  <c r="R370" i="165"/>
  <c r="F370" i="165" s="1"/>
  <c r="AB370" i="165" s="1"/>
  <c r="X374" i="165"/>
  <c r="X479" i="165"/>
  <c r="X689" i="165"/>
  <c r="Y315" i="165"/>
  <c r="AA315" i="165" s="1" a="1"/>
  <c r="AA315" i="165" s="1"/>
  <c r="X718" i="165"/>
  <c r="R160" i="165"/>
  <c r="F160" i="165" s="1"/>
  <c r="AB160" i="165" s="1"/>
  <c r="R310" i="165"/>
  <c r="F310" i="165" s="1"/>
  <c r="AB310" i="165" s="1"/>
  <c r="X329" i="165"/>
  <c r="X343" i="165"/>
  <c r="X149" i="165"/>
  <c r="Y148" i="165" s="1"/>
  <c r="AA148" i="165" s="1" a="1"/>
  <c r="AA148" i="165" s="1"/>
  <c r="X359" i="165"/>
  <c r="X449" i="165"/>
  <c r="X88" i="165"/>
  <c r="R115" i="165"/>
  <c r="F115" i="165" s="1"/>
  <c r="AB115" i="165" s="1"/>
  <c r="X209" i="165"/>
  <c r="Y207" i="165" s="1"/>
  <c r="AA207" i="165" s="1" a="1"/>
  <c r="AA207" i="165" s="1"/>
  <c r="X239" i="165"/>
  <c r="X599" i="165"/>
  <c r="Y42" i="165"/>
  <c r="AA42" i="165" s="1" a="1"/>
  <c r="AA42" i="165" s="1"/>
  <c r="Z568" i="165"/>
  <c r="Z689" i="165"/>
  <c r="R685" i="165" s="1"/>
  <c r="F685" i="165" s="1"/>
  <c r="AB685" i="165" s="1"/>
  <c r="Y43" i="165"/>
  <c r="AA43" i="165" s="1" a="1"/>
  <c r="AA43" i="165" s="1"/>
  <c r="R190" i="165"/>
  <c r="F190" i="165" s="1"/>
  <c r="AB190" i="165" s="1"/>
  <c r="R265" i="165"/>
  <c r="F265" i="165" s="1"/>
  <c r="AB265" i="165" s="1"/>
  <c r="Z329" i="165"/>
  <c r="R325" i="165" s="1"/>
  <c r="F325" i="165" s="1"/>
  <c r="AB325" i="165" s="1"/>
  <c r="Z343" i="165"/>
  <c r="R340" i="165" s="1"/>
  <c r="F340" i="165" s="1"/>
  <c r="AB340" i="165" s="1"/>
  <c r="Y44" i="165"/>
  <c r="Y192" i="165"/>
  <c r="AA192" i="165" s="1" a="1"/>
  <c r="AA192" i="165" s="1"/>
  <c r="Y210" i="165"/>
  <c r="Y312" i="165"/>
  <c r="AA312" i="165" s="1" a="1"/>
  <c r="AA312" i="165" s="1"/>
  <c r="X164" i="165"/>
  <c r="R235" i="165"/>
  <c r="F235" i="165" s="1"/>
  <c r="AB235" i="165" s="1"/>
  <c r="X283" i="165"/>
  <c r="X299" i="165"/>
  <c r="X448" i="165"/>
  <c r="Y448" i="165" s="1"/>
  <c r="AA448" i="165" s="1" a="1"/>
  <c r="AA448" i="165" s="1"/>
  <c r="X674" i="165"/>
  <c r="Y45" i="165"/>
  <c r="AA45" i="165" s="1" a="1"/>
  <c r="AA45" i="165" s="1"/>
  <c r="Y193" i="165"/>
  <c r="Y211" i="165"/>
  <c r="AA211" i="165" s="1" a="1"/>
  <c r="AA211" i="165" s="1"/>
  <c r="Y313" i="165"/>
  <c r="Y387" i="165"/>
  <c r="AA387" i="165" s="1" a="1"/>
  <c r="AA387" i="165" s="1"/>
  <c r="R415" i="165"/>
  <c r="F415" i="165" s="1"/>
  <c r="AB415" i="165" s="1"/>
  <c r="R430" i="165"/>
  <c r="F430" i="165" s="1"/>
  <c r="AB430" i="165" s="1"/>
  <c r="R550" i="165"/>
  <c r="F550" i="165" s="1"/>
  <c r="AB550" i="165" s="1"/>
  <c r="X554" i="165"/>
  <c r="Z448" i="165"/>
  <c r="X419" i="165"/>
  <c r="R475" i="165"/>
  <c r="F475" i="165" s="1"/>
  <c r="AB475" i="165" s="1"/>
  <c r="R655" i="165"/>
  <c r="F655" i="165" s="1"/>
  <c r="AB655" i="165" s="1"/>
  <c r="R460" i="165"/>
  <c r="F460" i="165" s="1"/>
  <c r="AB460" i="165" s="1"/>
  <c r="X508" i="165"/>
  <c r="X688" i="165"/>
  <c r="Y689" i="165" s="1"/>
  <c r="AA689" i="165" s="1" a="1"/>
  <c r="AA689" i="165" s="1"/>
  <c r="X539" i="165"/>
  <c r="Z569" i="165"/>
  <c r="Z674" i="165"/>
  <c r="R670" i="165" s="1"/>
  <c r="F670" i="165" s="1"/>
  <c r="AB670" i="165" s="1"/>
  <c r="Z749" i="165"/>
  <c r="R745" i="165" s="1"/>
  <c r="F745" i="165" s="1"/>
  <c r="AB745" i="165" s="1"/>
  <c r="Y449" i="165"/>
  <c r="R610" i="165"/>
  <c r="F610" i="165" s="1"/>
  <c r="AB610" i="165" s="1"/>
  <c r="Y450" i="165"/>
  <c r="X509" i="165"/>
  <c r="Y511" i="165" s="1"/>
  <c r="AA511" i="165" s="1" a="1"/>
  <c r="AA511" i="165" s="1"/>
  <c r="Z718" i="165"/>
  <c r="R715" i="165" s="1"/>
  <c r="F715" i="165" s="1"/>
  <c r="AB715" i="165" s="1"/>
  <c r="Y451" i="165"/>
  <c r="Y571" i="165"/>
  <c r="AA571" i="165" s="1" a="1"/>
  <c r="AA571" i="165" s="1"/>
  <c r="X418" i="165"/>
  <c r="Z449" i="165"/>
  <c r="Z388" i="165"/>
  <c r="R385" i="165" s="1"/>
  <c r="F385" i="165" s="1"/>
  <c r="AB385" i="165" s="1"/>
  <c r="X434" i="165"/>
  <c r="X464" i="165"/>
  <c r="X478" i="165"/>
  <c r="R535" i="165"/>
  <c r="F535" i="165" s="1"/>
  <c r="AB535" i="165" s="1"/>
  <c r="X553" i="165"/>
  <c r="X614" i="165"/>
  <c r="Z629" i="165"/>
  <c r="R625" i="165" s="1"/>
  <c r="F625" i="165" s="1"/>
  <c r="AB625" i="165" s="1"/>
  <c r="X734" i="165"/>
  <c r="Y388" i="165"/>
  <c r="AA388" i="165" s="1" a="1"/>
  <c r="AA388" i="165" s="1"/>
  <c r="X404" i="165"/>
  <c r="R580" i="165"/>
  <c r="F580" i="165" s="1"/>
  <c r="AB580" i="165" s="1"/>
  <c r="Y389" i="165"/>
  <c r="AA389" i="165" s="1" a="1"/>
  <c r="AA389" i="165" s="1"/>
  <c r="X613" i="165"/>
  <c r="Y613" i="165" s="1"/>
  <c r="AA613" i="165" s="1" a="1"/>
  <c r="AA613" i="165" s="1"/>
  <c r="X628" i="165"/>
  <c r="Y631" i="165" s="1"/>
  <c r="AA631" i="165" s="1" a="1"/>
  <c r="AA631" i="165" s="1"/>
  <c r="X719" i="165"/>
  <c r="Y718" i="165" s="1"/>
  <c r="Y390" i="165"/>
  <c r="AA390" i="165" s="1" a="1"/>
  <c r="AA390" i="165" s="1"/>
  <c r="R490" i="165"/>
  <c r="F490" i="165" s="1"/>
  <c r="AB490" i="165" s="1"/>
  <c r="R595" i="165"/>
  <c r="F595" i="165" s="1"/>
  <c r="AB595" i="165" s="1"/>
  <c r="X659" i="165"/>
  <c r="Y447" i="165"/>
  <c r="Y567" i="165"/>
  <c r="AA567" i="165" s="1" a="1"/>
  <c r="AA567" i="165" s="1"/>
  <c r="Y687" i="165"/>
  <c r="AA687" i="165" s="1" a="1"/>
  <c r="AA687" i="165" s="1"/>
  <c r="Y568" i="165"/>
  <c r="AA568" i="165" s="1" a="1"/>
  <c r="AA568" i="165" s="1"/>
  <c r="AB653" i="165"/>
  <c r="AB623" i="165"/>
  <c r="AB652" i="165"/>
  <c r="AB519" i="165"/>
  <c r="AB698" i="165"/>
  <c r="AB684" i="165"/>
  <c r="AB713" i="165"/>
  <c r="AB188" i="165"/>
  <c r="AB368" i="165"/>
  <c r="AB699" i="165"/>
  <c r="AB729" i="165"/>
  <c r="AB683" i="165"/>
  <c r="AB712" i="165"/>
  <c r="AB742" i="165"/>
  <c r="AB743" i="165"/>
  <c r="AB443" i="165"/>
  <c r="AB697" i="165"/>
  <c r="AB577" i="165"/>
  <c r="AB682" i="165"/>
  <c r="AB504" i="165"/>
  <c r="AB547" i="165"/>
  <c r="AB563" i="165"/>
  <c r="AB592" i="165"/>
  <c r="AB593" i="165"/>
  <c r="AB638" i="165"/>
  <c r="AB669" i="165"/>
  <c r="AB262" i="165"/>
  <c r="AB308" i="165"/>
  <c r="AB578" i="165"/>
  <c r="AB667" i="165"/>
  <c r="AB744" i="165"/>
  <c r="AB579" i="165"/>
  <c r="AB639" i="165"/>
  <c r="AB548" i="165"/>
  <c r="AB624" i="165"/>
  <c r="AB727" i="165"/>
  <c r="X748" i="165"/>
  <c r="Y747" i="165" s="1"/>
  <c r="AA747" i="165" s="1" a="1"/>
  <c r="AA747" i="165" s="1"/>
  <c r="AB383" i="165"/>
  <c r="AB442" i="165"/>
  <c r="AB174" i="165"/>
  <c r="AB187" i="165"/>
  <c r="AB278" i="165"/>
  <c r="AB384" i="165"/>
  <c r="AB414" i="165"/>
  <c r="AB502" i="165"/>
  <c r="AB518" i="165"/>
  <c r="AB728" i="165"/>
  <c r="AB503" i="165"/>
  <c r="AB532" i="165"/>
  <c r="AB549" i="165"/>
  <c r="AB622" i="165"/>
  <c r="AB637" i="165"/>
  <c r="AB607" i="165"/>
  <c r="AB654" i="165"/>
  <c r="AB143" i="165"/>
  <c r="AB339" i="165"/>
  <c r="AB352" i="165"/>
  <c r="AB382" i="165"/>
  <c r="AB608" i="165"/>
  <c r="AB668" i="165"/>
  <c r="AB714" i="165"/>
  <c r="R640" i="165"/>
  <c r="F640" i="165" s="1"/>
  <c r="AB640" i="165" s="1"/>
  <c r="R700" i="165"/>
  <c r="F700" i="165" s="1"/>
  <c r="AB700" i="165" s="1"/>
  <c r="R730" i="165"/>
  <c r="F730" i="165" s="1"/>
  <c r="AB730" i="165" s="1"/>
  <c r="AA718" i="165" a="1"/>
  <c r="AA718" i="165" s="1"/>
  <c r="AB609" i="165"/>
  <c r="X733" i="165"/>
  <c r="Y732" i="165" s="1"/>
  <c r="AB277" i="165"/>
  <c r="AB399" i="165"/>
  <c r="AB429" i="165"/>
  <c r="X658" i="165"/>
  <c r="AB489" i="165"/>
  <c r="AB517" i="165"/>
  <c r="AB533" i="165"/>
  <c r="AB562" i="165"/>
  <c r="X643" i="165"/>
  <c r="X703" i="165"/>
  <c r="AB397" i="165"/>
  <c r="AB427" i="165"/>
  <c r="AB534" i="165"/>
  <c r="AB594" i="165"/>
  <c r="X644" i="165"/>
  <c r="X704" i="165"/>
  <c r="AB264" i="165"/>
  <c r="AB279" i="165"/>
  <c r="AB292" i="165"/>
  <c r="AB338" i="165"/>
  <c r="AB457" i="165"/>
  <c r="AB487" i="165"/>
  <c r="AB564" i="165"/>
  <c r="R520" i="165"/>
  <c r="F520" i="165" s="1"/>
  <c r="AB520" i="165" s="1"/>
  <c r="AB413" i="165"/>
  <c r="AB458" i="165"/>
  <c r="AB488" i="165"/>
  <c r="AB353" i="165"/>
  <c r="AB367" i="165"/>
  <c r="AB52" i="165"/>
  <c r="AB112" i="165"/>
  <c r="AB129" i="165"/>
  <c r="AB158" i="165"/>
  <c r="AB472" i="165"/>
  <c r="X538" i="165"/>
  <c r="X598" i="165"/>
  <c r="AB459" i="165"/>
  <c r="AB473" i="165"/>
  <c r="X523" i="165"/>
  <c r="X583" i="165"/>
  <c r="AB173" i="165"/>
  <c r="AB218" i="165"/>
  <c r="AB249" i="165"/>
  <c r="AB307" i="165"/>
  <c r="AB369" i="165"/>
  <c r="AB398" i="165"/>
  <c r="AB428" i="165"/>
  <c r="AB444" i="165"/>
  <c r="AB474" i="165"/>
  <c r="X524" i="165"/>
  <c r="X584" i="165"/>
  <c r="AB412" i="165"/>
  <c r="AA447" i="165" a="1"/>
  <c r="AA447" i="165" s="1"/>
  <c r="AA451" i="165" a="1"/>
  <c r="AA451" i="165" s="1"/>
  <c r="AA449" i="165" a="1"/>
  <c r="AA449" i="165" s="1"/>
  <c r="R400" i="165"/>
  <c r="F400" i="165" s="1"/>
  <c r="AB400" i="165" s="1"/>
  <c r="AB263" i="165"/>
  <c r="AB294" i="165"/>
  <c r="AB324" i="165"/>
  <c r="AA450" i="165" a="1"/>
  <c r="AA450" i="165" s="1"/>
  <c r="X494" i="165"/>
  <c r="AB309" i="165"/>
  <c r="AB337" i="165"/>
  <c r="X403" i="165"/>
  <c r="X463" i="165"/>
  <c r="Y463" i="165" s="1"/>
  <c r="AB172" i="165"/>
  <c r="AB127" i="165"/>
  <c r="AB203" i="165"/>
  <c r="AB322" i="165"/>
  <c r="AB128" i="165"/>
  <c r="AB157" i="165"/>
  <c r="AB204" i="165"/>
  <c r="AB293" i="165"/>
  <c r="AB323" i="165"/>
  <c r="AB354" i="165"/>
  <c r="AA313" i="165" a="1"/>
  <c r="AA313" i="165" s="1"/>
  <c r="X373" i="165"/>
  <c r="AB232" i="165"/>
  <c r="X298" i="165"/>
  <c r="Y300" i="165" s="1"/>
  <c r="X358" i="165"/>
  <c r="AB142" i="165"/>
  <c r="AB219" i="165"/>
  <c r="AB233" i="165"/>
  <c r="AB159" i="165"/>
  <c r="AB189" i="165"/>
  <c r="AB217" i="165"/>
  <c r="AB234" i="165"/>
  <c r="AB247" i="165"/>
  <c r="X284" i="165"/>
  <c r="X344" i="165"/>
  <c r="Y344" i="165" s="1"/>
  <c r="AA344" i="165" s="1" a="1"/>
  <c r="AA344" i="165" s="1"/>
  <c r="AB144" i="165"/>
  <c r="AB202" i="165"/>
  <c r="AB248" i="165"/>
  <c r="R220" i="165"/>
  <c r="F220" i="165" s="1"/>
  <c r="AB220" i="165" s="1"/>
  <c r="AA193" i="165" a="1"/>
  <c r="AA193" i="165" s="1"/>
  <c r="AA210" i="165" a="1"/>
  <c r="AA210" i="165" s="1"/>
  <c r="X254" i="165"/>
  <c r="Y254" i="165" s="1"/>
  <c r="X178" i="165"/>
  <c r="Y177" i="165" s="1"/>
  <c r="AA194" i="165" a="1"/>
  <c r="AA194" i="165" s="1"/>
  <c r="X238" i="165"/>
  <c r="Y238" i="165" s="1"/>
  <c r="AB99" i="165"/>
  <c r="X163" i="165"/>
  <c r="X223" i="165"/>
  <c r="Y224" i="165" s="1"/>
  <c r="AB24" i="165"/>
  <c r="AB38" i="165"/>
  <c r="AB97" i="165"/>
  <c r="R130" i="165"/>
  <c r="F130" i="165" s="1"/>
  <c r="AB130" i="165" s="1"/>
  <c r="X134" i="165"/>
  <c r="Y133" i="165" s="1"/>
  <c r="AB113" i="165"/>
  <c r="AB114" i="165"/>
  <c r="X118" i="165"/>
  <c r="Y119" i="165" s="1"/>
  <c r="AA119" i="165" s="1" a="1"/>
  <c r="AA119" i="165" s="1"/>
  <c r="AB98" i="165"/>
  <c r="X103" i="165"/>
  <c r="Y102" i="165" s="1"/>
  <c r="AB83" i="165"/>
  <c r="AB84" i="165"/>
  <c r="AB68" i="165"/>
  <c r="AB69" i="165"/>
  <c r="AB82" i="165"/>
  <c r="R85" i="165"/>
  <c r="F85" i="165" s="1"/>
  <c r="AB85" i="165" s="1"/>
  <c r="AB54" i="165"/>
  <c r="AB67" i="165"/>
  <c r="AB53" i="165"/>
  <c r="X58" i="165"/>
  <c r="Y57" i="165" s="1"/>
  <c r="AB39" i="165"/>
  <c r="AB37" i="165"/>
  <c r="R40" i="165"/>
  <c r="F40" i="165" s="1"/>
  <c r="AB40" i="165" s="1"/>
  <c r="AA44" i="165" a="1"/>
  <c r="AA44" i="165" s="1"/>
  <c r="Z28" i="165"/>
  <c r="R25" i="165" s="1"/>
  <c r="F25" i="165" s="1"/>
  <c r="AB25" i="165" s="1"/>
  <c r="X29" i="165"/>
  <c r="Y27" i="165" s="1"/>
  <c r="AB23" i="165"/>
  <c r="AB22" i="165"/>
  <c r="Y673" i="165" l="1"/>
  <c r="AA673" i="165" s="1" a="1"/>
  <c r="AA673" i="165" s="1"/>
  <c r="Y676" i="165"/>
  <c r="AA676" i="165" s="1" a="1"/>
  <c r="AA676" i="165" s="1"/>
  <c r="Y433" i="165"/>
  <c r="AA433" i="165" s="1" a="1"/>
  <c r="AA433" i="165" s="1"/>
  <c r="Y672" i="165"/>
  <c r="AA672" i="165" s="1" a="1"/>
  <c r="AA672" i="165" s="1"/>
  <c r="Y208" i="165"/>
  <c r="AA208" i="165" s="1" a="1"/>
  <c r="AA208" i="165" s="1"/>
  <c r="Y195" i="165"/>
  <c r="AA195" i="165" s="1" a="1"/>
  <c r="AA195" i="165" s="1"/>
  <c r="Y166" i="165"/>
  <c r="Y525" i="165"/>
  <c r="Y477" i="165"/>
  <c r="AA477" i="165" s="1" a="1"/>
  <c r="AA477" i="165" s="1"/>
  <c r="Y570" i="165"/>
  <c r="AA570" i="165" s="1" a="1"/>
  <c r="AA570" i="165" s="1"/>
  <c r="Y372" i="165"/>
  <c r="Y331" i="165"/>
  <c r="AA331" i="165" s="1" a="1"/>
  <c r="AA331" i="165" s="1"/>
  <c r="Y539" i="165"/>
  <c r="Y675" i="165"/>
  <c r="AA675" i="165" s="1" a="1"/>
  <c r="AA675" i="165" s="1"/>
  <c r="Y285" i="165"/>
  <c r="Y328" i="165"/>
  <c r="AA328" i="165" s="1" a="1"/>
  <c r="AA328" i="165" s="1"/>
  <c r="Y132" i="165"/>
  <c r="Y494" i="165"/>
  <c r="Y434" i="165"/>
  <c r="AA434" i="165" s="1" a="1"/>
  <c r="AA434" i="165" s="1"/>
  <c r="Y329" i="165"/>
  <c r="AA329" i="165" s="1" a="1"/>
  <c r="AA329" i="165" s="1"/>
  <c r="Y87" i="165"/>
  <c r="AA87" i="165" s="1" a="1"/>
  <c r="AA87" i="165" s="1"/>
  <c r="Y147" i="165"/>
  <c r="AA147" i="165" s="1" a="1"/>
  <c r="AA147" i="165" s="1"/>
  <c r="R565" i="165"/>
  <c r="F565" i="165" s="1"/>
  <c r="AB565" i="165" s="1"/>
  <c r="Y286" i="165"/>
  <c r="Y90" i="165"/>
  <c r="AA90" i="165" s="1" a="1"/>
  <c r="AA90" i="165" s="1"/>
  <c r="Y283" i="165"/>
  <c r="Y88" i="165"/>
  <c r="AA88" i="165" s="1" a="1"/>
  <c r="AA88" i="165" s="1"/>
  <c r="Y327" i="165"/>
  <c r="AA327" i="165" s="1" a="1"/>
  <c r="AA327" i="165" s="1"/>
  <c r="Y346" i="165"/>
  <c r="Y360" i="165"/>
  <c r="Y239" i="165"/>
  <c r="Y658" i="165"/>
  <c r="Y688" i="165"/>
  <c r="AA688" i="165" s="1" a="1"/>
  <c r="AA688" i="165" s="1"/>
  <c r="R445" i="165"/>
  <c r="F445" i="165" s="1"/>
  <c r="AB445" i="165" s="1"/>
  <c r="Y690" i="165"/>
  <c r="AA690" i="165" s="1" a="1"/>
  <c r="AA690" i="165" s="1"/>
  <c r="Y209" i="165"/>
  <c r="Y121" i="165"/>
  <c r="AA121" i="165" s="1" a="1"/>
  <c r="AA121" i="165" s="1"/>
  <c r="Y418" i="165"/>
  <c r="AA418" i="165" s="1" a="1"/>
  <c r="AA418" i="165" s="1"/>
  <c r="Y46" i="165"/>
  <c r="AA46" i="165" s="1" a="1"/>
  <c r="AA46" i="165" s="1"/>
  <c r="Y554" i="165"/>
  <c r="AA554" i="165" s="1" a="1"/>
  <c r="AA554" i="165" s="1"/>
  <c r="Y691" i="165"/>
  <c r="AA691" i="165" s="1" a="1"/>
  <c r="AA691" i="165" s="1"/>
  <c r="Y330" i="165"/>
  <c r="Y391" i="165"/>
  <c r="AA391" i="165" s="1" a="1"/>
  <c r="AA391" i="165" s="1"/>
  <c r="AA132" i="165" a="1"/>
  <c r="AA132" i="165" s="1"/>
  <c r="Y284" i="165"/>
  <c r="AA284" i="165" s="1" a="1"/>
  <c r="AA284" i="165" s="1"/>
  <c r="Y89" i="165"/>
  <c r="AA89" i="165" s="1" a="1"/>
  <c r="AA89" i="165" s="1"/>
  <c r="Y282" i="165"/>
  <c r="AA282" i="165" s="1" a="1"/>
  <c r="AA282" i="165" s="1"/>
  <c r="Y345" i="165"/>
  <c r="Y151" i="165"/>
  <c r="AA151" i="165" s="1" a="1"/>
  <c r="AA151" i="165" s="1"/>
  <c r="Y150" i="165"/>
  <c r="AA150" i="165" s="1" a="1"/>
  <c r="AA150" i="165" s="1"/>
  <c r="Y343" i="165"/>
  <c r="Y149" i="165"/>
  <c r="AA149" i="165" s="1" a="1"/>
  <c r="AA149" i="165" s="1"/>
  <c r="Y342" i="165"/>
  <c r="Y106" i="165"/>
  <c r="AA106" i="165" s="1" a="1"/>
  <c r="AA106" i="165" s="1"/>
  <c r="Y226" i="165"/>
  <c r="Y120" i="165"/>
  <c r="AA120" i="165" s="1" a="1"/>
  <c r="AA120" i="165" s="1"/>
  <c r="Y61" i="165"/>
  <c r="AA61" i="165" s="1" a="1"/>
  <c r="AA61" i="165" s="1"/>
  <c r="Y556" i="165"/>
  <c r="AA556" i="165" s="1" a="1"/>
  <c r="AA556" i="165" s="1"/>
  <c r="Y614" i="165"/>
  <c r="AA614" i="165" s="1" a="1"/>
  <c r="AA614" i="165" s="1"/>
  <c r="Y420" i="165"/>
  <c r="AA420" i="165" s="1" a="1"/>
  <c r="AA420" i="165" s="1"/>
  <c r="Y255" i="165"/>
  <c r="AA255" i="165" s="1" a="1"/>
  <c r="AA255" i="165" s="1"/>
  <c r="Y299" i="165"/>
  <c r="Y105" i="165"/>
  <c r="AA105" i="165" s="1" a="1"/>
  <c r="AA105" i="165" s="1"/>
  <c r="Y104" i="165"/>
  <c r="AA104" i="165" s="1" a="1"/>
  <c r="AA104" i="165" s="1"/>
  <c r="Y297" i="165"/>
  <c r="Y103" i="165"/>
  <c r="Y91" i="165"/>
  <c r="AA91" i="165" s="1" a="1"/>
  <c r="AA91" i="165" s="1"/>
  <c r="Y256" i="165"/>
  <c r="Y630" i="165"/>
  <c r="AA630" i="165" s="1" a="1"/>
  <c r="AA630" i="165" s="1"/>
  <c r="Y598" i="165"/>
  <c r="Y510" i="165"/>
  <c r="AA510" i="165" s="1" a="1"/>
  <c r="AA510" i="165" s="1"/>
  <c r="Y628" i="165"/>
  <c r="AA628" i="165" s="1" a="1"/>
  <c r="AA628" i="165" s="1"/>
  <c r="Y237" i="165"/>
  <c r="Y180" i="165"/>
  <c r="Y271" i="165"/>
  <c r="AA271" i="165" s="1" a="1"/>
  <c r="AA271" i="165" s="1"/>
  <c r="Y298" i="165"/>
  <c r="AA298" i="165" s="1" a="1"/>
  <c r="AA298" i="165" s="1"/>
  <c r="Y76" i="165"/>
  <c r="AA76" i="165" s="1" a="1"/>
  <c r="AA76" i="165" s="1"/>
  <c r="Y269" i="165"/>
  <c r="AA269" i="165" s="1" a="1"/>
  <c r="AA269" i="165" s="1"/>
  <c r="Y75" i="165"/>
  <c r="AA75" i="165" s="1" a="1"/>
  <c r="AA75" i="165" s="1"/>
  <c r="Y268" i="165"/>
  <c r="AA268" i="165" s="1" a="1"/>
  <c r="AA268" i="165" s="1"/>
  <c r="Y74" i="165"/>
  <c r="AA74" i="165" s="1" a="1"/>
  <c r="AA74" i="165" s="1"/>
  <c r="Y301" i="165"/>
  <c r="Y136" i="165"/>
  <c r="AA136" i="165" s="1" a="1"/>
  <c r="AA136" i="165" s="1"/>
  <c r="Y402" i="165"/>
  <c r="Y419" i="165"/>
  <c r="AA419" i="165" s="1" a="1"/>
  <c r="AA419" i="165" s="1"/>
  <c r="Y436" i="165"/>
  <c r="AA436" i="165" s="1" a="1"/>
  <c r="AA436" i="165" s="1"/>
  <c r="Y555" i="165"/>
  <c r="AA555" i="165" s="1" a="1"/>
  <c r="AA555" i="165" s="1"/>
  <c r="Y508" i="165"/>
  <c r="AA508" i="165" s="1" a="1"/>
  <c r="AA508" i="165" s="1"/>
  <c r="Y164" i="165"/>
  <c r="Y162" i="165"/>
  <c r="AA209" i="165" a="1"/>
  <c r="AA209" i="165" s="1"/>
  <c r="Y253" i="165"/>
  <c r="AA253" i="165" s="1" a="1"/>
  <c r="AA253" i="165" s="1"/>
  <c r="Y59" i="165"/>
  <c r="Y270" i="165"/>
  <c r="AA270" i="165" s="1" a="1"/>
  <c r="AA270" i="165" s="1"/>
  <c r="Y58" i="165"/>
  <c r="Y241" i="165"/>
  <c r="Y240" i="165"/>
  <c r="Y28" i="165"/>
  <c r="AA28" i="165" s="1" a="1"/>
  <c r="AA28" i="165" s="1"/>
  <c r="AA103" i="165" a="1"/>
  <c r="AA103" i="165" s="1"/>
  <c r="AA343" i="165" a="1"/>
  <c r="AA343" i="165" s="1"/>
  <c r="Y509" i="165"/>
  <c r="AA509" i="165" s="1" a="1"/>
  <c r="AA509" i="165" s="1"/>
  <c r="Y358" i="165"/>
  <c r="Y118" i="165"/>
  <c r="AA118" i="165" s="1" a="1"/>
  <c r="AA118" i="165" s="1"/>
  <c r="Y163" i="165"/>
  <c r="Y374" i="165"/>
  <c r="AA374" i="165" s="1" a="1"/>
  <c r="AA374" i="165" s="1"/>
  <c r="Y134" i="165"/>
  <c r="AA134" i="165" s="1" a="1"/>
  <c r="AA134" i="165" s="1"/>
  <c r="Y225" i="165"/>
  <c r="Y31" i="165"/>
  <c r="AA31" i="165" s="1" a="1"/>
  <c r="AA31" i="165" s="1"/>
  <c r="Y252" i="165"/>
  <c r="Y30" i="165"/>
  <c r="Y223" i="165"/>
  <c r="Y29" i="165"/>
  <c r="Y222" i="165"/>
  <c r="Y267" i="165"/>
  <c r="AA267" i="165" s="1" a="1"/>
  <c r="AA267" i="165" s="1"/>
  <c r="Y359" i="165"/>
  <c r="AA285" i="165" a="1"/>
  <c r="AA285" i="165" s="1"/>
  <c r="Y586" i="165"/>
  <c r="AA586" i="165" s="1" a="1"/>
  <c r="AA586" i="165" s="1"/>
  <c r="Y435" i="165"/>
  <c r="AA435" i="165" s="1" a="1"/>
  <c r="AA435" i="165" s="1"/>
  <c r="Y375" i="165"/>
  <c r="Y135" i="165"/>
  <c r="AA135" i="165" s="1" a="1"/>
  <c r="AA135" i="165" s="1"/>
  <c r="AA330" i="165" a="1"/>
  <c r="AA330" i="165" s="1"/>
  <c r="Y165" i="165"/>
  <c r="AA165" i="165" s="1" a="1"/>
  <c r="AA165" i="165" s="1"/>
  <c r="Y181" i="165"/>
  <c r="AA58" i="165" a="1"/>
  <c r="AA58" i="165" s="1"/>
  <c r="Y72" i="165"/>
  <c r="AA72" i="165" s="1" a="1"/>
  <c r="AA72" i="165" s="1"/>
  <c r="Y357" i="165"/>
  <c r="Y117" i="165"/>
  <c r="Y60" i="165"/>
  <c r="AA60" i="165" s="1" a="1"/>
  <c r="AA60" i="165" s="1"/>
  <c r="Y373" i="165"/>
  <c r="AA373" i="165" s="1" a="1"/>
  <c r="AA373" i="165" s="1"/>
  <c r="Y179" i="165"/>
  <c r="AA179" i="165" s="1" a="1"/>
  <c r="AA179" i="165" s="1"/>
  <c r="Y178" i="165"/>
  <c r="Y361" i="165"/>
  <c r="AA361" i="165" s="1" a="1"/>
  <c r="AA361" i="165" s="1"/>
  <c r="Y376" i="165"/>
  <c r="AA376" i="165" s="1" a="1"/>
  <c r="AA376" i="165" s="1"/>
  <c r="Y702" i="165"/>
  <c r="Y417" i="165"/>
  <c r="AA417" i="165" s="1" a="1"/>
  <c r="AA417" i="165" s="1"/>
  <c r="Y553" i="165"/>
  <c r="AA553" i="165" s="1" a="1"/>
  <c r="AA553" i="165" s="1"/>
  <c r="Y507" i="165"/>
  <c r="AA507" i="165" s="1" a="1"/>
  <c r="AA507" i="165" s="1"/>
  <c r="Y645" i="165"/>
  <c r="AA645" i="165" s="1" a="1"/>
  <c r="AA645" i="165" s="1"/>
  <c r="Y705" i="165"/>
  <c r="Y493" i="165"/>
  <c r="AA493" i="165" s="1" a="1"/>
  <c r="AA493" i="165" s="1"/>
  <c r="Y750" i="165"/>
  <c r="AA750" i="165" s="1" a="1"/>
  <c r="AA750" i="165" s="1"/>
  <c r="Y657" i="165"/>
  <c r="Y646" i="165"/>
  <c r="Y432" i="165"/>
  <c r="AA432" i="165" s="1" a="1"/>
  <c r="AA432" i="165" s="1"/>
  <c r="Y661" i="165"/>
  <c r="AA661" i="165" s="1" a="1"/>
  <c r="AA661" i="165" s="1"/>
  <c r="Y466" i="165"/>
  <c r="AA466" i="165" s="1" a="1"/>
  <c r="AA466" i="165" s="1"/>
  <c r="Y751" i="165"/>
  <c r="AA751" i="165" s="1" a="1"/>
  <c r="AA751" i="165" s="1"/>
  <c r="Y660" i="165"/>
  <c r="AA660" i="165" s="1" a="1"/>
  <c r="AA660" i="165" s="1"/>
  <c r="Y465" i="165"/>
  <c r="AA465" i="165" s="1" a="1"/>
  <c r="AA465" i="165" s="1"/>
  <c r="Y538" i="165"/>
  <c r="AA538" i="165" s="1" a="1"/>
  <c r="AA538" i="165" s="1"/>
  <c r="Y583" i="165"/>
  <c r="Y406" i="165"/>
  <c r="Y404" i="165"/>
  <c r="Y643" i="165"/>
  <c r="AA643" i="165" s="1" a="1"/>
  <c r="AA643" i="165" s="1"/>
  <c r="Y421" i="165"/>
  <c r="AA421" i="165" s="1" a="1"/>
  <c r="AA421" i="165" s="1"/>
  <c r="Y522" i="165"/>
  <c r="AA522" i="165" s="1" a="1"/>
  <c r="AA522" i="165" s="1"/>
  <c r="Y481" i="165"/>
  <c r="AA481" i="165" s="1" a="1"/>
  <c r="AA481" i="165" s="1"/>
  <c r="Y659" i="165"/>
  <c r="Y704" i="165"/>
  <c r="AA704" i="165" s="1" a="1"/>
  <c r="AA704" i="165" s="1"/>
  <c r="Y600" i="165"/>
  <c r="Y719" i="165"/>
  <c r="AA719" i="165" s="1" a="1"/>
  <c r="AA719" i="165" s="1"/>
  <c r="Y615" i="165"/>
  <c r="AA615" i="165" s="1" a="1"/>
  <c r="AA615" i="165" s="1"/>
  <c r="Y403" i="165"/>
  <c r="Y540" i="165"/>
  <c r="AA540" i="165" s="1" a="1"/>
  <c r="AA540" i="165" s="1"/>
  <c r="Y601" i="165"/>
  <c r="Y492" i="165"/>
  <c r="Y537" i="165"/>
  <c r="Y582" i="165"/>
  <c r="AA582" i="165" s="1" a="1"/>
  <c r="AA582" i="165" s="1"/>
  <c r="Y597" i="165"/>
  <c r="Y706" i="165"/>
  <c r="AA706" i="165" s="1" a="1"/>
  <c r="AA706" i="165" s="1"/>
  <c r="Y642" i="165"/>
  <c r="AA642" i="165" s="1" a="1"/>
  <c r="AA642" i="165" s="1"/>
  <c r="AA525" i="165" a="1"/>
  <c r="AA525" i="165" s="1"/>
  <c r="Y524" i="165"/>
  <c r="AA524" i="165" s="1" a="1"/>
  <c r="AA524" i="165" s="1"/>
  <c r="Y736" i="165"/>
  <c r="Y464" i="165"/>
  <c r="Y616" i="165"/>
  <c r="AA616" i="165" s="1" a="1"/>
  <c r="AA616" i="165" s="1"/>
  <c r="Y748" i="165"/>
  <c r="AA748" i="165" s="1" a="1"/>
  <c r="AA748" i="165" s="1"/>
  <c r="Y526" i="165"/>
  <c r="AA526" i="165" s="1" a="1"/>
  <c r="AA526" i="165" s="1"/>
  <c r="Y479" i="165"/>
  <c r="AA479" i="165" s="1" a="1"/>
  <c r="AA479" i="165" s="1"/>
  <c r="Y541" i="165"/>
  <c r="AA541" i="165" s="1" a="1"/>
  <c r="AA541" i="165" s="1"/>
  <c r="Y629" i="165"/>
  <c r="AA629" i="165" s="1" a="1"/>
  <c r="AA629" i="165" s="1"/>
  <c r="Y585" i="165"/>
  <c r="Y749" i="165"/>
  <c r="Y720" i="165"/>
  <c r="AA720" i="165" s="1" a="1"/>
  <c r="AA720" i="165" s="1"/>
  <c r="Y523" i="165"/>
  <c r="Y496" i="165"/>
  <c r="AA496" i="165" s="1" a="1"/>
  <c r="AA496" i="165" s="1"/>
  <c r="Y612" i="165"/>
  <c r="AA612" i="165" s="1" a="1"/>
  <c r="AA612" i="165" s="1"/>
  <c r="Y703" i="165"/>
  <c r="AA703" i="165" s="1" a="1"/>
  <c r="AA703" i="165" s="1"/>
  <c r="Y480" i="165"/>
  <c r="AA480" i="165" s="1" a="1"/>
  <c r="AA480" i="165" s="1"/>
  <c r="Y627" i="165"/>
  <c r="AA627" i="165" s="1" a="1"/>
  <c r="AA627" i="165" s="1"/>
  <c r="Y405" i="165"/>
  <c r="AA405" i="165" s="1" a="1"/>
  <c r="AA405" i="165" s="1"/>
  <c r="Y478" i="165"/>
  <c r="AA478" i="165" s="1" a="1"/>
  <c r="AA478" i="165" s="1"/>
  <c r="Y735" i="165"/>
  <c r="AA735" i="165" s="1" a="1"/>
  <c r="AA735" i="165" s="1"/>
  <c r="Y495" i="165"/>
  <c r="AA495" i="165" s="1" a="1"/>
  <c r="AA495" i="165" s="1"/>
  <c r="AA705" i="165" a="1"/>
  <c r="AA705" i="165" s="1"/>
  <c r="Y644" i="165"/>
  <c r="AA644" i="165" s="1" a="1"/>
  <c r="AA644" i="165" s="1"/>
  <c r="Y733" i="165"/>
  <c r="AA733" i="165" s="1" a="1"/>
  <c r="AA733" i="165" s="1"/>
  <c r="Y584" i="165"/>
  <c r="Y462" i="165"/>
  <c r="AA462" i="165" s="1" a="1"/>
  <c r="AA462" i="165" s="1"/>
  <c r="Y552" i="165"/>
  <c r="AA552" i="165" s="1" a="1"/>
  <c r="AA552" i="165" s="1"/>
  <c r="Y599" i="165"/>
  <c r="AA599" i="165" s="1" a="1"/>
  <c r="AA599" i="165" s="1"/>
  <c r="Y717" i="165"/>
  <c r="AA717" i="165" s="1" a="1"/>
  <c r="AA717" i="165" s="1"/>
  <c r="Y721" i="165"/>
  <c r="AA721" i="165" s="1" a="1"/>
  <c r="AA721" i="165" s="1"/>
  <c r="Y734" i="165"/>
  <c r="AA734" i="165" s="1" a="1"/>
  <c r="AA734" i="165" s="1"/>
  <c r="AA749" i="165" a="1"/>
  <c r="AA749" i="165" s="1"/>
  <c r="AA736" i="165" a="1"/>
  <c r="AA736" i="165" s="1"/>
  <c r="AA732" i="165" a="1"/>
  <c r="AA732" i="165" s="1"/>
  <c r="AA702" i="165" a="1"/>
  <c r="AA702" i="165" s="1"/>
  <c r="AA659" i="165" a="1"/>
  <c r="AA659" i="165" s="1"/>
  <c r="AA658" i="165" a="1"/>
  <c r="AA658" i="165" s="1"/>
  <c r="AA657" i="165" a="1"/>
  <c r="AA657" i="165" s="1"/>
  <c r="AA646" i="165" a="1"/>
  <c r="AA646" i="165" s="1"/>
  <c r="AA583" i="165" a="1"/>
  <c r="AA583" i="165" s="1"/>
  <c r="AA539" i="165" a="1"/>
  <c r="AA539" i="165" s="1"/>
  <c r="AA537" i="165" a="1"/>
  <c r="AA537" i="165" s="1"/>
  <c r="AA585" i="165" a="1"/>
  <c r="AA585" i="165" s="1"/>
  <c r="AA601" i="165" a="1"/>
  <c r="AA601" i="165" s="1"/>
  <c r="AA600" i="165" a="1"/>
  <c r="AA600" i="165" s="1"/>
  <c r="AA598" i="165" a="1"/>
  <c r="AA598" i="165" s="1"/>
  <c r="AA597" i="165" a="1"/>
  <c r="AA597" i="165" s="1"/>
  <c r="AA523" i="165" a="1"/>
  <c r="AA523" i="165" s="1"/>
  <c r="AA584" i="165" a="1"/>
  <c r="AA584" i="165" s="1"/>
  <c r="AA494" i="165" a="1"/>
  <c r="AA494" i="165" s="1"/>
  <c r="AA464" i="165" a="1"/>
  <c r="AA464" i="165" s="1"/>
  <c r="AA463" i="165" a="1"/>
  <c r="AA463" i="165" s="1"/>
  <c r="AA492" i="165" a="1"/>
  <c r="AA492" i="165" s="1"/>
  <c r="AA404" i="165" a="1"/>
  <c r="AA404" i="165" s="1"/>
  <c r="AA403" i="165" a="1"/>
  <c r="AA403" i="165" s="1"/>
  <c r="AA402" i="165" a="1"/>
  <c r="AA402" i="165" s="1"/>
  <c r="AA406" i="165" a="1"/>
  <c r="AA406" i="165" s="1"/>
  <c r="AA301" i="165" a="1"/>
  <c r="AA301" i="165" s="1"/>
  <c r="AA300" i="165" a="1"/>
  <c r="AA300" i="165" s="1"/>
  <c r="AA299" i="165" a="1"/>
  <c r="AA299" i="165" s="1"/>
  <c r="AA297" i="165" a="1"/>
  <c r="AA297" i="165" s="1"/>
  <c r="AA360" i="165" a="1"/>
  <c r="AA360" i="165" s="1"/>
  <c r="AA359" i="165" a="1"/>
  <c r="AA359" i="165" s="1"/>
  <c r="AA358" i="165" a="1"/>
  <c r="AA358" i="165" s="1"/>
  <c r="AA357" i="165" a="1"/>
  <c r="AA357" i="165" s="1"/>
  <c r="AA342" i="165" a="1"/>
  <c r="AA342" i="165" s="1"/>
  <c r="AA346" i="165" a="1"/>
  <c r="AA346" i="165" s="1"/>
  <c r="AA372" i="165" a="1"/>
  <c r="AA372" i="165" s="1"/>
  <c r="AA283" i="165" a="1"/>
  <c r="AA283" i="165" s="1"/>
  <c r="AA375" i="165" a="1"/>
  <c r="AA375" i="165" s="1"/>
  <c r="AA345" i="165" a="1"/>
  <c r="AA345" i="165" s="1"/>
  <c r="AA286" i="165" a="1"/>
  <c r="AA286" i="165" s="1"/>
  <c r="AA241" i="165" a="1"/>
  <c r="AA241" i="165" s="1"/>
  <c r="AA240" i="165" a="1"/>
  <c r="AA240" i="165" s="1"/>
  <c r="AA239" i="165" a="1"/>
  <c r="AA239" i="165" s="1"/>
  <c r="AA238" i="165" a="1"/>
  <c r="AA238" i="165" s="1"/>
  <c r="AA237" i="165" a="1"/>
  <c r="AA237" i="165" s="1"/>
  <c r="AA256" i="165" a="1"/>
  <c r="AA256" i="165" s="1"/>
  <c r="AA254" i="165" a="1"/>
  <c r="AA254" i="165" s="1"/>
  <c r="AA224" i="165" a="1"/>
  <c r="AA224" i="165" s="1"/>
  <c r="AA223" i="165" a="1"/>
  <c r="AA223" i="165" s="1"/>
  <c r="AA222" i="165" a="1"/>
  <c r="AA222" i="165" s="1"/>
  <c r="AA226" i="165" a="1"/>
  <c r="AA226" i="165" s="1"/>
  <c r="AA252" i="165" a="1"/>
  <c r="AA252" i="165" s="1"/>
  <c r="AA181" i="165" a="1"/>
  <c r="AA181" i="165" s="1"/>
  <c r="AA180" i="165" a="1"/>
  <c r="AA180" i="165" s="1"/>
  <c r="AA177" i="165" a="1"/>
  <c r="AA177" i="165" s="1"/>
  <c r="AA178" i="165" a="1"/>
  <c r="AA178" i="165" s="1"/>
  <c r="AA164" i="165" a="1"/>
  <c r="AA164" i="165" s="1"/>
  <c r="AA163" i="165" a="1"/>
  <c r="AA163" i="165" s="1"/>
  <c r="AA166" i="165" a="1"/>
  <c r="AA166" i="165" s="1"/>
  <c r="AA162" i="165" a="1"/>
  <c r="AA162" i="165" s="1"/>
  <c r="AA225" i="165" a="1"/>
  <c r="AA225" i="165" s="1"/>
  <c r="AA133" i="165" a="1"/>
  <c r="AA133" i="165" s="1"/>
  <c r="AA117" i="165" a="1"/>
  <c r="AA117" i="165" s="1"/>
  <c r="AA102" i="165" a="1"/>
  <c r="AA102" i="165" s="1"/>
  <c r="AA59" i="165" a="1"/>
  <c r="AA59" i="165" s="1"/>
  <c r="AA57" i="165" a="1"/>
  <c r="AA57" i="165" s="1"/>
  <c r="AA30" i="165" a="1"/>
  <c r="AA30" i="165" s="1"/>
  <c r="AA29" i="165" a="1"/>
  <c r="AA29" i="165" s="1"/>
  <c r="AA27" i="165" a="1"/>
  <c r="AA27" i="165" s="1"/>
  <c r="F8" i="165" l="1"/>
  <c r="F9" i="165"/>
  <c r="R8" i="165"/>
  <c r="R7" i="165"/>
  <c r="F7" i="165"/>
  <c r="AB8" i="165" l="1"/>
  <c r="L83" i="152" l="1"/>
  <c r="V83" i="152"/>
  <c r="V82" i="152"/>
  <c r="L82" i="152"/>
  <c r="Y11" i="152"/>
  <c r="Y10" i="152"/>
  <c r="Y12" i="152"/>
  <c r="Y13" i="152"/>
  <c r="Y14" i="152"/>
  <c r="Y15" i="152"/>
  <c r="Y17" i="152"/>
  <c r="Y18" i="152"/>
  <c r="Y19" i="152"/>
  <c r="Y20" i="152"/>
  <c r="Y21" i="152"/>
  <c r="Y22" i="152"/>
  <c r="Y23" i="152"/>
  <c r="Y24" i="152"/>
  <c r="Y25" i="152"/>
  <c r="Y26" i="152"/>
  <c r="Y27" i="152"/>
  <c r="Y28" i="152"/>
  <c r="Y29" i="152"/>
  <c r="Y30" i="152"/>
  <c r="Y31" i="152"/>
  <c r="Y32" i="152"/>
  <c r="Y33" i="152"/>
  <c r="Y34" i="152"/>
  <c r="Y35" i="152"/>
  <c r="Y36" i="152"/>
  <c r="Y37" i="152"/>
  <c r="Y38" i="152"/>
  <c r="Y39" i="152"/>
  <c r="Y40" i="152"/>
  <c r="Y41" i="152"/>
  <c r="Y42" i="152"/>
  <c r="Y43" i="152"/>
  <c r="Y44" i="152"/>
  <c r="Y45" i="152"/>
  <c r="Y46" i="152"/>
  <c r="Y47" i="152"/>
  <c r="Y48" i="152"/>
  <c r="Y49" i="152"/>
  <c r="Y50" i="152"/>
  <c r="Y51" i="152"/>
  <c r="Y52" i="152"/>
  <c r="Y53" i="152"/>
  <c r="Y54" i="152"/>
  <c r="Y55" i="152"/>
  <c r="Y56" i="152"/>
  <c r="Y57" i="152"/>
  <c r="Y58" i="152"/>
  <c r="Y59" i="152"/>
  <c r="Y60" i="152"/>
  <c r="Y61" i="152"/>
  <c r="Y62" i="152"/>
  <c r="Y63" i="152"/>
  <c r="Y64" i="152"/>
  <c r="Y65" i="152"/>
  <c r="Y66" i="152"/>
  <c r="Y67" i="152"/>
  <c r="Y68" i="152"/>
  <c r="Y69" i="152"/>
  <c r="Y70" i="152"/>
  <c r="Y71" i="152"/>
  <c r="Y72" i="152"/>
  <c r="Y73" i="152"/>
  <c r="Y74" i="152"/>
  <c r="Y75" i="152"/>
  <c r="Y76" i="152"/>
  <c r="Y77" i="152"/>
  <c r="Y78" i="152"/>
  <c r="Y79" i="152"/>
  <c r="Y80" i="152"/>
  <c r="Y9" i="152"/>
  <c r="Y16" i="152"/>
  <c r="R26" i="152" l="1"/>
  <c r="R9" i="207" l="1"/>
  <c r="R10" i="207"/>
  <c r="R11" i="207"/>
  <c r="R12" i="207"/>
  <c r="R13" i="207"/>
  <c r="R14" i="207"/>
  <c r="R15" i="207"/>
  <c r="R16" i="207"/>
  <c r="R17" i="207"/>
  <c r="R18" i="207"/>
  <c r="R19" i="207"/>
  <c r="R20" i="207"/>
  <c r="R21" i="207"/>
  <c r="R22" i="207"/>
  <c r="R23" i="207"/>
  <c r="R24" i="207"/>
  <c r="R25" i="207"/>
  <c r="R26" i="207"/>
  <c r="R27" i="207"/>
  <c r="R28" i="207"/>
  <c r="R29" i="207"/>
  <c r="R8" i="207"/>
  <c r="Z46" i="206" l="1"/>
  <c r="Z45" i="206"/>
  <c r="P38" i="206"/>
  <c r="Z12" i="206"/>
  <c r="Z13" i="206"/>
  <c r="Z14" i="206"/>
  <c r="Z15" i="206"/>
  <c r="Z16" i="206"/>
  <c r="Z17" i="206"/>
  <c r="Z18" i="206"/>
  <c r="Z19" i="206"/>
  <c r="Z20" i="206"/>
  <c r="Z21" i="206"/>
  <c r="Z22" i="206"/>
  <c r="Z23" i="206"/>
  <c r="Z24" i="206"/>
  <c r="Z25" i="206"/>
  <c r="Z26" i="206"/>
  <c r="Z27" i="206"/>
  <c r="Z28" i="206"/>
  <c r="Z30" i="206"/>
  <c r="Z31" i="206"/>
  <c r="Z32" i="206"/>
  <c r="Z33" i="206"/>
  <c r="Z34" i="206"/>
  <c r="Z35" i="206"/>
  <c r="Z36" i="206"/>
  <c r="Z37" i="206"/>
  <c r="Z38" i="206"/>
  <c r="Z39" i="206"/>
  <c r="Z40" i="206"/>
  <c r="Z41" i="206"/>
  <c r="Z42" i="206"/>
  <c r="Z43" i="206"/>
  <c r="Z44" i="206"/>
  <c r="Z10" i="206"/>
  <c r="Z11" i="206"/>
  <c r="P11" i="206"/>
  <c r="P46" i="206"/>
  <c r="P45" i="206"/>
  <c r="P44" i="206"/>
  <c r="P43" i="206"/>
  <c r="P42" i="206"/>
  <c r="P41" i="206"/>
  <c r="P40" i="206"/>
  <c r="P39" i="206"/>
  <c r="P37" i="206"/>
  <c r="P36" i="206"/>
  <c r="P35" i="206"/>
  <c r="P34" i="206"/>
  <c r="P33" i="206"/>
  <c r="P32" i="206"/>
  <c r="P31" i="206"/>
  <c r="P30" i="206"/>
  <c r="P28" i="206"/>
  <c r="P27" i="206"/>
  <c r="P26" i="206"/>
  <c r="P25" i="206"/>
  <c r="P24" i="206"/>
  <c r="P23" i="206"/>
  <c r="P22" i="206"/>
  <c r="P21" i="206"/>
  <c r="P20" i="206"/>
  <c r="P19" i="206"/>
  <c r="P18" i="206"/>
  <c r="P17" i="206"/>
  <c r="P16" i="206"/>
  <c r="P15" i="206"/>
  <c r="P14" i="206"/>
  <c r="P13" i="206"/>
  <c r="P12" i="206"/>
  <c r="O41" i="206"/>
  <c r="Y10" i="206"/>
  <c r="Q47" i="206"/>
  <c r="O11" i="206"/>
  <c r="O12" i="206"/>
  <c r="D150" i="190" l="1"/>
  <c r="D145" i="183"/>
  <c r="S83" i="149"/>
  <c r="S26" i="149"/>
  <c r="S27" i="149"/>
  <c r="C7" i="165"/>
  <c r="E22" i="166" l="1"/>
  <c r="G66" i="119"/>
  <c r="N52" i="119"/>
  <c r="N45" i="119"/>
  <c r="N38" i="119"/>
  <c r="N31" i="119"/>
  <c r="N24" i="119"/>
  <c r="N17" i="119"/>
  <c r="G80" i="231" l="1"/>
  <c r="D80" i="231" s="1"/>
  <c r="N68" i="119"/>
  <c r="D25" i="214" s="1"/>
  <c r="G21" i="231" l="1"/>
  <c r="D21" i="231" s="1"/>
  <c r="J9" i="231" s="1"/>
  <c r="D17" i="214"/>
  <c r="N9" i="198" a="1"/>
  <c r="N9" i="198" s="1"/>
  <c r="N10" i="198"/>
  <c r="G10" i="198"/>
  <c r="I16" i="138"/>
  <c r="J16" i="138"/>
  <c r="J30" i="138"/>
  <c r="H30" i="138"/>
  <c r="T43" i="138"/>
  <c r="I43" i="138"/>
  <c r="J43" i="138"/>
  <c r="N43" i="138"/>
  <c r="K161" i="183"/>
  <c r="AJ146" i="149"/>
  <c r="AJ145" i="149"/>
  <c r="AJ144" i="149"/>
  <c r="AJ143" i="149"/>
  <c r="AJ142" i="149"/>
  <c r="AJ141" i="149"/>
  <c r="AJ140" i="149"/>
  <c r="AJ139" i="149"/>
  <c r="AJ138" i="149"/>
  <c r="AJ137" i="149"/>
  <c r="AJ136" i="149"/>
  <c r="AJ135" i="149"/>
  <c r="AJ134" i="149"/>
  <c r="AJ133" i="149"/>
  <c r="AJ132" i="149"/>
  <c r="AJ131" i="149"/>
  <c r="AJ130" i="149"/>
  <c r="AJ129" i="149"/>
  <c r="AJ128" i="149"/>
  <c r="AJ127" i="149"/>
  <c r="AJ126" i="149"/>
  <c r="AJ125" i="149"/>
  <c r="AJ124" i="149"/>
  <c r="AJ123" i="149"/>
  <c r="AJ122" i="149"/>
  <c r="AJ121" i="149"/>
  <c r="AJ120" i="149"/>
  <c r="AJ119" i="149"/>
  <c r="AJ118" i="149"/>
  <c r="AJ117" i="149"/>
  <c r="AJ116" i="149"/>
  <c r="AJ115" i="149"/>
  <c r="AJ114" i="149"/>
  <c r="AJ113" i="149"/>
  <c r="AJ112" i="149"/>
  <c r="AJ111" i="149"/>
  <c r="AJ110" i="149"/>
  <c r="AJ109" i="149"/>
  <c r="AJ108" i="149"/>
  <c r="AJ107" i="149"/>
  <c r="AJ106" i="149"/>
  <c r="AJ105" i="149"/>
  <c r="AJ104" i="149"/>
  <c r="AJ103" i="149"/>
  <c r="AJ102" i="149"/>
  <c r="AJ101" i="149"/>
  <c r="AJ100" i="149"/>
  <c r="AJ99" i="149"/>
  <c r="AJ98" i="149"/>
  <c r="AJ97" i="149"/>
  <c r="AJ96" i="149"/>
  <c r="AJ95" i="149"/>
  <c r="AJ94" i="149"/>
  <c r="AJ93" i="149"/>
  <c r="AJ92" i="149"/>
  <c r="AJ91" i="149"/>
  <c r="AJ90" i="149"/>
  <c r="AJ89" i="149"/>
  <c r="AJ88" i="149"/>
  <c r="AJ87" i="149"/>
  <c r="AJ86" i="149"/>
  <c r="AJ85" i="149"/>
  <c r="AJ84" i="149"/>
  <c r="AJ83" i="149"/>
  <c r="AJ82" i="149"/>
  <c r="AJ81" i="149"/>
  <c r="AJ80" i="149"/>
  <c r="AJ79" i="149"/>
  <c r="AJ78" i="149"/>
  <c r="AJ77" i="149"/>
  <c r="AJ76" i="149"/>
  <c r="AJ75" i="149"/>
  <c r="AJ74" i="149"/>
  <c r="AJ73" i="149"/>
  <c r="AJ72" i="149"/>
  <c r="AJ71" i="149"/>
  <c r="AJ70" i="149"/>
  <c r="AJ69" i="149"/>
  <c r="AJ68" i="149"/>
  <c r="AJ67" i="149"/>
  <c r="AJ66" i="149"/>
  <c r="AJ65" i="149"/>
  <c r="AJ64" i="149"/>
  <c r="AJ63" i="149"/>
  <c r="AJ62" i="149"/>
  <c r="AJ61" i="149"/>
  <c r="AJ60" i="149"/>
  <c r="AJ59" i="149"/>
  <c r="AJ58" i="149"/>
  <c r="AJ57" i="149"/>
  <c r="AJ56" i="149"/>
  <c r="AJ55" i="149"/>
  <c r="AJ54" i="149"/>
  <c r="AJ53" i="149"/>
  <c r="AJ52" i="149"/>
  <c r="AJ51" i="149"/>
  <c r="AJ50" i="149"/>
  <c r="AJ49" i="149"/>
  <c r="AJ48" i="149"/>
  <c r="AJ47" i="149"/>
  <c r="AJ46" i="149"/>
  <c r="AJ45" i="149"/>
  <c r="AJ44" i="149"/>
  <c r="AJ43" i="149"/>
  <c r="AJ42" i="149"/>
  <c r="AJ41" i="149"/>
  <c r="AJ40" i="149"/>
  <c r="AJ39" i="149"/>
  <c r="AJ38" i="149"/>
  <c r="AJ37" i="149"/>
  <c r="AJ36" i="149"/>
  <c r="AJ35" i="149"/>
  <c r="AJ34" i="149"/>
  <c r="AJ33" i="149"/>
  <c r="AJ32" i="149"/>
  <c r="AJ31" i="149"/>
  <c r="AJ30" i="149"/>
  <c r="AJ29" i="149"/>
  <c r="AJ28" i="149"/>
  <c r="AJ27" i="149"/>
  <c r="AJ26" i="149"/>
  <c r="AJ25" i="149"/>
  <c r="AJ24" i="149"/>
  <c r="AJ23" i="149"/>
  <c r="AJ22" i="149"/>
  <c r="AJ21" i="149"/>
  <c r="AJ20" i="149"/>
  <c r="AJ19" i="149"/>
  <c r="AJ18" i="149"/>
  <c r="AJ17" i="149"/>
  <c r="AJ16" i="149"/>
  <c r="AJ15" i="149"/>
  <c r="AJ14" i="149"/>
  <c r="AJ13" i="149"/>
  <c r="AJ12" i="149"/>
  <c r="AJ11" i="149"/>
  <c r="AJ10" i="149"/>
  <c r="AJ9" i="149"/>
  <c r="AJ8" i="149"/>
  <c r="AJ148" i="149"/>
  <c r="AJ147" i="149"/>
  <c r="H50" i="138" l="1"/>
  <c r="F15" i="123" s="1"/>
  <c r="Z16" i="165"/>
  <c r="Z15" i="165"/>
  <c r="Z12" i="165"/>
  <c r="AB12" i="165" s="1" a="1"/>
  <c r="AB12" i="165" s="1"/>
  <c r="Y14" i="206" l="1"/>
  <c r="P62" i="117"/>
  <c r="AD65" i="117"/>
  <c r="AD64" i="117"/>
  <c r="AD63" i="117"/>
  <c r="AD62" i="117"/>
  <c r="AD61" i="117"/>
  <c r="AD60" i="117"/>
  <c r="AD58" i="117"/>
  <c r="AD57" i="117"/>
  <c r="AD56" i="117"/>
  <c r="AD55" i="117"/>
  <c r="AD54" i="117"/>
  <c r="AD53" i="117"/>
  <c r="AD51" i="117"/>
  <c r="AD50" i="117"/>
  <c r="AD49" i="117"/>
  <c r="AD48" i="117"/>
  <c r="AD47" i="117"/>
  <c r="AD46" i="117"/>
  <c r="AD44" i="117"/>
  <c r="AD43" i="117"/>
  <c r="AD42" i="117"/>
  <c r="AD41" i="117"/>
  <c r="AD40" i="117"/>
  <c r="AD39" i="117"/>
  <c r="AD37" i="117"/>
  <c r="AD36" i="117"/>
  <c r="AD35" i="117"/>
  <c r="AD34" i="117"/>
  <c r="AD33" i="117"/>
  <c r="AD32" i="117"/>
  <c r="AD30" i="117"/>
  <c r="AD29" i="117"/>
  <c r="AD28" i="117"/>
  <c r="AD27" i="117"/>
  <c r="AD26" i="117"/>
  <c r="AD25" i="117"/>
  <c r="AD23" i="117"/>
  <c r="AD22" i="117"/>
  <c r="AD21" i="117"/>
  <c r="AD20" i="117"/>
  <c r="AD19" i="117"/>
  <c r="AD18" i="117"/>
  <c r="AD12" i="117"/>
  <c r="AD13" i="117"/>
  <c r="AD14" i="117"/>
  <c r="AD15" i="117"/>
  <c r="AD16" i="117"/>
  <c r="AD11" i="117"/>
  <c r="P11" i="117"/>
  <c r="M14" i="141"/>
  <c r="M12" i="141"/>
  <c r="M10" i="141"/>
  <c r="N10" i="119"/>
  <c r="K10" i="190"/>
  <c r="I10" i="190"/>
  <c r="H11" i="190"/>
  <c r="H10" i="190"/>
  <c r="F36" i="183"/>
  <c r="H35" i="183"/>
  <c r="H29" i="183"/>
  <c r="F10" i="183"/>
  <c r="H11" i="183"/>
  <c r="I11" i="183"/>
  <c r="M13" i="123"/>
  <c r="P13" i="117"/>
  <c r="L66" i="117"/>
  <c r="AA59" i="117" s="1"/>
  <c r="G14" i="198"/>
  <c r="N14" i="198"/>
  <c r="H47" i="152"/>
  <c r="W47" i="152" s="1"/>
  <c r="P29" i="207"/>
  <c r="G18" i="204"/>
  <c r="F18" i="204"/>
  <c r="F31" i="204"/>
  <c r="G31" i="204"/>
  <c r="H31" i="204"/>
  <c r="I31" i="204"/>
  <c r="H18" i="204"/>
  <c r="J11" i="204"/>
  <c r="N20" i="204"/>
  <c r="N19" i="204"/>
  <c r="N17" i="204"/>
  <c r="N16" i="204"/>
  <c r="N15" i="204"/>
  <c r="N14" i="204"/>
  <c r="N13" i="204"/>
  <c r="N12" i="204"/>
  <c r="N11" i="204"/>
  <c r="J17" i="204"/>
  <c r="G11" i="198"/>
  <c r="L28" i="207"/>
  <c r="M15" i="141" l="1"/>
  <c r="M13" i="141"/>
  <c r="M11" i="141"/>
  <c r="M9" i="141"/>
  <c r="X8" i="190"/>
  <c r="R14" i="165"/>
  <c r="Z14" i="165" s="1"/>
  <c r="S14" i="165"/>
  <c r="U14" i="165"/>
  <c r="V14" i="165" s="1"/>
  <c r="X14" i="165" l="1"/>
  <c r="X171" i="190" l="1"/>
  <c r="X170" i="190"/>
  <c r="X169" i="190"/>
  <c r="X168" i="190"/>
  <c r="X167" i="190"/>
  <c r="X166" i="190"/>
  <c r="X165" i="190"/>
  <c r="X164" i="190"/>
  <c r="X163" i="190"/>
  <c r="X162" i="190"/>
  <c r="X161" i="190"/>
  <c r="X160" i="190"/>
  <c r="X159" i="190"/>
  <c r="X158" i="190"/>
  <c r="X157" i="190"/>
  <c r="X156" i="190"/>
  <c r="X155" i="190"/>
  <c r="X154" i="190"/>
  <c r="X153" i="190"/>
  <c r="X152" i="190"/>
  <c r="X151" i="190"/>
  <c r="X149" i="190"/>
  <c r="X148" i="190"/>
  <c r="X147" i="190"/>
  <c r="X146" i="190"/>
  <c r="X145" i="190"/>
  <c r="X144" i="190"/>
  <c r="X143" i="190"/>
  <c r="X142" i="190"/>
  <c r="X141" i="190"/>
  <c r="X140" i="190"/>
  <c r="X139" i="190"/>
  <c r="X138" i="190"/>
  <c r="X137" i="190"/>
  <c r="X136" i="190"/>
  <c r="X135" i="190"/>
  <c r="X134" i="190"/>
  <c r="X133" i="190"/>
  <c r="X132" i="190"/>
  <c r="X131" i="190"/>
  <c r="X130" i="190"/>
  <c r="X129" i="190"/>
  <c r="X128" i="190"/>
  <c r="X127" i="190"/>
  <c r="X126" i="190"/>
  <c r="X125" i="190"/>
  <c r="X124" i="190"/>
  <c r="X123" i="190"/>
  <c r="X122" i="190"/>
  <c r="X121" i="190"/>
  <c r="X120" i="190"/>
  <c r="X119" i="190"/>
  <c r="X118" i="190"/>
  <c r="X117" i="190"/>
  <c r="X116" i="190"/>
  <c r="X115" i="190"/>
  <c r="X114" i="190"/>
  <c r="X113" i="190"/>
  <c r="X112" i="190"/>
  <c r="X111" i="190"/>
  <c r="X110" i="190"/>
  <c r="X109" i="190"/>
  <c r="X108" i="190"/>
  <c r="X107" i="190"/>
  <c r="X106" i="190"/>
  <c r="X105" i="190"/>
  <c r="X104" i="190"/>
  <c r="X103" i="190"/>
  <c r="X102" i="190"/>
  <c r="X101" i="190"/>
  <c r="X100" i="190"/>
  <c r="X99" i="190"/>
  <c r="X98" i="190"/>
  <c r="X97" i="190"/>
  <c r="X96" i="190"/>
  <c r="X95" i="190"/>
  <c r="X94" i="190"/>
  <c r="X93" i="190"/>
  <c r="X92" i="190"/>
  <c r="X91" i="190"/>
  <c r="X90" i="190"/>
  <c r="X89" i="190"/>
  <c r="X88" i="190"/>
  <c r="X87" i="190"/>
  <c r="X86" i="190"/>
  <c r="X85" i="190"/>
  <c r="X84" i="190"/>
  <c r="X83" i="190"/>
  <c r="X82" i="190"/>
  <c r="X81" i="190"/>
  <c r="X80" i="190"/>
  <c r="X79" i="190"/>
  <c r="X78" i="190"/>
  <c r="X77" i="190"/>
  <c r="X76" i="190"/>
  <c r="X75" i="190"/>
  <c r="X74" i="190"/>
  <c r="X73" i="190"/>
  <c r="X72" i="190"/>
  <c r="X71" i="190"/>
  <c r="X70" i="190"/>
  <c r="X69" i="190"/>
  <c r="X68" i="190"/>
  <c r="X67" i="190"/>
  <c r="X66" i="190"/>
  <c r="X65" i="190"/>
  <c r="X64" i="190"/>
  <c r="X63" i="190"/>
  <c r="X62" i="190"/>
  <c r="X61" i="190"/>
  <c r="X60" i="190"/>
  <c r="X59" i="190"/>
  <c r="X58" i="190"/>
  <c r="X57" i="190"/>
  <c r="X56" i="190"/>
  <c r="X55" i="190"/>
  <c r="X54" i="190"/>
  <c r="X53" i="190"/>
  <c r="X52" i="190"/>
  <c r="X51" i="190"/>
  <c r="X50" i="190"/>
  <c r="X49" i="190"/>
  <c r="X48" i="190"/>
  <c r="X47" i="190"/>
  <c r="X46" i="190"/>
  <c r="X45" i="190"/>
  <c r="X44" i="190"/>
  <c r="X43" i="190"/>
  <c r="X42" i="190"/>
  <c r="X41" i="190"/>
  <c r="X40" i="190"/>
  <c r="X39" i="190"/>
  <c r="X38" i="190"/>
  <c r="X37" i="190"/>
  <c r="X36" i="190"/>
  <c r="X35" i="190"/>
  <c r="X34" i="190"/>
  <c r="X33" i="190"/>
  <c r="X32" i="190"/>
  <c r="X31" i="190"/>
  <c r="X30" i="190"/>
  <c r="X29" i="190"/>
  <c r="X28" i="190"/>
  <c r="X27" i="190"/>
  <c r="X26" i="190"/>
  <c r="X25" i="190"/>
  <c r="X24" i="190"/>
  <c r="X23" i="190"/>
  <c r="X22" i="190"/>
  <c r="X21" i="190"/>
  <c r="X20" i="190"/>
  <c r="X19" i="190"/>
  <c r="X18" i="190"/>
  <c r="X17" i="190"/>
  <c r="X16" i="190"/>
  <c r="X15" i="190"/>
  <c r="X14" i="190"/>
  <c r="X13" i="190"/>
  <c r="X12" i="190"/>
  <c r="X10" i="190"/>
  <c r="X9" i="190"/>
  <c r="X11" i="190" l="1"/>
  <c r="J77" i="183" l="1"/>
  <c r="J102" i="183"/>
  <c r="J11" i="183"/>
  <c r="J89" i="183"/>
  <c r="J10" i="183"/>
  <c r="R27" i="183" l="1"/>
  <c r="H22" i="166"/>
  <c r="O21" i="166"/>
  <c r="O20" i="166"/>
  <c r="O19" i="166"/>
  <c r="O18" i="166"/>
  <c r="O17" i="166"/>
  <c r="O16" i="166"/>
  <c r="O15" i="166"/>
  <c r="O14" i="166"/>
  <c r="O13" i="166"/>
  <c r="O12" i="166"/>
  <c r="O11" i="166"/>
  <c r="O10" i="166"/>
  <c r="O9" i="166"/>
  <c r="I18" i="204"/>
  <c r="V165" i="183"/>
  <c r="V164" i="183"/>
  <c r="V163" i="183"/>
  <c r="V162" i="183"/>
  <c r="V161" i="183"/>
  <c r="V160" i="183"/>
  <c r="V159" i="183"/>
  <c r="V158" i="183"/>
  <c r="V157" i="183"/>
  <c r="V156" i="183"/>
  <c r="V155" i="183"/>
  <c r="V154" i="183"/>
  <c r="V153" i="183"/>
  <c r="V152" i="183"/>
  <c r="V151" i="183"/>
  <c r="V150" i="183"/>
  <c r="V149" i="183"/>
  <c r="V148" i="183"/>
  <c r="V147" i="183"/>
  <c r="V146" i="183"/>
  <c r="V145" i="183"/>
  <c r="V144" i="183"/>
  <c r="V143" i="183"/>
  <c r="V142" i="183"/>
  <c r="V141" i="183"/>
  <c r="V140" i="183"/>
  <c r="V139" i="183"/>
  <c r="V138" i="183"/>
  <c r="V137" i="183"/>
  <c r="V136" i="183"/>
  <c r="V135" i="183"/>
  <c r="V134" i="183"/>
  <c r="V133" i="183"/>
  <c r="V132" i="183"/>
  <c r="V131" i="183"/>
  <c r="V130" i="183"/>
  <c r="V129" i="183"/>
  <c r="V128" i="183"/>
  <c r="V127" i="183"/>
  <c r="V126" i="183"/>
  <c r="V125" i="183"/>
  <c r="V124" i="183"/>
  <c r="V123" i="183"/>
  <c r="V122" i="183"/>
  <c r="V121" i="183"/>
  <c r="V120" i="183"/>
  <c r="V119" i="183"/>
  <c r="V118" i="183"/>
  <c r="V117" i="183"/>
  <c r="V116" i="183"/>
  <c r="V115" i="183"/>
  <c r="V114" i="183"/>
  <c r="V113" i="183"/>
  <c r="V112" i="183"/>
  <c r="V111" i="183"/>
  <c r="V110" i="183"/>
  <c r="V109" i="183"/>
  <c r="V108" i="183"/>
  <c r="V107" i="183"/>
  <c r="V106" i="183"/>
  <c r="V105" i="183"/>
  <c r="V104" i="183"/>
  <c r="V103" i="183"/>
  <c r="V102" i="183"/>
  <c r="V101" i="183"/>
  <c r="V100" i="183"/>
  <c r="V99" i="183"/>
  <c r="V98" i="183"/>
  <c r="V97" i="183"/>
  <c r="V96" i="183"/>
  <c r="V95" i="183"/>
  <c r="V94" i="183"/>
  <c r="V93" i="183"/>
  <c r="V92" i="183"/>
  <c r="V91" i="183"/>
  <c r="V90" i="183"/>
  <c r="V89" i="183"/>
  <c r="V88" i="183"/>
  <c r="V87" i="183"/>
  <c r="V86" i="183"/>
  <c r="V85" i="183"/>
  <c r="V84" i="183"/>
  <c r="V83" i="183"/>
  <c r="V82" i="183"/>
  <c r="V81" i="183"/>
  <c r="V80" i="183"/>
  <c r="V79" i="183"/>
  <c r="V78" i="183"/>
  <c r="V77" i="183"/>
  <c r="V76" i="183"/>
  <c r="V75" i="183"/>
  <c r="V74" i="183"/>
  <c r="V73" i="183"/>
  <c r="V72" i="183"/>
  <c r="V71" i="183"/>
  <c r="V70" i="183"/>
  <c r="V69" i="183"/>
  <c r="V68" i="183"/>
  <c r="V67" i="183"/>
  <c r="V66" i="183"/>
  <c r="V65" i="183"/>
  <c r="V64" i="183"/>
  <c r="V63" i="183"/>
  <c r="V62" i="183"/>
  <c r="V61" i="183"/>
  <c r="V60" i="183"/>
  <c r="V59" i="183"/>
  <c r="V58" i="183"/>
  <c r="V57" i="183"/>
  <c r="V56" i="183"/>
  <c r="V55" i="183"/>
  <c r="V54" i="183"/>
  <c r="V53" i="183"/>
  <c r="V52" i="183"/>
  <c r="V51" i="183"/>
  <c r="V50" i="183"/>
  <c r="V49" i="183"/>
  <c r="V48" i="183"/>
  <c r="V47" i="183"/>
  <c r="V46" i="183"/>
  <c r="V45" i="183"/>
  <c r="V44" i="183"/>
  <c r="V43" i="183"/>
  <c r="V42" i="183"/>
  <c r="V41" i="183"/>
  <c r="V40" i="183"/>
  <c r="V39" i="183"/>
  <c r="V38" i="183"/>
  <c r="V37" i="183"/>
  <c r="V36" i="183"/>
  <c r="V35" i="183"/>
  <c r="V34" i="183"/>
  <c r="V33" i="183"/>
  <c r="V32" i="183"/>
  <c r="V31" i="183"/>
  <c r="V30" i="183"/>
  <c r="V29" i="183"/>
  <c r="V28" i="183"/>
  <c r="V27" i="183"/>
  <c r="V26" i="183"/>
  <c r="V25" i="183"/>
  <c r="V24" i="183"/>
  <c r="V23" i="183"/>
  <c r="V22" i="183"/>
  <c r="V21" i="183"/>
  <c r="V20" i="183"/>
  <c r="V19" i="183"/>
  <c r="V18" i="183"/>
  <c r="V17" i="183"/>
  <c r="V16" i="183"/>
  <c r="V15" i="183"/>
  <c r="V14" i="183"/>
  <c r="V13" i="183"/>
  <c r="V12" i="183"/>
  <c r="V11" i="183"/>
  <c r="V10" i="183"/>
  <c r="V9" i="183"/>
  <c r="V8" i="183"/>
  <c r="F9" i="164" l="1"/>
  <c r="U165" i="183" l="1"/>
  <c r="T165" i="183"/>
  <c r="U164" i="183"/>
  <c r="T164" i="183"/>
  <c r="U163" i="183"/>
  <c r="T163" i="183"/>
  <c r="U162" i="183"/>
  <c r="T162" i="183"/>
  <c r="U161" i="183"/>
  <c r="T161" i="183"/>
  <c r="U160" i="183"/>
  <c r="T160" i="183"/>
  <c r="U159" i="183"/>
  <c r="T159" i="183"/>
  <c r="U158" i="183"/>
  <c r="T158" i="183"/>
  <c r="U157" i="183"/>
  <c r="T157" i="183"/>
  <c r="U156" i="183"/>
  <c r="T156" i="183"/>
  <c r="U155" i="183"/>
  <c r="T155" i="183"/>
  <c r="U154" i="183"/>
  <c r="T154" i="183"/>
  <c r="U153" i="183"/>
  <c r="T153" i="183"/>
  <c r="U152" i="183"/>
  <c r="T152" i="183"/>
  <c r="U151" i="183"/>
  <c r="T151" i="183"/>
  <c r="U150" i="183"/>
  <c r="T150" i="183"/>
  <c r="U149" i="183"/>
  <c r="T149" i="183"/>
  <c r="U148" i="183"/>
  <c r="T148" i="183"/>
  <c r="U147" i="183"/>
  <c r="T147" i="183"/>
  <c r="U146" i="183"/>
  <c r="T146" i="183"/>
  <c r="U145" i="183"/>
  <c r="T145" i="183"/>
  <c r="U144" i="183"/>
  <c r="T144" i="183"/>
  <c r="U143" i="183"/>
  <c r="T143" i="183"/>
  <c r="U142" i="183"/>
  <c r="T142" i="183"/>
  <c r="U141" i="183"/>
  <c r="T141" i="183"/>
  <c r="U140" i="183"/>
  <c r="T140" i="183"/>
  <c r="U139" i="183"/>
  <c r="T139" i="183"/>
  <c r="U138" i="183"/>
  <c r="T138" i="183"/>
  <c r="U137" i="183"/>
  <c r="T137" i="183"/>
  <c r="U136" i="183"/>
  <c r="T136" i="183"/>
  <c r="U135" i="183"/>
  <c r="T135" i="183"/>
  <c r="U134" i="183"/>
  <c r="T134" i="183"/>
  <c r="U133" i="183"/>
  <c r="T133" i="183"/>
  <c r="U132" i="183"/>
  <c r="T132" i="183"/>
  <c r="U131" i="183"/>
  <c r="T131" i="183"/>
  <c r="U130" i="183"/>
  <c r="T130" i="183"/>
  <c r="U129" i="183"/>
  <c r="T129" i="183"/>
  <c r="U128" i="183"/>
  <c r="T128" i="183"/>
  <c r="U127" i="183"/>
  <c r="T127" i="183"/>
  <c r="U126" i="183"/>
  <c r="T126" i="183"/>
  <c r="U125" i="183"/>
  <c r="T125" i="183"/>
  <c r="U124" i="183"/>
  <c r="T124" i="183"/>
  <c r="U123" i="183"/>
  <c r="T123" i="183"/>
  <c r="U122" i="183"/>
  <c r="T122" i="183"/>
  <c r="U121" i="183"/>
  <c r="T121" i="183"/>
  <c r="U120" i="183"/>
  <c r="T120" i="183"/>
  <c r="U119" i="183"/>
  <c r="T119" i="183"/>
  <c r="U118" i="183"/>
  <c r="T118" i="183"/>
  <c r="U117" i="183"/>
  <c r="T117" i="183"/>
  <c r="U116" i="183"/>
  <c r="T116" i="183"/>
  <c r="U115" i="183"/>
  <c r="T115" i="183"/>
  <c r="U114" i="183"/>
  <c r="T114" i="183"/>
  <c r="U113" i="183"/>
  <c r="T113" i="183"/>
  <c r="U112" i="183"/>
  <c r="T112" i="183"/>
  <c r="U111" i="183"/>
  <c r="T111" i="183"/>
  <c r="U110" i="183"/>
  <c r="T110" i="183"/>
  <c r="U109" i="183"/>
  <c r="T109" i="183"/>
  <c r="U108" i="183"/>
  <c r="T108" i="183"/>
  <c r="U107" i="183"/>
  <c r="T107" i="183"/>
  <c r="U106" i="183"/>
  <c r="T106" i="183"/>
  <c r="U105" i="183"/>
  <c r="T105" i="183"/>
  <c r="U104" i="183"/>
  <c r="T104" i="183"/>
  <c r="U103" i="183"/>
  <c r="T103" i="183"/>
  <c r="U102" i="183"/>
  <c r="T102" i="183"/>
  <c r="U101" i="183"/>
  <c r="T101" i="183"/>
  <c r="U100" i="183"/>
  <c r="T100" i="183"/>
  <c r="U99" i="183"/>
  <c r="T99" i="183"/>
  <c r="U98" i="183"/>
  <c r="T98" i="183"/>
  <c r="U97" i="183"/>
  <c r="T97" i="183"/>
  <c r="U96" i="183"/>
  <c r="T96" i="183"/>
  <c r="U95" i="183"/>
  <c r="T95" i="183"/>
  <c r="U94" i="183"/>
  <c r="T94" i="183"/>
  <c r="U93" i="183"/>
  <c r="T93" i="183"/>
  <c r="U92" i="183"/>
  <c r="T92" i="183"/>
  <c r="U91" i="183"/>
  <c r="T91" i="183"/>
  <c r="U90" i="183"/>
  <c r="T90" i="183"/>
  <c r="U89" i="183"/>
  <c r="T89" i="183"/>
  <c r="U88" i="183"/>
  <c r="T88" i="183"/>
  <c r="U87" i="183"/>
  <c r="T87" i="183"/>
  <c r="U86" i="183"/>
  <c r="T86" i="183"/>
  <c r="U85" i="183"/>
  <c r="T85" i="183"/>
  <c r="U84" i="183"/>
  <c r="T84" i="183"/>
  <c r="U83" i="183"/>
  <c r="T83" i="183"/>
  <c r="U82" i="183"/>
  <c r="T82" i="183"/>
  <c r="U81" i="183"/>
  <c r="T81" i="183"/>
  <c r="U80" i="183"/>
  <c r="T80" i="183"/>
  <c r="U79" i="183"/>
  <c r="T79" i="183"/>
  <c r="U78" i="183"/>
  <c r="T78" i="183"/>
  <c r="U77" i="183"/>
  <c r="T77" i="183"/>
  <c r="U76" i="183"/>
  <c r="T76" i="183"/>
  <c r="U75" i="183"/>
  <c r="T75" i="183"/>
  <c r="U74" i="183"/>
  <c r="T74" i="183"/>
  <c r="U73" i="183"/>
  <c r="T73" i="183"/>
  <c r="U72" i="183"/>
  <c r="T72" i="183"/>
  <c r="U71" i="183"/>
  <c r="T71" i="183"/>
  <c r="U70" i="183"/>
  <c r="T70" i="183"/>
  <c r="U69" i="183"/>
  <c r="T69" i="183"/>
  <c r="U68" i="183"/>
  <c r="T68" i="183"/>
  <c r="U67" i="183"/>
  <c r="T67" i="183"/>
  <c r="U66" i="183"/>
  <c r="T66" i="183"/>
  <c r="U65" i="183"/>
  <c r="T65" i="183"/>
  <c r="U64" i="183"/>
  <c r="T64" i="183"/>
  <c r="U63" i="183"/>
  <c r="T63" i="183"/>
  <c r="U62" i="183"/>
  <c r="T62" i="183"/>
  <c r="U61" i="183"/>
  <c r="T61" i="183"/>
  <c r="U60" i="183"/>
  <c r="T60" i="183"/>
  <c r="U59" i="183"/>
  <c r="T59" i="183"/>
  <c r="U58" i="183"/>
  <c r="T58" i="183"/>
  <c r="U57" i="183"/>
  <c r="T57" i="183"/>
  <c r="U56" i="183"/>
  <c r="T56" i="183"/>
  <c r="U55" i="183"/>
  <c r="T55" i="183"/>
  <c r="U54" i="183"/>
  <c r="T54" i="183"/>
  <c r="U53" i="183"/>
  <c r="T53" i="183"/>
  <c r="U52" i="183"/>
  <c r="T52" i="183"/>
  <c r="U51" i="183"/>
  <c r="T51" i="183"/>
  <c r="U50" i="183"/>
  <c r="T50" i="183"/>
  <c r="U49" i="183"/>
  <c r="T49" i="183"/>
  <c r="U48" i="183"/>
  <c r="T48" i="183"/>
  <c r="U47" i="183"/>
  <c r="T47" i="183"/>
  <c r="U46" i="183"/>
  <c r="T46" i="183"/>
  <c r="U45" i="183"/>
  <c r="T45" i="183"/>
  <c r="U44" i="183"/>
  <c r="T44" i="183"/>
  <c r="U43" i="183"/>
  <c r="T43" i="183"/>
  <c r="U42" i="183"/>
  <c r="T42" i="183"/>
  <c r="U41" i="183"/>
  <c r="T41" i="183"/>
  <c r="U40" i="183"/>
  <c r="T40" i="183"/>
  <c r="U39" i="183"/>
  <c r="T39" i="183"/>
  <c r="U38" i="183"/>
  <c r="T38" i="183"/>
  <c r="U37" i="183"/>
  <c r="T37" i="183"/>
  <c r="U36" i="183"/>
  <c r="T36" i="183"/>
  <c r="U35" i="183"/>
  <c r="T35" i="183"/>
  <c r="U34" i="183"/>
  <c r="T34" i="183"/>
  <c r="U33" i="183"/>
  <c r="T33" i="183"/>
  <c r="U32" i="183"/>
  <c r="T32" i="183"/>
  <c r="U31" i="183"/>
  <c r="T31" i="183"/>
  <c r="U30" i="183"/>
  <c r="T30" i="183"/>
  <c r="U29" i="183"/>
  <c r="T29" i="183"/>
  <c r="U28" i="183"/>
  <c r="T28" i="183"/>
  <c r="U27" i="183"/>
  <c r="T27" i="183"/>
  <c r="U26" i="183"/>
  <c r="T26" i="183"/>
  <c r="U25" i="183"/>
  <c r="T25" i="183"/>
  <c r="U24" i="183"/>
  <c r="T24" i="183"/>
  <c r="U23" i="183"/>
  <c r="T23" i="183"/>
  <c r="U22" i="183"/>
  <c r="T22" i="183"/>
  <c r="U21" i="183"/>
  <c r="T21" i="183"/>
  <c r="U20" i="183"/>
  <c r="T20" i="183"/>
  <c r="U19" i="183"/>
  <c r="T19" i="183"/>
  <c r="U18" i="183"/>
  <c r="T18" i="183"/>
  <c r="U17" i="183"/>
  <c r="T17" i="183"/>
  <c r="U16" i="183"/>
  <c r="T16" i="183"/>
  <c r="U15" i="183"/>
  <c r="T15" i="183"/>
  <c r="U14" i="183"/>
  <c r="T14" i="183"/>
  <c r="U13" i="183"/>
  <c r="T13" i="183"/>
  <c r="U12" i="183"/>
  <c r="T12" i="183"/>
  <c r="U11" i="183"/>
  <c r="T11" i="183"/>
  <c r="U10" i="183"/>
  <c r="T10" i="183"/>
  <c r="U9" i="183"/>
  <c r="T9" i="183"/>
  <c r="T8" i="183"/>
  <c r="U8" i="183"/>
  <c r="AH22" i="190" a="1"/>
  <c r="AH22" i="190" s="1"/>
  <c r="AF22" i="190"/>
  <c r="AE22" i="190"/>
  <c r="AD22" i="190"/>
  <c r="AC22" i="190"/>
  <c r="AA22" i="190"/>
  <c r="Y22" i="190"/>
  <c r="V22" i="190"/>
  <c r="K22" i="190"/>
  <c r="J22" i="190"/>
  <c r="I22" i="190"/>
  <c r="H22" i="190"/>
  <c r="F22" i="190"/>
  <c r="AH23" i="190" a="1"/>
  <c r="AH23" i="190" s="1"/>
  <c r="AF23" i="190"/>
  <c r="AE23" i="190"/>
  <c r="AD23" i="190"/>
  <c r="AC23" i="190"/>
  <c r="AA23" i="190"/>
  <c r="Y23" i="190"/>
  <c r="V23" i="190"/>
  <c r="K23" i="190"/>
  <c r="J23" i="190"/>
  <c r="I23" i="190"/>
  <c r="H23" i="190"/>
  <c r="F23" i="190"/>
  <c r="AG23" i="190" l="1"/>
  <c r="AG22" i="190"/>
  <c r="N18" i="204" l="1"/>
  <c r="K91" i="183"/>
  <c r="K89" i="183"/>
  <c r="K90" i="183"/>
  <c r="K11" i="183"/>
  <c r="J47" i="206"/>
  <c r="I6" i="122"/>
  <c r="W31" i="122"/>
  <c r="W26" i="122"/>
  <c r="W21" i="122"/>
  <c r="W16" i="122"/>
  <c r="W11" i="122"/>
  <c r="W6" i="122"/>
  <c r="K116" i="190"/>
  <c r="K143" i="190"/>
  <c r="K169" i="190"/>
  <c r="L81" i="152"/>
  <c r="Y81" i="152" s="1"/>
  <c r="K92" i="183" l="1"/>
  <c r="N11" i="198" l="1"/>
  <c r="G12" i="198"/>
  <c r="N12" i="198"/>
  <c r="G13" i="198"/>
  <c r="N13" i="198"/>
  <c r="O25" i="206" l="1"/>
  <c r="O29" i="206"/>
  <c r="I31" i="122"/>
  <c r="I26" i="122"/>
  <c r="Q8" i="122"/>
  <c r="S8" i="122"/>
  <c r="R8" i="122" s="1"/>
  <c r="K8" i="122"/>
  <c r="Q9" i="122"/>
  <c r="S9" i="122"/>
  <c r="R9" i="122" s="1"/>
  <c r="K9" i="122"/>
  <c r="Q10" i="122"/>
  <c r="S10" i="122"/>
  <c r="R10" i="122" s="1"/>
  <c r="K10" i="122"/>
  <c r="I21" i="122"/>
  <c r="Y47" i="206" l="1"/>
  <c r="Z29" i="206"/>
  <c r="P29" i="206"/>
  <c r="I11" i="122"/>
  <c r="N59" i="119"/>
  <c r="Y16" i="141" s="1"/>
  <c r="P12" i="117"/>
  <c r="K9" i="139"/>
  <c r="K19" i="139"/>
  <c r="K14" i="139"/>
  <c r="M43" i="138"/>
  <c r="H11" i="152"/>
  <c r="R10" i="152"/>
  <c r="H40" i="152"/>
  <c r="W40" i="152" s="1"/>
  <c r="H35" i="152"/>
  <c r="W35" i="152" s="1"/>
  <c r="H28" i="152"/>
  <c r="W28" i="152" s="1"/>
  <c r="H23" i="152"/>
  <c r="H16" i="152"/>
  <c r="I9" i="152" l="1"/>
  <c r="H10" i="141"/>
  <c r="H11" i="141"/>
  <c r="M16" i="141"/>
  <c r="Y17" i="141" s="1"/>
  <c r="S10" i="152"/>
  <c r="U11" i="152"/>
  <c r="H52" i="152"/>
  <c r="H59" i="152"/>
  <c r="W59" i="152" s="1"/>
  <c r="H64" i="152"/>
  <c r="H71" i="152"/>
  <c r="H76" i="152"/>
  <c r="N8" i="149"/>
  <c r="J12" i="204"/>
  <c r="S131" i="149"/>
  <c r="S19" i="149"/>
  <c r="K89" i="190"/>
  <c r="F89" i="190"/>
  <c r="H89" i="190"/>
  <c r="I89" i="190"/>
  <c r="J89" i="190"/>
  <c r="F90" i="190"/>
  <c r="H90" i="190"/>
  <c r="I90" i="190"/>
  <c r="J90" i="190"/>
  <c r="K90" i="190"/>
  <c r="F91" i="190"/>
  <c r="H91" i="190"/>
  <c r="I91" i="190"/>
  <c r="J91" i="190"/>
  <c r="K91" i="190"/>
  <c r="F92" i="190"/>
  <c r="H92" i="190"/>
  <c r="I92" i="190"/>
  <c r="J92" i="190"/>
  <c r="K92" i="190"/>
  <c r="J20" i="204"/>
  <c r="J19" i="204"/>
  <c r="J18" i="204"/>
  <c r="J16" i="204"/>
  <c r="J15" i="204"/>
  <c r="J14" i="204"/>
  <c r="J13" i="204"/>
  <c r="AH171" i="190" a="1"/>
  <c r="AH171" i="190" s="1"/>
  <c r="AH170" i="190" a="1"/>
  <c r="AH170" i="190" s="1"/>
  <c r="AH169" i="190" a="1"/>
  <c r="AH169" i="190" s="1"/>
  <c r="AH168" i="190" a="1"/>
  <c r="AH168" i="190" s="1"/>
  <c r="AH167" i="190" a="1"/>
  <c r="AH167" i="190" s="1"/>
  <c r="AH166" i="190" a="1"/>
  <c r="AH166" i="190" s="1"/>
  <c r="AH165" i="190" a="1"/>
  <c r="AH165" i="190" s="1"/>
  <c r="AH164" i="190" a="1"/>
  <c r="AH164" i="190" s="1"/>
  <c r="AH163" i="190" a="1"/>
  <c r="AH163" i="190" s="1"/>
  <c r="AH162" i="190" a="1"/>
  <c r="AH162" i="190" s="1"/>
  <c r="AH161" i="190" a="1"/>
  <c r="AH161" i="190" s="1"/>
  <c r="AH160" i="190" a="1"/>
  <c r="AH160" i="190" s="1"/>
  <c r="AH159" i="190" a="1"/>
  <c r="AH159" i="190" s="1"/>
  <c r="AH158" i="190" a="1"/>
  <c r="AH158" i="190" s="1"/>
  <c r="AH157" i="190" a="1"/>
  <c r="AH157" i="190" s="1"/>
  <c r="AH156" i="190" a="1"/>
  <c r="AH156" i="190" s="1"/>
  <c r="AH155" i="190" a="1"/>
  <c r="AH155" i="190" s="1"/>
  <c r="AH154" i="190" a="1"/>
  <c r="AH154" i="190" s="1"/>
  <c r="AH153" i="190" a="1"/>
  <c r="AH153" i="190" s="1"/>
  <c r="AH152" i="190" a="1"/>
  <c r="AH152" i="190" s="1"/>
  <c r="AH151" i="190" a="1"/>
  <c r="AH151" i="190" s="1"/>
  <c r="AH150" i="190" a="1"/>
  <c r="AH150" i="190" s="1"/>
  <c r="AH149" i="190" a="1"/>
  <c r="AH149" i="190" s="1"/>
  <c r="AH148" i="190" a="1"/>
  <c r="AH148" i="190" s="1"/>
  <c r="AH147" i="190" a="1"/>
  <c r="AH147" i="190" s="1"/>
  <c r="AH146" i="190" a="1"/>
  <c r="AH146" i="190" s="1"/>
  <c r="AH145" i="190" a="1"/>
  <c r="AH145" i="190" s="1"/>
  <c r="AH144" i="190" a="1"/>
  <c r="AH144" i="190" s="1"/>
  <c r="AH143" i="190" a="1"/>
  <c r="AH143" i="190" s="1"/>
  <c r="AH142" i="190" a="1"/>
  <c r="AH142" i="190" s="1"/>
  <c r="AH141" i="190" a="1"/>
  <c r="AH141" i="190" s="1"/>
  <c r="AH140" i="190" a="1"/>
  <c r="AH140" i="190" s="1"/>
  <c r="AH139" i="190" a="1"/>
  <c r="AH139" i="190" s="1"/>
  <c r="AH138" i="190" a="1"/>
  <c r="AH138" i="190" s="1"/>
  <c r="AH137" i="190" a="1"/>
  <c r="AH137" i="190" s="1"/>
  <c r="AH136" i="190" a="1"/>
  <c r="AH136" i="190" s="1"/>
  <c r="AH135" i="190" a="1"/>
  <c r="AH135" i="190" s="1"/>
  <c r="AH134" i="190" a="1"/>
  <c r="AH134" i="190" s="1"/>
  <c r="AH133" i="190" a="1"/>
  <c r="AH133" i="190" s="1"/>
  <c r="AH132" i="190" a="1"/>
  <c r="AH132" i="190" s="1"/>
  <c r="AH131" i="190" a="1"/>
  <c r="AH131" i="190" s="1"/>
  <c r="AH130" i="190" a="1"/>
  <c r="AH130" i="190" s="1"/>
  <c r="AH129" i="190" a="1"/>
  <c r="AH129" i="190" s="1"/>
  <c r="AH128" i="190" a="1"/>
  <c r="AH128" i="190" s="1"/>
  <c r="AH127" i="190" a="1"/>
  <c r="AH127" i="190" s="1"/>
  <c r="AH126" i="190" a="1"/>
  <c r="AH126" i="190" s="1"/>
  <c r="AH125" i="190" a="1"/>
  <c r="AH125" i="190" s="1"/>
  <c r="AH124" i="190" a="1"/>
  <c r="AH124" i="190" s="1"/>
  <c r="AH123" i="190" a="1"/>
  <c r="AH123" i="190" s="1"/>
  <c r="AH122" i="190" a="1"/>
  <c r="AH122" i="190" s="1"/>
  <c r="AH121" i="190" a="1"/>
  <c r="AH121" i="190" s="1"/>
  <c r="AH120" i="190" a="1"/>
  <c r="AH120" i="190" s="1"/>
  <c r="AH119" i="190" a="1"/>
  <c r="AH119" i="190" s="1"/>
  <c r="AH118" i="190" a="1"/>
  <c r="AH118" i="190" s="1"/>
  <c r="AH117" i="190" a="1"/>
  <c r="AH117" i="190" s="1"/>
  <c r="AH116" i="190" a="1"/>
  <c r="AH116" i="190" s="1"/>
  <c r="AH115" i="190" a="1"/>
  <c r="AH115" i="190" s="1"/>
  <c r="AH114" i="190" a="1"/>
  <c r="AH114" i="190" s="1"/>
  <c r="AH113" i="190" a="1"/>
  <c r="AH113" i="190" s="1"/>
  <c r="AH112" i="190" a="1"/>
  <c r="AH112" i="190" s="1"/>
  <c r="AH111" i="190" a="1"/>
  <c r="AH111" i="190" s="1"/>
  <c r="AH110" i="190" a="1"/>
  <c r="AH110" i="190" s="1"/>
  <c r="AH109" i="190" a="1"/>
  <c r="AH109" i="190" s="1"/>
  <c r="AH108" i="190" a="1"/>
  <c r="AH108" i="190" s="1"/>
  <c r="AH107" i="190" a="1"/>
  <c r="AH107" i="190" s="1"/>
  <c r="AH106" i="190" a="1"/>
  <c r="AH106" i="190" s="1"/>
  <c r="AH105" i="190" a="1"/>
  <c r="AH105" i="190" s="1"/>
  <c r="AH104" i="190" a="1"/>
  <c r="AH104" i="190" s="1"/>
  <c r="AH103" i="190" a="1"/>
  <c r="AH103" i="190" s="1"/>
  <c r="AH102" i="190" a="1"/>
  <c r="AH102" i="190" s="1"/>
  <c r="AH101" i="190" a="1"/>
  <c r="AH101" i="190" s="1"/>
  <c r="AH100" i="190" a="1"/>
  <c r="AH100" i="190" s="1"/>
  <c r="AH99" i="190" a="1"/>
  <c r="AH99" i="190" s="1"/>
  <c r="AH98" i="190" a="1"/>
  <c r="AH98" i="190" s="1"/>
  <c r="AH97" i="190" a="1"/>
  <c r="AH97" i="190" s="1"/>
  <c r="AH96" i="190" a="1"/>
  <c r="AH96" i="190" s="1"/>
  <c r="AH95" i="190" a="1"/>
  <c r="AH95" i="190" s="1"/>
  <c r="AH94" i="190" a="1"/>
  <c r="AH94" i="190" s="1"/>
  <c r="AH93" i="190" a="1"/>
  <c r="AH93" i="190" s="1"/>
  <c r="AH92" i="190" a="1"/>
  <c r="AH92" i="190" s="1"/>
  <c r="AH91" i="190" a="1"/>
  <c r="AH91" i="190" s="1"/>
  <c r="AH90" i="190" a="1"/>
  <c r="AH90" i="190" s="1"/>
  <c r="AH89" i="190" a="1"/>
  <c r="AH89" i="190" s="1"/>
  <c r="AH88" i="190" a="1"/>
  <c r="AH88" i="190" s="1"/>
  <c r="AH87" i="190" a="1"/>
  <c r="AH87" i="190" s="1"/>
  <c r="AH86" i="190" a="1"/>
  <c r="AH86" i="190" s="1"/>
  <c r="AH85" i="190" a="1"/>
  <c r="AH85" i="190" s="1"/>
  <c r="AH84" i="190" a="1"/>
  <c r="AH84" i="190" s="1"/>
  <c r="AH83" i="190" a="1"/>
  <c r="AH83" i="190" s="1"/>
  <c r="AH82" i="190" a="1"/>
  <c r="AH82" i="190" s="1"/>
  <c r="AH81" i="190" a="1"/>
  <c r="AH81" i="190" s="1"/>
  <c r="AH80" i="190" a="1"/>
  <c r="AH80" i="190" s="1"/>
  <c r="AH79" i="190" a="1"/>
  <c r="AH79" i="190" s="1"/>
  <c r="AH78" i="190" a="1"/>
  <c r="AH78" i="190" s="1"/>
  <c r="AH77" i="190" a="1"/>
  <c r="AH77" i="190" s="1"/>
  <c r="AH76" i="190" a="1"/>
  <c r="AH76" i="190" s="1"/>
  <c r="AH75" i="190" a="1"/>
  <c r="AH75" i="190" s="1"/>
  <c r="AH74" i="190" a="1"/>
  <c r="AH74" i="190" s="1"/>
  <c r="AH73" i="190" a="1"/>
  <c r="AH73" i="190" s="1"/>
  <c r="AH72" i="190" a="1"/>
  <c r="AH72" i="190" s="1"/>
  <c r="AH71" i="190" a="1"/>
  <c r="AH71" i="190" s="1"/>
  <c r="AH70" i="190" a="1"/>
  <c r="AH70" i="190" s="1"/>
  <c r="AH69" i="190" a="1"/>
  <c r="AH69" i="190" s="1"/>
  <c r="AH68" i="190" a="1"/>
  <c r="AH68" i="190" s="1"/>
  <c r="AH67" i="190" a="1"/>
  <c r="AH67" i="190" s="1"/>
  <c r="AH66" i="190" a="1"/>
  <c r="AH66" i="190" s="1"/>
  <c r="AH65" i="190" a="1"/>
  <c r="AH65" i="190" s="1"/>
  <c r="AH64" i="190" a="1"/>
  <c r="AH64" i="190" s="1"/>
  <c r="AH63" i="190" a="1"/>
  <c r="AH63" i="190" s="1"/>
  <c r="AH62" i="190" a="1"/>
  <c r="AH62" i="190" s="1"/>
  <c r="AH61" i="190" a="1"/>
  <c r="AH61" i="190" s="1"/>
  <c r="AH60" i="190" a="1"/>
  <c r="AH60" i="190" s="1"/>
  <c r="AH59" i="190" a="1"/>
  <c r="AH59" i="190" s="1"/>
  <c r="AH58" i="190" a="1"/>
  <c r="AH58" i="190" s="1"/>
  <c r="AH57" i="190" a="1"/>
  <c r="AH57" i="190" s="1"/>
  <c r="AH56" i="190" a="1"/>
  <c r="AH56" i="190" s="1"/>
  <c r="AH55" i="190" a="1"/>
  <c r="AH55" i="190" s="1"/>
  <c r="AH54" i="190" a="1"/>
  <c r="AH54" i="190" s="1"/>
  <c r="AH53" i="190" a="1"/>
  <c r="AH53" i="190" s="1"/>
  <c r="AH52" i="190" a="1"/>
  <c r="AH52" i="190" s="1"/>
  <c r="AH51" i="190" a="1"/>
  <c r="AH51" i="190" s="1"/>
  <c r="AH50" i="190" a="1"/>
  <c r="AH50" i="190" s="1"/>
  <c r="AH49" i="190" a="1"/>
  <c r="AH49" i="190" s="1"/>
  <c r="AH48" i="190" a="1"/>
  <c r="AH48" i="190" s="1"/>
  <c r="AH47" i="190" a="1"/>
  <c r="AH47" i="190" s="1"/>
  <c r="AH46" i="190" a="1"/>
  <c r="AH46" i="190" s="1"/>
  <c r="AH45" i="190" a="1"/>
  <c r="AH45" i="190" s="1"/>
  <c r="AH44" i="190" a="1"/>
  <c r="AH44" i="190" s="1"/>
  <c r="AH43" i="190" a="1"/>
  <c r="AH43" i="190" s="1"/>
  <c r="AH42" i="190" a="1"/>
  <c r="AH42" i="190" s="1"/>
  <c r="AH41" i="190" a="1"/>
  <c r="AH41" i="190" s="1"/>
  <c r="AH40" i="190" a="1"/>
  <c r="AH40" i="190" s="1"/>
  <c r="AH39" i="190" a="1"/>
  <c r="AH39" i="190" s="1"/>
  <c r="AH38" i="190" a="1"/>
  <c r="AH38" i="190" s="1"/>
  <c r="AH37" i="190" a="1"/>
  <c r="AH37" i="190" s="1"/>
  <c r="AH36" i="190" a="1"/>
  <c r="AH36" i="190" s="1"/>
  <c r="AH35" i="190" a="1"/>
  <c r="AH35" i="190" s="1"/>
  <c r="AH34" i="190" a="1"/>
  <c r="AH34" i="190" s="1"/>
  <c r="AH33" i="190" a="1"/>
  <c r="AH33" i="190" s="1"/>
  <c r="AH32" i="190" a="1"/>
  <c r="AH32" i="190" s="1"/>
  <c r="AH31" i="190" a="1"/>
  <c r="AH31" i="190" s="1"/>
  <c r="AH30" i="190" a="1"/>
  <c r="AH30" i="190" s="1"/>
  <c r="AH29" i="190" a="1"/>
  <c r="AH29" i="190" s="1"/>
  <c r="AH28" i="190" a="1"/>
  <c r="AH28" i="190" s="1"/>
  <c r="AH27" i="190" a="1"/>
  <c r="AH27" i="190" s="1"/>
  <c r="AH26" i="190" a="1"/>
  <c r="AH26" i="190" s="1"/>
  <c r="AH25" i="190" a="1"/>
  <c r="AH25" i="190" s="1"/>
  <c r="AH24" i="190" a="1"/>
  <c r="AH24" i="190" s="1"/>
  <c r="AH21" i="190" a="1"/>
  <c r="AH21" i="190" s="1"/>
  <c r="AH20" i="190" a="1"/>
  <c r="AH20" i="190" s="1"/>
  <c r="AH19" i="190" a="1"/>
  <c r="AH19" i="190" s="1"/>
  <c r="AH18" i="190" a="1"/>
  <c r="AH18" i="190" s="1"/>
  <c r="AH17" i="190" a="1"/>
  <c r="AH17" i="190" s="1"/>
  <c r="AH16" i="190" a="1"/>
  <c r="AH16" i="190" s="1"/>
  <c r="AH15" i="190" a="1"/>
  <c r="AH15" i="190" s="1"/>
  <c r="AH14" i="190" a="1"/>
  <c r="AH14" i="190" s="1"/>
  <c r="AH13" i="190" a="1"/>
  <c r="AH13" i="190" s="1"/>
  <c r="AH12" i="190" a="1"/>
  <c r="AH12" i="190" s="1"/>
  <c r="AH11" i="190" a="1"/>
  <c r="AH11" i="190" s="1"/>
  <c r="AH10" i="190" a="1"/>
  <c r="AH10" i="190" s="1"/>
  <c r="AH9" i="190" a="1"/>
  <c r="AH9" i="190" s="1"/>
  <c r="AH8" i="190" a="1"/>
  <c r="AH8" i="190" s="1"/>
  <c r="P123" i="149"/>
  <c r="M123" i="149"/>
  <c r="I45" i="152" l="1"/>
  <c r="W52" i="152"/>
  <c r="N21" i="204" a="1"/>
  <c r="N21" i="204" s="1"/>
  <c r="D7" i="214" s="1"/>
  <c r="AC10" i="190"/>
  <c r="C7" i="161" l="1"/>
  <c r="K170" i="190"/>
  <c r="K168" i="190"/>
  <c r="K167" i="190"/>
  <c r="K157" i="190"/>
  <c r="K156" i="190"/>
  <c r="K155" i="190"/>
  <c r="K154" i="190"/>
  <c r="K144" i="190"/>
  <c r="K142" i="190"/>
  <c r="K141" i="190"/>
  <c r="K131" i="190"/>
  <c r="K130" i="190"/>
  <c r="K129" i="190"/>
  <c r="K128" i="190"/>
  <c r="K118" i="190"/>
  <c r="K117" i="190"/>
  <c r="K115" i="190"/>
  <c r="K105" i="190"/>
  <c r="K104" i="190"/>
  <c r="K103" i="190"/>
  <c r="K102" i="190"/>
  <c r="K79" i="190"/>
  <c r="K78" i="190"/>
  <c r="K77" i="190"/>
  <c r="K76" i="190"/>
  <c r="K73" i="190"/>
  <c r="K72" i="190"/>
  <c r="K71" i="190"/>
  <c r="K70" i="190"/>
  <c r="K67" i="190"/>
  <c r="K66" i="190"/>
  <c r="K65" i="190"/>
  <c r="K64" i="190"/>
  <c r="K61" i="190"/>
  <c r="K60" i="190"/>
  <c r="K59" i="190"/>
  <c r="K58" i="190"/>
  <c r="K55" i="190"/>
  <c r="K54" i="190"/>
  <c r="K53" i="190"/>
  <c r="K52" i="190"/>
  <c r="K49" i="190"/>
  <c r="K48" i="190"/>
  <c r="K47" i="190"/>
  <c r="K46" i="190"/>
  <c r="K43" i="190"/>
  <c r="K42" i="190"/>
  <c r="K41" i="190"/>
  <c r="K40" i="190"/>
  <c r="K37" i="190"/>
  <c r="K36" i="190"/>
  <c r="K35" i="190"/>
  <c r="K34" i="190"/>
  <c r="K31" i="190"/>
  <c r="K30" i="190"/>
  <c r="K29" i="190"/>
  <c r="K28" i="190"/>
  <c r="K25" i="190"/>
  <c r="K24" i="190"/>
  <c r="K19" i="190"/>
  <c r="K18" i="190"/>
  <c r="K17" i="190"/>
  <c r="K16" i="190"/>
  <c r="K13" i="190"/>
  <c r="K12" i="190"/>
  <c r="K11" i="190"/>
  <c r="J170" i="190"/>
  <c r="J169" i="190"/>
  <c r="J168" i="190"/>
  <c r="J167" i="190"/>
  <c r="J157" i="190"/>
  <c r="J156" i="190"/>
  <c r="J155" i="190"/>
  <c r="J154" i="190"/>
  <c r="J144" i="190"/>
  <c r="J143" i="190"/>
  <c r="J142" i="190"/>
  <c r="J141" i="190"/>
  <c r="J131" i="190"/>
  <c r="J130" i="190"/>
  <c r="J129" i="190"/>
  <c r="J128" i="190"/>
  <c r="J118" i="190"/>
  <c r="J117" i="190"/>
  <c r="J116" i="190"/>
  <c r="J115" i="190"/>
  <c r="J105" i="190"/>
  <c r="J104" i="190"/>
  <c r="J103" i="190"/>
  <c r="J102" i="190"/>
  <c r="J79" i="190"/>
  <c r="J78" i="190"/>
  <c r="J77" i="190"/>
  <c r="J76" i="190"/>
  <c r="J73" i="190"/>
  <c r="J72" i="190"/>
  <c r="J71" i="190"/>
  <c r="J70" i="190"/>
  <c r="J67" i="190"/>
  <c r="J66" i="190"/>
  <c r="J65" i="190"/>
  <c r="J64" i="190"/>
  <c r="J61" i="190"/>
  <c r="J60" i="190"/>
  <c r="J59" i="190"/>
  <c r="J58" i="190"/>
  <c r="J55" i="190"/>
  <c r="J54" i="190"/>
  <c r="J53" i="190"/>
  <c r="J52" i="190"/>
  <c r="J49" i="190"/>
  <c r="J48" i="190"/>
  <c r="J47" i="190"/>
  <c r="J46" i="190"/>
  <c r="J43" i="190"/>
  <c r="J42" i="190"/>
  <c r="J41" i="190"/>
  <c r="J40" i="190"/>
  <c r="J37" i="190"/>
  <c r="J36" i="190"/>
  <c r="J35" i="190"/>
  <c r="J34" i="190"/>
  <c r="J31" i="190"/>
  <c r="J30" i="190"/>
  <c r="J29" i="190"/>
  <c r="J28" i="190"/>
  <c r="J25" i="190"/>
  <c r="J24" i="190"/>
  <c r="J19" i="190"/>
  <c r="J18" i="190"/>
  <c r="J17" i="190"/>
  <c r="J16" i="190"/>
  <c r="J13" i="190"/>
  <c r="J12" i="190"/>
  <c r="J11" i="190"/>
  <c r="J10" i="190"/>
  <c r="I170" i="190"/>
  <c r="I169" i="190"/>
  <c r="I168" i="190"/>
  <c r="I167" i="190"/>
  <c r="I157" i="190"/>
  <c r="I156" i="190"/>
  <c r="I155" i="190"/>
  <c r="I154" i="190"/>
  <c r="I144" i="190"/>
  <c r="I143" i="190"/>
  <c r="I142" i="190"/>
  <c r="I141" i="190"/>
  <c r="I131" i="190"/>
  <c r="I130" i="190"/>
  <c r="I129" i="190"/>
  <c r="I128" i="190"/>
  <c r="I118" i="190"/>
  <c r="I117" i="190"/>
  <c r="I116" i="190"/>
  <c r="I115" i="190"/>
  <c r="I105" i="190"/>
  <c r="I104" i="190"/>
  <c r="I103" i="190"/>
  <c r="I102" i="190"/>
  <c r="I79" i="190"/>
  <c r="I78" i="190"/>
  <c r="I77" i="190"/>
  <c r="I76" i="190"/>
  <c r="I73" i="190"/>
  <c r="I72" i="190"/>
  <c r="I71" i="190"/>
  <c r="I70" i="190"/>
  <c r="I67" i="190"/>
  <c r="I66" i="190"/>
  <c r="I65" i="190"/>
  <c r="I64" i="190"/>
  <c r="I61" i="190"/>
  <c r="I60" i="190"/>
  <c r="I59" i="190"/>
  <c r="I58" i="190"/>
  <c r="I55" i="190"/>
  <c r="I54" i="190"/>
  <c r="I53" i="190"/>
  <c r="I52" i="190"/>
  <c r="I49" i="190"/>
  <c r="I48" i="190"/>
  <c r="I47" i="190"/>
  <c r="I46" i="190"/>
  <c r="I43" i="190"/>
  <c r="I42" i="190"/>
  <c r="I41" i="190"/>
  <c r="I40" i="190"/>
  <c r="I37" i="190"/>
  <c r="I36" i="190"/>
  <c r="I35" i="190"/>
  <c r="I34" i="190"/>
  <c r="I31" i="190"/>
  <c r="I30" i="190"/>
  <c r="I29" i="190"/>
  <c r="I28" i="190"/>
  <c r="I25" i="190"/>
  <c r="I24" i="190"/>
  <c r="I19" i="190"/>
  <c r="I18" i="190"/>
  <c r="I17" i="190"/>
  <c r="I16" i="190"/>
  <c r="I13" i="190"/>
  <c r="I12" i="190"/>
  <c r="I11" i="190"/>
  <c r="H170" i="190"/>
  <c r="H169" i="190"/>
  <c r="H168" i="190"/>
  <c r="H167" i="190"/>
  <c r="H157" i="190"/>
  <c r="H156" i="190"/>
  <c r="H155" i="190"/>
  <c r="H154" i="190"/>
  <c r="H144" i="190"/>
  <c r="H143" i="190"/>
  <c r="H142" i="190"/>
  <c r="H141" i="190"/>
  <c r="H131" i="190"/>
  <c r="H130" i="190"/>
  <c r="H129" i="190"/>
  <c r="H128" i="190"/>
  <c r="H118" i="190"/>
  <c r="H117" i="190"/>
  <c r="H116" i="190"/>
  <c r="H115" i="190"/>
  <c r="H105" i="190"/>
  <c r="H104" i="190"/>
  <c r="H103" i="190"/>
  <c r="H102" i="190"/>
  <c r="H79" i="190"/>
  <c r="H78" i="190"/>
  <c r="H77" i="190"/>
  <c r="H76" i="190"/>
  <c r="H73" i="190"/>
  <c r="H72" i="190"/>
  <c r="H71" i="190"/>
  <c r="H70" i="190"/>
  <c r="H67" i="190"/>
  <c r="H66" i="190"/>
  <c r="H65" i="190"/>
  <c r="H64" i="190"/>
  <c r="H61" i="190"/>
  <c r="H60" i="190"/>
  <c r="H59" i="190"/>
  <c r="H58" i="190"/>
  <c r="H55" i="190"/>
  <c r="H54" i="190"/>
  <c r="H53" i="190"/>
  <c r="H52" i="190"/>
  <c r="H49" i="190"/>
  <c r="H48" i="190"/>
  <c r="H47" i="190"/>
  <c r="H46" i="190"/>
  <c r="H43" i="190"/>
  <c r="H42" i="190"/>
  <c r="H41" i="190"/>
  <c r="H40" i="190"/>
  <c r="H37" i="190"/>
  <c r="H36" i="190"/>
  <c r="H35" i="190"/>
  <c r="H34" i="190"/>
  <c r="H31" i="190"/>
  <c r="H30" i="190"/>
  <c r="H29" i="190"/>
  <c r="H28" i="190"/>
  <c r="H25" i="190"/>
  <c r="H24" i="190"/>
  <c r="H19" i="190"/>
  <c r="H18" i="190"/>
  <c r="H17" i="190"/>
  <c r="H16" i="190"/>
  <c r="H13" i="190"/>
  <c r="H12" i="190"/>
  <c r="F170" i="190"/>
  <c r="F169" i="190"/>
  <c r="F168" i="190"/>
  <c r="F167" i="190"/>
  <c r="F157" i="190"/>
  <c r="F156" i="190"/>
  <c r="F155" i="190"/>
  <c r="F154" i="190"/>
  <c r="F144" i="190"/>
  <c r="F143" i="190"/>
  <c r="F142" i="190"/>
  <c r="F141" i="190"/>
  <c r="F131" i="190"/>
  <c r="F130" i="190"/>
  <c r="F129" i="190"/>
  <c r="F128" i="190"/>
  <c r="F118" i="190"/>
  <c r="F117" i="190"/>
  <c r="F116" i="190"/>
  <c r="F115" i="190"/>
  <c r="F105" i="190"/>
  <c r="F104" i="190"/>
  <c r="F103" i="190"/>
  <c r="F102" i="190"/>
  <c r="F79" i="190"/>
  <c r="F78" i="190"/>
  <c r="F77" i="190"/>
  <c r="F76" i="190"/>
  <c r="F73" i="190"/>
  <c r="F72" i="190"/>
  <c r="F71" i="190"/>
  <c r="F70" i="190"/>
  <c r="F67" i="190"/>
  <c r="F66" i="190"/>
  <c r="F65" i="190"/>
  <c r="F64" i="190"/>
  <c r="F61" i="190"/>
  <c r="F60" i="190"/>
  <c r="F59" i="190"/>
  <c r="F58" i="190"/>
  <c r="F55" i="190"/>
  <c r="F54" i="190"/>
  <c r="F53" i="190"/>
  <c r="F52" i="190"/>
  <c r="F49" i="190"/>
  <c r="F48" i="190"/>
  <c r="F47" i="190"/>
  <c r="F46" i="190"/>
  <c r="F43" i="190"/>
  <c r="F42" i="190"/>
  <c r="F41" i="190"/>
  <c r="F40" i="190"/>
  <c r="F37" i="190"/>
  <c r="F36" i="190"/>
  <c r="F35" i="190"/>
  <c r="F34" i="190"/>
  <c r="F31" i="190"/>
  <c r="F30" i="190"/>
  <c r="F29" i="190"/>
  <c r="F28" i="190"/>
  <c r="F25" i="190"/>
  <c r="F24" i="190"/>
  <c r="F19" i="190"/>
  <c r="F18" i="190"/>
  <c r="F17" i="190"/>
  <c r="F16" i="190"/>
  <c r="F13" i="190"/>
  <c r="F12" i="190"/>
  <c r="F11" i="190"/>
  <c r="F10" i="190"/>
  <c r="F10" i="177"/>
  <c r="F9" i="161"/>
  <c r="F114" i="183"/>
  <c r="F115" i="183"/>
  <c r="F163" i="183"/>
  <c r="F162" i="183"/>
  <c r="K163" i="183"/>
  <c r="J163" i="183"/>
  <c r="I163" i="183"/>
  <c r="H163" i="183"/>
  <c r="K162" i="183"/>
  <c r="J162" i="183"/>
  <c r="I162" i="183"/>
  <c r="H162" i="183"/>
  <c r="J161" i="183"/>
  <c r="I161" i="183"/>
  <c r="H161" i="183"/>
  <c r="F161" i="183"/>
  <c r="F151" i="183"/>
  <c r="F150" i="183"/>
  <c r="K151" i="183"/>
  <c r="J151" i="183"/>
  <c r="I151" i="183"/>
  <c r="H151" i="183"/>
  <c r="K150" i="183"/>
  <c r="J150" i="183"/>
  <c r="I150" i="183"/>
  <c r="H150" i="183"/>
  <c r="K149" i="183"/>
  <c r="J149" i="183"/>
  <c r="I149" i="183"/>
  <c r="H149" i="183"/>
  <c r="F149" i="183"/>
  <c r="F138" i="183"/>
  <c r="F139" i="183"/>
  <c r="K139" i="183"/>
  <c r="J139" i="183"/>
  <c r="I139" i="183"/>
  <c r="H139" i="183"/>
  <c r="K138" i="183"/>
  <c r="J138" i="183"/>
  <c r="I138" i="183"/>
  <c r="H138" i="183"/>
  <c r="K137" i="183"/>
  <c r="J137" i="183"/>
  <c r="I137" i="183"/>
  <c r="H137" i="183"/>
  <c r="F137" i="183"/>
  <c r="F127" i="183"/>
  <c r="F126" i="183"/>
  <c r="K127" i="183"/>
  <c r="J127" i="183"/>
  <c r="I127" i="183"/>
  <c r="H127" i="183"/>
  <c r="K126" i="183"/>
  <c r="J126" i="183"/>
  <c r="I126" i="183"/>
  <c r="H126" i="183"/>
  <c r="K125" i="183"/>
  <c r="J125" i="183"/>
  <c r="I125" i="183"/>
  <c r="H125" i="183"/>
  <c r="F125" i="183"/>
  <c r="J114" i="183"/>
  <c r="J113" i="183"/>
  <c r="K114" i="183"/>
  <c r="I114" i="183"/>
  <c r="H114" i="183"/>
  <c r="K113" i="183"/>
  <c r="I113" i="183"/>
  <c r="H113" i="183"/>
  <c r="K115" i="183"/>
  <c r="J115" i="183"/>
  <c r="I115" i="183"/>
  <c r="H115" i="183"/>
  <c r="F113" i="183"/>
  <c r="H102" i="183"/>
  <c r="I102" i="183"/>
  <c r="K102" i="183"/>
  <c r="H103" i="183"/>
  <c r="I103" i="183"/>
  <c r="J103" i="183"/>
  <c r="K103" i="183"/>
  <c r="K101" i="183"/>
  <c r="J101" i="183"/>
  <c r="I101" i="183"/>
  <c r="H101" i="183"/>
  <c r="F102" i="183"/>
  <c r="F103" i="183"/>
  <c r="F101" i="183"/>
  <c r="F90" i="183"/>
  <c r="F91" i="183"/>
  <c r="J91" i="183"/>
  <c r="I91" i="183"/>
  <c r="H91" i="183"/>
  <c r="J90" i="183"/>
  <c r="I90" i="183"/>
  <c r="H90" i="183"/>
  <c r="I89" i="183"/>
  <c r="H89" i="183"/>
  <c r="F89" i="183"/>
  <c r="K79" i="183"/>
  <c r="J79" i="183"/>
  <c r="I79" i="183"/>
  <c r="H79" i="183"/>
  <c r="K78" i="183"/>
  <c r="J78" i="183"/>
  <c r="I78" i="183"/>
  <c r="H78" i="183"/>
  <c r="K77" i="183"/>
  <c r="I77" i="183"/>
  <c r="H77" i="183"/>
  <c r="K76" i="183"/>
  <c r="J76" i="183"/>
  <c r="I76" i="183"/>
  <c r="H76" i="183"/>
  <c r="K73" i="183"/>
  <c r="J73" i="183"/>
  <c r="I73" i="183"/>
  <c r="H73" i="183"/>
  <c r="K72" i="183"/>
  <c r="J72" i="183"/>
  <c r="I72" i="183"/>
  <c r="H72" i="183"/>
  <c r="K71" i="183"/>
  <c r="J71" i="183"/>
  <c r="I71" i="183"/>
  <c r="H71" i="183"/>
  <c r="K70" i="183"/>
  <c r="J70" i="183"/>
  <c r="I70" i="183"/>
  <c r="H70" i="183"/>
  <c r="K67" i="183"/>
  <c r="J67" i="183"/>
  <c r="I67" i="183"/>
  <c r="H67" i="183"/>
  <c r="K66" i="183"/>
  <c r="J66" i="183"/>
  <c r="I66" i="183"/>
  <c r="H66" i="183"/>
  <c r="K65" i="183"/>
  <c r="J65" i="183"/>
  <c r="I65" i="183"/>
  <c r="H65" i="183"/>
  <c r="K64" i="183"/>
  <c r="J64" i="183"/>
  <c r="I64" i="183"/>
  <c r="H64" i="183"/>
  <c r="K61" i="183"/>
  <c r="J61" i="183"/>
  <c r="I61" i="183"/>
  <c r="H61" i="183"/>
  <c r="K60" i="183"/>
  <c r="J60" i="183"/>
  <c r="I60" i="183"/>
  <c r="H60" i="183"/>
  <c r="K59" i="183"/>
  <c r="J59" i="183"/>
  <c r="I59" i="183"/>
  <c r="H59" i="183"/>
  <c r="K58" i="183"/>
  <c r="J58" i="183"/>
  <c r="I58" i="183"/>
  <c r="H58" i="183"/>
  <c r="K55" i="183"/>
  <c r="J55" i="183"/>
  <c r="I55" i="183"/>
  <c r="H55" i="183"/>
  <c r="K54" i="183"/>
  <c r="J54" i="183"/>
  <c r="I54" i="183"/>
  <c r="H54" i="183"/>
  <c r="K53" i="183"/>
  <c r="J53" i="183"/>
  <c r="I53" i="183"/>
  <c r="H53" i="183"/>
  <c r="K52" i="183"/>
  <c r="J52" i="183"/>
  <c r="I52" i="183"/>
  <c r="H52" i="183"/>
  <c r="K49" i="183"/>
  <c r="J49" i="183"/>
  <c r="I49" i="183"/>
  <c r="H49" i="183"/>
  <c r="K48" i="183"/>
  <c r="J48" i="183"/>
  <c r="I48" i="183"/>
  <c r="H48" i="183"/>
  <c r="K47" i="183"/>
  <c r="J47" i="183"/>
  <c r="I47" i="183"/>
  <c r="H47" i="183"/>
  <c r="K46" i="183"/>
  <c r="J46" i="183"/>
  <c r="I46" i="183"/>
  <c r="H46" i="183"/>
  <c r="K43" i="183"/>
  <c r="J43" i="183"/>
  <c r="I43" i="183"/>
  <c r="H43" i="183"/>
  <c r="K42" i="183"/>
  <c r="J42" i="183"/>
  <c r="I42" i="183"/>
  <c r="H42" i="183"/>
  <c r="K41" i="183"/>
  <c r="J41" i="183"/>
  <c r="I41" i="183"/>
  <c r="H41" i="183"/>
  <c r="K40" i="183"/>
  <c r="J40" i="183"/>
  <c r="I40" i="183"/>
  <c r="H40" i="183"/>
  <c r="K37" i="183"/>
  <c r="J37" i="183"/>
  <c r="I37" i="183"/>
  <c r="H37" i="183"/>
  <c r="K36" i="183"/>
  <c r="J36" i="183"/>
  <c r="I36" i="183"/>
  <c r="H36" i="183"/>
  <c r="K35" i="183"/>
  <c r="J35" i="183"/>
  <c r="I35" i="183"/>
  <c r="K34" i="183"/>
  <c r="J34" i="183"/>
  <c r="I34" i="183"/>
  <c r="H34" i="183"/>
  <c r="K31" i="183"/>
  <c r="J31" i="183"/>
  <c r="I31" i="183"/>
  <c r="H31" i="183"/>
  <c r="K30" i="183"/>
  <c r="J30" i="183"/>
  <c r="I30" i="183"/>
  <c r="H30" i="183"/>
  <c r="K29" i="183"/>
  <c r="J29" i="183"/>
  <c r="I29" i="183"/>
  <c r="K28" i="183"/>
  <c r="J28" i="183"/>
  <c r="I28" i="183"/>
  <c r="H28" i="183"/>
  <c r="K25" i="183"/>
  <c r="J25" i="183"/>
  <c r="I25" i="183"/>
  <c r="H25" i="183"/>
  <c r="K24" i="183"/>
  <c r="J24" i="183"/>
  <c r="I24" i="183"/>
  <c r="H24" i="183"/>
  <c r="K23" i="183"/>
  <c r="J23" i="183"/>
  <c r="I23" i="183"/>
  <c r="H23" i="183"/>
  <c r="K22" i="183"/>
  <c r="J22" i="183"/>
  <c r="I22" i="183"/>
  <c r="H22" i="183"/>
  <c r="K19" i="183"/>
  <c r="J19" i="183"/>
  <c r="I19" i="183"/>
  <c r="H19" i="183"/>
  <c r="K18" i="183"/>
  <c r="J18" i="183"/>
  <c r="I18" i="183"/>
  <c r="H18" i="183"/>
  <c r="K17" i="183"/>
  <c r="J17" i="183"/>
  <c r="I17" i="183"/>
  <c r="H17" i="183"/>
  <c r="K16" i="183"/>
  <c r="J16" i="183"/>
  <c r="I16" i="183"/>
  <c r="H16" i="183"/>
  <c r="K13" i="183"/>
  <c r="J13" i="183"/>
  <c r="I13" i="183"/>
  <c r="H13" i="183"/>
  <c r="K12" i="183"/>
  <c r="J12" i="183"/>
  <c r="I12" i="183"/>
  <c r="H12" i="183"/>
  <c r="K10" i="183"/>
  <c r="I10" i="183"/>
  <c r="H10" i="183"/>
  <c r="F79" i="183"/>
  <c r="F78" i="183"/>
  <c r="F77" i="183"/>
  <c r="F76" i="183"/>
  <c r="F73" i="183"/>
  <c r="F72" i="183"/>
  <c r="F71" i="183"/>
  <c r="F70" i="183"/>
  <c r="F67" i="183"/>
  <c r="F66" i="183"/>
  <c r="F65" i="183"/>
  <c r="F64" i="183"/>
  <c r="F61" i="183"/>
  <c r="F60" i="183"/>
  <c r="F59" i="183"/>
  <c r="F58" i="183"/>
  <c r="F55" i="183"/>
  <c r="F54" i="183"/>
  <c r="F53" i="183"/>
  <c r="F52" i="183"/>
  <c r="F49" i="183"/>
  <c r="F48" i="183"/>
  <c r="F47" i="183"/>
  <c r="F46" i="183"/>
  <c r="F43" i="183"/>
  <c r="F42" i="183"/>
  <c r="F41" i="183"/>
  <c r="F40" i="183"/>
  <c r="F37" i="183"/>
  <c r="F35" i="183"/>
  <c r="F34" i="183"/>
  <c r="F31" i="183"/>
  <c r="F30" i="183"/>
  <c r="F29" i="183"/>
  <c r="F28" i="183"/>
  <c r="F25" i="183"/>
  <c r="F24" i="183"/>
  <c r="F23" i="183"/>
  <c r="F22" i="183"/>
  <c r="F19" i="183"/>
  <c r="F18" i="183"/>
  <c r="F17" i="183"/>
  <c r="F16" i="183"/>
  <c r="F13" i="183"/>
  <c r="F12" i="183"/>
  <c r="F11" i="183"/>
  <c r="V11" i="149"/>
  <c r="AL159" i="149"/>
  <c r="AL148" i="149"/>
  <c r="AL138" i="149"/>
  <c r="AL128" i="149"/>
  <c r="AL118" i="149"/>
  <c r="AL108" i="149"/>
  <c r="AL98" i="149"/>
  <c r="V12" i="149"/>
  <c r="AI8" i="149"/>
  <c r="AL8" i="149" s="1"/>
  <c r="AI9" i="149"/>
  <c r="AI15" i="149"/>
  <c r="AI16" i="149"/>
  <c r="AI19" i="149"/>
  <c r="AI21" i="149"/>
  <c r="AI22" i="149"/>
  <c r="AI23" i="149"/>
  <c r="AI29" i="149"/>
  <c r="AI30" i="149"/>
  <c r="AI33" i="149"/>
  <c r="AI34" i="149"/>
  <c r="AI35" i="149"/>
  <c r="AI36" i="149"/>
  <c r="AI37" i="149"/>
  <c r="AI39" i="149"/>
  <c r="AI40" i="149"/>
  <c r="AI41" i="149"/>
  <c r="AI42" i="149"/>
  <c r="AI43" i="149"/>
  <c r="AI44" i="149"/>
  <c r="AI45" i="149"/>
  <c r="AI46" i="149"/>
  <c r="AI49" i="149"/>
  <c r="AI50" i="149"/>
  <c r="AI51" i="149"/>
  <c r="AI52" i="149"/>
  <c r="AI53" i="149"/>
  <c r="AI54" i="149"/>
  <c r="AI55" i="149"/>
  <c r="AI56" i="149"/>
  <c r="AI57" i="149"/>
  <c r="AI58" i="149"/>
  <c r="AI60" i="149"/>
  <c r="AI61" i="149"/>
  <c r="AI62" i="149"/>
  <c r="AI63" i="149"/>
  <c r="AI64" i="149"/>
  <c r="AI65" i="149"/>
  <c r="AI66" i="149"/>
  <c r="AI67" i="149"/>
  <c r="AI68" i="149"/>
  <c r="AI69" i="149"/>
  <c r="AI70" i="149"/>
  <c r="AI71" i="149"/>
  <c r="AI72" i="149"/>
  <c r="AI73" i="149"/>
  <c r="AI74" i="149"/>
  <c r="AI75" i="149"/>
  <c r="AI76" i="149"/>
  <c r="AI77" i="149"/>
  <c r="AI78" i="149"/>
  <c r="AI79" i="149"/>
  <c r="AI80" i="149"/>
  <c r="AI81" i="149"/>
  <c r="AI82" i="149"/>
  <c r="AI83" i="149"/>
  <c r="AI84" i="149"/>
  <c r="AI85" i="149"/>
  <c r="AI86" i="149"/>
  <c r="AI87" i="149"/>
  <c r="AI88" i="149"/>
  <c r="AI89" i="149"/>
  <c r="AI90" i="149"/>
  <c r="AI91" i="149"/>
  <c r="AI92" i="149"/>
  <c r="AI93" i="149"/>
  <c r="AI94" i="149"/>
  <c r="AI95" i="149"/>
  <c r="AI96" i="149"/>
  <c r="AI97" i="149"/>
  <c r="AI99" i="149"/>
  <c r="AI103" i="149"/>
  <c r="AI104" i="149"/>
  <c r="AI105" i="149"/>
  <c r="AI106" i="149"/>
  <c r="AI107" i="149"/>
  <c r="AI109" i="149"/>
  <c r="AI111" i="149"/>
  <c r="AI112" i="149"/>
  <c r="AI113" i="149"/>
  <c r="AI114" i="149"/>
  <c r="AI115" i="149"/>
  <c r="AI116" i="149"/>
  <c r="AI117" i="149"/>
  <c r="AI119" i="149"/>
  <c r="AI120" i="149"/>
  <c r="AI121" i="149"/>
  <c r="AI122" i="149"/>
  <c r="AI123" i="149"/>
  <c r="AI124" i="149"/>
  <c r="AI125" i="149"/>
  <c r="AI126" i="149"/>
  <c r="AI127" i="149"/>
  <c r="AI129" i="149"/>
  <c r="AI131" i="149"/>
  <c r="AI132" i="149"/>
  <c r="AI133" i="149"/>
  <c r="AI134" i="149"/>
  <c r="AI135" i="149"/>
  <c r="AI136" i="149"/>
  <c r="AI137" i="149"/>
  <c r="AI139" i="149"/>
  <c r="AI143" i="149"/>
  <c r="AI144" i="149"/>
  <c r="AI145" i="149"/>
  <c r="AI146" i="149"/>
  <c r="AI149" i="149"/>
  <c r="AI151" i="149"/>
  <c r="AI152" i="149"/>
  <c r="AI153" i="149"/>
  <c r="AI154" i="149"/>
  <c r="AI155" i="149"/>
  <c r="AI156" i="149"/>
  <c r="AI157" i="149"/>
  <c r="AI158" i="149"/>
  <c r="AI160" i="149"/>
  <c r="AI162" i="149"/>
  <c r="AI163" i="149"/>
  <c r="AI164" i="149"/>
  <c r="AI165" i="149"/>
  <c r="AI166" i="149"/>
  <c r="AI167" i="149"/>
  <c r="N22" i="166"/>
  <c r="M22" i="166"/>
  <c r="V81" i="152"/>
  <c r="W78" i="152"/>
  <c r="W80" i="152"/>
  <c r="Y82" i="152"/>
  <c r="W79" i="152"/>
  <c r="W77" i="152"/>
  <c r="W75" i="152"/>
  <c r="W74" i="152"/>
  <c r="W73" i="152"/>
  <c r="W72" i="152"/>
  <c r="W70" i="152"/>
  <c r="W68" i="152"/>
  <c r="W67" i="152"/>
  <c r="W66" i="152"/>
  <c r="W65" i="152"/>
  <c r="W63" i="152"/>
  <c r="W58" i="152"/>
  <c r="W56" i="152"/>
  <c r="W51" i="152"/>
  <c r="W46" i="152"/>
  <c r="W44" i="152"/>
  <c r="W39" i="152"/>
  <c r="W34" i="152"/>
  <c r="W32" i="152"/>
  <c r="W27" i="152"/>
  <c r="W26" i="152"/>
  <c r="W25" i="152"/>
  <c r="W24" i="152"/>
  <c r="W22" i="152"/>
  <c r="W20" i="152"/>
  <c r="W19" i="152"/>
  <c r="W18" i="152"/>
  <c r="W17" i="152"/>
  <c r="W15" i="152"/>
  <c r="W14" i="152"/>
  <c r="W13" i="152"/>
  <c r="W12" i="152"/>
  <c r="W10" i="152"/>
  <c r="U76" i="152"/>
  <c r="U71" i="152"/>
  <c r="U64" i="152"/>
  <c r="U23" i="152"/>
  <c r="U16" i="152"/>
  <c r="S151" i="149"/>
  <c r="J11" i="166"/>
  <c r="J10" i="166"/>
  <c r="J12" i="166"/>
  <c r="J13" i="166"/>
  <c r="J15" i="166"/>
  <c r="J14" i="166"/>
  <c r="J17" i="166"/>
  <c r="J16" i="166"/>
  <c r="J19" i="166"/>
  <c r="J18" i="166"/>
  <c r="T16" i="139"/>
  <c r="S16" i="139" s="1"/>
  <c r="R16" i="139"/>
  <c r="T22" i="139"/>
  <c r="S22" i="139" s="1"/>
  <c r="R22" i="139"/>
  <c r="G150" i="190"/>
  <c r="X150" i="190" s="1"/>
  <c r="S163" i="149"/>
  <c r="S162" i="149"/>
  <c r="S160" i="149"/>
  <c r="S152" i="149"/>
  <c r="S149" i="149"/>
  <c r="S139" i="149"/>
  <c r="S132" i="149"/>
  <c r="S129" i="149"/>
  <c r="S99" i="149"/>
  <c r="S112" i="149"/>
  <c r="S111" i="149"/>
  <c r="S109" i="149"/>
  <c r="S121" i="149"/>
  <c r="S122" i="149"/>
  <c r="S120" i="149"/>
  <c r="S119" i="149"/>
  <c r="V101" i="149"/>
  <c r="S89" i="149"/>
  <c r="T11" i="206"/>
  <c r="T12" i="206"/>
  <c r="T13" i="206"/>
  <c r="T14" i="206"/>
  <c r="T15" i="206"/>
  <c r="T16" i="206"/>
  <c r="T17" i="206"/>
  <c r="T18" i="206"/>
  <c r="T19" i="206"/>
  <c r="T20" i="206"/>
  <c r="T21" i="206"/>
  <c r="T22" i="206"/>
  <c r="T23" i="206"/>
  <c r="T24" i="206"/>
  <c r="T25" i="206"/>
  <c r="T26" i="206"/>
  <c r="T27" i="206"/>
  <c r="T28" i="206"/>
  <c r="T29" i="206"/>
  <c r="T30" i="206"/>
  <c r="T31" i="206"/>
  <c r="T32" i="206"/>
  <c r="T33" i="206"/>
  <c r="T34" i="206"/>
  <c r="T35" i="206"/>
  <c r="T36" i="206"/>
  <c r="T37" i="206"/>
  <c r="T38" i="206"/>
  <c r="T39" i="206"/>
  <c r="T40" i="206"/>
  <c r="T41" i="206"/>
  <c r="T42" i="206"/>
  <c r="T43" i="206"/>
  <c r="T44" i="206"/>
  <c r="T45" i="206"/>
  <c r="T46" i="206"/>
  <c r="T47" i="206"/>
  <c r="T48" i="206"/>
  <c r="T10" i="206"/>
  <c r="Q38" i="138"/>
  <c r="Q39" i="138"/>
  <c r="Q40" i="138"/>
  <c r="Q41" i="138"/>
  <c r="Q42" i="138"/>
  <c r="Q43" i="138"/>
  <c r="Q37" i="138"/>
  <c r="Q10" i="138"/>
  <c r="Q11" i="138"/>
  <c r="Q12" i="138"/>
  <c r="Q13" i="138"/>
  <c r="Q14" i="138"/>
  <c r="Q15" i="138"/>
  <c r="Q16" i="138"/>
  <c r="Q17" i="138"/>
  <c r="Q18" i="138"/>
  <c r="Q19" i="138"/>
  <c r="Q20" i="138"/>
  <c r="Q21" i="138"/>
  <c r="Q22" i="138"/>
  <c r="Q23" i="138"/>
  <c r="Q24" i="138"/>
  <c r="Q25" i="138"/>
  <c r="Q26" i="138"/>
  <c r="Q27" i="138"/>
  <c r="Q28" i="138"/>
  <c r="Q29" i="138"/>
  <c r="Q30" i="138"/>
  <c r="Q9" i="138"/>
  <c r="U43" i="138"/>
  <c r="S43" i="138"/>
  <c r="R43" i="138"/>
  <c r="S30" i="138"/>
  <c r="T30" i="138"/>
  <c r="R30" i="138"/>
  <c r="S16" i="138"/>
  <c r="T16" i="138"/>
  <c r="R16" i="138"/>
  <c r="H16" i="138"/>
  <c r="I30" i="138"/>
  <c r="H49" i="138" s="1"/>
  <c r="V9" i="190"/>
  <c r="V10" i="190"/>
  <c r="V11" i="190"/>
  <c r="V12" i="190"/>
  <c r="V13" i="190"/>
  <c r="V14" i="190"/>
  <c r="V15" i="190"/>
  <c r="V16" i="190"/>
  <c r="V17" i="190"/>
  <c r="V18" i="190"/>
  <c r="V19" i="190"/>
  <c r="V20" i="190"/>
  <c r="V21" i="190"/>
  <c r="V24" i="190"/>
  <c r="V25" i="190"/>
  <c r="V26" i="190"/>
  <c r="V27" i="190"/>
  <c r="V28" i="190"/>
  <c r="V29" i="190"/>
  <c r="V30" i="190"/>
  <c r="V31" i="190"/>
  <c r="V32" i="190"/>
  <c r="V33" i="190"/>
  <c r="V34" i="190"/>
  <c r="V35" i="190"/>
  <c r="V36" i="190"/>
  <c r="V37" i="190"/>
  <c r="V38" i="190"/>
  <c r="V39" i="190"/>
  <c r="V40" i="190"/>
  <c r="V41" i="190"/>
  <c r="V42" i="190"/>
  <c r="V43" i="190"/>
  <c r="V44" i="190"/>
  <c r="V45" i="190"/>
  <c r="V46" i="190"/>
  <c r="V47" i="190"/>
  <c r="V48" i="190"/>
  <c r="V49" i="190"/>
  <c r="V50" i="190"/>
  <c r="V51" i="190"/>
  <c r="V52" i="190"/>
  <c r="V53" i="190"/>
  <c r="V54" i="190"/>
  <c r="V55" i="190"/>
  <c r="V56" i="190"/>
  <c r="V57" i="190"/>
  <c r="V58" i="190"/>
  <c r="V59" i="190"/>
  <c r="V60" i="190"/>
  <c r="V61" i="190"/>
  <c r="V62" i="190"/>
  <c r="V63" i="190"/>
  <c r="V64" i="190"/>
  <c r="V65" i="190"/>
  <c r="V66" i="190"/>
  <c r="V67" i="190"/>
  <c r="V68" i="190"/>
  <c r="V69" i="190"/>
  <c r="V70" i="190"/>
  <c r="V71" i="190"/>
  <c r="V72" i="190"/>
  <c r="V73" i="190"/>
  <c r="V74" i="190"/>
  <c r="V75" i="190"/>
  <c r="V76" i="190"/>
  <c r="V77" i="190"/>
  <c r="V78" i="190"/>
  <c r="V79" i="190"/>
  <c r="V80" i="190"/>
  <c r="V81" i="190"/>
  <c r="V82" i="190"/>
  <c r="V83" i="190"/>
  <c r="V84" i="190"/>
  <c r="V85" i="190"/>
  <c r="V86" i="190"/>
  <c r="V87" i="190"/>
  <c r="V88" i="190"/>
  <c r="V89" i="190"/>
  <c r="V90" i="190"/>
  <c r="V91" i="190"/>
  <c r="V92" i="190"/>
  <c r="V93" i="190"/>
  <c r="V94" i="190"/>
  <c r="V95" i="190"/>
  <c r="V96" i="190"/>
  <c r="V97" i="190"/>
  <c r="V98" i="190"/>
  <c r="V99" i="190"/>
  <c r="V100" i="190"/>
  <c r="V101" i="190"/>
  <c r="V102" i="190"/>
  <c r="V103" i="190"/>
  <c r="V104" i="190"/>
  <c r="V105" i="190"/>
  <c r="V106" i="190"/>
  <c r="V107" i="190"/>
  <c r="V108" i="190"/>
  <c r="V109" i="190"/>
  <c r="V110" i="190"/>
  <c r="V111" i="190"/>
  <c r="V112" i="190"/>
  <c r="V113" i="190"/>
  <c r="V114" i="190"/>
  <c r="V115" i="190"/>
  <c r="V116" i="190"/>
  <c r="V117" i="190"/>
  <c r="V118" i="190"/>
  <c r="V119" i="190"/>
  <c r="V120" i="190"/>
  <c r="V121" i="190"/>
  <c r="V122" i="190"/>
  <c r="V123" i="190"/>
  <c r="V124" i="190"/>
  <c r="V125" i="190"/>
  <c r="V126" i="190"/>
  <c r="V127" i="190"/>
  <c r="V128" i="190"/>
  <c r="V129" i="190"/>
  <c r="V130" i="190"/>
  <c r="V131" i="190"/>
  <c r="V132" i="190"/>
  <c r="V133" i="190"/>
  <c r="V134" i="190"/>
  <c r="V135" i="190"/>
  <c r="V136" i="190"/>
  <c r="V137" i="190"/>
  <c r="V138" i="190"/>
  <c r="V139" i="190"/>
  <c r="V140" i="190"/>
  <c r="V141" i="190"/>
  <c r="V142" i="190"/>
  <c r="V143" i="190"/>
  <c r="V144" i="190"/>
  <c r="V145" i="190"/>
  <c r="V146" i="190"/>
  <c r="V147" i="190"/>
  <c r="V148" i="190"/>
  <c r="V149" i="190"/>
  <c r="V150" i="190"/>
  <c r="V151" i="190"/>
  <c r="V152" i="190"/>
  <c r="V153" i="190"/>
  <c r="V154" i="190"/>
  <c r="V155" i="190"/>
  <c r="V156" i="190"/>
  <c r="V157" i="190"/>
  <c r="V158" i="190"/>
  <c r="V159" i="190"/>
  <c r="V160" i="190"/>
  <c r="V161" i="190"/>
  <c r="V162" i="190"/>
  <c r="V163" i="190"/>
  <c r="V164" i="190"/>
  <c r="V165" i="190"/>
  <c r="V166" i="190"/>
  <c r="V167" i="190"/>
  <c r="V168" i="190"/>
  <c r="V169" i="190"/>
  <c r="V170" i="190"/>
  <c r="V171" i="190"/>
  <c r="V8" i="190"/>
  <c r="R9" i="183"/>
  <c r="R10" i="183"/>
  <c r="R11" i="183"/>
  <c r="R12" i="183"/>
  <c r="R13" i="183"/>
  <c r="R14" i="183"/>
  <c r="R15" i="183"/>
  <c r="R16" i="183"/>
  <c r="R17" i="183"/>
  <c r="R18" i="183"/>
  <c r="R19" i="183"/>
  <c r="R20" i="183"/>
  <c r="R21" i="183"/>
  <c r="R22" i="183"/>
  <c r="R23" i="183"/>
  <c r="R24" i="183"/>
  <c r="R25" i="183"/>
  <c r="R26" i="183"/>
  <c r="R28" i="183"/>
  <c r="R29" i="183"/>
  <c r="R30" i="183"/>
  <c r="R31" i="183"/>
  <c r="R32" i="183"/>
  <c r="R33" i="183"/>
  <c r="R34" i="183"/>
  <c r="R35" i="183"/>
  <c r="R36" i="183"/>
  <c r="R37" i="183"/>
  <c r="R38" i="183"/>
  <c r="R39" i="183"/>
  <c r="R40" i="183"/>
  <c r="R41" i="183"/>
  <c r="R42" i="183"/>
  <c r="R43" i="183"/>
  <c r="R44" i="183"/>
  <c r="R45" i="183"/>
  <c r="R46" i="183"/>
  <c r="R47" i="183"/>
  <c r="R48" i="183"/>
  <c r="R49" i="183"/>
  <c r="R50" i="183"/>
  <c r="R51" i="183"/>
  <c r="R52" i="183"/>
  <c r="R53" i="183"/>
  <c r="R54" i="183"/>
  <c r="R55" i="183"/>
  <c r="R56" i="183"/>
  <c r="R57" i="183"/>
  <c r="R58" i="183"/>
  <c r="R59" i="183"/>
  <c r="R60" i="183"/>
  <c r="R61" i="183"/>
  <c r="R62" i="183"/>
  <c r="R63" i="183"/>
  <c r="R64" i="183"/>
  <c r="R65" i="183"/>
  <c r="R66" i="183"/>
  <c r="R67" i="183"/>
  <c r="R68" i="183"/>
  <c r="R69" i="183"/>
  <c r="R70" i="183"/>
  <c r="R71" i="183"/>
  <c r="R72" i="183"/>
  <c r="R73" i="183"/>
  <c r="R74" i="183"/>
  <c r="R75" i="183"/>
  <c r="R76" i="183"/>
  <c r="R77" i="183"/>
  <c r="R78" i="183"/>
  <c r="R79" i="183"/>
  <c r="R80" i="183"/>
  <c r="R81" i="183"/>
  <c r="R82" i="183"/>
  <c r="R83" i="183"/>
  <c r="R84" i="183"/>
  <c r="R85" i="183"/>
  <c r="R86" i="183"/>
  <c r="R87" i="183"/>
  <c r="R88" i="183"/>
  <c r="R89" i="183"/>
  <c r="R90" i="183"/>
  <c r="R91" i="183"/>
  <c r="R92" i="183"/>
  <c r="R93" i="183"/>
  <c r="R94" i="183"/>
  <c r="R95" i="183"/>
  <c r="R96" i="183"/>
  <c r="R97" i="183"/>
  <c r="R98" i="183"/>
  <c r="R99" i="183"/>
  <c r="R100" i="183"/>
  <c r="R101" i="183"/>
  <c r="R102" i="183"/>
  <c r="R103" i="183"/>
  <c r="R104" i="183"/>
  <c r="R105" i="183"/>
  <c r="R106" i="183"/>
  <c r="R107" i="183"/>
  <c r="R108" i="183"/>
  <c r="R109" i="183"/>
  <c r="R110" i="183"/>
  <c r="R111" i="183"/>
  <c r="R112" i="183"/>
  <c r="R113" i="183"/>
  <c r="R114" i="183"/>
  <c r="R115" i="183"/>
  <c r="R116" i="183"/>
  <c r="R117" i="183"/>
  <c r="R118" i="183"/>
  <c r="R119" i="183"/>
  <c r="R120" i="183"/>
  <c r="R121" i="183"/>
  <c r="R122" i="183"/>
  <c r="R123" i="183"/>
  <c r="R124" i="183"/>
  <c r="R125" i="183"/>
  <c r="R126" i="183"/>
  <c r="R127" i="183"/>
  <c r="R128" i="183"/>
  <c r="R129" i="183"/>
  <c r="R130" i="183"/>
  <c r="R131" i="183"/>
  <c r="R132" i="183"/>
  <c r="R133" i="183"/>
  <c r="R134" i="183"/>
  <c r="R135" i="183"/>
  <c r="R136" i="183"/>
  <c r="R137" i="183"/>
  <c r="R138" i="183"/>
  <c r="R139" i="183"/>
  <c r="R140" i="183"/>
  <c r="R141" i="183"/>
  <c r="R142" i="183"/>
  <c r="R143" i="183"/>
  <c r="R144" i="183"/>
  <c r="R145" i="183"/>
  <c r="R146" i="183"/>
  <c r="R147" i="183"/>
  <c r="R148" i="183"/>
  <c r="R149" i="183"/>
  <c r="R150" i="183"/>
  <c r="R151" i="183"/>
  <c r="R152" i="183"/>
  <c r="R153" i="183"/>
  <c r="R154" i="183"/>
  <c r="R155" i="183"/>
  <c r="R156" i="183"/>
  <c r="R157" i="183"/>
  <c r="R158" i="183"/>
  <c r="R159" i="183"/>
  <c r="R160" i="183"/>
  <c r="R161" i="183"/>
  <c r="R162" i="183"/>
  <c r="R163" i="183"/>
  <c r="R164" i="183"/>
  <c r="R165" i="183"/>
  <c r="R8" i="183"/>
  <c r="V20" i="149"/>
  <c r="V130" i="149"/>
  <c r="V151" i="149"/>
  <c r="V150" i="149"/>
  <c r="V110" i="149"/>
  <c r="V122" i="149"/>
  <c r="V103" i="149"/>
  <c r="V102" i="149"/>
  <c r="V100" i="149"/>
  <c r="V113" i="149"/>
  <c r="V112" i="149"/>
  <c r="V111" i="149"/>
  <c r="V123" i="149"/>
  <c r="V121" i="149"/>
  <c r="V120" i="149"/>
  <c r="V133" i="149"/>
  <c r="V132" i="149"/>
  <c r="V131" i="149"/>
  <c r="V143" i="149"/>
  <c r="V142" i="149"/>
  <c r="V141" i="149"/>
  <c r="V140" i="149"/>
  <c r="V153" i="149"/>
  <c r="V152" i="149"/>
  <c r="V164" i="149"/>
  <c r="V163" i="149"/>
  <c r="V162" i="149"/>
  <c r="V161" i="149"/>
  <c r="V10" i="149"/>
  <c r="Y4" i="149" a="1"/>
  <c r="Y4" i="149" s="1"/>
  <c r="U2" i="139" a="1"/>
  <c r="U2" i="139" s="1"/>
  <c r="R11" i="152"/>
  <c r="Y8" i="149"/>
  <c r="J9" i="166"/>
  <c r="J8" i="166"/>
  <c r="R12" i="152"/>
  <c r="R13" i="152"/>
  <c r="R14" i="152"/>
  <c r="R15" i="152"/>
  <c r="R16" i="152"/>
  <c r="R17" i="152"/>
  <c r="R18" i="152"/>
  <c r="R19" i="152"/>
  <c r="R20" i="152"/>
  <c r="R21" i="152"/>
  <c r="R22" i="152"/>
  <c r="R23" i="152"/>
  <c r="R24" i="152"/>
  <c r="R25" i="152"/>
  <c r="R27" i="152"/>
  <c r="R32" i="152"/>
  <c r="R33" i="152"/>
  <c r="R34" i="152"/>
  <c r="R39" i="152"/>
  <c r="R44" i="152"/>
  <c r="R45" i="152"/>
  <c r="R46" i="152"/>
  <c r="R51" i="152"/>
  <c r="R56" i="152"/>
  <c r="R57" i="152"/>
  <c r="R58" i="152"/>
  <c r="R63" i="152"/>
  <c r="R64" i="152"/>
  <c r="R65" i="152"/>
  <c r="R66" i="152"/>
  <c r="R67" i="152"/>
  <c r="R68" i="152"/>
  <c r="R69" i="152"/>
  <c r="R70" i="152"/>
  <c r="R71" i="152"/>
  <c r="R72" i="152"/>
  <c r="R73" i="152"/>
  <c r="R74" i="152"/>
  <c r="R75" i="152"/>
  <c r="R76" i="152"/>
  <c r="R77" i="152"/>
  <c r="R78" i="152"/>
  <c r="R79" i="152"/>
  <c r="Y83" i="152"/>
  <c r="R80" i="152"/>
  <c r="G6" i="88"/>
  <c r="G7" i="88"/>
  <c r="G8" i="88"/>
  <c r="G9" i="88"/>
  <c r="G10" i="88"/>
  <c r="G11" i="88"/>
  <c r="G12" i="88"/>
  <c r="G13" i="88"/>
  <c r="G14" i="88"/>
  <c r="G15" i="88"/>
  <c r="G3" i="88"/>
  <c r="P19" i="117"/>
  <c r="V2" i="122" a="1"/>
  <c r="V2" i="122" s="1"/>
  <c r="H66" i="117"/>
  <c r="W59" i="117" s="1"/>
  <c r="I66" i="117"/>
  <c r="X59" i="117" s="1"/>
  <c r="J66" i="117"/>
  <c r="Y59" i="117" s="1"/>
  <c r="K66" i="117"/>
  <c r="Z59" i="117" s="1"/>
  <c r="AG59" i="117" s="1"/>
  <c r="W16" i="141" s="1"/>
  <c r="M66" i="117"/>
  <c r="AB59" i="117" s="1"/>
  <c r="N66" i="117"/>
  <c r="AC59" i="117" s="1"/>
  <c r="G66" i="117"/>
  <c r="V59" i="117" s="1"/>
  <c r="Y12" i="206"/>
  <c r="X12" i="206"/>
  <c r="W12" i="206"/>
  <c r="V12" i="206"/>
  <c r="U12" i="206"/>
  <c r="G47" i="206"/>
  <c r="H47" i="206"/>
  <c r="I47" i="206"/>
  <c r="K47" i="206"/>
  <c r="L47" i="206"/>
  <c r="M47" i="206"/>
  <c r="F47" i="206"/>
  <c r="Y46" i="206"/>
  <c r="X46" i="206"/>
  <c r="W46" i="206"/>
  <c r="V46" i="206"/>
  <c r="U46" i="206"/>
  <c r="O46" i="206"/>
  <c r="Y13" i="206"/>
  <c r="X13" i="206"/>
  <c r="W13" i="206"/>
  <c r="V13" i="206"/>
  <c r="U13" i="206"/>
  <c r="O13" i="206"/>
  <c r="Y15" i="206"/>
  <c r="X15" i="206"/>
  <c r="W15" i="206"/>
  <c r="V15" i="206"/>
  <c r="U15" i="206"/>
  <c r="O15" i="206"/>
  <c r="X14" i="206"/>
  <c r="W14" i="206"/>
  <c r="V14" i="206"/>
  <c r="U14" i="206"/>
  <c r="O14" i="206"/>
  <c r="Y21" i="206"/>
  <c r="Y20" i="206"/>
  <c r="Y19" i="206"/>
  <c r="Y18" i="206"/>
  <c r="Y17" i="206"/>
  <c r="O16" i="206"/>
  <c r="Y23" i="206"/>
  <c r="X23" i="206"/>
  <c r="W23" i="206"/>
  <c r="V23" i="206"/>
  <c r="U23" i="206"/>
  <c r="O23" i="206"/>
  <c r="Y22" i="206"/>
  <c r="X22" i="206"/>
  <c r="W22" i="206"/>
  <c r="V22" i="206"/>
  <c r="U22" i="206"/>
  <c r="O22" i="206"/>
  <c r="X21" i="206"/>
  <c r="W21" i="206"/>
  <c r="V21" i="206"/>
  <c r="U21" i="206"/>
  <c r="O21" i="206"/>
  <c r="X20" i="206"/>
  <c r="W20" i="206"/>
  <c r="V20" i="206"/>
  <c r="U20" i="206"/>
  <c r="O20" i="206"/>
  <c r="X19" i="206"/>
  <c r="W19" i="206"/>
  <c r="V19" i="206"/>
  <c r="U19" i="206"/>
  <c r="O19" i="206"/>
  <c r="X18" i="206"/>
  <c r="W18" i="206"/>
  <c r="V18" i="206"/>
  <c r="U18" i="206"/>
  <c r="O18" i="206"/>
  <c r="X17" i="206"/>
  <c r="W17" i="206"/>
  <c r="V17" i="206"/>
  <c r="U17" i="206"/>
  <c r="O17" i="206"/>
  <c r="Y16" i="206"/>
  <c r="X16" i="206"/>
  <c r="W16" i="206"/>
  <c r="V16" i="206"/>
  <c r="U16" i="206"/>
  <c r="Y29" i="206"/>
  <c r="X29" i="206"/>
  <c r="W29" i="206"/>
  <c r="V29" i="206"/>
  <c r="U29" i="206"/>
  <c r="Y28" i="206"/>
  <c r="X28" i="206"/>
  <c r="W28" i="206"/>
  <c r="V28" i="206"/>
  <c r="U28" i="206"/>
  <c r="O28" i="206"/>
  <c r="Y27" i="206"/>
  <c r="X27" i="206"/>
  <c r="W27" i="206"/>
  <c r="V27" i="206"/>
  <c r="U27" i="206"/>
  <c r="O27" i="206"/>
  <c r="Y26" i="206"/>
  <c r="X26" i="206"/>
  <c r="W26" i="206"/>
  <c r="V26" i="206"/>
  <c r="U26" i="206"/>
  <c r="O26" i="206"/>
  <c r="Y25" i="206"/>
  <c r="X25" i="206"/>
  <c r="W25" i="206"/>
  <c r="V25" i="206"/>
  <c r="U25" i="206"/>
  <c r="Y24" i="206"/>
  <c r="X24" i="206"/>
  <c r="W24" i="206"/>
  <c r="V24" i="206"/>
  <c r="U24" i="206"/>
  <c r="O24" i="206"/>
  <c r="X10" i="206"/>
  <c r="W10" i="206"/>
  <c r="V10" i="206"/>
  <c r="U10" i="206"/>
  <c r="O10" i="206"/>
  <c r="Y33" i="206"/>
  <c r="X33" i="206"/>
  <c r="W33" i="206"/>
  <c r="V33" i="206"/>
  <c r="U33" i="206"/>
  <c r="O33" i="206"/>
  <c r="Y32" i="206"/>
  <c r="X32" i="206"/>
  <c r="W32" i="206"/>
  <c r="V32" i="206"/>
  <c r="U32" i="206"/>
  <c r="O32" i="206"/>
  <c r="Y31" i="206"/>
  <c r="X31" i="206"/>
  <c r="W31" i="206"/>
  <c r="V31" i="206"/>
  <c r="U31" i="206"/>
  <c r="O31" i="206"/>
  <c r="Y36" i="206"/>
  <c r="X36" i="206"/>
  <c r="W36" i="206"/>
  <c r="V36" i="206"/>
  <c r="U36" i="206"/>
  <c r="O36" i="206"/>
  <c r="Y35" i="206"/>
  <c r="X35" i="206"/>
  <c r="W35" i="206"/>
  <c r="V35" i="206"/>
  <c r="U35" i="206"/>
  <c r="O35" i="206"/>
  <c r="Y34" i="206"/>
  <c r="X34" i="206"/>
  <c r="W34" i="206"/>
  <c r="V34" i="206"/>
  <c r="U34" i="206"/>
  <c r="O34" i="206"/>
  <c r="Y39" i="206"/>
  <c r="X39" i="206"/>
  <c r="W39" i="206"/>
  <c r="V39" i="206"/>
  <c r="U39" i="206"/>
  <c r="O39" i="206"/>
  <c r="Y38" i="206"/>
  <c r="X38" i="206"/>
  <c r="W38" i="206"/>
  <c r="V38" i="206"/>
  <c r="U38" i="206"/>
  <c r="O38" i="206"/>
  <c r="Y37" i="206"/>
  <c r="X37" i="206"/>
  <c r="W37" i="206"/>
  <c r="V37" i="206"/>
  <c r="U37" i="206"/>
  <c r="O37" i="206"/>
  <c r="Y42" i="206"/>
  <c r="X42" i="206"/>
  <c r="W42" i="206"/>
  <c r="V42" i="206"/>
  <c r="U42" i="206"/>
  <c r="O42" i="206"/>
  <c r="Y41" i="206"/>
  <c r="X41" i="206"/>
  <c r="W41" i="206"/>
  <c r="V41" i="206"/>
  <c r="U41" i="206"/>
  <c r="Y40" i="206"/>
  <c r="X40" i="206"/>
  <c r="W40" i="206"/>
  <c r="V40" i="206"/>
  <c r="U40" i="206"/>
  <c r="O40" i="206"/>
  <c r="O44" i="206"/>
  <c r="Y45" i="206"/>
  <c r="Y44" i="206"/>
  <c r="Y43" i="206"/>
  <c r="Y30" i="206"/>
  <c r="Y11" i="206"/>
  <c r="U30" i="206"/>
  <c r="V30" i="206"/>
  <c r="W30" i="206"/>
  <c r="X30" i="206"/>
  <c r="U43" i="206"/>
  <c r="V43" i="206"/>
  <c r="W43" i="206"/>
  <c r="X43" i="206"/>
  <c r="U44" i="206"/>
  <c r="V44" i="206"/>
  <c r="W44" i="206"/>
  <c r="X44" i="206"/>
  <c r="U45" i="206"/>
  <c r="V45" i="206"/>
  <c r="W45" i="206"/>
  <c r="X45" i="206"/>
  <c r="X11" i="206"/>
  <c r="W11" i="206"/>
  <c r="V11" i="206"/>
  <c r="U11" i="206"/>
  <c r="P30" i="117"/>
  <c r="P55" i="117"/>
  <c r="P20" i="117"/>
  <c r="K16" i="141" l="1"/>
  <c r="W17" i="141" s="1"/>
  <c r="AG67" i="117"/>
  <c r="AH59" i="117"/>
  <c r="X16" i="141" s="1"/>
  <c r="AE59" i="117"/>
  <c r="U16" i="141" s="1"/>
  <c r="AF59" i="117"/>
  <c r="V16" i="141" s="1"/>
  <c r="S40" i="152"/>
  <c r="S59" i="152"/>
  <c r="S35" i="152"/>
  <c r="S49" i="152"/>
  <c r="S50" i="152"/>
  <c r="S30" i="152"/>
  <c r="S53" i="152"/>
  <c r="S37" i="152"/>
  <c r="S61" i="152"/>
  <c r="S55" i="152"/>
  <c r="S36" i="152"/>
  <c r="S29" i="152"/>
  <c r="S60" i="152"/>
  <c r="S62" i="152"/>
  <c r="S43" i="152"/>
  <c r="S52" i="152"/>
  <c r="S28" i="152"/>
  <c r="S42" i="152"/>
  <c r="S41" i="152"/>
  <c r="S54" i="152"/>
  <c r="S47" i="152"/>
  <c r="S48" i="152"/>
  <c r="S31" i="152"/>
  <c r="S38" i="152"/>
  <c r="AD59" i="117"/>
  <c r="S13" i="152"/>
  <c r="S21" i="152"/>
  <c r="S79" i="152"/>
  <c r="S71" i="152"/>
  <c r="S67" i="152"/>
  <c r="S45" i="152"/>
  <c r="S26" i="152"/>
  <c r="O47" i="206"/>
  <c r="Y48" i="206" s="1"/>
  <c r="U30" i="138" a="1"/>
  <c r="U30" i="138" s="1"/>
  <c r="D72" i="117"/>
  <c r="U16" i="138" a="1"/>
  <c r="U16" i="138" s="1"/>
  <c r="V43" i="138" a="1"/>
  <c r="V43" i="138" s="1"/>
  <c r="Q50" i="138"/>
  <c r="Q49" i="138"/>
  <c r="S15" i="152"/>
  <c r="S12" i="152"/>
  <c r="S78" i="152"/>
  <c r="S58" i="152"/>
  <c r="S69" i="152"/>
  <c r="S76" i="152"/>
  <c r="S56" i="152"/>
  <c r="S18" i="152"/>
  <c r="S75" i="152"/>
  <c r="S63" i="152"/>
  <c r="S33" i="152"/>
  <c r="S25" i="152"/>
  <c r="S17" i="152"/>
  <c r="S66" i="152"/>
  <c r="S65" i="152"/>
  <c r="S27" i="152"/>
  <c r="S74" i="152"/>
  <c r="S51" i="152"/>
  <c r="S32" i="152"/>
  <c r="S24" i="152"/>
  <c r="S16" i="152"/>
  <c r="S11" i="152"/>
  <c r="S77" i="152"/>
  <c r="S57" i="152"/>
  <c r="S19" i="152"/>
  <c r="S34" i="152"/>
  <c r="S73" i="152"/>
  <c r="S39" i="152"/>
  <c r="S23" i="152"/>
  <c r="S70" i="152"/>
  <c r="S44" i="152"/>
  <c r="S20" i="152"/>
  <c r="S64" i="152"/>
  <c r="S72" i="152"/>
  <c r="S68" i="152"/>
  <c r="S46" i="152"/>
  <c r="S22" i="152"/>
  <c r="S14" i="152"/>
  <c r="K128" i="183"/>
  <c r="K164" i="183"/>
  <c r="K152" i="183"/>
  <c r="K140" i="183"/>
  <c r="K116" i="183"/>
  <c r="I172" i="183" s="1"/>
  <c r="K104" i="183"/>
  <c r="K80" i="183"/>
  <c r="I169" i="183" s="1"/>
  <c r="G18" i="88"/>
  <c r="W16" i="152"/>
  <c r="W23" i="152"/>
  <c r="W11" i="152"/>
  <c r="P16" i="166"/>
  <c r="P17" i="166"/>
  <c r="P11" i="166"/>
  <c r="P19" i="166"/>
  <c r="P14" i="166"/>
  <c r="P9" i="166"/>
  <c r="P15" i="166"/>
  <c r="O8" i="166"/>
  <c r="P8" i="166" s="1"/>
  <c r="P18" i="166"/>
  <c r="P10" i="166"/>
  <c r="P13" i="166"/>
  <c r="P12" i="166"/>
  <c r="V113" i="152"/>
  <c r="W76" i="152"/>
  <c r="V21" i="152"/>
  <c r="V33" i="152"/>
  <c r="V9" i="152"/>
  <c r="M17" i="141"/>
  <c r="Y18" i="141" s="1"/>
  <c r="M16" i="139"/>
  <c r="M22" i="139"/>
  <c r="S80" i="152"/>
  <c r="P60" i="117"/>
  <c r="P53" i="117"/>
  <c r="P46" i="117"/>
  <c r="P39" i="117"/>
  <c r="P32" i="117"/>
  <c r="P25" i="117"/>
  <c r="P18" i="117"/>
  <c r="J16" i="141" l="1"/>
  <c r="V17" i="141" s="1"/>
  <c r="AF67" i="117"/>
  <c r="L16" i="141"/>
  <c r="X17" i="141" s="1"/>
  <c r="AH67" i="117"/>
  <c r="I16" i="141"/>
  <c r="U17" i="141" s="1"/>
  <c r="AE67" i="117"/>
  <c r="H99" i="152"/>
  <c r="H91" i="152"/>
  <c r="H90" i="152" s="1"/>
  <c r="Z47" i="206"/>
  <c r="P47" i="206"/>
  <c r="Q51" i="138" a="1"/>
  <c r="Q51" i="138" s="1"/>
  <c r="U7" i="138" s="1"/>
  <c r="D15" i="214" s="1"/>
  <c r="R13" i="123"/>
  <c r="H13" i="123"/>
  <c r="W9" i="152"/>
  <c r="W113" i="152"/>
  <c r="X113" i="152"/>
  <c r="I16" i="122" l="1"/>
  <c r="K12" i="122"/>
  <c r="R9" i="164"/>
  <c r="AA9" i="164" s="1"/>
  <c r="R7" i="164"/>
  <c r="R6" i="164"/>
  <c r="R9" i="165"/>
  <c r="R9" i="161"/>
  <c r="AA9" i="161" s="1"/>
  <c r="R7" i="161"/>
  <c r="AA7" i="161" s="1"/>
  <c r="R10" i="177"/>
  <c r="W10" i="177" s="1"/>
  <c r="R7" i="177"/>
  <c r="W7" i="177" s="1"/>
  <c r="R6" i="177"/>
  <c r="R6" i="161"/>
  <c r="R6" i="165"/>
  <c r="T33" i="139"/>
  <c r="R33" i="139"/>
  <c r="T32" i="139"/>
  <c r="R32" i="139"/>
  <c r="R3" i="139"/>
  <c r="C13" i="123"/>
  <c r="G15" i="198"/>
  <c r="C15" i="123" s="1"/>
  <c r="N15" i="198"/>
  <c r="AB9" i="165" l="1"/>
  <c r="AB7" i="165"/>
  <c r="W36" i="122"/>
  <c r="I36" i="122"/>
  <c r="M15" i="123"/>
  <c r="M33" i="139"/>
  <c r="M32" i="139"/>
  <c r="R21" i="139"/>
  <c r="T21" i="139"/>
  <c r="R23" i="139"/>
  <c r="T23" i="139"/>
  <c r="M23" i="139" s="1"/>
  <c r="R26" i="139" l="1"/>
  <c r="T26" i="139"/>
  <c r="T11" i="139"/>
  <c r="R11" i="139"/>
  <c r="W64" i="152"/>
  <c r="V69" i="152" l="1"/>
  <c r="W71" i="152"/>
  <c r="U83" i="152"/>
  <c r="U82" i="152"/>
  <c r="V45" i="152"/>
  <c r="V57" i="152"/>
  <c r="I83" i="152"/>
  <c r="I82" i="152"/>
  <c r="I33" i="152"/>
  <c r="W33" i="152" s="1"/>
  <c r="I69" i="152"/>
  <c r="I57" i="152"/>
  <c r="I21" i="152"/>
  <c r="W21" i="152" s="1"/>
  <c r="Y25" i="190"/>
  <c r="AA25" i="190"/>
  <c r="AC25" i="190"/>
  <c r="AD25" i="190"/>
  <c r="AE25" i="190"/>
  <c r="AF25" i="190"/>
  <c r="C7" i="164"/>
  <c r="I81" i="152" l="1"/>
  <c r="S113" i="152" s="1"/>
  <c r="W57" i="152"/>
  <c r="W45" i="152"/>
  <c r="W69" i="152"/>
  <c r="AG25" i="190"/>
  <c r="W83" i="152"/>
  <c r="W82" i="152"/>
  <c r="U81" i="152"/>
  <c r="Y113" i="152" l="1"/>
  <c r="W81" i="152"/>
  <c r="R113" i="152" l="1"/>
  <c r="D9" i="214" s="1"/>
  <c r="R16" i="177"/>
  <c r="S16" i="177" s="1"/>
  <c r="U16" i="177"/>
  <c r="M11" i="139" l="1"/>
  <c r="M21" i="139" l="1"/>
  <c r="K44" i="139"/>
  <c r="K39" i="139"/>
  <c r="K34" i="139"/>
  <c r="K29" i="139"/>
  <c r="K24" i="139"/>
  <c r="H14" i="141" l="1"/>
  <c r="H12" i="141"/>
  <c r="H13" i="141"/>
  <c r="H15" i="141"/>
  <c r="H16" i="141"/>
  <c r="R44" i="139"/>
  <c r="T44" i="139"/>
  <c r="S44" i="139" s="1"/>
  <c r="K35" i="122"/>
  <c r="K34" i="122"/>
  <c r="K33" i="122"/>
  <c r="K32" i="122"/>
  <c r="K30" i="122"/>
  <c r="K29" i="122"/>
  <c r="K28" i="122"/>
  <c r="K27" i="122"/>
  <c r="K25" i="122"/>
  <c r="K24" i="122"/>
  <c r="K23" i="122"/>
  <c r="K22" i="122"/>
  <c r="K20" i="122"/>
  <c r="K19" i="122"/>
  <c r="K18" i="122"/>
  <c r="K17" i="122"/>
  <c r="K15" i="122"/>
  <c r="K13" i="122"/>
  <c r="AA7" i="164" l="1"/>
  <c r="S36" i="122"/>
  <c r="R36" i="122" s="1"/>
  <c r="S35" i="122"/>
  <c r="R35" i="122" s="1"/>
  <c r="S34" i="122"/>
  <c r="R34" i="122" s="1"/>
  <c r="S33" i="122"/>
  <c r="S32" i="122"/>
  <c r="S31" i="122"/>
  <c r="R31" i="122" s="1"/>
  <c r="S30" i="122"/>
  <c r="R30" i="122" s="1"/>
  <c r="S29" i="122"/>
  <c r="R29" i="122" s="1"/>
  <c r="S28" i="122"/>
  <c r="R28" i="122" s="1"/>
  <c r="S27" i="122"/>
  <c r="R27" i="122" s="1"/>
  <c r="S26" i="122"/>
  <c r="R26" i="122" s="1"/>
  <c r="S25" i="122"/>
  <c r="R25" i="122" s="1"/>
  <c r="S24" i="122"/>
  <c r="R24" i="122" s="1"/>
  <c r="S23" i="122"/>
  <c r="R23" i="122" s="1"/>
  <c r="S22" i="122"/>
  <c r="S21" i="122"/>
  <c r="R21" i="122" s="1"/>
  <c r="S20" i="122"/>
  <c r="R20" i="122" s="1"/>
  <c r="S19" i="122"/>
  <c r="S18" i="122"/>
  <c r="S17" i="122"/>
  <c r="S16" i="122"/>
  <c r="R16" i="122" s="1"/>
  <c r="S15" i="122"/>
  <c r="R15" i="122" s="1"/>
  <c r="S14" i="122"/>
  <c r="S13" i="122"/>
  <c r="S12" i="122"/>
  <c r="S11" i="122"/>
  <c r="R11" i="122" s="1"/>
  <c r="S7" i="122"/>
  <c r="S6" i="122"/>
  <c r="Q6" i="122"/>
  <c r="Q36" i="122"/>
  <c r="Q35" i="122"/>
  <c r="Q34" i="122"/>
  <c r="Q33" i="122"/>
  <c r="Q32" i="122"/>
  <c r="Q31" i="122"/>
  <c r="Q30" i="122"/>
  <c r="Q29" i="122"/>
  <c r="Q28" i="122"/>
  <c r="Q27" i="122"/>
  <c r="Q26" i="122"/>
  <c r="Q25" i="122"/>
  <c r="Q24" i="122"/>
  <c r="Q23" i="122"/>
  <c r="Q22" i="122"/>
  <c r="Q21" i="122"/>
  <c r="Q20" i="122"/>
  <c r="Q19" i="122"/>
  <c r="Q18" i="122"/>
  <c r="Q17" i="122"/>
  <c r="Q16" i="122"/>
  <c r="Q15" i="122"/>
  <c r="Q14" i="122"/>
  <c r="Q13" i="122"/>
  <c r="Q12" i="122"/>
  <c r="Q11" i="122"/>
  <c r="Q7" i="122"/>
  <c r="R4" i="139"/>
  <c r="T10" i="139"/>
  <c r="S10" i="139" s="1"/>
  <c r="T12" i="139"/>
  <c r="T13" i="139"/>
  <c r="T14" i="139"/>
  <c r="S14" i="139" s="1"/>
  <c r="T15" i="139"/>
  <c r="S15" i="139" s="1"/>
  <c r="T17" i="139"/>
  <c r="T18" i="139"/>
  <c r="T19" i="139"/>
  <c r="S19" i="139" s="1"/>
  <c r="T20" i="139"/>
  <c r="S20" i="139" s="1"/>
  <c r="T24" i="139"/>
  <c r="S24" i="139" s="1"/>
  <c r="T25" i="139"/>
  <c r="S25" i="139" s="1"/>
  <c r="T27" i="139"/>
  <c r="T28" i="139"/>
  <c r="S28" i="139" s="1"/>
  <c r="T29" i="139"/>
  <c r="S29" i="139" s="1"/>
  <c r="T30" i="139"/>
  <c r="S30" i="139" s="1"/>
  <c r="T31" i="139"/>
  <c r="T34" i="139"/>
  <c r="S34" i="139" s="1"/>
  <c r="T35" i="139"/>
  <c r="S35" i="139" s="1"/>
  <c r="T36" i="139"/>
  <c r="T37" i="139"/>
  <c r="S37" i="139" s="1"/>
  <c r="T38" i="139"/>
  <c r="S38" i="139" s="1"/>
  <c r="T39" i="139"/>
  <c r="S39" i="139" s="1"/>
  <c r="T40" i="139"/>
  <c r="S40" i="139" s="1"/>
  <c r="T41" i="139"/>
  <c r="T42" i="139"/>
  <c r="T43" i="139"/>
  <c r="S43" i="139" s="1"/>
  <c r="T45" i="139"/>
  <c r="S45" i="139" s="1"/>
  <c r="T46" i="139"/>
  <c r="T47" i="139"/>
  <c r="T48" i="139"/>
  <c r="S48" i="139" s="1"/>
  <c r="T49" i="139"/>
  <c r="S49" i="139" s="1"/>
  <c r="T9" i="139"/>
  <c r="R10" i="139"/>
  <c r="R12" i="139"/>
  <c r="R13" i="139"/>
  <c r="R14" i="139"/>
  <c r="R15" i="139"/>
  <c r="R17" i="139"/>
  <c r="R18" i="139"/>
  <c r="R19" i="139"/>
  <c r="R20" i="139"/>
  <c r="R24" i="139"/>
  <c r="R25" i="139"/>
  <c r="R27" i="139"/>
  <c r="R28" i="139"/>
  <c r="R29" i="139"/>
  <c r="R30" i="139"/>
  <c r="R31" i="139"/>
  <c r="R34" i="139"/>
  <c r="R35" i="139"/>
  <c r="R36" i="139"/>
  <c r="R37" i="139"/>
  <c r="R38" i="139"/>
  <c r="R39" i="139"/>
  <c r="R40" i="139"/>
  <c r="R41" i="139"/>
  <c r="R42" i="139"/>
  <c r="R43" i="139"/>
  <c r="R45" i="139"/>
  <c r="R46" i="139"/>
  <c r="R47" i="139"/>
  <c r="R48" i="139"/>
  <c r="R49" i="139"/>
  <c r="R9" i="139"/>
  <c r="R19" i="122" l="1"/>
  <c r="S47" i="139"/>
  <c r="S46" i="139"/>
  <c r="R6" i="122"/>
  <c r="S32" i="139"/>
  <c r="S33" i="139"/>
  <c r="S23" i="139"/>
  <c r="S21" i="139"/>
  <c r="S26" i="139"/>
  <c r="S11" i="139"/>
  <c r="R32" i="122"/>
  <c r="R12" i="122"/>
  <c r="R13" i="122"/>
  <c r="R14" i="122"/>
  <c r="R17" i="122"/>
  <c r="R18" i="122"/>
  <c r="R22" i="122"/>
  <c r="R7" i="122"/>
  <c r="M20" i="139"/>
  <c r="R33" i="122"/>
  <c r="M10" i="139"/>
  <c r="M40" i="139"/>
  <c r="M15" i="139"/>
  <c r="M43" i="139"/>
  <c r="S36" i="139"/>
  <c r="S18" i="139"/>
  <c r="S27" i="139"/>
  <c r="S12" i="139"/>
  <c r="S42" i="139"/>
  <c r="S9" i="139"/>
  <c r="S13" i="139"/>
  <c r="S17" i="139"/>
  <c r="S41" i="139"/>
  <c r="S31" i="139"/>
  <c r="M9" i="139" l="1"/>
  <c r="W16" i="139"/>
  <c r="V16" i="139"/>
  <c r="U16" i="139"/>
  <c r="W22" i="139"/>
  <c r="V22" i="139"/>
  <c r="U22" i="139"/>
  <c r="W32" i="139"/>
  <c r="U32" i="139"/>
  <c r="V33" i="139"/>
  <c r="V32" i="139"/>
  <c r="W33" i="139"/>
  <c r="U33" i="139"/>
  <c r="W23" i="139"/>
  <c r="U23" i="139"/>
  <c r="V21" i="139"/>
  <c r="V23" i="139"/>
  <c r="W21" i="139"/>
  <c r="U21" i="139"/>
  <c r="W11" i="139"/>
  <c r="U11" i="139"/>
  <c r="W26" i="139"/>
  <c r="U26" i="139"/>
  <c r="V11" i="139"/>
  <c r="V26" i="139"/>
  <c r="W44" i="139"/>
  <c r="U44" i="139"/>
  <c r="V44" i="139"/>
  <c r="U10" i="139"/>
  <c r="W10" i="139"/>
  <c r="V13" i="139"/>
  <c r="U15" i="139"/>
  <c r="W15" i="139"/>
  <c r="V18" i="139"/>
  <c r="U20" i="139"/>
  <c r="W20" i="139"/>
  <c r="V25" i="139"/>
  <c r="U28" i="139"/>
  <c r="W28" i="139"/>
  <c r="V30" i="139"/>
  <c r="V34" i="139"/>
  <c r="U36" i="139"/>
  <c r="W36" i="139"/>
  <c r="V38" i="139"/>
  <c r="U40" i="139"/>
  <c r="W40" i="139"/>
  <c r="V42" i="139"/>
  <c r="U45" i="139"/>
  <c r="W45" i="139"/>
  <c r="V47" i="139"/>
  <c r="U49" i="139"/>
  <c r="W49" i="139"/>
  <c r="V9" i="139"/>
  <c r="U12" i="139"/>
  <c r="W12" i="139"/>
  <c r="V14" i="139"/>
  <c r="U17" i="139"/>
  <c r="W17" i="139"/>
  <c r="V19" i="139"/>
  <c r="U24" i="139"/>
  <c r="W24" i="139"/>
  <c r="V27" i="139"/>
  <c r="U29" i="139"/>
  <c r="W29" i="139"/>
  <c r="V31" i="139"/>
  <c r="V35" i="139"/>
  <c r="U37" i="139"/>
  <c r="W37" i="139"/>
  <c r="V39" i="139"/>
  <c r="U41" i="139"/>
  <c r="W41" i="139"/>
  <c r="V43" i="139"/>
  <c r="U46" i="139"/>
  <c r="W46" i="139"/>
  <c r="V48" i="139"/>
  <c r="V10" i="139"/>
  <c r="U13" i="139"/>
  <c r="W13" i="139"/>
  <c r="V15" i="139"/>
  <c r="U18" i="139"/>
  <c r="W18" i="139"/>
  <c r="V20" i="139"/>
  <c r="U25" i="139"/>
  <c r="W25" i="139"/>
  <c r="V28" i="139"/>
  <c r="U30" i="139"/>
  <c r="W30" i="139"/>
  <c r="U34" i="139"/>
  <c r="W34" i="139"/>
  <c r="V36" i="139"/>
  <c r="U38" i="139"/>
  <c r="W38" i="139"/>
  <c r="V40" i="139"/>
  <c r="U42" i="139"/>
  <c r="W42" i="139"/>
  <c r="V45" i="139"/>
  <c r="U47" i="139"/>
  <c r="W47" i="139"/>
  <c r="V49" i="139"/>
  <c r="U9" i="139"/>
  <c r="W9" i="139"/>
  <c r="V12" i="139"/>
  <c r="U14" i="139"/>
  <c r="W14" i="139"/>
  <c r="V17" i="139"/>
  <c r="U19" i="139"/>
  <c r="W19" i="139"/>
  <c r="V24" i="139"/>
  <c r="U27" i="139"/>
  <c r="W27" i="139"/>
  <c r="V29" i="139"/>
  <c r="U31" i="139"/>
  <c r="W31" i="139"/>
  <c r="U35" i="139"/>
  <c r="W35" i="139"/>
  <c r="V37" i="139"/>
  <c r="U39" i="139"/>
  <c r="W39" i="139"/>
  <c r="V41" i="139"/>
  <c r="U43" i="139"/>
  <c r="W43" i="139"/>
  <c r="V46" i="139"/>
  <c r="U48" i="139"/>
  <c r="W48" i="139"/>
  <c r="Y9" i="139" l="1" a="1"/>
  <c r="Y9" i="139" s="1"/>
  <c r="U3" i="139" s="1"/>
  <c r="AA9" i="139" a="1"/>
  <c r="AA9" i="139" s="1"/>
  <c r="Z9" i="139" a="1"/>
  <c r="Z9" i="139" s="1"/>
  <c r="M45" i="139"/>
  <c r="M46" i="139" l="1"/>
  <c r="M47" i="139" l="1"/>
  <c r="M18" i="139"/>
  <c r="M48" i="139" l="1"/>
  <c r="M25" i="139"/>
  <c r="M27" i="139" l="1"/>
  <c r="M28" i="139" l="1"/>
  <c r="M30" i="139" l="1"/>
  <c r="M35" i="139" l="1"/>
  <c r="U4" i="139" l="1"/>
  <c r="M36" i="139"/>
  <c r="U5" i="139" l="1"/>
  <c r="M38" i="139"/>
  <c r="M37" i="139"/>
  <c r="R15" i="164" l="1"/>
  <c r="S15" i="164" s="1"/>
  <c r="T15" i="164" s="1"/>
  <c r="U15" i="164" s="1"/>
  <c r="Y15" i="164"/>
  <c r="R13" i="164"/>
  <c r="S13" i="164" s="1"/>
  <c r="Y13" i="164"/>
  <c r="R14" i="164"/>
  <c r="S14" i="164" s="1"/>
  <c r="U14" i="164"/>
  <c r="Y14" i="164"/>
  <c r="W17" i="164"/>
  <c r="W16" i="164"/>
  <c r="W12" i="164"/>
  <c r="Y17" i="164"/>
  <c r="Y16" i="164"/>
  <c r="Y12" i="164"/>
  <c r="U17" i="164"/>
  <c r="U16" i="164"/>
  <c r="U12" i="164"/>
  <c r="T12" i="164"/>
  <c r="T17" i="164"/>
  <c r="T16" i="164"/>
  <c r="S17" i="164"/>
  <c r="S16" i="164"/>
  <c r="S12" i="164"/>
  <c r="R17" i="164"/>
  <c r="R16" i="164"/>
  <c r="R12" i="164"/>
  <c r="W15" i="164" l="1"/>
  <c r="T13" i="164"/>
  <c r="U13" i="164" s="1"/>
  <c r="T14" i="164"/>
  <c r="W14" i="164" s="1"/>
  <c r="R14" i="177"/>
  <c r="S14" i="177" s="1"/>
  <c r="R15" i="177"/>
  <c r="S15" i="177" s="1"/>
  <c r="R17" i="177"/>
  <c r="R18" i="177"/>
  <c r="R13" i="177"/>
  <c r="S13" i="177"/>
  <c r="U15" i="177"/>
  <c r="U14" i="177"/>
  <c r="U13" i="177"/>
  <c r="U18" i="177"/>
  <c r="U17" i="177"/>
  <c r="S17" i="177"/>
  <c r="S18" i="177"/>
  <c r="R13" i="161"/>
  <c r="T13" i="161" s="1"/>
  <c r="U13" i="161" s="1"/>
  <c r="W13" i="161" s="1"/>
  <c r="Y13" i="161"/>
  <c r="R14" i="161"/>
  <c r="T14" i="161"/>
  <c r="U14" i="161"/>
  <c r="Y14" i="161"/>
  <c r="R15" i="161"/>
  <c r="T15" i="161" s="1"/>
  <c r="U15" i="161" s="1"/>
  <c r="W15" i="161"/>
  <c r="Y15" i="161"/>
  <c r="Y17" i="161"/>
  <c r="Y16" i="161"/>
  <c r="Y12" i="161"/>
  <c r="W17" i="161"/>
  <c r="W16" i="161"/>
  <c r="U16" i="161"/>
  <c r="U17" i="161"/>
  <c r="R12" i="161"/>
  <c r="T17" i="161"/>
  <c r="T16" i="161"/>
  <c r="R17" i="161"/>
  <c r="R16" i="161"/>
  <c r="T16" i="177" l="1"/>
  <c r="T15" i="177"/>
  <c r="T14" i="177"/>
  <c r="T13" i="177"/>
  <c r="V13" i="177" s="1" a="1"/>
  <c r="V13" i="177" s="1"/>
  <c r="R11" i="177" s="1"/>
  <c r="F11" i="177" s="1"/>
  <c r="W11" i="177" s="1"/>
  <c r="T18" i="177"/>
  <c r="V18" i="177" s="1" a="1"/>
  <c r="V18" i="177" s="1"/>
  <c r="T17" i="177"/>
  <c r="V17" i="177" s="1" a="1"/>
  <c r="V17" i="177" s="1"/>
  <c r="V15" i="177" a="1"/>
  <c r="V15" i="177" s="1"/>
  <c r="V14" i="177" a="1"/>
  <c r="V14" i="177" s="1"/>
  <c r="V16" i="177" a="1"/>
  <c r="V16" i="177" s="1"/>
  <c r="W14" i="161"/>
  <c r="W13" i="164"/>
  <c r="T12" i="161"/>
  <c r="U12" i="161" s="1"/>
  <c r="Z17" i="164" l="1" a="1"/>
  <c r="Z17" i="164" s="1"/>
  <c r="Z16" i="164" a="1"/>
  <c r="Z16" i="164" s="1"/>
  <c r="Z15" i="164" a="1"/>
  <c r="Z15" i="164" s="1"/>
  <c r="Z13" i="164" a="1"/>
  <c r="Z13" i="164" s="1"/>
  <c r="Z12" i="164" a="1"/>
  <c r="Z12" i="164" s="1"/>
  <c r="R10" i="164" s="1"/>
  <c r="F10" i="164" s="1"/>
  <c r="V5" i="177"/>
  <c r="D22" i="214" s="1"/>
  <c r="Z14" i="164" a="1"/>
  <c r="Z14" i="164" s="1"/>
  <c r="W12" i="161"/>
  <c r="X12" i="161" l="1"/>
  <c r="X17" i="161"/>
  <c r="X16" i="161"/>
  <c r="Z16" i="161" s="1" a="1"/>
  <c r="Z16" i="161" s="1"/>
  <c r="X15" i="161"/>
  <c r="X14" i="161"/>
  <c r="X13" i="161"/>
  <c r="AA10" i="164"/>
  <c r="Z5" i="164" s="1"/>
  <c r="D27" i="214" s="1"/>
  <c r="Z12" i="161" a="1"/>
  <c r="Z12" i="161" s="1"/>
  <c r="R10" i="161" s="1"/>
  <c r="F10" i="161" s="1"/>
  <c r="AA10" i="161" s="1"/>
  <c r="Z5" i="161" s="1"/>
  <c r="D21" i="214" s="1"/>
  <c r="Z13" i="161" a="1"/>
  <c r="Z13" i="161" s="1"/>
  <c r="Z15" i="161" a="1"/>
  <c r="Z15" i="161" s="1"/>
  <c r="Z14" i="161" a="1"/>
  <c r="Z14" i="161" s="1"/>
  <c r="Z17" i="161" a="1"/>
  <c r="Z17" i="161" s="1"/>
  <c r="M42" i="139"/>
  <c r="M41" i="139"/>
  <c r="K7" i="122"/>
  <c r="K14" i="122" l="1"/>
  <c r="R42" i="122" s="1" a="1"/>
  <c r="R42" i="122" s="1"/>
  <c r="M26" i="139"/>
  <c r="R41" i="122" l="1"/>
  <c r="M31" i="139"/>
  <c r="S45" i="149"/>
  <c r="V45" i="149"/>
  <c r="AK45" i="149" s="1"/>
  <c r="Y45" i="149"/>
  <c r="AA45" i="149"/>
  <c r="Z45" i="149" s="1"/>
  <c r="AD45" i="149"/>
  <c r="AE45" i="149"/>
  <c r="AH45" i="149"/>
  <c r="S46" i="149"/>
  <c r="V46" i="149"/>
  <c r="AK46" i="149" s="1"/>
  <c r="Y46" i="149"/>
  <c r="AA46" i="149"/>
  <c r="Z46" i="149" s="1"/>
  <c r="AD46" i="149"/>
  <c r="AE46" i="149"/>
  <c r="AH46" i="149"/>
  <c r="V47" i="149"/>
  <c r="AK47" i="149" s="1"/>
  <c r="Y47" i="149"/>
  <c r="AA47" i="149"/>
  <c r="Z47" i="149" s="1"/>
  <c r="AD47" i="149"/>
  <c r="AE47" i="149"/>
  <c r="AH47" i="149"/>
  <c r="V48" i="149"/>
  <c r="AK48" i="149" s="1"/>
  <c r="Y48" i="149"/>
  <c r="AA48" i="149"/>
  <c r="Z48" i="149" s="1"/>
  <c r="AD48" i="149"/>
  <c r="AE48" i="149"/>
  <c r="AH48" i="149"/>
  <c r="S49" i="149"/>
  <c r="V49" i="149"/>
  <c r="AK49" i="149" s="1"/>
  <c r="Y49" i="149"/>
  <c r="AA49" i="149"/>
  <c r="Z49" i="149" s="1"/>
  <c r="AD49" i="149"/>
  <c r="AE49" i="149"/>
  <c r="AH49" i="149"/>
  <c r="V38" i="149"/>
  <c r="AK38" i="149" s="1"/>
  <c r="Y38" i="149"/>
  <c r="AA38" i="149"/>
  <c r="AD38" i="149"/>
  <c r="AE38" i="149"/>
  <c r="AH38" i="149"/>
  <c r="S39" i="149"/>
  <c r="V39" i="149"/>
  <c r="AK39" i="149" s="1"/>
  <c r="Y39" i="149"/>
  <c r="AA39" i="149"/>
  <c r="Z39" i="149" s="1"/>
  <c r="AD39" i="149"/>
  <c r="AE39" i="149"/>
  <c r="AH39" i="149"/>
  <c r="S40" i="149"/>
  <c r="V40" i="149"/>
  <c r="AK40" i="149" s="1"/>
  <c r="Y40" i="149"/>
  <c r="AA40" i="149"/>
  <c r="Z40" i="149" s="1"/>
  <c r="AD40" i="149"/>
  <c r="AE40" i="149"/>
  <c r="AH40" i="149"/>
  <c r="AD12" i="149"/>
  <c r="AA12" i="149"/>
  <c r="Z12" i="149" s="1"/>
  <c r="Y12" i="149"/>
  <c r="AK12" i="149"/>
  <c r="AA11" i="149"/>
  <c r="Y11" i="149"/>
  <c r="AA10" i="149"/>
  <c r="Y10" i="149"/>
  <c r="AK10" i="149"/>
  <c r="Y142" i="190"/>
  <c r="AA142" i="190"/>
  <c r="AC142" i="190"/>
  <c r="AD142" i="190"/>
  <c r="AE142" i="190"/>
  <c r="AF142" i="190"/>
  <c r="AF71" i="190"/>
  <c r="AE71" i="190"/>
  <c r="AD71" i="190"/>
  <c r="AC71" i="190"/>
  <c r="AA71" i="190"/>
  <c r="Y71" i="190"/>
  <c r="AF65" i="190"/>
  <c r="AE65" i="190"/>
  <c r="AD65" i="190"/>
  <c r="AC65" i="190"/>
  <c r="AA65" i="190"/>
  <c r="Y65" i="190"/>
  <c r="AF66" i="190"/>
  <c r="AE66" i="190"/>
  <c r="AD66" i="190"/>
  <c r="AC66" i="190"/>
  <c r="AA66" i="190"/>
  <c r="Y66" i="190"/>
  <c r="R15" i="165"/>
  <c r="S15" i="165"/>
  <c r="U15" i="165"/>
  <c r="V15" i="165"/>
  <c r="X15" i="165"/>
  <c r="R16" i="165"/>
  <c r="S16" i="165"/>
  <c r="U16" i="165"/>
  <c r="V16" i="165"/>
  <c r="X16" i="165"/>
  <c r="R12" i="165"/>
  <c r="V13" i="165"/>
  <c r="V12" i="165"/>
  <c r="R13" i="165"/>
  <c r="Z13" i="165" s="1"/>
  <c r="U13" i="165"/>
  <c r="U12" i="165"/>
  <c r="S13" i="165"/>
  <c r="S12" i="165"/>
  <c r="AA171" i="190"/>
  <c r="AA170" i="190"/>
  <c r="AA169" i="190"/>
  <c r="AA168" i="190"/>
  <c r="AA167" i="190"/>
  <c r="AA166" i="190"/>
  <c r="AA165" i="190"/>
  <c r="AA164" i="190"/>
  <c r="AA163" i="190"/>
  <c r="AA162" i="190"/>
  <c r="AA161" i="190"/>
  <c r="AA160" i="190"/>
  <c r="AA159" i="190"/>
  <c r="AA158" i="190"/>
  <c r="AA157" i="190"/>
  <c r="AA156" i="190"/>
  <c r="AA155" i="190"/>
  <c r="AA154" i="190"/>
  <c r="AA153" i="190"/>
  <c r="AA152" i="190"/>
  <c r="AA151" i="190"/>
  <c r="AA150" i="190"/>
  <c r="AA149" i="190"/>
  <c r="AA148" i="190"/>
  <c r="AA147" i="190"/>
  <c r="AA146" i="190"/>
  <c r="AA145" i="190"/>
  <c r="AA144" i="190"/>
  <c r="AA143" i="190"/>
  <c r="AA141" i="190"/>
  <c r="AA140" i="190"/>
  <c r="AA139" i="190"/>
  <c r="AA138" i="190"/>
  <c r="AA137" i="190"/>
  <c r="AA136" i="190"/>
  <c r="AA135" i="190"/>
  <c r="AA134" i="190"/>
  <c r="AA133" i="190"/>
  <c r="AA132" i="190"/>
  <c r="AA131" i="190"/>
  <c r="AA130" i="190"/>
  <c r="AA129" i="190"/>
  <c r="AA128" i="190"/>
  <c r="AA127" i="190"/>
  <c r="AA126" i="190"/>
  <c r="AA125" i="190"/>
  <c r="AA124" i="190"/>
  <c r="AA123" i="190"/>
  <c r="AA122" i="190"/>
  <c r="AA121" i="190"/>
  <c r="AA120" i="190"/>
  <c r="AA119" i="190"/>
  <c r="AA118" i="190"/>
  <c r="AA117" i="190"/>
  <c r="AA116" i="190"/>
  <c r="AA115" i="190"/>
  <c r="AA114" i="190"/>
  <c r="AA113" i="190"/>
  <c r="AA112" i="190"/>
  <c r="AA111" i="190"/>
  <c r="AA110" i="190"/>
  <c r="AA109" i="190"/>
  <c r="AA108" i="190"/>
  <c r="AA107" i="190"/>
  <c r="AA106" i="190"/>
  <c r="AA105" i="190"/>
  <c r="AA104" i="190"/>
  <c r="AA103" i="190"/>
  <c r="AA102" i="190"/>
  <c r="AA101" i="190"/>
  <c r="AA100" i="190"/>
  <c r="AA99" i="190"/>
  <c r="AA98" i="190"/>
  <c r="AA97" i="190"/>
  <c r="AA96" i="190"/>
  <c r="AA95" i="190"/>
  <c r="AA94" i="190"/>
  <c r="AA93" i="190"/>
  <c r="AA92" i="190"/>
  <c r="AA91" i="190"/>
  <c r="AA90" i="190"/>
  <c r="AA89" i="190"/>
  <c r="AA88" i="190"/>
  <c r="AA87" i="190"/>
  <c r="AA86" i="190"/>
  <c r="AA85" i="190"/>
  <c r="AA84" i="190"/>
  <c r="AA83" i="190"/>
  <c r="AA82" i="190"/>
  <c r="AA81" i="190"/>
  <c r="AA80" i="190"/>
  <c r="AA79" i="190"/>
  <c r="AA78" i="190"/>
  <c r="AA77" i="190"/>
  <c r="AA76" i="190"/>
  <c r="AA75" i="190"/>
  <c r="AA74" i="190"/>
  <c r="AA73" i="190"/>
  <c r="AA72" i="190"/>
  <c r="AA70" i="190"/>
  <c r="AA69" i="190"/>
  <c r="AA68" i="190"/>
  <c r="AA67" i="190"/>
  <c r="AA64" i="190"/>
  <c r="AA63" i="190"/>
  <c r="AA62" i="190"/>
  <c r="AA61" i="190"/>
  <c r="AA60" i="190"/>
  <c r="AA59" i="190"/>
  <c r="AA58" i="190"/>
  <c r="AA57" i="190"/>
  <c r="AA56" i="190"/>
  <c r="AA55" i="190"/>
  <c r="AA54" i="190"/>
  <c r="AA53" i="190"/>
  <c r="AA52" i="190"/>
  <c r="AA51" i="190"/>
  <c r="AA50" i="190"/>
  <c r="AA49" i="190"/>
  <c r="AA48" i="190"/>
  <c r="AA47" i="190"/>
  <c r="AA46" i="190"/>
  <c r="AA45" i="190"/>
  <c r="AA44" i="190"/>
  <c r="AA43" i="190"/>
  <c r="AA42" i="190"/>
  <c r="AA41" i="190"/>
  <c r="AA40" i="190"/>
  <c r="AA39" i="190"/>
  <c r="AA38" i="190"/>
  <c r="AA37" i="190"/>
  <c r="AA36" i="190"/>
  <c r="AA35" i="190"/>
  <c r="AA34" i="190"/>
  <c r="AA33" i="190"/>
  <c r="AA32" i="190"/>
  <c r="AA31" i="190"/>
  <c r="AA30" i="190"/>
  <c r="AA29" i="190"/>
  <c r="AA28" i="190"/>
  <c r="AA27" i="190"/>
  <c r="AA26" i="190"/>
  <c r="AA24" i="190"/>
  <c r="AA21" i="190"/>
  <c r="AA20" i="190"/>
  <c r="AA19" i="190"/>
  <c r="AA18" i="190"/>
  <c r="AA17" i="190"/>
  <c r="AA16" i="190"/>
  <c r="AA15" i="190"/>
  <c r="AA14" i="190"/>
  <c r="AA13" i="190"/>
  <c r="AA12" i="190"/>
  <c r="AA11" i="190"/>
  <c r="AA10" i="190"/>
  <c r="AA9" i="190"/>
  <c r="AA8" i="190"/>
  <c r="R43" i="122" l="1"/>
  <c r="D26" i="214" s="1"/>
  <c r="AG71" i="190"/>
  <c r="AG65" i="190"/>
  <c r="AG66" i="190"/>
  <c r="AG142" i="190"/>
  <c r="AL40" i="149"/>
  <c r="AL39" i="149"/>
  <c r="AL49" i="149"/>
  <c r="AL46" i="149"/>
  <c r="AL45" i="149"/>
  <c r="X12" i="165"/>
  <c r="AK11" i="149"/>
  <c r="AF49" i="149"/>
  <c r="AF38" i="149"/>
  <c r="AF48" i="149"/>
  <c r="AF46" i="149"/>
  <c r="AF47" i="149"/>
  <c r="AF45" i="149"/>
  <c r="AF40" i="149"/>
  <c r="AF39" i="149"/>
  <c r="X13" i="165"/>
  <c r="AH167" i="149"/>
  <c r="AH166" i="149"/>
  <c r="AH165" i="149"/>
  <c r="AH164" i="149"/>
  <c r="AH163" i="149"/>
  <c r="AH162" i="149"/>
  <c r="AH161" i="149"/>
  <c r="AH160" i="149"/>
  <c r="AH159" i="149"/>
  <c r="AH158" i="149"/>
  <c r="AH157" i="149"/>
  <c r="AH156" i="149"/>
  <c r="AH155" i="149"/>
  <c r="AH154" i="149"/>
  <c r="AH153" i="149"/>
  <c r="AH152" i="149"/>
  <c r="AH150" i="149"/>
  <c r="AH149" i="149"/>
  <c r="AH148" i="149"/>
  <c r="AH146" i="149"/>
  <c r="AH145" i="149"/>
  <c r="AH144" i="149"/>
  <c r="AH143" i="149"/>
  <c r="AH142" i="149"/>
  <c r="AH141" i="149"/>
  <c r="AH139" i="149"/>
  <c r="AH138" i="149"/>
  <c r="AH137" i="149"/>
  <c r="AH136" i="149"/>
  <c r="AH135" i="149"/>
  <c r="AH134" i="149"/>
  <c r="AH133" i="149"/>
  <c r="AH132" i="149"/>
  <c r="AH131" i="149"/>
  <c r="AH130" i="149"/>
  <c r="AH129" i="149"/>
  <c r="AH128" i="149"/>
  <c r="AH127" i="149"/>
  <c r="AH126" i="149"/>
  <c r="AH125" i="149"/>
  <c r="AH124" i="149"/>
  <c r="AH123" i="149"/>
  <c r="AH122" i="149"/>
  <c r="AH119" i="149"/>
  <c r="AH118" i="149"/>
  <c r="AH117" i="149"/>
  <c r="AH116" i="149"/>
  <c r="AH115" i="149"/>
  <c r="AH114" i="149"/>
  <c r="AH113" i="149"/>
  <c r="AH112" i="149"/>
  <c r="AH111" i="149"/>
  <c r="AH109" i="149"/>
  <c r="AH108" i="149"/>
  <c r="AH107" i="149"/>
  <c r="AH106" i="149"/>
  <c r="AH105" i="149"/>
  <c r="AH104" i="149"/>
  <c r="AH103" i="149"/>
  <c r="AH102" i="149"/>
  <c r="AH99" i="149"/>
  <c r="AH98" i="149"/>
  <c r="AH97" i="149"/>
  <c r="AH96" i="149"/>
  <c r="AH95" i="149"/>
  <c r="AH94" i="149"/>
  <c r="AH93" i="149"/>
  <c r="AH92" i="149"/>
  <c r="AH91" i="149"/>
  <c r="AH90" i="149"/>
  <c r="AH89" i="149"/>
  <c r="AH88" i="149"/>
  <c r="AH87" i="149"/>
  <c r="AH86" i="149"/>
  <c r="AH85" i="149"/>
  <c r="AH84" i="149"/>
  <c r="AH83" i="149"/>
  <c r="AH82" i="149"/>
  <c r="AH79" i="149"/>
  <c r="AH78" i="149"/>
  <c r="AH77" i="149"/>
  <c r="AH76" i="149"/>
  <c r="AH75" i="149"/>
  <c r="AH74" i="149"/>
  <c r="AH72" i="149"/>
  <c r="AH71" i="149"/>
  <c r="AH70" i="149"/>
  <c r="AH69" i="149"/>
  <c r="AH68" i="149"/>
  <c r="AH67" i="149"/>
  <c r="AH66" i="149"/>
  <c r="AH65" i="149"/>
  <c r="AH64" i="149"/>
  <c r="AH63" i="149"/>
  <c r="AH62" i="149"/>
  <c r="AH61" i="149"/>
  <c r="AH60" i="149"/>
  <c r="AH59" i="149"/>
  <c r="AH58" i="149"/>
  <c r="AH57" i="149"/>
  <c r="AH56" i="149"/>
  <c r="AH55" i="149"/>
  <c r="AH54" i="149"/>
  <c r="AH53" i="149"/>
  <c r="AH51" i="149"/>
  <c r="AH50" i="149"/>
  <c r="AH44" i="149"/>
  <c r="AH43" i="149"/>
  <c r="AH42" i="149"/>
  <c r="AH41" i="149"/>
  <c r="AH37" i="149"/>
  <c r="AH36" i="149"/>
  <c r="AH35" i="149"/>
  <c r="AH34" i="149"/>
  <c r="AH33" i="149"/>
  <c r="AH32" i="149"/>
  <c r="AH31" i="149"/>
  <c r="AH30" i="149"/>
  <c r="AH29" i="149"/>
  <c r="AH27" i="149"/>
  <c r="AH23" i="149"/>
  <c r="AH22" i="149"/>
  <c r="AH21" i="149"/>
  <c r="AH19" i="149"/>
  <c r="AH18" i="149"/>
  <c r="AH17" i="149"/>
  <c r="AH16" i="149"/>
  <c r="AH15" i="149"/>
  <c r="AH9" i="149"/>
  <c r="AH8" i="149"/>
  <c r="Y16" i="165" l="1"/>
  <c r="AA16" i="165" s="1" a="1"/>
  <c r="AA16" i="165" s="1"/>
  <c r="Y15" i="165"/>
  <c r="AA15" i="165" s="1" a="1"/>
  <c r="AA15" i="165" s="1"/>
  <c r="Y14" i="165"/>
  <c r="AA14" i="165" s="1" a="1"/>
  <c r="AA14" i="165" s="1"/>
  <c r="Y13" i="165"/>
  <c r="Y12" i="165"/>
  <c r="AA12" i="165" s="1" a="1"/>
  <c r="AA12" i="165" s="1"/>
  <c r="R10" i="165" s="1"/>
  <c r="F10" i="165" s="1"/>
  <c r="T10" i="122"/>
  <c r="T8" i="122"/>
  <c r="T9" i="122"/>
  <c r="AB10" i="165" l="1"/>
  <c r="M17" i="139"/>
  <c r="AA13" i="165" a="1"/>
  <c r="AA13" i="165" s="1"/>
  <c r="AA5" i="165" l="1"/>
  <c r="D20" i="214" s="1"/>
  <c r="M13" i="139"/>
  <c r="AL9" i="149"/>
  <c r="AL92" i="149"/>
  <c r="AL93" i="149"/>
  <c r="AL94" i="149"/>
  <c r="AL95" i="149"/>
  <c r="AL96" i="149"/>
  <c r="AL97" i="149"/>
  <c r="AL99" i="149"/>
  <c r="AL103" i="149"/>
  <c r="AL104" i="149"/>
  <c r="AL105" i="149"/>
  <c r="AL106" i="149"/>
  <c r="AL107" i="149"/>
  <c r="AL109" i="149"/>
  <c r="AL111" i="149"/>
  <c r="AL112" i="149"/>
  <c r="AL113" i="149"/>
  <c r="AL114" i="149"/>
  <c r="AL115" i="149"/>
  <c r="AL116" i="149"/>
  <c r="AL117" i="149"/>
  <c r="AL119" i="149"/>
  <c r="AL120" i="149"/>
  <c r="AL121" i="149"/>
  <c r="AL122" i="149"/>
  <c r="AL123" i="149"/>
  <c r="AL124" i="149"/>
  <c r="AL125" i="149"/>
  <c r="AL126" i="149"/>
  <c r="AL127" i="149"/>
  <c r="AL129" i="149"/>
  <c r="AL131" i="149"/>
  <c r="AL132" i="149"/>
  <c r="AL133" i="149"/>
  <c r="AL134" i="149"/>
  <c r="AL135" i="149"/>
  <c r="AL136" i="149"/>
  <c r="AL137" i="149"/>
  <c r="AL139" i="149"/>
  <c r="AL143" i="149"/>
  <c r="AL144" i="149"/>
  <c r="AL145" i="149"/>
  <c r="AL146" i="149"/>
  <c r="AJ149" i="149"/>
  <c r="AL149" i="149" s="1"/>
  <c r="AJ150" i="149"/>
  <c r="AJ151" i="149"/>
  <c r="AL151" i="149" s="1"/>
  <c r="AJ152" i="149"/>
  <c r="AL152" i="149" s="1"/>
  <c r="AJ153" i="149"/>
  <c r="AL153" i="149" s="1"/>
  <c r="AJ154" i="149"/>
  <c r="AL154" i="149" s="1"/>
  <c r="AJ155" i="149"/>
  <c r="AL155" i="149" s="1"/>
  <c r="AJ156" i="149"/>
  <c r="AL156" i="149" s="1"/>
  <c r="AJ157" i="149"/>
  <c r="AL157" i="149" s="1"/>
  <c r="AJ158" i="149"/>
  <c r="AL158" i="149" s="1"/>
  <c r="AJ159" i="149"/>
  <c r="AJ160" i="149"/>
  <c r="AL160" i="149" s="1"/>
  <c r="AJ161" i="149"/>
  <c r="AJ162" i="149"/>
  <c r="AL162" i="149" s="1"/>
  <c r="AJ163" i="149"/>
  <c r="AL163" i="149" s="1"/>
  <c r="AJ164" i="149"/>
  <c r="AL164" i="149" s="1"/>
  <c r="AJ165" i="149"/>
  <c r="AL165" i="149" s="1"/>
  <c r="AJ166" i="149"/>
  <c r="AL166" i="149" s="1"/>
  <c r="AJ167" i="149"/>
  <c r="AL167" i="149" s="1"/>
  <c r="Y16" i="190"/>
  <c r="AC16" i="190"/>
  <c r="AD16" i="190"/>
  <c r="AE16" i="190"/>
  <c r="AF16" i="190"/>
  <c r="Y17" i="190"/>
  <c r="AC17" i="190"/>
  <c r="AD17" i="190"/>
  <c r="AE17" i="190"/>
  <c r="AF17" i="190"/>
  <c r="Y18" i="190"/>
  <c r="AC18" i="190"/>
  <c r="AD18" i="190"/>
  <c r="AE18" i="190"/>
  <c r="AF18" i="190"/>
  <c r="Y19" i="190"/>
  <c r="AC19" i="190"/>
  <c r="AD19" i="190"/>
  <c r="AE19" i="190"/>
  <c r="AF19" i="190"/>
  <c r="Y89" i="190"/>
  <c r="AC89" i="190"/>
  <c r="AD89" i="190"/>
  <c r="AE89" i="190"/>
  <c r="AF89" i="190"/>
  <c r="Y90" i="190"/>
  <c r="AC90" i="190"/>
  <c r="AD90" i="190"/>
  <c r="AE90" i="190"/>
  <c r="AF90" i="190"/>
  <c r="AD13" i="149"/>
  <c r="V13" i="149"/>
  <c r="Y13" i="149"/>
  <c r="AA13" i="149"/>
  <c r="AA14" i="149"/>
  <c r="Y14" i="149"/>
  <c r="V14" i="149"/>
  <c r="AF171" i="190"/>
  <c r="AE171" i="190"/>
  <c r="AD171" i="190"/>
  <c r="AC171" i="190"/>
  <c r="AF170" i="190"/>
  <c r="AE170" i="190"/>
  <c r="AD170" i="190"/>
  <c r="AC170" i="190"/>
  <c r="AF169" i="190"/>
  <c r="AE169" i="190"/>
  <c r="AD169" i="190"/>
  <c r="AC169" i="190"/>
  <c r="AF168" i="190"/>
  <c r="AE168" i="190"/>
  <c r="AD168" i="190"/>
  <c r="AC168" i="190"/>
  <c r="AF167" i="190"/>
  <c r="AE167" i="190"/>
  <c r="AD167" i="190"/>
  <c r="AC167" i="190"/>
  <c r="AF166" i="190"/>
  <c r="AE166" i="190"/>
  <c r="AD166" i="190"/>
  <c r="AC166" i="190"/>
  <c r="AF165" i="190"/>
  <c r="AE165" i="190"/>
  <c r="AD165" i="190"/>
  <c r="AC165" i="190"/>
  <c r="AF164" i="190"/>
  <c r="AE164" i="190"/>
  <c r="AD164" i="190"/>
  <c r="AC164" i="190"/>
  <c r="AF163" i="190"/>
  <c r="AE163" i="190"/>
  <c r="AD163" i="190"/>
  <c r="AC163" i="190"/>
  <c r="AF162" i="190"/>
  <c r="AE162" i="190"/>
  <c r="AD162" i="190"/>
  <c r="AC162" i="190"/>
  <c r="AF161" i="190"/>
  <c r="AE161" i="190"/>
  <c r="AD161" i="190"/>
  <c r="AC161" i="190"/>
  <c r="AF160" i="190"/>
  <c r="AE160" i="190"/>
  <c r="AD160" i="190"/>
  <c r="AC160" i="190"/>
  <c r="AF159" i="190"/>
  <c r="AE159" i="190"/>
  <c r="AD159" i="190"/>
  <c r="AC159" i="190"/>
  <c r="AF158" i="190"/>
  <c r="AE158" i="190"/>
  <c r="AD158" i="190"/>
  <c r="AC158" i="190"/>
  <c r="AF157" i="190"/>
  <c r="AE157" i="190"/>
  <c r="AD157" i="190"/>
  <c r="AC157" i="190"/>
  <c r="AF156" i="190"/>
  <c r="AE156" i="190"/>
  <c r="AD156" i="190"/>
  <c r="AC156" i="190"/>
  <c r="AF155" i="190"/>
  <c r="AE155" i="190"/>
  <c r="AD155" i="190"/>
  <c r="AC155" i="190"/>
  <c r="AF154" i="190"/>
  <c r="AE154" i="190"/>
  <c r="AD154" i="190"/>
  <c r="AC154" i="190"/>
  <c r="AF153" i="190"/>
  <c r="AE153" i="190"/>
  <c r="AD153" i="190"/>
  <c r="AC153" i="190"/>
  <c r="AF152" i="190"/>
  <c r="AE152" i="190"/>
  <c r="AD152" i="190"/>
  <c r="AC152" i="190"/>
  <c r="AF151" i="190"/>
  <c r="AE151" i="190"/>
  <c r="AD151" i="190"/>
  <c r="AC151" i="190"/>
  <c r="AF150" i="190"/>
  <c r="AE150" i="190"/>
  <c r="AD150" i="190"/>
  <c r="AC150" i="190"/>
  <c r="AF149" i="190"/>
  <c r="AE149" i="190"/>
  <c r="AD149" i="190"/>
  <c r="AC149" i="190"/>
  <c r="AF148" i="190"/>
  <c r="AE148" i="190"/>
  <c r="AD148" i="190"/>
  <c r="AC148" i="190"/>
  <c r="AF147" i="190"/>
  <c r="AE147" i="190"/>
  <c r="AD147" i="190"/>
  <c r="AC147" i="190"/>
  <c r="AF146" i="190"/>
  <c r="AE146" i="190"/>
  <c r="AD146" i="190"/>
  <c r="AC146" i="190"/>
  <c r="AF145" i="190"/>
  <c r="AE145" i="190"/>
  <c r="AD145" i="190"/>
  <c r="AC145" i="190"/>
  <c r="AF144" i="190"/>
  <c r="AE144" i="190"/>
  <c r="AD144" i="190"/>
  <c r="AC144" i="190"/>
  <c r="AF143" i="190"/>
  <c r="AE143" i="190"/>
  <c r="AD143" i="190"/>
  <c r="AC143" i="190"/>
  <c r="AF141" i="190"/>
  <c r="AE141" i="190"/>
  <c r="AD141" i="190"/>
  <c r="AC141" i="190"/>
  <c r="AF140" i="190"/>
  <c r="AE140" i="190"/>
  <c r="AD140" i="190"/>
  <c r="AC140" i="190"/>
  <c r="AF139" i="190"/>
  <c r="AE139" i="190"/>
  <c r="AD139" i="190"/>
  <c r="AC139" i="190"/>
  <c r="AF138" i="190"/>
  <c r="AE138" i="190"/>
  <c r="AD138" i="190"/>
  <c r="AC138" i="190"/>
  <c r="AF137" i="190"/>
  <c r="AE137" i="190"/>
  <c r="AD137" i="190"/>
  <c r="AC137" i="190"/>
  <c r="AF136" i="190"/>
  <c r="AE136" i="190"/>
  <c r="AD136" i="190"/>
  <c r="AC136" i="190"/>
  <c r="AF135" i="190"/>
  <c r="AE135" i="190"/>
  <c r="AD135" i="190"/>
  <c r="AC135" i="190"/>
  <c r="AF134" i="190"/>
  <c r="AE134" i="190"/>
  <c r="AD134" i="190"/>
  <c r="AC134" i="190"/>
  <c r="AF133" i="190"/>
  <c r="AE133" i="190"/>
  <c r="AD133" i="190"/>
  <c r="AC133" i="190"/>
  <c r="AF132" i="190"/>
  <c r="AE132" i="190"/>
  <c r="AD132" i="190"/>
  <c r="AC132" i="190"/>
  <c r="AF131" i="190"/>
  <c r="AE131" i="190"/>
  <c r="AD131" i="190"/>
  <c r="AC131" i="190"/>
  <c r="AF130" i="190"/>
  <c r="AE130" i="190"/>
  <c r="AD130" i="190"/>
  <c r="AC130" i="190"/>
  <c r="AF129" i="190"/>
  <c r="AE129" i="190"/>
  <c r="AD129" i="190"/>
  <c r="AC129" i="190"/>
  <c r="AF128" i="190"/>
  <c r="AE128" i="190"/>
  <c r="AD128" i="190"/>
  <c r="AC128" i="190"/>
  <c r="AF127" i="190"/>
  <c r="AE127" i="190"/>
  <c r="AD127" i="190"/>
  <c r="AC127" i="190"/>
  <c r="AF126" i="190"/>
  <c r="AE126" i="190"/>
  <c r="AD126" i="190"/>
  <c r="AC126" i="190"/>
  <c r="AF125" i="190"/>
  <c r="AE125" i="190"/>
  <c r="AD125" i="190"/>
  <c r="AC125" i="190"/>
  <c r="AF124" i="190"/>
  <c r="AE124" i="190"/>
  <c r="AD124" i="190"/>
  <c r="AC124" i="190"/>
  <c r="AF123" i="190"/>
  <c r="AE123" i="190"/>
  <c r="AD123" i="190"/>
  <c r="AC123" i="190"/>
  <c r="AF122" i="190"/>
  <c r="AE122" i="190"/>
  <c r="AD122" i="190"/>
  <c r="AC122" i="190"/>
  <c r="AF121" i="190"/>
  <c r="AE121" i="190"/>
  <c r="AD121" i="190"/>
  <c r="AC121" i="190"/>
  <c r="AF120" i="190"/>
  <c r="AE120" i="190"/>
  <c r="AD120" i="190"/>
  <c r="AC120" i="190"/>
  <c r="AF119" i="190"/>
  <c r="AE119" i="190"/>
  <c r="AD119" i="190"/>
  <c r="AC119" i="190"/>
  <c r="AF118" i="190"/>
  <c r="AE118" i="190"/>
  <c r="AD118" i="190"/>
  <c r="AC118" i="190"/>
  <c r="AF117" i="190"/>
  <c r="AE117" i="190"/>
  <c r="AD117" i="190"/>
  <c r="AC117" i="190"/>
  <c r="AF116" i="190"/>
  <c r="AE116" i="190"/>
  <c r="AD116" i="190"/>
  <c r="AC116" i="190"/>
  <c r="AF115" i="190"/>
  <c r="AE115" i="190"/>
  <c r="AD115" i="190"/>
  <c r="AC115" i="190"/>
  <c r="AF114" i="190"/>
  <c r="AE114" i="190"/>
  <c r="AD114" i="190"/>
  <c r="AC114" i="190"/>
  <c r="AF113" i="190"/>
  <c r="AE113" i="190"/>
  <c r="AD113" i="190"/>
  <c r="AC113" i="190"/>
  <c r="AF112" i="190"/>
  <c r="AE112" i="190"/>
  <c r="AD112" i="190"/>
  <c r="AC112" i="190"/>
  <c r="AF111" i="190"/>
  <c r="AE111" i="190"/>
  <c r="AD111" i="190"/>
  <c r="AC111" i="190"/>
  <c r="AF110" i="190"/>
  <c r="AE110" i="190"/>
  <c r="AD110" i="190"/>
  <c r="AC110" i="190"/>
  <c r="AF109" i="190"/>
  <c r="AE109" i="190"/>
  <c r="AD109" i="190"/>
  <c r="AC109" i="190"/>
  <c r="AF108" i="190"/>
  <c r="AE108" i="190"/>
  <c r="AD108" i="190"/>
  <c r="AC108" i="190"/>
  <c r="AF107" i="190"/>
  <c r="AE107" i="190"/>
  <c r="AD107" i="190"/>
  <c r="AC107" i="190"/>
  <c r="AF106" i="190"/>
  <c r="AE106" i="190"/>
  <c r="AD106" i="190"/>
  <c r="AC106" i="190"/>
  <c r="AF105" i="190"/>
  <c r="AE105" i="190"/>
  <c r="AD105" i="190"/>
  <c r="AC105" i="190"/>
  <c r="AF104" i="190"/>
  <c r="AE104" i="190"/>
  <c r="AD104" i="190"/>
  <c r="AC104" i="190"/>
  <c r="AF103" i="190"/>
  <c r="AE103" i="190"/>
  <c r="AD103" i="190"/>
  <c r="AC103" i="190"/>
  <c r="AF102" i="190"/>
  <c r="AE102" i="190"/>
  <c r="AD102" i="190"/>
  <c r="AC102" i="190"/>
  <c r="AF101" i="190"/>
  <c r="AE101" i="190"/>
  <c r="AD101" i="190"/>
  <c r="AC101" i="190"/>
  <c r="AF100" i="190"/>
  <c r="AE100" i="190"/>
  <c r="AD100" i="190"/>
  <c r="AC100" i="190"/>
  <c r="AF99" i="190"/>
  <c r="AE99" i="190"/>
  <c r="AD99" i="190"/>
  <c r="AC99" i="190"/>
  <c r="AF98" i="190"/>
  <c r="AE98" i="190"/>
  <c r="AD98" i="190"/>
  <c r="AC98" i="190"/>
  <c r="AF97" i="190"/>
  <c r="AE97" i="190"/>
  <c r="AD97" i="190"/>
  <c r="AC97" i="190"/>
  <c r="AF96" i="190"/>
  <c r="AE96" i="190"/>
  <c r="AD96" i="190"/>
  <c r="AC96" i="190"/>
  <c r="AF95" i="190"/>
  <c r="AE95" i="190"/>
  <c r="AD95" i="190"/>
  <c r="AC95" i="190"/>
  <c r="AF94" i="190"/>
  <c r="AE94" i="190"/>
  <c r="AD94" i="190"/>
  <c r="AC94" i="190"/>
  <c r="AF93" i="190"/>
  <c r="AE93" i="190"/>
  <c r="AD93" i="190"/>
  <c r="AC93" i="190"/>
  <c r="AF92" i="190"/>
  <c r="AE92" i="190"/>
  <c r="AD92" i="190"/>
  <c r="AC92" i="190"/>
  <c r="AF91" i="190"/>
  <c r="AE91" i="190"/>
  <c r="AD91" i="190"/>
  <c r="AC91" i="190"/>
  <c r="AF88" i="190"/>
  <c r="AE88" i="190"/>
  <c r="AD88" i="190"/>
  <c r="AC88" i="190"/>
  <c r="AF87" i="190"/>
  <c r="AE87" i="190"/>
  <c r="AD87" i="190"/>
  <c r="AC87" i="190"/>
  <c r="AF86" i="190"/>
  <c r="AE86" i="190"/>
  <c r="AD86" i="190"/>
  <c r="AC86" i="190"/>
  <c r="AF85" i="190"/>
  <c r="AE85" i="190"/>
  <c r="AD85" i="190"/>
  <c r="AC85" i="190"/>
  <c r="AF84" i="190"/>
  <c r="AE84" i="190"/>
  <c r="AD84" i="190"/>
  <c r="AC84" i="190"/>
  <c r="AF83" i="190"/>
  <c r="AE83" i="190"/>
  <c r="AD83" i="190"/>
  <c r="AC83" i="190"/>
  <c r="AF82" i="190"/>
  <c r="AE82" i="190"/>
  <c r="AD82" i="190"/>
  <c r="AC82" i="190"/>
  <c r="AF81" i="190"/>
  <c r="AE81" i="190"/>
  <c r="AD81" i="190"/>
  <c r="AC81" i="190"/>
  <c r="AF80" i="190"/>
  <c r="AE80" i="190"/>
  <c r="AD80" i="190"/>
  <c r="AC80" i="190"/>
  <c r="AF79" i="190"/>
  <c r="AE79" i="190"/>
  <c r="AD79" i="190"/>
  <c r="AC79" i="190"/>
  <c r="AF78" i="190"/>
  <c r="AE78" i="190"/>
  <c r="AD78" i="190"/>
  <c r="AC78" i="190"/>
  <c r="AF77" i="190"/>
  <c r="AE77" i="190"/>
  <c r="AD77" i="190"/>
  <c r="AC77" i="190"/>
  <c r="AF76" i="190"/>
  <c r="AE76" i="190"/>
  <c r="AD76" i="190"/>
  <c r="AC76" i="190"/>
  <c r="AF75" i="190"/>
  <c r="AE75" i="190"/>
  <c r="AD75" i="190"/>
  <c r="AC75" i="190"/>
  <c r="AF74" i="190"/>
  <c r="AE74" i="190"/>
  <c r="AD74" i="190"/>
  <c r="AC74" i="190"/>
  <c r="AF73" i="190"/>
  <c r="AE73" i="190"/>
  <c r="AD73" i="190"/>
  <c r="AC73" i="190"/>
  <c r="AF72" i="190"/>
  <c r="AE72" i="190"/>
  <c r="AD72" i="190"/>
  <c r="AC72" i="190"/>
  <c r="AF70" i="190"/>
  <c r="AE70" i="190"/>
  <c r="AD70" i="190"/>
  <c r="AC70" i="190"/>
  <c r="AF69" i="190"/>
  <c r="AE69" i="190"/>
  <c r="AD69" i="190"/>
  <c r="AC69" i="190"/>
  <c r="AF68" i="190"/>
  <c r="AE68" i="190"/>
  <c r="AD68" i="190"/>
  <c r="AC68" i="190"/>
  <c r="AF67" i="190"/>
  <c r="AE67" i="190"/>
  <c r="AD67" i="190"/>
  <c r="AC67" i="190"/>
  <c r="AF64" i="190"/>
  <c r="AE64" i="190"/>
  <c r="AD64" i="190"/>
  <c r="AC64" i="190"/>
  <c r="AF63" i="190"/>
  <c r="AE63" i="190"/>
  <c r="AD63" i="190"/>
  <c r="AC63" i="190"/>
  <c r="AF62" i="190"/>
  <c r="AE62" i="190"/>
  <c r="AD62" i="190"/>
  <c r="AC62" i="190"/>
  <c r="AF61" i="190"/>
  <c r="AE61" i="190"/>
  <c r="AD61" i="190"/>
  <c r="AC61" i="190"/>
  <c r="AF60" i="190"/>
  <c r="AE60" i="190"/>
  <c r="AD60" i="190"/>
  <c r="AC60" i="190"/>
  <c r="AF59" i="190"/>
  <c r="AE59" i="190"/>
  <c r="AD59" i="190"/>
  <c r="AC59" i="190"/>
  <c r="AF58" i="190"/>
  <c r="AE58" i="190"/>
  <c r="AD58" i="190"/>
  <c r="AC58" i="190"/>
  <c r="AF57" i="190"/>
  <c r="AE57" i="190"/>
  <c r="AD57" i="190"/>
  <c r="AC57" i="190"/>
  <c r="AF56" i="190"/>
  <c r="AE56" i="190"/>
  <c r="AD56" i="190"/>
  <c r="AC56" i="190"/>
  <c r="AF55" i="190"/>
  <c r="AE55" i="190"/>
  <c r="AD55" i="190"/>
  <c r="AC55" i="190"/>
  <c r="AF54" i="190"/>
  <c r="AE54" i="190"/>
  <c r="AD54" i="190"/>
  <c r="AC54" i="190"/>
  <c r="AF53" i="190"/>
  <c r="AE53" i="190"/>
  <c r="AD53" i="190"/>
  <c r="AC53" i="190"/>
  <c r="AF52" i="190"/>
  <c r="AE52" i="190"/>
  <c r="AD52" i="190"/>
  <c r="AC52" i="190"/>
  <c r="AF51" i="190"/>
  <c r="AE51" i="190"/>
  <c r="AD51" i="190"/>
  <c r="AC51" i="190"/>
  <c r="AF50" i="190"/>
  <c r="AE50" i="190"/>
  <c r="AD50" i="190"/>
  <c r="AC50" i="190"/>
  <c r="AF49" i="190"/>
  <c r="AE49" i="190"/>
  <c r="AD49" i="190"/>
  <c r="AC49" i="190"/>
  <c r="AF48" i="190"/>
  <c r="AE48" i="190"/>
  <c r="AD48" i="190"/>
  <c r="AC48" i="190"/>
  <c r="AF47" i="190"/>
  <c r="AE47" i="190"/>
  <c r="AD47" i="190"/>
  <c r="AC47" i="190"/>
  <c r="AF46" i="190"/>
  <c r="AE46" i="190"/>
  <c r="AD46" i="190"/>
  <c r="AC46" i="190"/>
  <c r="AF45" i="190"/>
  <c r="AE45" i="190"/>
  <c r="AD45" i="190"/>
  <c r="AC45" i="190"/>
  <c r="AF44" i="190"/>
  <c r="AE44" i="190"/>
  <c r="AD44" i="190"/>
  <c r="AC44" i="190"/>
  <c r="AF43" i="190"/>
  <c r="AE43" i="190"/>
  <c r="AD43" i="190"/>
  <c r="AC43" i="190"/>
  <c r="AF42" i="190"/>
  <c r="AE42" i="190"/>
  <c r="AD42" i="190"/>
  <c r="AC42" i="190"/>
  <c r="AF41" i="190"/>
  <c r="AE41" i="190"/>
  <c r="AD41" i="190"/>
  <c r="AC41" i="190"/>
  <c r="AF40" i="190"/>
  <c r="AE40" i="190"/>
  <c r="AD40" i="190"/>
  <c r="AC40" i="190"/>
  <c r="AF39" i="190"/>
  <c r="AE39" i="190"/>
  <c r="AD39" i="190"/>
  <c r="AC39" i="190"/>
  <c r="AF38" i="190"/>
  <c r="AE38" i="190"/>
  <c r="AD38" i="190"/>
  <c r="AC38" i="190"/>
  <c r="AF37" i="190"/>
  <c r="AE37" i="190"/>
  <c r="AD37" i="190"/>
  <c r="AC37" i="190"/>
  <c r="AF36" i="190"/>
  <c r="AE36" i="190"/>
  <c r="AD36" i="190"/>
  <c r="AC36" i="190"/>
  <c r="AF35" i="190"/>
  <c r="AE35" i="190"/>
  <c r="AD35" i="190"/>
  <c r="AC35" i="190"/>
  <c r="AF34" i="190"/>
  <c r="AE34" i="190"/>
  <c r="AD34" i="190"/>
  <c r="AC34" i="190"/>
  <c r="AF33" i="190"/>
  <c r="AE33" i="190"/>
  <c r="AD33" i="190"/>
  <c r="AC33" i="190"/>
  <c r="AF32" i="190"/>
  <c r="AE32" i="190"/>
  <c r="AD32" i="190"/>
  <c r="AC32" i="190"/>
  <c r="AF31" i="190"/>
  <c r="AE31" i="190"/>
  <c r="AD31" i="190"/>
  <c r="AC31" i="190"/>
  <c r="AF30" i="190"/>
  <c r="AE30" i="190"/>
  <c r="AD30" i="190"/>
  <c r="AC30" i="190"/>
  <c r="AF29" i="190"/>
  <c r="AE29" i="190"/>
  <c r="AD29" i="190"/>
  <c r="AC29" i="190"/>
  <c r="AF28" i="190"/>
  <c r="AE28" i="190"/>
  <c r="AD28" i="190"/>
  <c r="AC28" i="190"/>
  <c r="AF27" i="190"/>
  <c r="AE27" i="190"/>
  <c r="AD27" i="190"/>
  <c r="AC27" i="190"/>
  <c r="AF26" i="190"/>
  <c r="AE26" i="190"/>
  <c r="AD26" i="190"/>
  <c r="AC26" i="190"/>
  <c r="AF24" i="190"/>
  <c r="AE24" i="190"/>
  <c r="AD24" i="190"/>
  <c r="AC24" i="190"/>
  <c r="AF21" i="190"/>
  <c r="AE21" i="190"/>
  <c r="AD21" i="190"/>
  <c r="AC21" i="190"/>
  <c r="AF20" i="190"/>
  <c r="AE20" i="190"/>
  <c r="AD20" i="190"/>
  <c r="AC20" i="190"/>
  <c r="AF15" i="190"/>
  <c r="AE15" i="190"/>
  <c r="AD15" i="190"/>
  <c r="AC15" i="190"/>
  <c r="AF14" i="190"/>
  <c r="AE14" i="190"/>
  <c r="AD14" i="190"/>
  <c r="AC14" i="190"/>
  <c r="AF13" i="190"/>
  <c r="AE13" i="190"/>
  <c r="AD13" i="190"/>
  <c r="AC13" i="190"/>
  <c r="AF12" i="190"/>
  <c r="AE12" i="190"/>
  <c r="AD12" i="190"/>
  <c r="AC12" i="190"/>
  <c r="AF11" i="190"/>
  <c r="AE11" i="190"/>
  <c r="AD11" i="190"/>
  <c r="AC11" i="190"/>
  <c r="AF10" i="190"/>
  <c r="AE10" i="190"/>
  <c r="AD10" i="190"/>
  <c r="AF9" i="190"/>
  <c r="AE9" i="190"/>
  <c r="AD9" i="190"/>
  <c r="AC9" i="190"/>
  <c r="AD8" i="190"/>
  <c r="AE8" i="190"/>
  <c r="AF8" i="190"/>
  <c r="AC8" i="190"/>
  <c r="W9" i="183"/>
  <c r="W8" i="183"/>
  <c r="W165" i="183"/>
  <c r="W164" i="183"/>
  <c r="W163" i="183"/>
  <c r="W162" i="183"/>
  <c r="W161" i="183"/>
  <c r="W160" i="183"/>
  <c r="W158" i="183"/>
  <c r="W157" i="183"/>
  <c r="W156" i="183"/>
  <c r="W155" i="183"/>
  <c r="W154" i="183"/>
  <c r="W153" i="183"/>
  <c r="W152" i="183"/>
  <c r="W151" i="183"/>
  <c r="W150" i="183"/>
  <c r="W148" i="183"/>
  <c r="W146" i="183"/>
  <c r="W145" i="183"/>
  <c r="W144" i="183"/>
  <c r="W143" i="183"/>
  <c r="W142" i="183"/>
  <c r="W141" i="183"/>
  <c r="W140" i="183"/>
  <c r="W139" i="183"/>
  <c r="W138" i="183"/>
  <c r="W137" i="183"/>
  <c r="W136" i="183"/>
  <c r="W134" i="183"/>
  <c r="W133" i="183"/>
  <c r="W132" i="183"/>
  <c r="W131" i="183"/>
  <c r="W130" i="183"/>
  <c r="W129" i="183"/>
  <c r="W128" i="183"/>
  <c r="W127" i="183"/>
  <c r="W126" i="183"/>
  <c r="W125" i="183"/>
  <c r="W124" i="183"/>
  <c r="W122" i="183"/>
  <c r="W121" i="183"/>
  <c r="W120" i="183"/>
  <c r="W119" i="183"/>
  <c r="W118" i="183"/>
  <c r="W117" i="183"/>
  <c r="W116" i="183"/>
  <c r="W115" i="183"/>
  <c r="W112" i="183"/>
  <c r="W110" i="183"/>
  <c r="W109" i="183"/>
  <c r="W108" i="183"/>
  <c r="W107" i="183"/>
  <c r="W106" i="183"/>
  <c r="W105" i="183"/>
  <c r="W104" i="183"/>
  <c r="W103" i="183"/>
  <c r="W102" i="183"/>
  <c r="W100" i="183"/>
  <c r="W98" i="183"/>
  <c r="W97" i="183"/>
  <c r="W96" i="183"/>
  <c r="W95" i="183"/>
  <c r="W94" i="183"/>
  <c r="W93" i="183"/>
  <c r="W92" i="183"/>
  <c r="W91" i="183"/>
  <c r="W88" i="183"/>
  <c r="W86" i="183"/>
  <c r="W85" i="183"/>
  <c r="W84" i="183"/>
  <c r="W83" i="183"/>
  <c r="W82" i="183"/>
  <c r="W81" i="183"/>
  <c r="W80" i="183"/>
  <c r="W79" i="183"/>
  <c r="W78" i="183"/>
  <c r="W77" i="183"/>
  <c r="W76" i="183"/>
  <c r="W75" i="183"/>
  <c r="W74" i="183"/>
  <c r="W73" i="183"/>
  <c r="W72" i="183"/>
  <c r="W69" i="183"/>
  <c r="W68" i="183"/>
  <c r="W67" i="183"/>
  <c r="W66" i="183"/>
  <c r="W65" i="183"/>
  <c r="W63" i="183"/>
  <c r="W62" i="183"/>
  <c r="W61" i="183"/>
  <c r="W60" i="183"/>
  <c r="W59" i="183"/>
  <c r="W58" i="183"/>
  <c r="W57" i="183"/>
  <c r="W56" i="183"/>
  <c r="W55" i="183"/>
  <c r="W54" i="183"/>
  <c r="W53" i="183"/>
  <c r="W52" i="183"/>
  <c r="W51" i="183"/>
  <c r="W50" i="183"/>
  <c r="W49" i="183"/>
  <c r="W48" i="183"/>
  <c r="W46" i="183"/>
  <c r="W45" i="183"/>
  <c r="W44" i="183"/>
  <c r="W43" i="183"/>
  <c r="W42" i="183"/>
  <c r="W41" i="183"/>
  <c r="W40" i="183"/>
  <c r="W39" i="183"/>
  <c r="W38" i="183"/>
  <c r="W37" i="183"/>
  <c r="W36" i="183"/>
  <c r="W35" i="183"/>
  <c r="W34" i="183"/>
  <c r="W33" i="183"/>
  <c r="W32" i="183"/>
  <c r="W31" i="183"/>
  <c r="W30" i="183"/>
  <c r="W29" i="183"/>
  <c r="W28" i="183"/>
  <c r="W27" i="183"/>
  <c r="W26" i="183"/>
  <c r="W25" i="183"/>
  <c r="W24" i="183"/>
  <c r="W21" i="183"/>
  <c r="W20" i="183"/>
  <c r="W19" i="183"/>
  <c r="W18" i="183"/>
  <c r="W15" i="183"/>
  <c r="W14" i="183"/>
  <c r="S13" i="183"/>
  <c r="S12" i="183"/>
  <c r="S11" i="183"/>
  <c r="AE167" i="149"/>
  <c r="AE166" i="149"/>
  <c r="AE165" i="149"/>
  <c r="AE164" i="149"/>
  <c r="AE163" i="149"/>
  <c r="AE162" i="149"/>
  <c r="AE161" i="149"/>
  <c r="AE160" i="149"/>
  <c r="AE159" i="149"/>
  <c r="AE158" i="149"/>
  <c r="AE157" i="149"/>
  <c r="AE156" i="149"/>
  <c r="AE155" i="149"/>
  <c r="AE154" i="149"/>
  <c r="AE153" i="149"/>
  <c r="AE152" i="149"/>
  <c r="AE150" i="149"/>
  <c r="AE149" i="149"/>
  <c r="AE148" i="149"/>
  <c r="AE146" i="149"/>
  <c r="AE145" i="149"/>
  <c r="AE144" i="149"/>
  <c r="AE143" i="149"/>
  <c r="AE142" i="149"/>
  <c r="AE141" i="149"/>
  <c r="AE139" i="149"/>
  <c r="AE138" i="149"/>
  <c r="AE137" i="149"/>
  <c r="AE136" i="149"/>
  <c r="AE135" i="149"/>
  <c r="AE134" i="149"/>
  <c r="AE133" i="149"/>
  <c r="AE132" i="149"/>
  <c r="AE131" i="149"/>
  <c r="AE130" i="149"/>
  <c r="AE129" i="149"/>
  <c r="AE128" i="149"/>
  <c r="AE127" i="149"/>
  <c r="AE126" i="149"/>
  <c r="AE125" i="149"/>
  <c r="AE124" i="149"/>
  <c r="AE123" i="149"/>
  <c r="AE122" i="149"/>
  <c r="AE119" i="149"/>
  <c r="AE118" i="149"/>
  <c r="AE117" i="149"/>
  <c r="AE116" i="149"/>
  <c r="AE115" i="149"/>
  <c r="AE114" i="149"/>
  <c r="AE113" i="149"/>
  <c r="AE112" i="149"/>
  <c r="AE111" i="149"/>
  <c r="AE109" i="149"/>
  <c r="AE108" i="149"/>
  <c r="AE107" i="149"/>
  <c r="AE106" i="149"/>
  <c r="AE105" i="149"/>
  <c r="AE104" i="149"/>
  <c r="AE103" i="149"/>
  <c r="AE102" i="149"/>
  <c r="AE99" i="149"/>
  <c r="AE98" i="149"/>
  <c r="AE97" i="149"/>
  <c r="AE96" i="149"/>
  <c r="AE95" i="149"/>
  <c r="AE94" i="149"/>
  <c r="AE93" i="149"/>
  <c r="AE92" i="149"/>
  <c r="AE91" i="149"/>
  <c r="AE90" i="149"/>
  <c r="AE89" i="149"/>
  <c r="AE88" i="149"/>
  <c r="AE87" i="149"/>
  <c r="AE86" i="149"/>
  <c r="AE85" i="149"/>
  <c r="AE84" i="149"/>
  <c r="AE83" i="149"/>
  <c r="AE82" i="149"/>
  <c r="AE79" i="149"/>
  <c r="AE78" i="149"/>
  <c r="AE77" i="149"/>
  <c r="AE76" i="149"/>
  <c r="AE75" i="149"/>
  <c r="AE74" i="149"/>
  <c r="AE72" i="149"/>
  <c r="AE71" i="149"/>
  <c r="AE70" i="149"/>
  <c r="AE69" i="149"/>
  <c r="AE68" i="149"/>
  <c r="AE67" i="149"/>
  <c r="AE66" i="149"/>
  <c r="AE65" i="149"/>
  <c r="AE64" i="149"/>
  <c r="AE63" i="149"/>
  <c r="AE62" i="149"/>
  <c r="AE61" i="149"/>
  <c r="AE60" i="149"/>
  <c r="AE59" i="149"/>
  <c r="AE58" i="149"/>
  <c r="AE57" i="149"/>
  <c r="AE56" i="149"/>
  <c r="AE55" i="149"/>
  <c r="AE54" i="149"/>
  <c r="AE53" i="149"/>
  <c r="AE51" i="149"/>
  <c r="AE50" i="149"/>
  <c r="AE44" i="149"/>
  <c r="AE43" i="149"/>
  <c r="AE42" i="149"/>
  <c r="AE41" i="149"/>
  <c r="AE37" i="149"/>
  <c r="AE36" i="149"/>
  <c r="AE35" i="149"/>
  <c r="AE34" i="149"/>
  <c r="AE33" i="149"/>
  <c r="AE32" i="149"/>
  <c r="AE31" i="149"/>
  <c r="AE30" i="149"/>
  <c r="AE29" i="149"/>
  <c r="AE27" i="149"/>
  <c r="AE23" i="149"/>
  <c r="AE22" i="149"/>
  <c r="AE21" i="149"/>
  <c r="AE19" i="149"/>
  <c r="AE16" i="149"/>
  <c r="AE15" i="149"/>
  <c r="AE9" i="149"/>
  <c r="AE8" i="149"/>
  <c r="M12" i="139" l="1"/>
  <c r="AG16" i="190"/>
  <c r="AG15" i="190"/>
  <c r="AG21" i="190"/>
  <c r="AG26" i="190"/>
  <c r="AG28" i="190"/>
  <c r="AG30" i="190"/>
  <c r="AG32" i="190"/>
  <c r="AG34" i="190"/>
  <c r="AG36" i="190"/>
  <c r="AG38" i="190"/>
  <c r="AG40" i="190"/>
  <c r="AG42" i="190"/>
  <c r="AG44" i="190"/>
  <c r="AG46" i="190"/>
  <c r="AG48" i="190"/>
  <c r="AG50" i="190"/>
  <c r="AG52" i="190"/>
  <c r="AG54" i="190"/>
  <c r="AG56" i="190"/>
  <c r="AG58" i="190"/>
  <c r="AG60" i="190"/>
  <c r="AG62" i="190"/>
  <c r="AG64" i="190"/>
  <c r="AG68" i="190"/>
  <c r="AG70" i="190"/>
  <c r="AG73" i="190"/>
  <c r="AG75" i="190"/>
  <c r="AG77" i="190"/>
  <c r="AG79" i="190"/>
  <c r="AG81" i="190"/>
  <c r="AG83" i="190"/>
  <c r="AG85" i="190"/>
  <c r="AG91" i="190"/>
  <c r="AG93" i="190"/>
  <c r="AG95" i="190"/>
  <c r="AG97" i="190"/>
  <c r="AG99" i="190"/>
  <c r="AG101" i="190"/>
  <c r="AG103" i="190"/>
  <c r="AG105" i="190"/>
  <c r="AG107" i="190"/>
  <c r="AG109" i="190"/>
  <c r="AG111" i="190"/>
  <c r="AG115" i="190"/>
  <c r="AG117" i="190"/>
  <c r="AG119" i="190"/>
  <c r="AG121" i="190"/>
  <c r="AG123" i="190"/>
  <c r="AG125" i="190"/>
  <c r="AG127" i="190"/>
  <c r="AG129" i="190"/>
  <c r="AG131" i="190"/>
  <c r="AG133" i="190"/>
  <c r="AG135" i="190"/>
  <c r="AG137" i="190"/>
  <c r="AG141" i="190"/>
  <c r="AG144" i="190"/>
  <c r="AG146" i="190"/>
  <c r="AG148" i="190"/>
  <c r="AG150" i="190"/>
  <c r="AG154" i="190"/>
  <c r="AG156" i="190"/>
  <c r="AG158" i="190"/>
  <c r="AG8" i="190"/>
  <c r="AG90" i="190"/>
  <c r="AG18" i="190"/>
  <c r="AG160" i="190"/>
  <c r="AG162" i="190"/>
  <c r="AG164" i="190"/>
  <c r="AG166" i="190"/>
  <c r="AG168" i="190"/>
  <c r="AG170" i="190"/>
  <c r="AG9" i="190"/>
  <c r="AG19" i="190"/>
  <c r="AG14" i="190"/>
  <c r="AG20" i="190"/>
  <c r="AG24" i="190"/>
  <c r="AG27" i="190"/>
  <c r="AG29" i="190"/>
  <c r="AG31" i="190"/>
  <c r="AG33" i="190"/>
  <c r="AG35" i="190"/>
  <c r="AG37" i="190"/>
  <c r="AG39" i="190"/>
  <c r="AG41" i="190"/>
  <c r="AG43" i="190"/>
  <c r="AG45" i="190"/>
  <c r="AG47" i="190"/>
  <c r="AG49" i="190"/>
  <c r="AG51" i="190"/>
  <c r="AG53" i="190"/>
  <c r="AG55" i="190"/>
  <c r="AG57" i="190"/>
  <c r="AG59" i="190"/>
  <c r="AG61" i="190"/>
  <c r="AG63" i="190"/>
  <c r="AG67" i="190"/>
  <c r="AG69" i="190"/>
  <c r="AG72" i="190"/>
  <c r="AG74" i="190"/>
  <c r="AG76" i="190"/>
  <c r="AG78" i="190"/>
  <c r="AG80" i="190"/>
  <c r="AG82" i="190"/>
  <c r="AG84" i="190"/>
  <c r="AG86" i="190"/>
  <c r="AG88" i="190"/>
  <c r="AG92" i="190"/>
  <c r="AG94" i="190"/>
  <c r="AG96" i="190"/>
  <c r="AG98" i="190"/>
  <c r="AG102" i="190"/>
  <c r="AG104" i="190"/>
  <c r="AG106" i="190"/>
  <c r="AG108" i="190"/>
  <c r="AG110" i="190"/>
  <c r="AG112" i="190"/>
  <c r="AG114" i="190"/>
  <c r="AG116" i="190"/>
  <c r="AG118" i="190"/>
  <c r="AG120" i="190"/>
  <c r="AG122" i="190"/>
  <c r="AG124" i="190"/>
  <c r="AG128" i="190"/>
  <c r="AG130" i="190"/>
  <c r="AG132" i="190"/>
  <c r="AG134" i="190"/>
  <c r="AG136" i="190"/>
  <c r="AG138" i="190"/>
  <c r="AG140" i="190"/>
  <c r="AG143" i="190"/>
  <c r="AG145" i="190"/>
  <c r="AG147" i="190"/>
  <c r="AG149" i="190"/>
  <c r="AG151" i="190"/>
  <c r="AG153" i="190"/>
  <c r="AG155" i="190"/>
  <c r="AG157" i="190"/>
  <c r="AG159" i="190"/>
  <c r="AG161" i="190"/>
  <c r="AG163" i="190"/>
  <c r="AG167" i="190"/>
  <c r="AG169" i="190"/>
  <c r="AG171" i="190"/>
  <c r="AG89" i="190"/>
  <c r="AG17" i="190"/>
  <c r="AG13" i="190"/>
  <c r="AG10" i="190"/>
  <c r="AG12" i="190"/>
  <c r="AG11" i="190"/>
  <c r="W11" i="183"/>
  <c r="AD11" i="149" s="1"/>
  <c r="AK13" i="149"/>
  <c r="W13" i="183"/>
  <c r="W12" i="183"/>
  <c r="R54" i="139" l="1" a="1"/>
  <c r="R54" i="139" s="1"/>
  <c r="R53" i="139"/>
  <c r="S91" i="149"/>
  <c r="S90" i="149"/>
  <c r="S88" i="149"/>
  <c r="S87" i="149"/>
  <c r="S86" i="149"/>
  <c r="AL86" i="149" s="1"/>
  <c r="S85" i="149"/>
  <c r="AL85" i="149" s="1"/>
  <c r="S84" i="149"/>
  <c r="S82" i="149"/>
  <c r="S79" i="149"/>
  <c r="AL79" i="149" s="1"/>
  <c r="S78" i="149"/>
  <c r="AL78" i="149" s="1"/>
  <c r="S77" i="149"/>
  <c r="S76" i="149"/>
  <c r="S75" i="149"/>
  <c r="S74" i="149"/>
  <c r="S72" i="149"/>
  <c r="AL72" i="149" s="1"/>
  <c r="S71" i="149"/>
  <c r="AL71" i="149" s="1"/>
  <c r="S70" i="149"/>
  <c r="S69" i="149"/>
  <c r="S68" i="149"/>
  <c r="S67" i="149"/>
  <c r="S65" i="149"/>
  <c r="AL65" i="149" s="1"/>
  <c r="S64" i="149"/>
  <c r="AL64" i="149" s="1"/>
  <c r="S63" i="149"/>
  <c r="S62" i="149"/>
  <c r="S61" i="149"/>
  <c r="S60" i="149"/>
  <c r="S58" i="149"/>
  <c r="AL58" i="149" s="1"/>
  <c r="S57" i="149"/>
  <c r="AL57" i="149" s="1"/>
  <c r="S56" i="149"/>
  <c r="S55" i="149"/>
  <c r="S54" i="149"/>
  <c r="S53" i="149"/>
  <c r="S51" i="149"/>
  <c r="AL51" i="149" s="1"/>
  <c r="S50" i="149"/>
  <c r="AL50" i="149" s="1"/>
  <c r="S44" i="149"/>
  <c r="AL44" i="149" s="1"/>
  <c r="S43" i="149"/>
  <c r="AL43" i="149" s="1"/>
  <c r="S42" i="149"/>
  <c r="S41" i="149"/>
  <c r="S37" i="149"/>
  <c r="AL37" i="149" s="1"/>
  <c r="S36" i="149"/>
  <c r="AL36" i="149" s="1"/>
  <c r="S35" i="149"/>
  <c r="S34" i="149"/>
  <c r="S33" i="149"/>
  <c r="S30" i="149"/>
  <c r="AL30" i="149" s="1"/>
  <c r="S29" i="149"/>
  <c r="AL29" i="149" s="1"/>
  <c r="S23" i="149"/>
  <c r="AL23" i="149" s="1"/>
  <c r="S22" i="149"/>
  <c r="AL22" i="149" s="1"/>
  <c r="S21" i="149"/>
  <c r="S16" i="149"/>
  <c r="AL16" i="149" s="1"/>
  <c r="S15" i="149"/>
  <c r="AL15" i="149" s="1"/>
  <c r="AD8" i="149"/>
  <c r="AF8" i="149" s="1"/>
  <c r="W159" i="183"/>
  <c r="W147" i="183"/>
  <c r="W135" i="183"/>
  <c r="W123" i="183"/>
  <c r="W111" i="183"/>
  <c r="W99" i="183"/>
  <c r="W87" i="183"/>
  <c r="AD167" i="149"/>
  <c r="AF167" i="149" s="1"/>
  <c r="AD166" i="149"/>
  <c r="AF166" i="149" s="1"/>
  <c r="AD165" i="149"/>
  <c r="AF165" i="149" s="1"/>
  <c r="AD164" i="149"/>
  <c r="AF164" i="149" s="1"/>
  <c r="AD163" i="149"/>
  <c r="AF163" i="149" s="1"/>
  <c r="AD162" i="149"/>
  <c r="AF162" i="149" s="1"/>
  <c r="AD161" i="149"/>
  <c r="AF161" i="149" s="1"/>
  <c r="AD160" i="149"/>
  <c r="AF160" i="149" s="1"/>
  <c r="AD159" i="149"/>
  <c r="AF159" i="149" s="1"/>
  <c r="AD158" i="149"/>
  <c r="AF158" i="149" s="1"/>
  <c r="AD157" i="149"/>
  <c r="AF157" i="149" s="1"/>
  <c r="AD156" i="149"/>
  <c r="AF156" i="149" s="1"/>
  <c r="AD155" i="149"/>
  <c r="AF155" i="149" s="1"/>
  <c r="AD154" i="149"/>
  <c r="AF154" i="149" s="1"/>
  <c r="AD153" i="149"/>
  <c r="AF153" i="149" s="1"/>
  <c r="AD152" i="149"/>
  <c r="AF152" i="149" s="1"/>
  <c r="AD150" i="149"/>
  <c r="AF150" i="149" s="1"/>
  <c r="AD149" i="149"/>
  <c r="AF149" i="149" s="1"/>
  <c r="AD148" i="149"/>
  <c r="AF148" i="149" s="1"/>
  <c r="AD147" i="149"/>
  <c r="AD146" i="149"/>
  <c r="AF146" i="149" s="1"/>
  <c r="AD145" i="149"/>
  <c r="AF145" i="149" s="1"/>
  <c r="AD144" i="149"/>
  <c r="AF144" i="149" s="1"/>
  <c r="AD143" i="149"/>
  <c r="AF143" i="149" s="1"/>
  <c r="AD142" i="149"/>
  <c r="AF142" i="149" s="1"/>
  <c r="AD141" i="149"/>
  <c r="AF141" i="149" s="1"/>
  <c r="AD139" i="149"/>
  <c r="AF139" i="149" s="1"/>
  <c r="AD138" i="149"/>
  <c r="AF138" i="149" s="1"/>
  <c r="AD137" i="149"/>
  <c r="AF137" i="149" s="1"/>
  <c r="AD136" i="149"/>
  <c r="AF136" i="149" s="1"/>
  <c r="AD135" i="149"/>
  <c r="AF135" i="149" s="1"/>
  <c r="AD134" i="149"/>
  <c r="AF134" i="149" s="1"/>
  <c r="AD133" i="149"/>
  <c r="AF133" i="149" s="1"/>
  <c r="AD132" i="149"/>
  <c r="AF132" i="149" s="1"/>
  <c r="AD131" i="149"/>
  <c r="AF131" i="149" s="1"/>
  <c r="AD130" i="149"/>
  <c r="AF130" i="149" s="1"/>
  <c r="AD129" i="149"/>
  <c r="AF129" i="149" s="1"/>
  <c r="AD128" i="149"/>
  <c r="AF128" i="149" s="1"/>
  <c r="AD127" i="149"/>
  <c r="AF127" i="149" s="1"/>
  <c r="AD126" i="149"/>
  <c r="AF126" i="149" s="1"/>
  <c r="AD125" i="149"/>
  <c r="AF125" i="149" s="1"/>
  <c r="AD124" i="149"/>
  <c r="AF124" i="149" s="1"/>
  <c r="AD123" i="149"/>
  <c r="AF123" i="149" s="1"/>
  <c r="AD122" i="149"/>
  <c r="AF122" i="149" s="1"/>
  <c r="AD119" i="149"/>
  <c r="AF119" i="149" s="1"/>
  <c r="AD118" i="149"/>
  <c r="AF118" i="149" s="1"/>
  <c r="AD117" i="149"/>
  <c r="AF117" i="149" s="1"/>
  <c r="AD116" i="149"/>
  <c r="AF116" i="149" s="1"/>
  <c r="AD115" i="149"/>
  <c r="AF115" i="149" s="1"/>
  <c r="AD114" i="149"/>
  <c r="AF114" i="149" s="1"/>
  <c r="AD113" i="149"/>
  <c r="AF113" i="149" s="1"/>
  <c r="AD112" i="149"/>
  <c r="AF112" i="149" s="1"/>
  <c r="AD111" i="149"/>
  <c r="AF111" i="149" s="1"/>
  <c r="AD109" i="149"/>
  <c r="AF109" i="149" s="1"/>
  <c r="AD108" i="149"/>
  <c r="AF108" i="149" s="1"/>
  <c r="AD107" i="149"/>
  <c r="AF107" i="149" s="1"/>
  <c r="AD106" i="149"/>
  <c r="AF106" i="149" s="1"/>
  <c r="AD105" i="149"/>
  <c r="AF105" i="149" s="1"/>
  <c r="AD104" i="149"/>
  <c r="AF104" i="149" s="1"/>
  <c r="AD103" i="149"/>
  <c r="AF103" i="149" s="1"/>
  <c r="AD102" i="149"/>
  <c r="AF102" i="149" s="1"/>
  <c r="AD99" i="149"/>
  <c r="AF99" i="149" s="1"/>
  <c r="AD98" i="149"/>
  <c r="AF98" i="149" s="1"/>
  <c r="AD97" i="149"/>
  <c r="AF97" i="149" s="1"/>
  <c r="AD96" i="149"/>
  <c r="AF96" i="149" s="1"/>
  <c r="AD95" i="149"/>
  <c r="AF95" i="149" s="1"/>
  <c r="AD94" i="149"/>
  <c r="AF94" i="149" s="1"/>
  <c r="AD93" i="149"/>
  <c r="AF93" i="149" s="1"/>
  <c r="AD92" i="149"/>
  <c r="AF92" i="149" s="1"/>
  <c r="AD91" i="149"/>
  <c r="AF91" i="149" s="1"/>
  <c r="AD90" i="149"/>
  <c r="AF90" i="149" s="1"/>
  <c r="AD89" i="149"/>
  <c r="AF89" i="149" s="1"/>
  <c r="AD88" i="149"/>
  <c r="AF88" i="149" s="1"/>
  <c r="AD87" i="149"/>
  <c r="AF87" i="149" s="1"/>
  <c r="AD86" i="149"/>
  <c r="AF86" i="149" s="1"/>
  <c r="AD85" i="149"/>
  <c r="AF85" i="149" s="1"/>
  <c r="AD84" i="149"/>
  <c r="AF84" i="149" s="1"/>
  <c r="AD83" i="149"/>
  <c r="AF83" i="149" s="1"/>
  <c r="AD82" i="149"/>
  <c r="AF82" i="149" s="1"/>
  <c r="AD79" i="149"/>
  <c r="AF79" i="149" s="1"/>
  <c r="AD78" i="149"/>
  <c r="AF78" i="149" s="1"/>
  <c r="AD77" i="149"/>
  <c r="AF77" i="149" s="1"/>
  <c r="AD76" i="149"/>
  <c r="AF76" i="149" s="1"/>
  <c r="AD75" i="149"/>
  <c r="AF75" i="149" s="1"/>
  <c r="AD74" i="149"/>
  <c r="AF74" i="149" s="1"/>
  <c r="AD72" i="149"/>
  <c r="AF72" i="149" s="1"/>
  <c r="AD71" i="149"/>
  <c r="AF71" i="149" s="1"/>
  <c r="AD70" i="149"/>
  <c r="AF70" i="149" s="1"/>
  <c r="AD69" i="149"/>
  <c r="AF69" i="149" s="1"/>
  <c r="AD68" i="149"/>
  <c r="AF68" i="149" s="1"/>
  <c r="AD67" i="149"/>
  <c r="AF67" i="149" s="1"/>
  <c r="AD66" i="149"/>
  <c r="AF66" i="149" s="1"/>
  <c r="AD65" i="149"/>
  <c r="AF65" i="149" s="1"/>
  <c r="AD64" i="149"/>
  <c r="AF64" i="149" s="1"/>
  <c r="AD63" i="149"/>
  <c r="AF63" i="149" s="1"/>
  <c r="AD62" i="149"/>
  <c r="AF62" i="149" s="1"/>
  <c r="AD61" i="149"/>
  <c r="AF61" i="149" s="1"/>
  <c r="AD60" i="149"/>
  <c r="AF60" i="149" s="1"/>
  <c r="AD59" i="149"/>
  <c r="AF59" i="149" s="1"/>
  <c r="AD58" i="149"/>
  <c r="AF58" i="149" s="1"/>
  <c r="AD57" i="149"/>
  <c r="AF57" i="149" s="1"/>
  <c r="AD56" i="149"/>
  <c r="AF56" i="149" s="1"/>
  <c r="AD55" i="149"/>
  <c r="AF55" i="149" s="1"/>
  <c r="AD54" i="149"/>
  <c r="AF54" i="149" s="1"/>
  <c r="AD53" i="149"/>
  <c r="AF53" i="149" s="1"/>
  <c r="AD51" i="149"/>
  <c r="AF51" i="149" s="1"/>
  <c r="AD50" i="149"/>
  <c r="AF50" i="149" s="1"/>
  <c r="AD44" i="149"/>
  <c r="AF44" i="149" s="1"/>
  <c r="AD43" i="149"/>
  <c r="AF43" i="149" s="1"/>
  <c r="AD42" i="149"/>
  <c r="AF42" i="149" s="1"/>
  <c r="AD41" i="149"/>
  <c r="AF41" i="149" s="1"/>
  <c r="AD37" i="149"/>
  <c r="AF37" i="149" s="1"/>
  <c r="AD36" i="149"/>
  <c r="AF36" i="149" s="1"/>
  <c r="AD35" i="149"/>
  <c r="AF35" i="149" s="1"/>
  <c r="AD34" i="149"/>
  <c r="AF34" i="149" s="1"/>
  <c r="AD33" i="149"/>
  <c r="AF33" i="149" s="1"/>
  <c r="AD32" i="149"/>
  <c r="AF32" i="149" s="1"/>
  <c r="AD31" i="149"/>
  <c r="AF31" i="149" s="1"/>
  <c r="AD30" i="149"/>
  <c r="AF30" i="149" s="1"/>
  <c r="AD29" i="149"/>
  <c r="AF29" i="149" s="1"/>
  <c r="AD28" i="149"/>
  <c r="AD27" i="149"/>
  <c r="AF27" i="149" s="1"/>
  <c r="AD26" i="149"/>
  <c r="AD25" i="149"/>
  <c r="AD23" i="149"/>
  <c r="AF23" i="149" s="1"/>
  <c r="AD22" i="149"/>
  <c r="AF22" i="149" s="1"/>
  <c r="AD21" i="149"/>
  <c r="AF21" i="149" s="1"/>
  <c r="AD20" i="149"/>
  <c r="AD19" i="149"/>
  <c r="AF19" i="149" s="1"/>
  <c r="AD16" i="149"/>
  <c r="AF16" i="149" s="1"/>
  <c r="AD15" i="149"/>
  <c r="AF15" i="149" s="1"/>
  <c r="AD9" i="149"/>
  <c r="AF9" i="149" s="1"/>
  <c r="R55" i="139" l="1"/>
  <c r="D19" i="214" s="1"/>
  <c r="S165" i="183"/>
  <c r="S164" i="183"/>
  <c r="S163" i="183"/>
  <c r="S162" i="183"/>
  <c r="S161" i="183"/>
  <c r="S160" i="183"/>
  <c r="S159" i="183"/>
  <c r="S158" i="183"/>
  <c r="S157" i="183"/>
  <c r="S156" i="183"/>
  <c r="S155" i="183"/>
  <c r="S154" i="183"/>
  <c r="S153" i="183"/>
  <c r="S152" i="183"/>
  <c r="S151" i="183"/>
  <c r="S150" i="183"/>
  <c r="S149" i="183"/>
  <c r="S148" i="183"/>
  <c r="S147" i="183"/>
  <c r="S146" i="183"/>
  <c r="S145" i="183"/>
  <c r="S144" i="183"/>
  <c r="S143" i="183"/>
  <c r="S142" i="183"/>
  <c r="S141" i="183"/>
  <c r="S140" i="183"/>
  <c r="S139" i="183"/>
  <c r="S138" i="183"/>
  <c r="S137" i="183"/>
  <c r="S136" i="183"/>
  <c r="S135" i="183"/>
  <c r="S134" i="183"/>
  <c r="S133" i="183"/>
  <c r="S132" i="183"/>
  <c r="S131" i="183"/>
  <c r="S130" i="183"/>
  <c r="S129" i="183"/>
  <c r="S128" i="183"/>
  <c r="S127" i="183"/>
  <c r="S126" i="183"/>
  <c r="S125" i="183"/>
  <c r="S124" i="183"/>
  <c r="S123" i="183"/>
  <c r="S122" i="183"/>
  <c r="S121" i="183"/>
  <c r="S120" i="183"/>
  <c r="S119" i="183"/>
  <c r="S118" i="183"/>
  <c r="S117" i="183"/>
  <c r="S116" i="183"/>
  <c r="S115" i="183"/>
  <c r="S114" i="183"/>
  <c r="S113" i="183"/>
  <c r="S112" i="183"/>
  <c r="S111" i="183"/>
  <c r="S110" i="183"/>
  <c r="S109" i="183"/>
  <c r="S108" i="183"/>
  <c r="S107" i="183"/>
  <c r="S106" i="183"/>
  <c r="S105" i="183"/>
  <c r="S104" i="183"/>
  <c r="S103" i="183"/>
  <c r="S102" i="183"/>
  <c r="S101" i="183"/>
  <c r="S100" i="183"/>
  <c r="S99" i="183"/>
  <c r="S98" i="183"/>
  <c r="S97" i="183"/>
  <c r="S96" i="183"/>
  <c r="S95" i="183"/>
  <c r="S94" i="183"/>
  <c r="S93" i="183"/>
  <c r="S92" i="183"/>
  <c r="S91" i="183"/>
  <c r="S90" i="183"/>
  <c r="S89" i="183"/>
  <c r="S88" i="183"/>
  <c r="S87" i="183"/>
  <c r="S86" i="183"/>
  <c r="S85" i="183"/>
  <c r="S84" i="183"/>
  <c r="S83" i="183"/>
  <c r="S82" i="183"/>
  <c r="S81" i="183"/>
  <c r="S80" i="183"/>
  <c r="S79" i="183"/>
  <c r="S78" i="183"/>
  <c r="S77" i="183"/>
  <c r="S76" i="183"/>
  <c r="S75" i="183"/>
  <c r="S74" i="183"/>
  <c r="S73" i="183"/>
  <c r="S72" i="183"/>
  <c r="S71" i="183"/>
  <c r="S70" i="183"/>
  <c r="S69" i="183"/>
  <c r="S68" i="183"/>
  <c r="S67" i="183"/>
  <c r="S66" i="183"/>
  <c r="S65" i="183"/>
  <c r="S64" i="183"/>
  <c r="S63" i="183"/>
  <c r="S62" i="183"/>
  <c r="S61" i="183"/>
  <c r="S60" i="183"/>
  <c r="S59" i="183"/>
  <c r="S58" i="183"/>
  <c r="S57" i="183"/>
  <c r="S56" i="183"/>
  <c r="S55" i="183"/>
  <c r="S54" i="183"/>
  <c r="S53" i="183"/>
  <c r="S52" i="183"/>
  <c r="S51" i="183"/>
  <c r="S50" i="183"/>
  <c r="S49" i="183"/>
  <c r="S48" i="183"/>
  <c r="S47" i="183"/>
  <c r="S46" i="183"/>
  <c r="S45" i="183"/>
  <c r="S44" i="183"/>
  <c r="S43" i="183"/>
  <c r="S42" i="183"/>
  <c r="S41" i="183"/>
  <c r="S40" i="183"/>
  <c r="S39" i="183"/>
  <c r="S38" i="183"/>
  <c r="S37" i="183"/>
  <c r="S36" i="183"/>
  <c r="S35" i="183"/>
  <c r="S34" i="183"/>
  <c r="S33" i="183"/>
  <c r="S32" i="183"/>
  <c r="S31" i="183"/>
  <c r="S30" i="183"/>
  <c r="S29" i="183"/>
  <c r="S28" i="183"/>
  <c r="S27" i="183"/>
  <c r="S26" i="183"/>
  <c r="S25" i="183"/>
  <c r="S24" i="183"/>
  <c r="S23" i="183"/>
  <c r="S22" i="183"/>
  <c r="S21" i="183"/>
  <c r="S20" i="183"/>
  <c r="S19" i="183"/>
  <c r="S18" i="183"/>
  <c r="S17" i="183"/>
  <c r="S16" i="183"/>
  <c r="S15" i="183"/>
  <c r="S14" i="183"/>
  <c r="S10" i="183"/>
  <c r="S9" i="183"/>
  <c r="S8" i="183"/>
  <c r="Y9" i="190" l="1"/>
  <c r="Y8" i="190"/>
  <c r="Y171" i="190"/>
  <c r="Y170" i="190"/>
  <c r="Y169" i="190"/>
  <c r="Y168" i="190"/>
  <c r="Y167" i="190"/>
  <c r="Y166" i="190"/>
  <c r="Y165" i="190"/>
  <c r="Y164" i="190"/>
  <c r="Y163" i="190"/>
  <c r="Y162" i="190"/>
  <c r="Y161" i="190"/>
  <c r="Y160" i="190"/>
  <c r="Y159" i="190"/>
  <c r="Y158" i="190"/>
  <c r="Y157" i="190"/>
  <c r="Y156" i="190"/>
  <c r="Y155" i="190"/>
  <c r="Y154" i="190"/>
  <c r="Y153" i="190"/>
  <c r="Y152" i="190"/>
  <c r="Y151" i="190"/>
  <c r="Y150" i="190"/>
  <c r="Y149" i="190"/>
  <c r="Y148" i="190"/>
  <c r="Y147" i="190"/>
  <c r="Y146" i="190"/>
  <c r="Y145" i="190"/>
  <c r="Y144" i="190"/>
  <c r="Y143" i="190"/>
  <c r="Y141" i="190"/>
  <c r="Y140" i="190"/>
  <c r="Y139" i="190"/>
  <c r="Y138" i="190"/>
  <c r="Y137" i="190"/>
  <c r="Y136" i="190"/>
  <c r="Y135" i="190"/>
  <c r="Y134" i="190"/>
  <c r="Y133" i="190"/>
  <c r="Y132" i="190"/>
  <c r="Y131" i="190"/>
  <c r="Y130" i="190"/>
  <c r="Y129" i="190"/>
  <c r="Y128" i="190"/>
  <c r="Y127" i="190"/>
  <c r="Y126" i="190"/>
  <c r="Y125" i="190"/>
  <c r="Y124" i="190"/>
  <c r="Y123" i="190"/>
  <c r="Y122" i="190"/>
  <c r="Y121" i="190"/>
  <c r="Y120" i="190"/>
  <c r="Y119" i="190"/>
  <c r="Y118" i="190"/>
  <c r="Y117" i="190"/>
  <c r="Y116" i="190"/>
  <c r="Y115" i="190"/>
  <c r="Y114" i="190"/>
  <c r="Y113" i="190"/>
  <c r="Y112" i="190"/>
  <c r="Y111" i="190"/>
  <c r="Y110" i="190"/>
  <c r="Y109" i="190"/>
  <c r="Y108" i="190"/>
  <c r="Y107" i="190"/>
  <c r="Y106" i="190"/>
  <c r="Y105" i="190"/>
  <c r="Y104" i="190"/>
  <c r="Y103" i="190"/>
  <c r="Y102" i="190"/>
  <c r="Y101" i="190"/>
  <c r="Y100" i="190"/>
  <c r="Y99" i="190"/>
  <c r="Y98" i="190"/>
  <c r="Y97" i="190"/>
  <c r="Y96" i="190"/>
  <c r="Y95" i="190"/>
  <c r="Y94" i="190"/>
  <c r="Y93" i="190"/>
  <c r="Y92" i="190"/>
  <c r="Y91" i="190"/>
  <c r="Y88" i="190"/>
  <c r="Y87" i="190"/>
  <c r="Y86" i="190"/>
  <c r="Y85" i="190"/>
  <c r="Y84" i="190"/>
  <c r="Y83" i="190"/>
  <c r="Y82" i="190"/>
  <c r="Y81" i="190"/>
  <c r="Y80" i="190"/>
  <c r="Y79" i="190"/>
  <c r="Y78" i="190"/>
  <c r="Y77" i="190"/>
  <c r="Y76" i="190"/>
  <c r="Y75" i="190"/>
  <c r="Y74" i="190"/>
  <c r="Y73" i="190"/>
  <c r="Y72" i="190"/>
  <c r="Y70" i="190"/>
  <c r="Y69" i="190"/>
  <c r="Y68" i="190"/>
  <c r="Y67" i="190"/>
  <c r="Y64" i="190"/>
  <c r="Y63" i="190"/>
  <c r="Y62" i="190"/>
  <c r="Y61" i="190"/>
  <c r="Y60" i="190"/>
  <c r="Y59" i="190"/>
  <c r="Y58" i="190"/>
  <c r="Y57" i="190"/>
  <c r="Y56" i="190"/>
  <c r="Y55" i="190"/>
  <c r="Y54" i="190"/>
  <c r="Y53" i="190"/>
  <c r="Y52" i="190"/>
  <c r="Y51" i="190"/>
  <c r="Y50" i="190"/>
  <c r="Y49" i="190"/>
  <c r="Y48" i="190"/>
  <c r="Y47" i="190"/>
  <c r="Y46" i="190"/>
  <c r="Y45" i="190"/>
  <c r="Y44" i="190"/>
  <c r="Y43" i="190"/>
  <c r="Y42" i="190"/>
  <c r="Y41" i="190"/>
  <c r="Y40" i="190"/>
  <c r="Y39" i="190"/>
  <c r="Y38" i="190"/>
  <c r="Y37" i="190"/>
  <c r="Y36" i="190"/>
  <c r="Y35" i="190"/>
  <c r="Y34" i="190"/>
  <c r="Y33" i="190"/>
  <c r="Y32" i="190"/>
  <c r="Y31" i="190"/>
  <c r="Y30" i="190"/>
  <c r="Y29" i="190"/>
  <c r="Y28" i="190"/>
  <c r="Y27" i="190"/>
  <c r="Y26" i="190"/>
  <c r="Y24" i="190"/>
  <c r="Y21" i="190"/>
  <c r="Y20" i="190"/>
  <c r="Y15" i="190"/>
  <c r="Y14" i="190"/>
  <c r="Y13" i="190"/>
  <c r="Y12" i="190"/>
  <c r="Y11" i="190"/>
  <c r="Y10" i="190"/>
  <c r="F28" i="207"/>
  <c r="G28" i="207"/>
  <c r="I28" i="207"/>
  <c r="J28" i="207"/>
  <c r="K28" i="207"/>
  <c r="G115" i="152" l="1"/>
  <c r="H115" i="152" s="1"/>
  <c r="AE18" i="149"/>
  <c r="AE17" i="149"/>
  <c r="O45" i="206" l="1"/>
  <c r="Z48" i="206" s="1"/>
  <c r="O43" i="206"/>
  <c r="O30" i="206"/>
  <c r="O48" i="206" s="1"/>
  <c r="Y189" i="149"/>
  <c r="Y188" i="149"/>
  <c r="Y187" i="149"/>
  <c r="Y186" i="149"/>
  <c r="Y185" i="149"/>
  <c r="Y184" i="149"/>
  <c r="Y183" i="149"/>
  <c r="Y182" i="149"/>
  <c r="D53" i="206" l="1"/>
  <c r="AA140" i="149"/>
  <c r="Y140" i="149"/>
  <c r="Y17" i="149"/>
  <c r="Y18" i="149"/>
  <c r="Y19" i="149"/>
  <c r="Y20" i="149"/>
  <c r="Y21" i="149"/>
  <c r="Y22" i="149"/>
  <c r="Y23" i="149"/>
  <c r="Y24" i="149"/>
  <c r="Y25" i="149"/>
  <c r="Y26" i="149"/>
  <c r="Y27" i="149"/>
  <c r="Y28" i="149"/>
  <c r="Y29" i="149"/>
  <c r="Y30" i="149"/>
  <c r="Y31" i="149"/>
  <c r="Y32" i="149"/>
  <c r="Y33" i="149"/>
  <c r="Y34" i="149"/>
  <c r="Y35" i="149"/>
  <c r="Y36" i="149"/>
  <c r="Y37" i="149"/>
  <c r="Y41" i="149"/>
  <c r="Y42" i="149"/>
  <c r="Y43" i="149"/>
  <c r="Y44" i="149"/>
  <c r="Y50" i="149"/>
  <c r="Y51" i="149"/>
  <c r="Y52" i="149"/>
  <c r="Y53" i="149"/>
  <c r="Y54" i="149"/>
  <c r="Y55" i="149"/>
  <c r="Y56" i="149"/>
  <c r="Y57" i="149"/>
  <c r="Y58" i="149"/>
  <c r="Y59" i="149"/>
  <c r="Y60" i="149"/>
  <c r="Y61" i="149"/>
  <c r="Y62" i="149"/>
  <c r="Y63" i="149"/>
  <c r="Y64" i="149"/>
  <c r="Y65" i="149"/>
  <c r="Y66" i="149"/>
  <c r="Y67" i="149"/>
  <c r="Y68" i="149"/>
  <c r="Y69" i="149"/>
  <c r="Y70" i="149"/>
  <c r="Y71" i="149"/>
  <c r="Y72" i="149"/>
  <c r="Y73" i="149"/>
  <c r="Y74" i="149"/>
  <c r="Y75" i="149"/>
  <c r="Y76" i="149"/>
  <c r="Y77" i="149"/>
  <c r="Y78" i="149"/>
  <c r="Y79" i="149"/>
  <c r="Y80" i="149"/>
  <c r="Y81" i="149"/>
  <c r="Y82" i="149"/>
  <c r="Y83" i="149"/>
  <c r="Y84" i="149"/>
  <c r="Y85" i="149"/>
  <c r="Y86" i="149"/>
  <c r="Y87" i="149"/>
  <c r="Y88" i="149"/>
  <c r="Y89" i="149"/>
  <c r="Y90" i="149"/>
  <c r="Y91" i="149"/>
  <c r="Y92" i="149"/>
  <c r="Y93" i="149"/>
  <c r="Y94" i="149"/>
  <c r="Y95" i="149"/>
  <c r="Y96" i="149"/>
  <c r="Y97" i="149"/>
  <c r="Y98" i="149"/>
  <c r="Y99" i="149"/>
  <c r="Y100" i="149"/>
  <c r="Y101" i="149"/>
  <c r="Y102" i="149"/>
  <c r="Y103" i="149"/>
  <c r="Y104" i="149"/>
  <c r="Y105" i="149"/>
  <c r="Y106" i="149"/>
  <c r="Y107" i="149"/>
  <c r="Y108" i="149"/>
  <c r="Y109" i="149"/>
  <c r="Y110" i="149"/>
  <c r="Y111" i="149"/>
  <c r="Y112" i="149"/>
  <c r="Y113" i="149"/>
  <c r="Y114" i="149"/>
  <c r="Y115" i="149"/>
  <c r="Y116" i="149"/>
  <c r="Y117" i="149"/>
  <c r="Y118" i="149"/>
  <c r="Y119" i="149"/>
  <c r="Y120" i="149"/>
  <c r="Y121" i="149"/>
  <c r="Y122" i="149"/>
  <c r="Y123" i="149"/>
  <c r="Y124" i="149"/>
  <c r="Y125" i="149"/>
  <c r="Y126" i="149"/>
  <c r="Y127" i="149"/>
  <c r="Y128" i="149"/>
  <c r="Y129" i="149"/>
  <c r="Y130" i="149"/>
  <c r="Y131" i="149"/>
  <c r="Y132" i="149"/>
  <c r="Y133" i="149"/>
  <c r="Y134" i="149"/>
  <c r="Y135" i="149"/>
  <c r="Y136" i="149"/>
  <c r="Y137" i="149"/>
  <c r="Y138" i="149"/>
  <c r="Y139" i="149"/>
  <c r="Y141" i="149"/>
  <c r="Y142" i="149"/>
  <c r="Y143" i="149"/>
  <c r="Y144" i="149"/>
  <c r="Y145" i="149"/>
  <c r="Y146" i="149"/>
  <c r="Y147" i="149"/>
  <c r="Y148" i="149"/>
  <c r="Y149" i="149"/>
  <c r="Y150" i="149"/>
  <c r="Y151" i="149"/>
  <c r="Y152" i="149"/>
  <c r="Y153" i="149"/>
  <c r="Y154" i="149"/>
  <c r="Y155" i="149"/>
  <c r="Y156" i="149"/>
  <c r="Y157" i="149"/>
  <c r="Y158" i="149"/>
  <c r="Y159" i="149"/>
  <c r="Y160" i="149"/>
  <c r="Y161" i="149"/>
  <c r="Y162" i="149"/>
  <c r="Y163" i="149"/>
  <c r="Y164" i="149"/>
  <c r="Y165" i="149"/>
  <c r="Y166" i="149"/>
  <c r="Y167" i="149"/>
  <c r="AA17" i="149"/>
  <c r="AA18" i="149"/>
  <c r="AA19" i="149"/>
  <c r="Z19" i="149" s="1"/>
  <c r="AA20" i="149"/>
  <c r="Z20" i="149" s="1"/>
  <c r="AA21" i="149"/>
  <c r="Z21" i="149" s="1"/>
  <c r="AA22" i="149"/>
  <c r="Z22" i="149" s="1"/>
  <c r="AA23" i="149"/>
  <c r="Z23" i="149" s="1"/>
  <c r="AA24" i="149"/>
  <c r="AA25" i="149"/>
  <c r="Z25" i="149" s="1"/>
  <c r="AA26" i="149"/>
  <c r="Z26" i="149" s="1"/>
  <c r="AA27" i="149"/>
  <c r="Z27" i="149" s="1"/>
  <c r="AA28" i="149"/>
  <c r="Z28" i="149" s="1"/>
  <c r="AA29" i="149"/>
  <c r="Z29" i="149" s="1"/>
  <c r="AA30" i="149"/>
  <c r="Z30" i="149" s="1"/>
  <c r="AA31" i="149"/>
  <c r="AA32" i="149"/>
  <c r="AA33" i="149"/>
  <c r="Z33" i="149" s="1"/>
  <c r="AA34" i="149"/>
  <c r="Z34" i="149" s="1"/>
  <c r="AA35" i="149"/>
  <c r="Z35" i="149" s="1"/>
  <c r="AA36" i="149"/>
  <c r="Z36" i="149" s="1"/>
  <c r="AA37" i="149"/>
  <c r="Z37" i="149" s="1"/>
  <c r="AA41" i="149"/>
  <c r="Z41" i="149" s="1"/>
  <c r="AA42" i="149"/>
  <c r="Z42" i="149" s="1"/>
  <c r="AA43" i="149"/>
  <c r="Z43" i="149" s="1"/>
  <c r="AA44" i="149"/>
  <c r="Z44" i="149" s="1"/>
  <c r="AA50" i="149"/>
  <c r="Z50" i="149" s="1"/>
  <c r="AA51" i="149"/>
  <c r="Z51" i="149" s="1"/>
  <c r="AA52" i="149"/>
  <c r="AA53" i="149"/>
  <c r="Z53" i="149" s="1"/>
  <c r="AA54" i="149"/>
  <c r="Z54" i="149" s="1"/>
  <c r="AA55" i="149"/>
  <c r="Z55" i="149" s="1"/>
  <c r="AA56" i="149"/>
  <c r="Z56" i="149" s="1"/>
  <c r="AA57" i="149"/>
  <c r="Z57" i="149" s="1"/>
  <c r="AA58" i="149"/>
  <c r="Z58" i="149" s="1"/>
  <c r="AA59" i="149"/>
  <c r="Z59" i="149" s="1"/>
  <c r="AA60" i="149"/>
  <c r="Z60" i="149" s="1"/>
  <c r="AA61" i="149"/>
  <c r="Z61" i="149" s="1"/>
  <c r="AA62" i="149"/>
  <c r="Z62" i="149" s="1"/>
  <c r="AA63" i="149"/>
  <c r="Z63" i="149" s="1"/>
  <c r="AA64" i="149"/>
  <c r="Z64" i="149" s="1"/>
  <c r="AA65" i="149"/>
  <c r="Z65" i="149" s="1"/>
  <c r="AA66" i="149"/>
  <c r="AA67" i="149"/>
  <c r="Z67" i="149" s="1"/>
  <c r="AA68" i="149"/>
  <c r="Z68" i="149" s="1"/>
  <c r="AA69" i="149"/>
  <c r="Z69" i="149" s="1"/>
  <c r="AA70" i="149"/>
  <c r="Z70" i="149" s="1"/>
  <c r="AA71" i="149"/>
  <c r="Z71" i="149" s="1"/>
  <c r="AA72" i="149"/>
  <c r="Z72" i="149" s="1"/>
  <c r="AA73" i="149"/>
  <c r="AA74" i="149"/>
  <c r="Z74" i="149" s="1"/>
  <c r="AA75" i="149"/>
  <c r="Z75" i="149" s="1"/>
  <c r="AA76" i="149"/>
  <c r="Z76" i="149" s="1"/>
  <c r="AA77" i="149"/>
  <c r="Z77" i="149" s="1"/>
  <c r="AA78" i="149"/>
  <c r="Z78" i="149" s="1"/>
  <c r="AA79" i="149"/>
  <c r="Z79" i="149" s="1"/>
  <c r="AA80" i="149"/>
  <c r="AA81" i="149"/>
  <c r="AA82" i="149"/>
  <c r="Z82" i="149" s="1"/>
  <c r="AA83" i="149"/>
  <c r="Z83" i="149" s="1"/>
  <c r="AA84" i="149"/>
  <c r="Z84" i="149" s="1"/>
  <c r="AA85" i="149"/>
  <c r="Z85" i="149" s="1"/>
  <c r="AA86" i="149"/>
  <c r="Z86" i="149" s="1"/>
  <c r="AA87" i="149"/>
  <c r="Z87" i="149" s="1"/>
  <c r="AA88" i="149"/>
  <c r="Z88" i="149" s="1"/>
  <c r="AA89" i="149"/>
  <c r="Z89" i="149" s="1"/>
  <c r="AA90" i="149"/>
  <c r="Z90" i="149" s="1"/>
  <c r="AA91" i="149"/>
  <c r="Z91" i="149" s="1"/>
  <c r="AA92" i="149"/>
  <c r="Z92" i="149" s="1"/>
  <c r="AA93" i="149"/>
  <c r="Z93" i="149" s="1"/>
  <c r="AA94" i="149"/>
  <c r="Z94" i="149" s="1"/>
  <c r="AA95" i="149"/>
  <c r="Z95" i="149" s="1"/>
  <c r="AA96" i="149"/>
  <c r="Z96" i="149" s="1"/>
  <c r="AA97" i="149"/>
  <c r="Z97" i="149" s="1"/>
  <c r="AA98" i="149"/>
  <c r="Z98" i="149" s="1"/>
  <c r="AA99" i="149"/>
  <c r="Z99" i="149" s="1"/>
  <c r="AA100" i="149"/>
  <c r="AA101" i="149"/>
  <c r="AA102" i="149"/>
  <c r="Z102" i="149" s="1"/>
  <c r="AA103" i="149"/>
  <c r="Z103" i="149" s="1"/>
  <c r="AA104" i="149"/>
  <c r="Z104" i="149" s="1"/>
  <c r="AA105" i="149"/>
  <c r="Z105" i="149" s="1"/>
  <c r="AA106" i="149"/>
  <c r="Z106" i="149" s="1"/>
  <c r="AA107" i="149"/>
  <c r="Z107" i="149" s="1"/>
  <c r="AA108" i="149"/>
  <c r="Z108" i="149" s="1"/>
  <c r="AA109" i="149"/>
  <c r="Z109" i="149" s="1"/>
  <c r="AA110" i="149"/>
  <c r="AA111" i="149"/>
  <c r="Z111" i="149" s="1"/>
  <c r="AA112" i="149"/>
  <c r="Z112" i="149" s="1"/>
  <c r="AA113" i="149"/>
  <c r="Z113" i="149" s="1"/>
  <c r="AA114" i="149"/>
  <c r="Z114" i="149" s="1"/>
  <c r="AA115" i="149"/>
  <c r="Z115" i="149" s="1"/>
  <c r="AA116" i="149"/>
  <c r="Z116" i="149" s="1"/>
  <c r="AA117" i="149"/>
  <c r="Z117" i="149" s="1"/>
  <c r="AA118" i="149"/>
  <c r="Z118" i="149" s="1"/>
  <c r="AA119" i="149"/>
  <c r="Z119" i="149" s="1"/>
  <c r="AA120" i="149"/>
  <c r="AA121" i="149"/>
  <c r="AA122" i="149"/>
  <c r="Z122" i="149" s="1"/>
  <c r="AA123" i="149"/>
  <c r="Z123" i="149" s="1"/>
  <c r="AA124" i="149"/>
  <c r="Z124" i="149" s="1"/>
  <c r="AA125" i="149"/>
  <c r="Z125" i="149" s="1"/>
  <c r="AA126" i="149"/>
  <c r="Z126" i="149" s="1"/>
  <c r="AA127" i="149"/>
  <c r="Z127" i="149" s="1"/>
  <c r="AA128" i="149"/>
  <c r="Z128" i="149" s="1"/>
  <c r="AA129" i="149"/>
  <c r="Z129" i="149" s="1"/>
  <c r="AA130" i="149"/>
  <c r="AA131" i="149"/>
  <c r="Z131" i="149" s="1"/>
  <c r="AA132" i="149"/>
  <c r="Z132" i="149" s="1"/>
  <c r="AA133" i="149"/>
  <c r="Z133" i="149" s="1"/>
  <c r="AA134" i="149"/>
  <c r="Z134" i="149" s="1"/>
  <c r="AA135" i="149"/>
  <c r="Z135" i="149" s="1"/>
  <c r="AA136" i="149"/>
  <c r="Z136" i="149" s="1"/>
  <c r="AA137" i="149"/>
  <c r="Z137" i="149" s="1"/>
  <c r="AA138" i="149"/>
  <c r="Z138" i="149" s="1"/>
  <c r="AA139" i="149"/>
  <c r="Z139" i="149" s="1"/>
  <c r="AA141" i="149"/>
  <c r="Z141" i="149" s="1"/>
  <c r="AA142" i="149"/>
  <c r="Z142" i="149" s="1"/>
  <c r="AA143" i="149"/>
  <c r="Z143" i="149" s="1"/>
  <c r="AA144" i="149"/>
  <c r="Z144" i="149" s="1"/>
  <c r="AA145" i="149"/>
  <c r="Z145" i="149" s="1"/>
  <c r="AA146" i="149"/>
  <c r="Z146" i="149" s="1"/>
  <c r="AA147" i="149"/>
  <c r="AA148" i="149"/>
  <c r="Z148" i="149" s="1"/>
  <c r="AA149" i="149"/>
  <c r="Z149" i="149" s="1"/>
  <c r="AA150" i="149"/>
  <c r="AA151" i="149"/>
  <c r="AA152" i="149"/>
  <c r="Z152" i="149" s="1"/>
  <c r="AA153" i="149"/>
  <c r="Z153" i="149" s="1"/>
  <c r="AA154" i="149"/>
  <c r="Z154" i="149" s="1"/>
  <c r="AA155" i="149"/>
  <c r="Z155" i="149" s="1"/>
  <c r="AA156" i="149"/>
  <c r="Z156" i="149" s="1"/>
  <c r="AA157" i="149"/>
  <c r="Z157" i="149" s="1"/>
  <c r="AA158" i="149"/>
  <c r="Z158" i="149" s="1"/>
  <c r="AA159" i="149"/>
  <c r="Z159" i="149" s="1"/>
  <c r="AA160" i="149"/>
  <c r="Z160" i="149" s="1"/>
  <c r="AA161" i="149"/>
  <c r="AA162" i="149"/>
  <c r="Z162" i="149" s="1"/>
  <c r="AA163" i="149"/>
  <c r="Z163" i="149" s="1"/>
  <c r="AA164" i="149"/>
  <c r="Z164" i="149" s="1"/>
  <c r="AA165" i="149"/>
  <c r="Z165" i="149" s="1"/>
  <c r="AA166" i="149"/>
  <c r="Z166" i="149" s="1"/>
  <c r="AA167" i="149"/>
  <c r="Z167" i="149" s="1"/>
  <c r="AK93" i="149"/>
  <c r="AK94" i="149"/>
  <c r="AK95" i="149"/>
  <c r="AK96" i="149"/>
  <c r="AK97" i="149"/>
  <c r="AK98" i="149"/>
  <c r="AK104" i="149"/>
  <c r="AK105" i="149"/>
  <c r="AK106" i="149"/>
  <c r="AK107" i="149"/>
  <c r="AK108" i="149"/>
  <c r="AK114" i="149"/>
  <c r="AK115" i="149"/>
  <c r="AK116" i="149"/>
  <c r="AK117" i="149"/>
  <c r="AK118" i="149"/>
  <c r="AK124" i="149"/>
  <c r="AK125" i="149"/>
  <c r="AK126" i="149"/>
  <c r="AK127" i="149"/>
  <c r="AK128" i="149"/>
  <c r="AK134" i="149"/>
  <c r="AK135" i="149"/>
  <c r="AK136" i="149"/>
  <c r="AK137" i="149"/>
  <c r="AK138" i="149"/>
  <c r="AK144" i="149"/>
  <c r="AK145" i="149"/>
  <c r="AK146" i="149"/>
  <c r="AK147" i="149"/>
  <c r="AK148" i="149"/>
  <c r="AK154" i="149"/>
  <c r="AK155" i="149"/>
  <c r="AK156" i="149"/>
  <c r="AK157" i="149"/>
  <c r="AK158" i="149"/>
  <c r="AK159" i="149"/>
  <c r="AK165" i="149"/>
  <c r="AK166" i="149"/>
  <c r="AK167" i="149"/>
  <c r="Y9" i="149"/>
  <c r="Y15" i="149"/>
  <c r="Y16" i="149"/>
  <c r="AA16" i="149"/>
  <c r="Z16" i="149" s="1"/>
  <c r="AA15" i="149"/>
  <c r="Z15" i="149" s="1"/>
  <c r="AA9" i="149"/>
  <c r="Z9" i="149" s="1"/>
  <c r="AA8" i="149"/>
  <c r="AK8" i="149"/>
  <c r="AK9" i="149"/>
  <c r="K171" i="190"/>
  <c r="Z38" i="149" l="1"/>
  <c r="Z31" i="149"/>
  <c r="Z32" i="149"/>
  <c r="H17" i="143"/>
  <c r="F17" i="143" s="1"/>
  <c r="S17" i="143"/>
  <c r="F48" i="206"/>
  <c r="G48" i="206"/>
  <c r="K48" i="206"/>
  <c r="J48" i="206"/>
  <c r="M48" i="206"/>
  <c r="I48" i="206"/>
  <c r="L48" i="206"/>
  <c r="H48" i="206"/>
  <c r="Z147" i="149"/>
  <c r="Z130" i="149"/>
  <c r="Z110" i="149"/>
  <c r="Z52" i="149"/>
  <c r="Z150" i="149"/>
  <c r="Z161" i="149"/>
  <c r="Z66" i="149"/>
  <c r="Z11" i="149"/>
  <c r="Z10" i="149"/>
  <c r="Z13" i="149"/>
  <c r="Z14" i="149"/>
  <c r="Z8" i="149"/>
  <c r="Z151" i="149"/>
  <c r="Z140" i="149"/>
  <c r="I177" i="183"/>
  <c r="Z81" i="149"/>
  <c r="Z73" i="149"/>
  <c r="Z17" i="149"/>
  <c r="Z100" i="149"/>
  <c r="Z80" i="149"/>
  <c r="Z24" i="149"/>
  <c r="Z18" i="149"/>
  <c r="Z120" i="149"/>
  <c r="Z101" i="149"/>
  <c r="Z121" i="149"/>
  <c r="I186" i="190"/>
  <c r="U51" i="206" l="1" a="1"/>
  <c r="U51" i="206" s="1"/>
  <c r="D28" i="214" s="1"/>
  <c r="W10" i="190"/>
  <c r="W13" i="190"/>
  <c r="W8" i="190"/>
  <c r="W151" i="190"/>
  <c r="AI151" i="190" s="1"/>
  <c r="W99" i="190"/>
  <c r="AI99" i="190" s="1"/>
  <c r="W125" i="190"/>
  <c r="AI125" i="190" s="1"/>
  <c r="W138" i="190"/>
  <c r="AI138" i="190" s="1"/>
  <c r="W164" i="190"/>
  <c r="AI164" i="190" s="1"/>
  <c r="W86" i="190"/>
  <c r="AI86" i="190" s="1"/>
  <c r="W112" i="190"/>
  <c r="AI112" i="190" s="1"/>
  <c r="AC8" i="149"/>
  <c r="AB8" i="149"/>
  <c r="Q17" i="143"/>
  <c r="AC45" i="149"/>
  <c r="AC46" i="149"/>
  <c r="AC47" i="149"/>
  <c r="AC48" i="149"/>
  <c r="AC49" i="149"/>
  <c r="AB45" i="149"/>
  <c r="AB46" i="149"/>
  <c r="AB47" i="149"/>
  <c r="AB48" i="149"/>
  <c r="AB49" i="149"/>
  <c r="AC38" i="149"/>
  <c r="AC39" i="149"/>
  <c r="AC40" i="149"/>
  <c r="AB39" i="149"/>
  <c r="AB38" i="149"/>
  <c r="AB40" i="149"/>
  <c r="AC21" i="149"/>
  <c r="AC19" i="149"/>
  <c r="AC17" i="149"/>
  <c r="AC15" i="149"/>
  <c r="AB21" i="149"/>
  <c r="AB167" i="149"/>
  <c r="AB165" i="149"/>
  <c r="AB163" i="149"/>
  <c r="AB161" i="149"/>
  <c r="AB159" i="149"/>
  <c r="AB157" i="149"/>
  <c r="AB155" i="149"/>
  <c r="AB153" i="149"/>
  <c r="AB151" i="149"/>
  <c r="AB149" i="149"/>
  <c r="AB147" i="149"/>
  <c r="AB145" i="149"/>
  <c r="AB143" i="149"/>
  <c r="AB141" i="149"/>
  <c r="AB139" i="149"/>
  <c r="AB137" i="149"/>
  <c r="AB135" i="149"/>
  <c r="AB133" i="149"/>
  <c r="AB131" i="149"/>
  <c r="AB129" i="149"/>
  <c r="AB127" i="149"/>
  <c r="AB125" i="149"/>
  <c r="AB123" i="149"/>
  <c r="AB121" i="149"/>
  <c r="AB119" i="149"/>
  <c r="AB117" i="149"/>
  <c r="AB115" i="149"/>
  <c r="AB113" i="149"/>
  <c r="AB111" i="149"/>
  <c r="AB109" i="149"/>
  <c r="AB107" i="149"/>
  <c r="AB105" i="149"/>
  <c r="AB103" i="149"/>
  <c r="AB101" i="149"/>
  <c r="AB99" i="149"/>
  <c r="AB97" i="149"/>
  <c r="AB95" i="149"/>
  <c r="AB93" i="149"/>
  <c r="AB91" i="149"/>
  <c r="AB89" i="149"/>
  <c r="AB87" i="149"/>
  <c r="AC167" i="149"/>
  <c r="AC165" i="149"/>
  <c r="AC163" i="149"/>
  <c r="AC161" i="149"/>
  <c r="AC159" i="149"/>
  <c r="AC157" i="149"/>
  <c r="AC155" i="149"/>
  <c r="AC153" i="149"/>
  <c r="AC151" i="149"/>
  <c r="AC149" i="149"/>
  <c r="AC147" i="149"/>
  <c r="AC145" i="149"/>
  <c r="AC143" i="149"/>
  <c r="AC141" i="149"/>
  <c r="AC139" i="149"/>
  <c r="AC137" i="149"/>
  <c r="AC135" i="149"/>
  <c r="AC133" i="149"/>
  <c r="AC131" i="149"/>
  <c r="AC129" i="149"/>
  <c r="AC127" i="149"/>
  <c r="AC125" i="149"/>
  <c r="AC123" i="149"/>
  <c r="AC121" i="149"/>
  <c r="AC119" i="149"/>
  <c r="AC117" i="149"/>
  <c r="AC20" i="149"/>
  <c r="AC18" i="149"/>
  <c r="AC16" i="149"/>
  <c r="AB20" i="149"/>
  <c r="AB166" i="149"/>
  <c r="AB164" i="149"/>
  <c r="AB162" i="149"/>
  <c r="AB160" i="149"/>
  <c r="AB158" i="149"/>
  <c r="AB156" i="149"/>
  <c r="AB154" i="149"/>
  <c r="AB152" i="149"/>
  <c r="AB150" i="149"/>
  <c r="AB148" i="149"/>
  <c r="AB146" i="149"/>
  <c r="AB144" i="149"/>
  <c r="AB142" i="149"/>
  <c r="AB140" i="149"/>
  <c r="AB138" i="149"/>
  <c r="AB136" i="149"/>
  <c r="AB134" i="149"/>
  <c r="AB132" i="149"/>
  <c r="AB130" i="149"/>
  <c r="AB128" i="149"/>
  <c r="AB126" i="149"/>
  <c r="AB124" i="149"/>
  <c r="AB122" i="149"/>
  <c r="AB120" i="149"/>
  <c r="AB118" i="149"/>
  <c r="AB116" i="149"/>
  <c r="AB114" i="149"/>
  <c r="AB112" i="149"/>
  <c r="AB110" i="149"/>
  <c r="AB106" i="149"/>
  <c r="AB102" i="149"/>
  <c r="AB98" i="149"/>
  <c r="AB94" i="149"/>
  <c r="AB90" i="149"/>
  <c r="AB86" i="149"/>
  <c r="AC164" i="149"/>
  <c r="AC160" i="149"/>
  <c r="AC156" i="149"/>
  <c r="AC152" i="149"/>
  <c r="AC148" i="149"/>
  <c r="AC144" i="149"/>
  <c r="AC138" i="149"/>
  <c r="AC134" i="149"/>
  <c r="AC130" i="149"/>
  <c r="AC126" i="149"/>
  <c r="AC122" i="149"/>
  <c r="AC118" i="149"/>
  <c r="AC115" i="149"/>
  <c r="AC113" i="149"/>
  <c r="AC111" i="149"/>
  <c r="AC109" i="149"/>
  <c r="AC107" i="149"/>
  <c r="AC105" i="149"/>
  <c r="AC103" i="149"/>
  <c r="AC101" i="149"/>
  <c r="AC99" i="149"/>
  <c r="AC97" i="149"/>
  <c r="AC95" i="149"/>
  <c r="AC93" i="149"/>
  <c r="AC91" i="149"/>
  <c r="AC89" i="149"/>
  <c r="AC87" i="149"/>
  <c r="AC85" i="149"/>
  <c r="AB84" i="149"/>
  <c r="AB82" i="149"/>
  <c r="AB80" i="149"/>
  <c r="AB78" i="149"/>
  <c r="AB76" i="149"/>
  <c r="AB74" i="149"/>
  <c r="AB72" i="149"/>
  <c r="AB70" i="149"/>
  <c r="AB68" i="149"/>
  <c r="AB66" i="149"/>
  <c r="AB64" i="149"/>
  <c r="AB62" i="149"/>
  <c r="AB60" i="149"/>
  <c r="AB58" i="149"/>
  <c r="AB56" i="149"/>
  <c r="AB54" i="149"/>
  <c r="AB52" i="149"/>
  <c r="AB50" i="149"/>
  <c r="AB44" i="149"/>
  <c r="AB42" i="149"/>
  <c r="AB36" i="149"/>
  <c r="AB34" i="149"/>
  <c r="AB32" i="149"/>
  <c r="AB30" i="149"/>
  <c r="AB28" i="149"/>
  <c r="AB26" i="149"/>
  <c r="AB24" i="149"/>
  <c r="AB22" i="149"/>
  <c r="AC83" i="149"/>
  <c r="AC81" i="149"/>
  <c r="AC79" i="149"/>
  <c r="AC77" i="149"/>
  <c r="AC75" i="149"/>
  <c r="AC73" i="149"/>
  <c r="AC71" i="149"/>
  <c r="AC69" i="149"/>
  <c r="AC67" i="149"/>
  <c r="AC65" i="149"/>
  <c r="AC63" i="149"/>
  <c r="AC61" i="149"/>
  <c r="AC59" i="149"/>
  <c r="AC57" i="149"/>
  <c r="AB108" i="149"/>
  <c r="AB104" i="149"/>
  <c r="AB100" i="149"/>
  <c r="AB96" i="149"/>
  <c r="AB92" i="149"/>
  <c r="AB88" i="149"/>
  <c r="AC166" i="149"/>
  <c r="AC162" i="149"/>
  <c r="AC158" i="149"/>
  <c r="AC154" i="149"/>
  <c r="AC150" i="149"/>
  <c r="AC146" i="149"/>
  <c r="AC142" i="149"/>
  <c r="AC140" i="149"/>
  <c r="AC136" i="149"/>
  <c r="AC132" i="149"/>
  <c r="AC128" i="149"/>
  <c r="AC124" i="149"/>
  <c r="AC120" i="149"/>
  <c r="AC116" i="149"/>
  <c r="AC114" i="149"/>
  <c r="AC112" i="149"/>
  <c r="AC110" i="149"/>
  <c r="AC108" i="149"/>
  <c r="AC106" i="149"/>
  <c r="AC104" i="149"/>
  <c r="AC102" i="149"/>
  <c r="AC100" i="149"/>
  <c r="AC98" i="149"/>
  <c r="AC96" i="149"/>
  <c r="AC94" i="149"/>
  <c r="AC92" i="149"/>
  <c r="AC90" i="149"/>
  <c r="AC88" i="149"/>
  <c r="AC86" i="149"/>
  <c r="AB85" i="149"/>
  <c r="AB83" i="149"/>
  <c r="AB81" i="149"/>
  <c r="AB79" i="149"/>
  <c r="AB77" i="149"/>
  <c r="AB75" i="149"/>
  <c r="AB73" i="149"/>
  <c r="AB71" i="149"/>
  <c r="AB69" i="149"/>
  <c r="AB67" i="149"/>
  <c r="AB65" i="149"/>
  <c r="AB63" i="149"/>
  <c r="AB61" i="149"/>
  <c r="AB59" i="149"/>
  <c r="AB57" i="149"/>
  <c r="AB55" i="149"/>
  <c r="AB53" i="149"/>
  <c r="AB51" i="149"/>
  <c r="AB43" i="149"/>
  <c r="AB41" i="149"/>
  <c r="AB37" i="149"/>
  <c r="AB35" i="149"/>
  <c r="AB33" i="149"/>
  <c r="AB31" i="149"/>
  <c r="AB29" i="149"/>
  <c r="AB27" i="149"/>
  <c r="AB25" i="149"/>
  <c r="AB23" i="149"/>
  <c r="AC84" i="149"/>
  <c r="AC82" i="149"/>
  <c r="AC80" i="149"/>
  <c r="AC78" i="149"/>
  <c r="AC76" i="149"/>
  <c r="AC74" i="149"/>
  <c r="AC72" i="149"/>
  <c r="AC70" i="149"/>
  <c r="AC68" i="149"/>
  <c r="AC66" i="149"/>
  <c r="AC64" i="149"/>
  <c r="AC62" i="149"/>
  <c r="AC60" i="149"/>
  <c r="AC58" i="149"/>
  <c r="AC56" i="149"/>
  <c r="AC54" i="149"/>
  <c r="AC52" i="149"/>
  <c r="AC50" i="149"/>
  <c r="AC23" i="149"/>
  <c r="AC25" i="149"/>
  <c r="AC27" i="149"/>
  <c r="AC29" i="149"/>
  <c r="AC31" i="149"/>
  <c r="AC33" i="149"/>
  <c r="AC35" i="149"/>
  <c r="AC37" i="149"/>
  <c r="AC41" i="149"/>
  <c r="AC43" i="149"/>
  <c r="AC53" i="149"/>
  <c r="AC22" i="149"/>
  <c r="AC24" i="149"/>
  <c r="AC26" i="149"/>
  <c r="AC28" i="149"/>
  <c r="AC30" i="149"/>
  <c r="AC32" i="149"/>
  <c r="AC34" i="149"/>
  <c r="AC36" i="149"/>
  <c r="AC42" i="149"/>
  <c r="AC44" i="149"/>
  <c r="AC51" i="149"/>
  <c r="AC55" i="149"/>
  <c r="N17" i="143" l="1"/>
  <c r="C17" i="143"/>
  <c r="Y181" i="149" l="1"/>
  <c r="Y180" i="149"/>
  <c r="Y179" i="149"/>
  <c r="Y178" i="149"/>
  <c r="Y177" i="149"/>
  <c r="Y176" i="149"/>
  <c r="Y175" i="149"/>
  <c r="Y174" i="149"/>
  <c r="Y173" i="149"/>
  <c r="Y172" i="149"/>
  <c r="Y171" i="149"/>
  <c r="Z172" i="149" l="1"/>
  <c r="Z188" i="149"/>
  <c r="Z187" i="149"/>
  <c r="Z186" i="149"/>
  <c r="Z185" i="149"/>
  <c r="Z184" i="149"/>
  <c r="Z189" i="149"/>
  <c r="Z183" i="149"/>
  <c r="Z173" i="149"/>
  <c r="Z181" i="149"/>
  <c r="Z179" i="149"/>
  <c r="Z177" i="149"/>
  <c r="Z175" i="149"/>
  <c r="Z182" i="149"/>
  <c r="Z180" i="149"/>
  <c r="Z178" i="149"/>
  <c r="Z176" i="149"/>
  <c r="Z174" i="149"/>
  <c r="W23" i="190" l="1"/>
  <c r="AI23" i="190" s="1"/>
  <c r="AI8" i="190"/>
  <c r="AC9" i="149"/>
  <c r="AB9" i="149"/>
  <c r="AB10" i="149"/>
  <c r="AC10" i="149"/>
  <c r="AC11" i="149"/>
  <c r="AB11" i="149"/>
  <c r="AB12" i="149"/>
  <c r="AC12" i="149"/>
  <c r="AC13" i="149"/>
  <c r="AB13" i="149"/>
  <c r="AB14" i="149"/>
  <c r="AC14" i="149"/>
  <c r="AB16" i="149"/>
  <c r="AB17" i="149"/>
  <c r="AB15" i="149"/>
  <c r="AB18" i="149"/>
  <c r="AB19" i="149"/>
  <c r="AK14" i="149"/>
  <c r="V17" i="149"/>
  <c r="V18" i="149"/>
  <c r="AK18" i="149" s="1"/>
  <c r="V19" i="149"/>
  <c r="AK20" i="149"/>
  <c r="V21" i="149"/>
  <c r="Q8" i="149"/>
  <c r="AK15" i="149"/>
  <c r="AK16" i="149"/>
  <c r="AK22" i="149"/>
  <c r="AK23" i="149"/>
  <c r="V24" i="149"/>
  <c r="V25" i="149"/>
  <c r="V26" i="149"/>
  <c r="V27" i="149"/>
  <c r="V28" i="149"/>
  <c r="AK29" i="149"/>
  <c r="AK30" i="149"/>
  <c r="V31" i="149"/>
  <c r="V32" i="149"/>
  <c r="V33" i="149"/>
  <c r="V34" i="149"/>
  <c r="V35" i="149"/>
  <c r="AK36" i="149"/>
  <c r="AK37" i="149"/>
  <c r="V41" i="149"/>
  <c r="V42" i="149"/>
  <c r="AK43" i="149"/>
  <c r="AK44" i="149"/>
  <c r="AK50" i="149"/>
  <c r="AK51" i="149"/>
  <c r="V52" i="149"/>
  <c r="V53" i="149"/>
  <c r="V54" i="149"/>
  <c r="V55" i="149"/>
  <c r="V56" i="149"/>
  <c r="AK57" i="149"/>
  <c r="AK58" i="149"/>
  <c r="V59" i="149"/>
  <c r="V60" i="149"/>
  <c r="V61" i="149"/>
  <c r="V62" i="149"/>
  <c r="V63" i="149"/>
  <c r="AK64" i="149"/>
  <c r="AK65" i="149"/>
  <c r="V66" i="149"/>
  <c r="V67" i="149"/>
  <c r="V68" i="149"/>
  <c r="V69" i="149"/>
  <c r="V70" i="149"/>
  <c r="AK71" i="149"/>
  <c r="AK72" i="149"/>
  <c r="V73" i="149"/>
  <c r="AK73" i="149" s="1"/>
  <c r="V74" i="149"/>
  <c r="V75" i="149"/>
  <c r="V76" i="149"/>
  <c r="V77" i="149"/>
  <c r="AK78" i="149"/>
  <c r="AK79" i="149"/>
  <c r="V80" i="149"/>
  <c r="AK80" i="149" s="1"/>
  <c r="V81" i="149"/>
  <c r="V82" i="149"/>
  <c r="V83" i="149"/>
  <c r="V84" i="149"/>
  <c r="AK85" i="149"/>
  <c r="AK86" i="149"/>
  <c r="V87" i="149"/>
  <c r="V88" i="149"/>
  <c r="V89" i="149"/>
  <c r="V90" i="149"/>
  <c r="V91" i="149"/>
  <c r="AK92" i="149"/>
  <c r="AK164" i="149"/>
  <c r="AK163" i="149"/>
  <c r="AK162" i="149"/>
  <c r="AK161" i="149"/>
  <c r="AK160" i="149"/>
  <c r="M164" i="149"/>
  <c r="P164" i="149"/>
  <c r="J179" i="149" l="1"/>
  <c r="AK70" i="149"/>
  <c r="AL70" i="149"/>
  <c r="AK54" i="149"/>
  <c r="AL54" i="149"/>
  <c r="AK41" i="149"/>
  <c r="AL41" i="149"/>
  <c r="AK77" i="149"/>
  <c r="AL77" i="149"/>
  <c r="AK69" i="149"/>
  <c r="AL69" i="149"/>
  <c r="AK53" i="149"/>
  <c r="AL53" i="149"/>
  <c r="AK84" i="149"/>
  <c r="AL84" i="149"/>
  <c r="AK76" i="149"/>
  <c r="AL76" i="149"/>
  <c r="AK68" i="149"/>
  <c r="AL68" i="149"/>
  <c r="AK60" i="149"/>
  <c r="AL60" i="149"/>
  <c r="AK28" i="149"/>
  <c r="AK89" i="149"/>
  <c r="AL89" i="149"/>
  <c r="AK88" i="149"/>
  <c r="AL88" i="149"/>
  <c r="AK56" i="149"/>
  <c r="AL56" i="149"/>
  <c r="AK61" i="149"/>
  <c r="AL61" i="149"/>
  <c r="AK91" i="149"/>
  <c r="AL91" i="149"/>
  <c r="AK83" i="149"/>
  <c r="AL83" i="149"/>
  <c r="AK75" i="149"/>
  <c r="AL75" i="149"/>
  <c r="AK67" i="149"/>
  <c r="AL67" i="149"/>
  <c r="AK59" i="149"/>
  <c r="AK35" i="149"/>
  <c r="AL35" i="149"/>
  <c r="AK27" i="149"/>
  <c r="AK74" i="149"/>
  <c r="AL74" i="149"/>
  <c r="AK34" i="149"/>
  <c r="AL34" i="149"/>
  <c r="AK26" i="149"/>
  <c r="AK21" i="149"/>
  <c r="AL21" i="149"/>
  <c r="AK33" i="149"/>
  <c r="AL33" i="149"/>
  <c r="AK90" i="149"/>
  <c r="AL90" i="149"/>
  <c r="AK82" i="149"/>
  <c r="AL82" i="149"/>
  <c r="AK25" i="149"/>
  <c r="AK32" i="149"/>
  <c r="AK19" i="149"/>
  <c r="AL19" i="149"/>
  <c r="AK87" i="149"/>
  <c r="AL87" i="149"/>
  <c r="AK55" i="149"/>
  <c r="AL55" i="149"/>
  <c r="AK42" i="149"/>
  <c r="AL42" i="149"/>
  <c r="AK31" i="149"/>
  <c r="AK62" i="149"/>
  <c r="AL62" i="149"/>
  <c r="AK63" i="149"/>
  <c r="AL63" i="149"/>
  <c r="AG45" i="149" a="1"/>
  <c r="AG45" i="149" s="1"/>
  <c r="AG15" i="149" a="1"/>
  <c r="AG15" i="149" s="1"/>
  <c r="AG33" i="149" a="1"/>
  <c r="AG33" i="149" s="1"/>
  <c r="AG93" i="149" a="1"/>
  <c r="AG93" i="149" s="1"/>
  <c r="AG111" i="149" a="1"/>
  <c r="AG111" i="149" s="1"/>
  <c r="AG129" i="149" a="1"/>
  <c r="AG129" i="149" s="1"/>
  <c r="AG145" i="149" a="1"/>
  <c r="AG145" i="149" s="1"/>
  <c r="AG163" i="149" a="1"/>
  <c r="AG163" i="149" s="1"/>
  <c r="AG54" i="149" a="1"/>
  <c r="AG54" i="149" s="1"/>
  <c r="AG62" i="149" a="1"/>
  <c r="AG62" i="149" s="1"/>
  <c r="AG70" i="149" a="1"/>
  <c r="AG70" i="149" s="1"/>
  <c r="AG79" i="149" a="1"/>
  <c r="AG79" i="149" s="1"/>
  <c r="AG94" i="149" a="1"/>
  <c r="AG94" i="149" s="1"/>
  <c r="AG112" i="149" a="1"/>
  <c r="AG112" i="149" s="1"/>
  <c r="AG130" i="149" a="1"/>
  <c r="AG130" i="149" s="1"/>
  <c r="AG148" i="149" a="1"/>
  <c r="AG148" i="149" s="1"/>
  <c r="AI148" i="149" s="1"/>
  <c r="AG164" i="149" a="1"/>
  <c r="AG164" i="149" s="1"/>
  <c r="AG48" i="149" a="1"/>
  <c r="AG48" i="149" s="1"/>
  <c r="AG22" i="149" a="1"/>
  <c r="AG22" i="149" s="1"/>
  <c r="AG19" i="149" a="1"/>
  <c r="AG19" i="149" s="1"/>
  <c r="AG35" i="149" a="1"/>
  <c r="AG35" i="149" s="1"/>
  <c r="AG95" i="149" a="1"/>
  <c r="AG95" i="149" s="1"/>
  <c r="AG113" i="149" a="1"/>
  <c r="AG113" i="149" s="1"/>
  <c r="AG131" i="149" a="1"/>
  <c r="AG131" i="149" s="1"/>
  <c r="AG165" i="149" a="1"/>
  <c r="AG165" i="149" s="1"/>
  <c r="AG55" i="149" a="1"/>
  <c r="AG55" i="149" s="1"/>
  <c r="AG63" i="149" a="1"/>
  <c r="AG63" i="149" s="1"/>
  <c r="AG71" i="149" a="1"/>
  <c r="AG71" i="149" s="1"/>
  <c r="AG8" i="149" a="1"/>
  <c r="AG8" i="149" s="1"/>
  <c r="AG30" i="149" a="1"/>
  <c r="AG30" i="149" s="1"/>
  <c r="AG85" i="149" a="1"/>
  <c r="AG85" i="149" s="1"/>
  <c r="AG103" i="149" a="1"/>
  <c r="AG103" i="149" s="1"/>
  <c r="AG119" i="149" a="1"/>
  <c r="AG119" i="149" s="1"/>
  <c r="AG137" i="149" a="1"/>
  <c r="AG137" i="149" s="1"/>
  <c r="AG155" i="149" a="1"/>
  <c r="AG155" i="149" s="1"/>
  <c r="AG44" i="149" a="1"/>
  <c r="AG44" i="149" s="1"/>
  <c r="AG58" i="149" a="1"/>
  <c r="AG58" i="149" s="1"/>
  <c r="AG66" i="149" a="1"/>
  <c r="AG66" i="149" s="1"/>
  <c r="AG75" i="149" a="1"/>
  <c r="AG75" i="149" s="1"/>
  <c r="AG86" i="149" a="1"/>
  <c r="AG86" i="149" s="1"/>
  <c r="AG104" i="149" a="1"/>
  <c r="AG104" i="149" s="1"/>
  <c r="AG122" i="149" a="1"/>
  <c r="AG122" i="149" s="1"/>
  <c r="AG138" i="149" a="1"/>
  <c r="AG138" i="149" s="1"/>
  <c r="AI138" i="149" s="1"/>
  <c r="AG156" i="149" a="1"/>
  <c r="AG156" i="149" s="1"/>
  <c r="AG40" i="149" a="1"/>
  <c r="AG40" i="149" s="1"/>
  <c r="AG9" i="149" a="1"/>
  <c r="AG9" i="149" s="1"/>
  <c r="AG32" i="149" a="1"/>
  <c r="AG32" i="149" s="1"/>
  <c r="AG27" i="149" a="1"/>
  <c r="AG27" i="149" s="1"/>
  <c r="AG87" i="149" a="1"/>
  <c r="AG87" i="149" s="1"/>
  <c r="AG105" i="149" a="1"/>
  <c r="AG105" i="149" s="1"/>
  <c r="AG123" i="149" a="1"/>
  <c r="AG123" i="149" s="1"/>
  <c r="AG139" i="149" a="1"/>
  <c r="AG139" i="149" s="1"/>
  <c r="AG157" i="149" a="1"/>
  <c r="AG157" i="149" s="1"/>
  <c r="AG50" i="149" a="1"/>
  <c r="AG50" i="149" s="1"/>
  <c r="AG59" i="149" a="1"/>
  <c r="AG59" i="149" s="1"/>
  <c r="AG67" i="149" a="1"/>
  <c r="AG67" i="149" s="1"/>
  <c r="AG76" i="149" a="1"/>
  <c r="AG76" i="149" s="1"/>
  <c r="AG82" i="149" a="1"/>
  <c r="AG82" i="149" s="1"/>
  <c r="AG88" i="149" a="1"/>
  <c r="AG88" i="149" s="1"/>
  <c r="AG96" i="149" a="1"/>
  <c r="AG96" i="149" s="1"/>
  <c r="AG106" i="149" a="1"/>
  <c r="AG106" i="149" s="1"/>
  <c r="AG114" i="149" a="1"/>
  <c r="AG114" i="149" s="1"/>
  <c r="AG124" i="149" a="1"/>
  <c r="AG124" i="149" s="1"/>
  <c r="AG132" i="149" a="1"/>
  <c r="AG132" i="149" s="1"/>
  <c r="AG142" i="149" a="1"/>
  <c r="AG142" i="149" s="1"/>
  <c r="AG150" i="149" a="1"/>
  <c r="AG150" i="149" s="1"/>
  <c r="AG158" i="149" a="1"/>
  <c r="AG158" i="149" s="1"/>
  <c r="AG166" i="149" a="1"/>
  <c r="AG166" i="149" s="1"/>
  <c r="AG39" i="149" a="1"/>
  <c r="AG39" i="149" s="1"/>
  <c r="AG47" i="149" a="1"/>
  <c r="AG47" i="149" s="1"/>
  <c r="AG16" i="149" a="1"/>
  <c r="AG16" i="149" s="1"/>
  <c r="AG34" i="149" a="1"/>
  <c r="AG34" i="149" s="1"/>
  <c r="AG21" i="149" a="1"/>
  <c r="AG21" i="149" s="1"/>
  <c r="AG29" i="149" a="1"/>
  <c r="AG29" i="149" s="1"/>
  <c r="AG37" i="149" a="1"/>
  <c r="AG37" i="149" s="1"/>
  <c r="AG89" i="149" a="1"/>
  <c r="AG89" i="149" s="1"/>
  <c r="AG97" i="149" a="1"/>
  <c r="AG97" i="149" s="1"/>
  <c r="AG107" i="149" a="1"/>
  <c r="AG107" i="149" s="1"/>
  <c r="AG115" i="149" a="1"/>
  <c r="AG115" i="149" s="1"/>
  <c r="AG125" i="149" a="1"/>
  <c r="AG125" i="149" s="1"/>
  <c r="AG133" i="149" a="1"/>
  <c r="AG133" i="149" s="1"/>
  <c r="AG141" i="149" a="1"/>
  <c r="AG141" i="149" s="1"/>
  <c r="AG149" i="149" a="1"/>
  <c r="AG149" i="149" s="1"/>
  <c r="AG159" i="149" a="1"/>
  <c r="AG159" i="149" s="1"/>
  <c r="AI159" i="149" s="1"/>
  <c r="AG42" i="149" a="1"/>
  <c r="AG42" i="149" s="1"/>
  <c r="AG51" i="149" a="1"/>
  <c r="AG51" i="149" s="1"/>
  <c r="AG56" i="149" a="1"/>
  <c r="AG56" i="149" s="1"/>
  <c r="AG60" i="149" a="1"/>
  <c r="AG60" i="149" s="1"/>
  <c r="AG64" i="149" a="1"/>
  <c r="AG64" i="149" s="1"/>
  <c r="AG68" i="149" a="1"/>
  <c r="AG68" i="149" s="1"/>
  <c r="AG72" i="149" a="1"/>
  <c r="AG72" i="149" s="1"/>
  <c r="AG77" i="149" a="1"/>
  <c r="AG77" i="149" s="1"/>
  <c r="AG83" i="149" a="1"/>
  <c r="AG83" i="149" s="1"/>
  <c r="AG90" i="149" a="1"/>
  <c r="AG90" i="149" s="1"/>
  <c r="AG98" i="149" a="1"/>
  <c r="AG98" i="149" s="1"/>
  <c r="AI98" i="149" s="1"/>
  <c r="AG108" i="149" a="1"/>
  <c r="AG108" i="149" s="1"/>
  <c r="AI108" i="149" s="1"/>
  <c r="AG116" i="149" a="1"/>
  <c r="AG116" i="149" s="1"/>
  <c r="AG126" i="149" a="1"/>
  <c r="AG126" i="149" s="1"/>
  <c r="AG134" i="149" a="1"/>
  <c r="AG134" i="149" s="1"/>
  <c r="AG144" i="149" a="1"/>
  <c r="AG144" i="149" s="1"/>
  <c r="AG152" i="149" a="1"/>
  <c r="AG152" i="149" s="1"/>
  <c r="AG160" i="149" a="1"/>
  <c r="AG160" i="149" s="1"/>
  <c r="AG167" i="149" a="1"/>
  <c r="AG167" i="149" s="1"/>
  <c r="AG38" i="149" a="1"/>
  <c r="AG38" i="149" s="1"/>
  <c r="AG46" i="149" a="1"/>
  <c r="AG46" i="149" s="1"/>
  <c r="AG36" i="149" a="1"/>
  <c r="AG36" i="149" s="1"/>
  <c r="AG23" i="149" a="1"/>
  <c r="AG23" i="149" s="1"/>
  <c r="AG31" i="149" a="1"/>
  <c r="AG31" i="149" s="1"/>
  <c r="AG41" i="149" a="1"/>
  <c r="AG41" i="149" s="1"/>
  <c r="AG91" i="149" a="1"/>
  <c r="AG91" i="149" s="1"/>
  <c r="AG99" i="149" a="1"/>
  <c r="AG99" i="149" s="1"/>
  <c r="AG109" i="149" a="1"/>
  <c r="AG109" i="149" s="1"/>
  <c r="AG117" i="149" a="1"/>
  <c r="AG117" i="149" s="1"/>
  <c r="AG127" i="149" a="1"/>
  <c r="AG127" i="149" s="1"/>
  <c r="AG135" i="149" a="1"/>
  <c r="AG135" i="149" s="1"/>
  <c r="AG143" i="149" a="1"/>
  <c r="AG143" i="149" s="1"/>
  <c r="AG153" i="149" a="1"/>
  <c r="AG153" i="149" s="1"/>
  <c r="AG161" i="149" a="1"/>
  <c r="AG161" i="149" s="1"/>
  <c r="AG43" i="149" a="1"/>
  <c r="AG43" i="149" s="1"/>
  <c r="AG53" i="149" a="1"/>
  <c r="AG53" i="149" s="1"/>
  <c r="AG57" i="149" a="1"/>
  <c r="AG57" i="149" s="1"/>
  <c r="AG61" i="149" a="1"/>
  <c r="AG61" i="149" s="1"/>
  <c r="AG65" i="149" a="1"/>
  <c r="AG65" i="149" s="1"/>
  <c r="AG69" i="149" a="1"/>
  <c r="AG69" i="149" s="1"/>
  <c r="AG74" i="149" a="1"/>
  <c r="AG74" i="149" s="1"/>
  <c r="AG78" i="149" a="1"/>
  <c r="AG78" i="149" s="1"/>
  <c r="AG84" i="149" a="1"/>
  <c r="AG84" i="149" s="1"/>
  <c r="AG92" i="149" a="1"/>
  <c r="AG92" i="149" s="1"/>
  <c r="AG102" i="149" a="1"/>
  <c r="AG102" i="149" s="1"/>
  <c r="AG118" i="149" a="1"/>
  <c r="AG118" i="149" s="1"/>
  <c r="AI118" i="149" s="1"/>
  <c r="AG128" i="149" a="1"/>
  <c r="AG128" i="149" s="1"/>
  <c r="AI128" i="149" s="1"/>
  <c r="AG136" i="149" a="1"/>
  <c r="AG136" i="149" s="1"/>
  <c r="AG146" i="149" a="1"/>
  <c r="AG146" i="149" s="1"/>
  <c r="AG154" i="149" a="1"/>
  <c r="AG154" i="149" s="1"/>
  <c r="AG162" i="149" a="1"/>
  <c r="AG162" i="149" s="1"/>
  <c r="AG49" i="149" a="1"/>
  <c r="AG49" i="149" s="1"/>
  <c r="S66" i="149"/>
  <c r="AL66" i="149" s="1"/>
  <c r="AK52" i="149"/>
  <c r="AK66" i="149"/>
  <c r="AK24" i="149"/>
  <c r="AK81" i="149"/>
  <c r="AK17" i="149"/>
  <c r="AI59" i="149" l="1"/>
  <c r="S59" i="149"/>
  <c r="S130" i="149"/>
  <c r="AI130" i="149"/>
  <c r="S161" i="149"/>
  <c r="AI161" i="149"/>
  <c r="AI48" i="149"/>
  <c r="S48" i="149"/>
  <c r="AI47" i="149"/>
  <c r="S47" i="149"/>
  <c r="AI142" i="149"/>
  <c r="S142" i="149"/>
  <c r="AI141" i="149"/>
  <c r="S141" i="149"/>
  <c r="AI27" i="149"/>
  <c r="S150" i="149"/>
  <c r="AI150" i="149"/>
  <c r="S102" i="149"/>
  <c r="AI102" i="149"/>
  <c r="AI38" i="149"/>
  <c r="S38" i="149"/>
  <c r="AI32" i="149"/>
  <c r="S32" i="149"/>
  <c r="AI31" i="149"/>
  <c r="S31" i="149"/>
  <c r="X186" i="190"/>
  <c r="S177" i="183"/>
  <c r="AK153" i="149"/>
  <c r="AK152" i="149"/>
  <c r="AK150" i="149"/>
  <c r="AK149" i="149"/>
  <c r="M153" i="149"/>
  <c r="P153" i="149"/>
  <c r="AL59" i="149" l="1"/>
  <c r="AL130" i="149"/>
  <c r="AL48" i="149"/>
  <c r="AL161" i="149"/>
  <c r="AL47" i="149"/>
  <c r="AL142" i="149"/>
  <c r="AL141" i="149"/>
  <c r="AL27" i="149"/>
  <c r="AL150" i="149"/>
  <c r="AL102" i="149"/>
  <c r="AL38" i="149"/>
  <c r="AL32" i="149"/>
  <c r="AL31" i="149"/>
  <c r="J177" i="149"/>
  <c r="R17" i="123" l="1"/>
  <c r="R15" i="123"/>
  <c r="P7" i="123"/>
  <c r="H15" i="123"/>
  <c r="F7" i="123"/>
  <c r="H8" i="143" s="1"/>
  <c r="F8" i="143" s="1"/>
  <c r="S8" i="143" l="1"/>
  <c r="C7" i="177"/>
  <c r="C8" i="143" l="1"/>
  <c r="Q8" i="143"/>
  <c r="N8" i="143" l="1"/>
  <c r="N23" i="143" s="1" a="1"/>
  <c r="N23" i="143" s="1"/>
  <c r="D24" i="214" s="1"/>
  <c r="AK143" i="149"/>
  <c r="AK142" i="149"/>
  <c r="AK141" i="149"/>
  <c r="AK133" i="149"/>
  <c r="AK132" i="149"/>
  <c r="AK131" i="149"/>
  <c r="AK123" i="149"/>
  <c r="AK122" i="149"/>
  <c r="AK120" i="149"/>
  <c r="AK113" i="149"/>
  <c r="AK112" i="149"/>
  <c r="AK111" i="149"/>
  <c r="AK102" i="149"/>
  <c r="AK103" i="149"/>
  <c r="AK110" i="149" l="1"/>
  <c r="AK130" i="149"/>
  <c r="AK100" i="149"/>
  <c r="AK140" i="149"/>
  <c r="AK151" i="149"/>
  <c r="H7" i="123" l="1"/>
  <c r="R7" i="123" l="1"/>
  <c r="N50" i="149" l="1"/>
  <c r="N43" i="149"/>
  <c r="P14" i="117" l="1"/>
  <c r="W149" i="183"/>
  <c r="W113" i="183"/>
  <c r="AD120" i="149" s="1"/>
  <c r="W101" i="183"/>
  <c r="AD110" i="149" s="1"/>
  <c r="W89" i="183"/>
  <c r="AD100" i="149" l="1"/>
  <c r="AD140" i="149"/>
  <c r="AD151" i="149"/>
  <c r="M103" i="149"/>
  <c r="P63" i="117" l="1"/>
  <c r="W71" i="183"/>
  <c r="AD81" i="149" s="1"/>
  <c r="W70" i="183"/>
  <c r="W64" i="183"/>
  <c r="W10" i="183"/>
  <c r="AD10" i="149" s="1"/>
  <c r="W17" i="183"/>
  <c r="AD18" i="149" s="1"/>
  <c r="AF18" i="149" s="1"/>
  <c r="AG18" i="149" s="1" a="1"/>
  <c r="AG18" i="149" s="1"/>
  <c r="AI18" i="149" l="1"/>
  <c r="S18" i="149"/>
  <c r="AD73" i="149"/>
  <c r="AD80" i="149"/>
  <c r="AL18" i="149" l="1"/>
  <c r="Q43" i="149"/>
  <c r="Q36" i="149"/>
  <c r="N36" i="149"/>
  <c r="Q29" i="149"/>
  <c r="N85" i="149" l="1"/>
  <c r="N15" i="149"/>
  <c r="Q15" i="149"/>
  <c r="N22" i="149"/>
  <c r="Q22" i="149"/>
  <c r="P34" i="117"/>
  <c r="P33" i="117"/>
  <c r="P29" i="117"/>
  <c r="P28" i="117"/>
  <c r="P27" i="117"/>
  <c r="P26" i="117"/>
  <c r="P23" i="117"/>
  <c r="P22" i="117"/>
  <c r="P21" i="117"/>
  <c r="P16" i="117"/>
  <c r="P15" i="117"/>
  <c r="N143" i="149"/>
  <c r="J21" i="166" l="1"/>
  <c r="P21" i="166" l="1"/>
  <c r="AK139" i="149"/>
  <c r="P143" i="149"/>
  <c r="M143" i="149"/>
  <c r="K158" i="190"/>
  <c r="J176" i="149" l="1"/>
  <c r="I175" i="183"/>
  <c r="I184" i="190"/>
  <c r="X184" i="190" s="1"/>
  <c r="S175" i="183" l="1"/>
  <c r="K132" i="190"/>
  <c r="K145" i="190"/>
  <c r="K106" i="190"/>
  <c r="K93" i="190"/>
  <c r="K119" i="190"/>
  <c r="I179" i="190" l="1"/>
  <c r="K80" i="190"/>
  <c r="I178" i="190" s="1"/>
  <c r="I183" i="190"/>
  <c r="X183" i="190" s="1"/>
  <c r="I182" i="190"/>
  <c r="I181" i="190"/>
  <c r="I180" i="190"/>
  <c r="W11" i="190" l="1"/>
  <c r="AH26" i="149"/>
  <c r="AH25" i="149"/>
  <c r="AH14" i="149"/>
  <c r="AH121" i="149"/>
  <c r="AH120" i="149"/>
  <c r="I185" i="190"/>
  <c r="W47" i="183"/>
  <c r="AD52" i="149" s="1"/>
  <c r="W23" i="183"/>
  <c r="W22" i="183"/>
  <c r="W16" i="183"/>
  <c r="AI11" i="190" l="1"/>
  <c r="AE26" i="149"/>
  <c r="AF26" i="149" s="1"/>
  <c r="AG26" i="149" s="1" a="1"/>
  <c r="AG26" i="149" s="1"/>
  <c r="AE25" i="149"/>
  <c r="AF25" i="149" s="1"/>
  <c r="AG25" i="149" s="1" a="1"/>
  <c r="AG25" i="149" s="1"/>
  <c r="AE120" i="149"/>
  <c r="AF120" i="149" s="1"/>
  <c r="AG120" i="149" s="1" a="1"/>
  <c r="AG120" i="149" s="1"/>
  <c r="AE121" i="149"/>
  <c r="AD24" i="149"/>
  <c r="AD17" i="149"/>
  <c r="AK129" i="149"/>
  <c r="AK119" i="149"/>
  <c r="AK109" i="149"/>
  <c r="AI26" i="149" l="1"/>
  <c r="S25" i="149"/>
  <c r="AI25" i="149"/>
  <c r="AI100" i="149"/>
  <c r="AI20" i="149"/>
  <c r="S20" i="149"/>
  <c r="AE14" i="149"/>
  <c r="AF17" i="149"/>
  <c r="AG17" i="149" s="1" a="1"/>
  <c r="AG17" i="149" s="1"/>
  <c r="AI17" i="149" s="1"/>
  <c r="AK99" i="149"/>
  <c r="AK101" i="149"/>
  <c r="AK121" i="149"/>
  <c r="W114" i="183"/>
  <c r="AD121" i="149" s="1"/>
  <c r="AF121" i="149" s="1"/>
  <c r="AG121" i="149" s="1" a="1"/>
  <c r="AG121" i="149" s="1"/>
  <c r="AL26" i="149" l="1"/>
  <c r="AL25" i="149"/>
  <c r="C4" i="185"/>
  <c r="S110" i="149"/>
  <c r="AI110" i="149"/>
  <c r="S24" i="149"/>
  <c r="AI24" i="149"/>
  <c r="AL20" i="149"/>
  <c r="S52" i="149"/>
  <c r="AL52" i="149" s="1"/>
  <c r="C2" i="185"/>
  <c r="S81" i="149"/>
  <c r="AL81" i="149" s="1"/>
  <c r="S73" i="149"/>
  <c r="AL73" i="149" s="1"/>
  <c r="S80" i="149"/>
  <c r="AL80" i="149" s="1"/>
  <c r="S17" i="149"/>
  <c r="I174" i="183"/>
  <c r="S174" i="183" s="1"/>
  <c r="I173" i="183"/>
  <c r="I171" i="183"/>
  <c r="W90" i="183"/>
  <c r="AD101" i="149" s="1"/>
  <c r="N78" i="149"/>
  <c r="N71" i="149"/>
  <c r="N64" i="149"/>
  <c r="N57" i="149"/>
  <c r="N29" i="149"/>
  <c r="Q85" i="149"/>
  <c r="Q78" i="149"/>
  <c r="Q71" i="149"/>
  <c r="Q64" i="149"/>
  <c r="Q57" i="149"/>
  <c r="Q50" i="149"/>
  <c r="E4" i="185" l="1"/>
  <c r="D4" i="185"/>
  <c r="Q92" i="149"/>
  <c r="J171" i="149" s="1"/>
  <c r="B7" i="185"/>
  <c r="G4" i="185"/>
  <c r="I4" i="185"/>
  <c r="G7" i="185"/>
  <c r="I7" i="185"/>
  <c r="H7" i="185" s="1" a="1"/>
  <c r="H7" i="185" s="1"/>
  <c r="B4" i="185"/>
  <c r="F4" i="185"/>
  <c r="C7" i="185"/>
  <c r="E7" i="185"/>
  <c r="H4" i="185"/>
  <c r="F7" i="185"/>
  <c r="AL17" i="149"/>
  <c r="AL110" i="149"/>
  <c r="S101" i="149"/>
  <c r="AI101" i="149"/>
  <c r="AL24" i="149"/>
  <c r="AD14" i="149"/>
  <c r="AF14" i="149" s="1"/>
  <c r="AG14" i="149" s="1" a="1"/>
  <c r="AG14" i="149" s="1"/>
  <c r="AI14" i="149" s="1"/>
  <c r="N92" i="149"/>
  <c r="I170" i="183"/>
  <c r="X178" i="190" l="1"/>
  <c r="D7" i="185"/>
  <c r="AL101" i="149"/>
  <c r="S14" i="149"/>
  <c r="AL14" i="149" s="1"/>
  <c r="S169" i="183"/>
  <c r="I176" i="183"/>
  <c r="P103" i="149"/>
  <c r="M133" i="149"/>
  <c r="P113" i="149"/>
  <c r="M113" i="149"/>
  <c r="P133" i="149"/>
  <c r="J175" i="149" l="1"/>
  <c r="X182" i="190" s="1"/>
  <c r="J174" i="149"/>
  <c r="X181" i="190" s="1"/>
  <c r="J173" i="149"/>
  <c r="X180" i="190" s="1"/>
  <c r="J172" i="149"/>
  <c r="J178" i="149" l="1"/>
  <c r="X179" i="190"/>
  <c r="S170" i="183"/>
  <c r="S172" i="183"/>
  <c r="S171" i="183"/>
  <c r="S173" i="183"/>
  <c r="G46" i="231" l="1"/>
  <c r="G15" i="231" s="1"/>
  <c r="D15" i="231" s="1"/>
  <c r="F13" i="123"/>
  <c r="P13" i="123"/>
  <c r="X185" i="190"/>
  <c r="X187" i="190" s="1"/>
  <c r="D13" i="214" s="1"/>
  <c r="S176" i="183"/>
  <c r="S178" i="183" s="1"/>
  <c r="D12" i="214" s="1"/>
  <c r="D46" i="231" l="1"/>
  <c r="G9" i="231"/>
  <c r="D9" i="231" s="1"/>
  <c r="J20" i="166"/>
  <c r="P20" i="166" l="1"/>
  <c r="O22" i="166"/>
  <c r="J22" i="166"/>
  <c r="P22" i="166" l="1"/>
  <c r="P6" i="166" s="1"/>
  <c r="D10" i="214" s="1"/>
  <c r="P15" i="123"/>
  <c r="F17" i="123" l="1"/>
  <c r="P17" i="123" l="1"/>
  <c r="H17" i="141" l="1"/>
  <c r="K49" i="139"/>
  <c r="M18" i="141" l="1"/>
  <c r="C7" i="123"/>
  <c r="M7" i="123"/>
  <c r="P65" i="117"/>
  <c r="P64" i="117"/>
  <c r="P61" i="117"/>
  <c r="P58" i="117"/>
  <c r="P57" i="117"/>
  <c r="P56" i="117"/>
  <c r="P54" i="117"/>
  <c r="P51" i="117"/>
  <c r="P50" i="117"/>
  <c r="P49" i="117"/>
  <c r="P48" i="117"/>
  <c r="P47" i="117"/>
  <c r="P44" i="117"/>
  <c r="P43" i="117"/>
  <c r="P42" i="117"/>
  <c r="P41" i="117"/>
  <c r="P40" i="117"/>
  <c r="P37" i="117"/>
  <c r="P36" i="117"/>
  <c r="P35" i="117"/>
  <c r="P66" i="117" l="1"/>
  <c r="P6" i="123"/>
  <c r="R6" i="123"/>
  <c r="R5" i="139"/>
  <c r="P67" i="117" l="1"/>
  <c r="AD67" i="117"/>
  <c r="B10" i="185"/>
  <c r="C23" i="185" l="1"/>
  <c r="I26" i="185" s="1"/>
  <c r="H26" i="185" s="1" a="1"/>
  <c r="H26" i="185" s="1"/>
  <c r="C21" i="185"/>
  <c r="D23" i="185" l="1"/>
  <c r="G26" i="185"/>
  <c r="D26" i="185"/>
  <c r="H23" i="185"/>
  <c r="F26" i="185"/>
  <c r="C26" i="185"/>
  <c r="I23" i="185"/>
  <c r="E23" i="185"/>
  <c r="B23" i="185"/>
  <c r="B29" i="185" s="1"/>
  <c r="E26" i="185"/>
  <c r="B26" i="185"/>
  <c r="G23" i="185"/>
  <c r="F23" i="185"/>
  <c r="C42" i="185" l="1"/>
  <c r="I45" i="185" s="1"/>
  <c r="H45" i="185" s="1" a="1"/>
  <c r="H45" i="185" s="1"/>
  <c r="C40" i="185"/>
  <c r="I42" i="185" l="1"/>
  <c r="F45" i="185"/>
  <c r="G45" i="185"/>
  <c r="B42" i="185"/>
  <c r="B48" i="185" s="1"/>
  <c r="G42" i="185"/>
  <c r="D45" i="185"/>
  <c r="E45" i="185"/>
  <c r="B45" i="185"/>
  <c r="D42" i="185"/>
  <c r="H42" i="185"/>
  <c r="C45" i="185"/>
  <c r="E42" i="185"/>
  <c r="F42" i="185"/>
  <c r="C61" i="185" l="1"/>
  <c r="I64" i="185" s="1"/>
  <c r="H64" i="185" s="1" a="1"/>
  <c r="H64" i="185" s="1"/>
  <c r="C59" i="185"/>
  <c r="G61" i="185" l="1"/>
  <c r="G64" i="185"/>
  <c r="I61" i="185"/>
  <c r="H61" i="185"/>
  <c r="E64" i="185"/>
  <c r="B61" i="185"/>
  <c r="B67" i="185" s="1"/>
  <c r="C64" i="185"/>
  <c r="E61" i="185"/>
  <c r="B64" i="185"/>
  <c r="F64" i="185"/>
  <c r="D64" i="185"/>
  <c r="D61" i="185"/>
  <c r="F61" i="185"/>
  <c r="C80" i="185" l="1"/>
  <c r="G83" i="185" s="1"/>
  <c r="C78" i="185"/>
  <c r="I83" i="185" l="1"/>
  <c r="H83" i="185" s="1" a="1"/>
  <c r="H83" i="185" s="1"/>
  <c r="B83" i="185"/>
  <c r="E83" i="185"/>
  <c r="E80" i="185"/>
  <c r="F83" i="185"/>
  <c r="D80" i="185"/>
  <c r="D83" i="185"/>
  <c r="G80" i="185"/>
  <c r="B80" i="185"/>
  <c r="B86" i="185" s="1"/>
  <c r="F80" i="185"/>
  <c r="I80" i="185"/>
  <c r="H80" i="185"/>
  <c r="C83" i="185"/>
  <c r="C99" i="185" l="1"/>
  <c r="I102" i="185" s="1"/>
  <c r="H102" i="185" s="1" a="1"/>
  <c r="H102" i="185" s="1"/>
  <c r="C97" i="185"/>
  <c r="E102" i="185" l="1"/>
  <c r="G99" i="185"/>
  <c r="I99" i="185"/>
  <c r="D102" i="185"/>
  <c r="F102" i="185"/>
  <c r="D99" i="185"/>
  <c r="B102" i="185"/>
  <c r="E99" i="185"/>
  <c r="F99" i="185"/>
  <c r="C102" i="185"/>
  <c r="G102" i="185"/>
  <c r="H99" i="185"/>
  <c r="B99" i="185"/>
  <c r="B105" i="185" s="1"/>
  <c r="C116" i="185" l="1"/>
  <c r="C118" i="185"/>
  <c r="I121" i="185" l="1"/>
  <c r="H121" i="185" s="1" a="1"/>
  <c r="H121" i="185" s="1"/>
  <c r="B121" i="185"/>
  <c r="B118" i="185"/>
  <c r="B124" i="185" s="1"/>
  <c r="I118" i="185"/>
  <c r="H118" i="185"/>
  <c r="D118" i="185"/>
  <c r="G121" i="185"/>
  <c r="G118" i="185"/>
  <c r="F121" i="185"/>
  <c r="F118" i="185"/>
  <c r="D121" i="185"/>
  <c r="E121" i="185"/>
  <c r="E118" i="185"/>
  <c r="C121" i="185"/>
  <c r="C137" i="185" l="1"/>
  <c r="I140" i="185" s="1"/>
  <c r="H140" i="185" s="1" a="1"/>
  <c r="H140" i="185" s="1"/>
  <c r="C135" i="185"/>
  <c r="G140" i="185" l="1"/>
  <c r="G137" i="185"/>
  <c r="H137" i="185"/>
  <c r="C140" i="185"/>
  <c r="F137" i="185"/>
  <c r="F140" i="185"/>
  <c r="B140" i="185"/>
  <c r="D137" i="185"/>
  <c r="E140" i="185"/>
  <c r="I137" i="185"/>
  <c r="B137" i="185"/>
  <c r="B143" i="185" s="1"/>
  <c r="D140" i="185"/>
  <c r="E137" i="185"/>
  <c r="N67" i="117"/>
  <c r="I67" i="117"/>
  <c r="G67" i="117"/>
  <c r="H67" i="117"/>
  <c r="L67" i="117"/>
  <c r="M67" i="117"/>
  <c r="K67" i="117"/>
  <c r="K17" i="141" l="1"/>
  <c r="W18" i="141" s="1"/>
  <c r="L17" i="141"/>
  <c r="X18" i="141" s="1"/>
  <c r="C156" i="185"/>
  <c r="I159" i="185" s="1"/>
  <c r="H159" i="185" s="1" a="1"/>
  <c r="H159" i="185" s="1"/>
  <c r="C154" i="185"/>
  <c r="H17" i="123"/>
  <c r="J67" i="117"/>
  <c r="L18" i="141" l="1"/>
  <c r="K18" i="141"/>
  <c r="J17" i="141"/>
  <c r="V18" i="141" s="1"/>
  <c r="G156" i="185"/>
  <c r="G159" i="185"/>
  <c r="D159" i="185"/>
  <c r="C159" i="185"/>
  <c r="E156" i="185"/>
  <c r="H156" i="185"/>
  <c r="E159" i="185"/>
  <c r="I156" i="185"/>
  <c r="D156" i="185"/>
  <c r="B156" i="185"/>
  <c r="B162" i="185" s="1"/>
  <c r="F156" i="185"/>
  <c r="B159" i="185"/>
  <c r="F159" i="185"/>
  <c r="H6" i="123"/>
  <c r="F6" i="123"/>
  <c r="C175" i="185" l="1"/>
  <c r="B175" i="185" s="1"/>
  <c r="J18" i="141"/>
  <c r="C173" i="185"/>
  <c r="C6" i="123"/>
  <c r="M6" i="123"/>
  <c r="B181" i="185" l="1"/>
  <c r="I175" i="185"/>
  <c r="D178" i="185"/>
  <c r="E175" i="185"/>
  <c r="G178" i="185"/>
  <c r="I178" i="185"/>
  <c r="H178" i="185" s="1" a="1"/>
  <c r="H178" i="185" s="1"/>
  <c r="F178" i="185"/>
  <c r="D175" i="185"/>
  <c r="G175" i="185"/>
  <c r="B178" i="185"/>
  <c r="H175" i="185"/>
  <c r="C178" i="185"/>
  <c r="E178" i="185"/>
  <c r="F175" i="185"/>
  <c r="R3" i="123" a="1"/>
  <c r="R3" i="123" s="1"/>
  <c r="D16" i="214" s="1"/>
  <c r="C192" i="185" l="1"/>
  <c r="C194" i="185"/>
  <c r="I197" i="185" s="1"/>
  <c r="H197" i="185" s="1" a="1"/>
  <c r="H197" i="185" s="1"/>
  <c r="F197" i="185" l="1"/>
  <c r="B197" i="185"/>
  <c r="G197" i="185"/>
  <c r="G194" i="185"/>
  <c r="H194" i="185"/>
  <c r="F194" i="185"/>
  <c r="D194" i="185"/>
  <c r="C197" i="185"/>
  <c r="B194" i="185"/>
  <c r="B200" i="185" s="1"/>
  <c r="E197" i="185"/>
  <c r="E194" i="185"/>
  <c r="I194" i="185"/>
  <c r="D197" i="185"/>
  <c r="C211" i="185" l="1"/>
  <c r="C213" i="185"/>
  <c r="H213" i="185" s="1"/>
  <c r="I216" i="185" l="1"/>
  <c r="H216" i="185" s="1" a="1"/>
  <c r="H216" i="185" s="1"/>
  <c r="F213" i="185"/>
  <c r="B213" i="185"/>
  <c r="B219" i="185" s="1"/>
  <c r="E213" i="185"/>
  <c r="D216" i="185"/>
  <c r="D213" i="185"/>
  <c r="G213" i="185"/>
  <c r="G216" i="185"/>
  <c r="I213" i="185"/>
  <c r="C216" i="185"/>
  <c r="F216" i="185"/>
  <c r="B216" i="185"/>
  <c r="E216" i="185"/>
  <c r="C230" i="185" l="1"/>
  <c r="C232" i="185"/>
  <c r="H232" i="185" s="1"/>
  <c r="G235" i="185" l="1"/>
  <c r="G232" i="185"/>
  <c r="F235" i="185"/>
  <c r="F232" i="185"/>
  <c r="E232" i="185"/>
  <c r="I235" i="185"/>
  <c r="H235" i="185" s="1" a="1"/>
  <c r="H235" i="185" s="1"/>
  <c r="D232" i="185"/>
  <c r="C235" i="185"/>
  <c r="D235" i="185"/>
  <c r="B232" i="185"/>
  <c r="B238" i="185" s="1"/>
  <c r="I232" i="185"/>
  <c r="E235" i="185"/>
  <c r="B235" i="185"/>
  <c r="C249" i="185" l="1"/>
  <c r="C251" i="185"/>
  <c r="B254" i="185" s="1"/>
  <c r="H251" i="185" l="1"/>
  <c r="G251" i="185"/>
  <c r="B251" i="185"/>
  <c r="B257" i="185" s="1"/>
  <c r="C270" i="185" s="1"/>
  <c r="I270" i="185" s="1"/>
  <c r="I254" i="185"/>
  <c r="H254" i="185" s="1" a="1"/>
  <c r="H254" i="185" s="1"/>
  <c r="G254" i="185"/>
  <c r="F254" i="185"/>
  <c r="E254" i="185"/>
  <c r="E251" i="185"/>
  <c r="C254" i="185"/>
  <c r="I251" i="185"/>
  <c r="F251" i="185"/>
  <c r="D254" i="185"/>
  <c r="D251" i="185"/>
  <c r="C268" i="185" l="1"/>
  <c r="E270" i="185"/>
  <c r="B270" i="185"/>
  <c r="G273" i="185"/>
  <c r="E273" i="185"/>
  <c r="B273" i="185"/>
  <c r="F270" i="185"/>
  <c r="I273" i="185"/>
  <c r="H273" i="185" s="1" a="1"/>
  <c r="H273" i="185" s="1"/>
  <c r="G270" i="185"/>
  <c r="D270" i="185"/>
  <c r="H270" i="185"/>
  <c r="C273" i="185"/>
  <c r="F273" i="185"/>
  <c r="D273" i="185"/>
  <c r="B276" i="185" l="1"/>
  <c r="C289" i="185" s="1"/>
  <c r="I292" i="185" s="1"/>
  <c r="H292" i="185" s="1" a="1"/>
  <c r="H292" i="185" s="1"/>
  <c r="C287" i="185" l="1"/>
  <c r="G289" i="185"/>
  <c r="G292" i="185"/>
  <c r="H289" i="185"/>
  <c r="I289" i="185"/>
  <c r="B289" i="185"/>
  <c r="F292" i="185"/>
  <c r="D292" i="185"/>
  <c r="E292" i="185"/>
  <c r="D289" i="185"/>
  <c r="B292" i="185"/>
  <c r="C292" i="185"/>
  <c r="E289" i="185"/>
  <c r="F289" i="185"/>
  <c r="B295" i="185" l="1"/>
  <c r="C308" i="185" s="1"/>
  <c r="B311" i="185" s="1"/>
  <c r="C306" i="185" l="1"/>
  <c r="I311" i="185"/>
  <c r="H311" i="185" s="1" a="1"/>
  <c r="H311" i="185" s="1"/>
  <c r="C311" i="185"/>
  <c r="D308" i="185"/>
  <c r="D311" i="185"/>
  <c r="E308" i="185"/>
  <c r="E311" i="185"/>
  <c r="F308" i="185"/>
  <c r="F311" i="185"/>
  <c r="G308" i="185"/>
  <c r="G311" i="185"/>
  <c r="B308" i="185"/>
  <c r="H308" i="185"/>
  <c r="I308" i="185"/>
  <c r="B314" i="185" l="1"/>
  <c r="C327" i="185" s="1"/>
  <c r="I330" i="185" s="1"/>
  <c r="H330" i="185" s="1" a="1"/>
  <c r="H330" i="185" s="1"/>
  <c r="C325" i="185" l="1"/>
  <c r="D327" i="185"/>
  <c r="E327" i="185"/>
  <c r="B327" i="185"/>
  <c r="C330" i="185"/>
  <c r="D330" i="185"/>
  <c r="E330" i="185"/>
  <c r="F327" i="185"/>
  <c r="F330" i="185"/>
  <c r="G327" i="185"/>
  <c r="G330" i="185"/>
  <c r="H327" i="185"/>
  <c r="I327" i="185"/>
  <c r="B330" i="185"/>
  <c r="B333" i="185" l="1"/>
  <c r="C346" i="185" s="1"/>
  <c r="I349" i="185" s="1"/>
  <c r="H349" i="185" s="1" a="1"/>
  <c r="H349" i="185" s="1"/>
  <c r="C344" i="185" l="1"/>
  <c r="D346" i="185"/>
  <c r="G349" i="185"/>
  <c r="D349" i="185"/>
  <c r="F346" i="185"/>
  <c r="H346" i="185"/>
  <c r="I346" i="185"/>
  <c r="C349" i="185"/>
  <c r="B346" i="185"/>
  <c r="E346" i="185"/>
  <c r="E349" i="185"/>
  <c r="F349" i="185"/>
  <c r="G346" i="185"/>
  <c r="B349" i="185"/>
  <c r="B352" i="185" l="1"/>
  <c r="C365" i="185" s="1"/>
  <c r="I368" i="185" s="1"/>
  <c r="H368" i="185" s="1" a="1"/>
  <c r="H368" i="185" s="1"/>
  <c r="C363" i="185" l="1"/>
  <c r="C368" i="185"/>
  <c r="E365" i="185"/>
  <c r="E368" i="185"/>
  <c r="F365" i="185"/>
  <c r="F368" i="185"/>
  <c r="G365" i="185"/>
  <c r="G368" i="185"/>
  <c r="H365" i="185"/>
  <c r="B365" i="185"/>
  <c r="D365" i="185"/>
  <c r="D368" i="185"/>
  <c r="I365" i="185"/>
  <c r="B368" i="185"/>
  <c r="B371" i="185" l="1"/>
  <c r="C384" i="185"/>
  <c r="I387" i="185" s="1"/>
  <c r="H387" i="185" s="1" a="1"/>
  <c r="H387" i="185" s="1"/>
  <c r="C382" i="185"/>
  <c r="E387" i="185" l="1"/>
  <c r="D387" i="185"/>
  <c r="F384" i="185"/>
  <c r="C387" i="185"/>
  <c r="B384" i="185"/>
  <c r="B390" i="185" s="1"/>
  <c r="E384" i="185"/>
  <c r="D384" i="185"/>
  <c r="F387" i="185"/>
  <c r="G384" i="185"/>
  <c r="G387" i="185"/>
  <c r="H384" i="185"/>
  <c r="I384" i="185"/>
  <c r="B387" i="185"/>
  <c r="C403" i="185" l="1"/>
  <c r="I406" i="185" s="1"/>
  <c r="H406" i="185" s="1" a="1"/>
  <c r="H406" i="185" s="1"/>
  <c r="C401" i="185"/>
  <c r="G406" i="185" l="1"/>
  <c r="D403" i="185"/>
  <c r="F403" i="185"/>
  <c r="C406" i="185"/>
  <c r="D406" i="185"/>
  <c r="E403" i="185"/>
  <c r="E406" i="185"/>
  <c r="F406" i="185"/>
  <c r="G403" i="185"/>
  <c r="H403" i="185"/>
  <c r="I403" i="185"/>
  <c r="B403" i="185"/>
  <c r="B409" i="185" s="1"/>
  <c r="B406" i="185"/>
  <c r="C422" i="185" l="1"/>
  <c r="I425" i="185" s="1"/>
  <c r="H425" i="185" s="1" a="1"/>
  <c r="H425" i="185" s="1"/>
  <c r="C420" i="185"/>
  <c r="E422" i="185" l="1"/>
  <c r="G425" i="185"/>
  <c r="D425" i="185"/>
  <c r="F422" i="185"/>
  <c r="B422" i="185"/>
  <c r="B428" i="185" s="1"/>
  <c r="E425" i="185"/>
  <c r="F425" i="185"/>
  <c r="G422" i="185"/>
  <c r="I422" i="185"/>
  <c r="C425" i="185"/>
  <c r="D422" i="185"/>
  <c r="H422" i="185"/>
  <c r="B425" i="185"/>
  <c r="C441" i="185" l="1"/>
  <c r="I444" i="185" s="1"/>
  <c r="H444" i="185" s="1" a="1"/>
  <c r="H444" i="185" s="1"/>
  <c r="C439" i="185"/>
  <c r="D441" i="185" l="1"/>
  <c r="E444" i="185"/>
  <c r="I441" i="185"/>
  <c r="C444" i="185"/>
  <c r="E441" i="185"/>
  <c r="F441" i="185"/>
  <c r="F444" i="185"/>
  <c r="G441" i="185"/>
  <c r="G444" i="185"/>
  <c r="H441" i="185"/>
  <c r="B441" i="185"/>
  <c r="B447" i="185" s="1"/>
  <c r="D444" i="185"/>
  <c r="B444" i="185"/>
  <c r="C458" i="185" l="1"/>
  <c r="C460" i="185"/>
  <c r="I463" i="185" l="1"/>
  <c r="H463" i="185" s="1" a="1"/>
  <c r="H463" i="185" s="1"/>
  <c r="B463" i="185"/>
  <c r="B460" i="185"/>
  <c r="B466" i="185" s="1"/>
  <c r="I460" i="185"/>
  <c r="H460" i="185"/>
  <c r="G463" i="185"/>
  <c r="G460" i="185"/>
  <c r="F463" i="185"/>
  <c r="F460" i="185"/>
  <c r="E463" i="185"/>
  <c r="E460" i="185"/>
  <c r="D463" i="185"/>
  <c r="D460" i="185"/>
  <c r="C463" i="185"/>
  <c r="C479" i="185" l="1"/>
  <c r="I482" i="185" s="1"/>
  <c r="H482" i="185" s="1" a="1"/>
  <c r="H482" i="185" s="1"/>
  <c r="C477" i="185"/>
  <c r="G479" i="185" l="1"/>
  <c r="I479" i="185"/>
  <c r="G482" i="185"/>
  <c r="E479" i="185"/>
  <c r="B479" i="185"/>
  <c r="B485" i="185" s="1"/>
  <c r="D479" i="185"/>
  <c r="D482" i="185"/>
  <c r="F479" i="185"/>
  <c r="B482" i="185"/>
  <c r="C482" i="185"/>
  <c r="H479" i="185"/>
  <c r="E482" i="185"/>
  <c r="F482" i="185"/>
  <c r="C498" i="185" l="1"/>
  <c r="B501" i="185" s="1"/>
  <c r="C496" i="185"/>
  <c r="D498" i="185" l="1"/>
  <c r="E498" i="185"/>
  <c r="G498" i="185"/>
  <c r="F498" i="185"/>
  <c r="H498" i="185"/>
  <c r="B498" i="185"/>
  <c r="B504" i="185" s="1"/>
  <c r="C517" i="185" s="1"/>
  <c r="I520" i="185" s="1"/>
  <c r="H520" i="185" s="1" a="1"/>
  <c r="H520" i="185" s="1"/>
  <c r="I501" i="185"/>
  <c r="H501" i="185" s="1" a="1"/>
  <c r="H501" i="185" s="1"/>
  <c r="C501" i="185"/>
  <c r="D501" i="185"/>
  <c r="E501" i="185"/>
  <c r="G501" i="185"/>
  <c r="F501" i="185"/>
  <c r="I498" i="185"/>
  <c r="C515" i="185" l="1"/>
  <c r="C520" i="185"/>
  <c r="D517" i="185"/>
  <c r="B517" i="185"/>
  <c r="F520" i="185"/>
  <c r="G520" i="185"/>
  <c r="D520" i="185"/>
  <c r="E520" i="185"/>
  <c r="B520" i="185"/>
  <c r="G517" i="185"/>
  <c r="H517" i="185"/>
  <c r="I517" i="185"/>
  <c r="E517" i="185"/>
  <c r="F517" i="185"/>
  <c r="B523" i="185" l="1"/>
  <c r="C536" i="185" s="1"/>
  <c r="I539" i="185" s="1"/>
  <c r="H539" i="185" s="1" a="1"/>
  <c r="H539" i="185" s="1"/>
  <c r="C534" i="185" l="1"/>
  <c r="G536" i="185"/>
  <c r="G539" i="185"/>
  <c r="H536" i="185"/>
  <c r="I536" i="185"/>
  <c r="F539" i="185"/>
  <c r="B536" i="185"/>
  <c r="D536" i="185"/>
  <c r="D539" i="185"/>
  <c r="C539" i="185"/>
  <c r="E536" i="185"/>
  <c r="E539" i="185"/>
  <c r="B539" i="185"/>
  <c r="F536" i="185"/>
  <c r="B542" i="185" l="1"/>
  <c r="C555" i="185" s="1"/>
  <c r="I558" i="185" s="1"/>
  <c r="H558" i="185" s="1" a="1"/>
  <c r="H558" i="185" s="1"/>
  <c r="C553" i="185" l="1"/>
  <c r="H555" i="185"/>
  <c r="I555" i="185"/>
  <c r="E555" i="185"/>
  <c r="B555" i="185"/>
  <c r="G555" i="185"/>
  <c r="C558" i="185"/>
  <c r="B558" i="185"/>
  <c r="G558" i="185"/>
  <c r="D558" i="185"/>
  <c r="E558" i="185"/>
  <c r="D555" i="185"/>
  <c r="F555" i="185"/>
  <c r="F558" i="185"/>
  <c r="T6" i="122"/>
  <c r="T12" i="122"/>
  <c r="T13" i="122"/>
  <c r="T25" i="122"/>
  <c r="T18" i="122"/>
  <c r="T17" i="122"/>
  <c r="T23" i="122"/>
  <c r="T26" i="122"/>
  <c r="T19" i="122"/>
  <c r="T33" i="122"/>
  <c r="T32" i="122"/>
  <c r="T24" i="122"/>
  <c r="T31" i="122"/>
  <c r="T35" i="122"/>
  <c r="T14" i="122"/>
  <c r="T11" i="122"/>
  <c r="T15" i="122"/>
  <c r="T29" i="122"/>
  <c r="T21" i="122"/>
  <c r="T34" i="122"/>
  <c r="T28" i="122"/>
  <c r="T20" i="122"/>
  <c r="T36" i="122"/>
  <c r="T27" i="122"/>
  <c r="T16" i="122"/>
  <c r="T30" i="122"/>
  <c r="T22" i="122"/>
  <c r="T3" i="122"/>
  <c r="T7" i="122"/>
  <c r="B561" i="185" l="1"/>
  <c r="V6" i="122" a="1"/>
  <c r="V6" i="122" s="1"/>
  <c r="V3" i="122"/>
  <c r="AE101" i="149"/>
  <c r="AF101" i="149" s="1"/>
  <c r="AG101" i="149" s="1" a="1"/>
  <c r="AG101" i="149" s="1"/>
  <c r="AE81" i="149"/>
  <c r="AF81" i="149" s="1"/>
  <c r="AG81" i="149" s="1" a="1"/>
  <c r="AG81" i="149" s="1"/>
  <c r="AH81" i="149"/>
  <c r="AE80" i="149"/>
  <c r="AF80" i="149" s="1"/>
  <c r="AG80" i="149" s="1" a="1"/>
  <c r="AG80" i="149" s="1"/>
  <c r="AH80" i="149"/>
  <c r="AE24" i="149"/>
  <c r="AF24" i="149" s="1"/>
  <c r="AG24" i="149" s="1" a="1"/>
  <c r="AG24" i="149" s="1"/>
  <c r="AH24" i="149"/>
  <c r="AE13" i="149"/>
  <c r="AF13" i="149" s="1"/>
  <c r="AG13" i="149" s="1" a="1"/>
  <c r="AG13" i="149" s="1"/>
  <c r="S13" i="149" s="1"/>
  <c r="AH13" i="149"/>
  <c r="AE151" i="149"/>
  <c r="AF151" i="149" s="1"/>
  <c r="AG151" i="149" s="1" a="1"/>
  <c r="AG151" i="149" s="1"/>
  <c r="AH151" i="149"/>
  <c r="AH101" i="149"/>
  <c r="AE12" i="149"/>
  <c r="AF12" i="149" s="1"/>
  <c r="AG12" i="149" s="1" a="1"/>
  <c r="AG12" i="149" s="1"/>
  <c r="AH12" i="149"/>
  <c r="AE100" i="149"/>
  <c r="AF100" i="149" s="1"/>
  <c r="AG100" i="149" s="1" a="1"/>
  <c r="AG100" i="149" s="1"/>
  <c r="S100" i="149"/>
  <c r="AL100" i="149" s="1"/>
  <c r="AH100" i="149"/>
  <c r="AE52" i="149"/>
  <c r="AF52" i="149" s="1"/>
  <c r="AG52" i="149" s="1" a="1"/>
  <c r="AG52" i="149" s="1"/>
  <c r="AH52" i="149"/>
  <c r="AE73" i="149"/>
  <c r="AF73" i="149" s="1"/>
  <c r="AG73" i="149" s="1" a="1"/>
  <c r="AG73" i="149" s="1"/>
  <c r="AH73" i="149"/>
  <c r="AE110" i="149"/>
  <c r="AF110" i="149" s="1"/>
  <c r="AG110" i="149" s="1" a="1"/>
  <c r="AG110" i="149" s="1"/>
  <c r="AH110" i="149"/>
  <c r="AE147" i="149"/>
  <c r="AF147" i="149" s="1"/>
  <c r="AG147" i="149" s="1" a="1"/>
  <c r="AG147" i="149" s="1"/>
  <c r="AI147" i="149"/>
  <c r="AL147" i="149" s="1"/>
  <c r="AH147" i="149"/>
  <c r="AE20" i="149"/>
  <c r="AF20" i="149" s="1"/>
  <c r="AG20" i="149" s="1" a="1"/>
  <c r="AG20" i="149" s="1"/>
  <c r="AH20" i="149"/>
  <c r="AI10" i="190"/>
  <c r="AJ10" i="190" s="1"/>
  <c r="AE10" i="149" s="1"/>
  <c r="AF10" i="149" s="1"/>
  <c r="AG10" i="149" s="1" a="1"/>
  <c r="AG10" i="149" s="1"/>
  <c r="W9" i="190"/>
  <c r="AI9" i="190" s="1"/>
  <c r="W12" i="190"/>
  <c r="AI12" i="190" s="1"/>
  <c r="AJ11" i="190"/>
  <c r="AI13" i="149" l="1"/>
  <c r="AL13" i="149" s="1"/>
  <c r="S12" i="149"/>
  <c r="AI12" i="149"/>
  <c r="AJ13" i="190"/>
  <c r="AI10" i="149"/>
  <c r="S10" i="149"/>
  <c r="AJ12" i="190"/>
  <c r="AE11" i="149" s="1"/>
  <c r="AF11" i="149" s="1"/>
  <c r="AG11" i="149" s="1" a="1"/>
  <c r="AG11" i="149" s="1"/>
  <c r="AI13" i="190"/>
  <c r="AJ9" i="190"/>
  <c r="AL12" i="149" l="1"/>
  <c r="AL10" i="149"/>
  <c r="AI11" i="149"/>
  <c r="S11" i="149"/>
  <c r="W14" i="190"/>
  <c r="AI14" i="190" s="1"/>
  <c r="AJ14" i="190"/>
  <c r="AL11" i="149" l="1"/>
  <c r="W16" i="190"/>
  <c r="AI16" i="190" s="1"/>
  <c r="AJ16" i="190"/>
  <c r="W15" i="190"/>
  <c r="AI15" i="190" s="1"/>
  <c r="AJ15" i="190"/>
  <c r="AJ18" i="190" l="1"/>
  <c r="W18" i="190"/>
  <c r="AI18" i="190" s="1"/>
  <c r="W17" i="190"/>
  <c r="AI17" i="190" s="1"/>
  <c r="AJ17" i="190"/>
  <c r="AJ20" i="190" l="1"/>
  <c r="W20" i="190"/>
  <c r="AI20" i="190" s="1"/>
  <c r="W19" i="190"/>
  <c r="AI19" i="190" s="1"/>
  <c r="AJ19" i="190"/>
  <c r="W21" i="190" l="1"/>
  <c r="AI21" i="190" s="1"/>
  <c r="AJ21" i="190"/>
  <c r="AJ22" i="190" l="1"/>
  <c r="W22" i="190"/>
  <c r="AI22" i="190" s="1"/>
  <c r="AJ23" i="190"/>
  <c r="AE28" i="149" s="1"/>
  <c r="AF28" i="149" s="1"/>
  <c r="AG28" i="149" s="1" a="1"/>
  <c r="AG28" i="149" s="1"/>
  <c r="S28" i="149" l="1"/>
  <c r="AI28" i="149"/>
  <c r="AJ24" i="190"/>
  <c r="W24" i="190"/>
  <c r="AI24" i="190" s="1"/>
  <c r="AL28" i="149" l="1"/>
  <c r="AJ25" i="190"/>
  <c r="W25" i="190"/>
  <c r="AI25" i="190" s="1"/>
  <c r="W26" i="190" l="1"/>
  <c r="AI26" i="190" s="1"/>
  <c r="AJ26" i="190"/>
  <c r="W27" i="190" l="1"/>
  <c r="AI27" i="190" s="1"/>
  <c r="AJ27" i="190"/>
  <c r="AJ28" i="190" l="1"/>
  <c r="W28" i="190"/>
  <c r="AI28" i="190" s="1"/>
  <c r="AJ29" i="190" l="1"/>
  <c r="W29" i="190"/>
  <c r="AI29" i="190" s="1"/>
  <c r="W30" i="190" l="1"/>
  <c r="AI30" i="190" s="1"/>
  <c r="AJ30" i="190"/>
  <c r="AJ31" i="190" l="1"/>
  <c r="W31" i="190"/>
  <c r="AI31" i="190" s="1"/>
  <c r="W32" i="190" l="1"/>
  <c r="AI32" i="190" s="1"/>
  <c r="AJ32" i="190"/>
  <c r="W33" i="190" l="1"/>
  <c r="AI33" i="190" s="1"/>
  <c r="AJ33" i="190"/>
  <c r="AJ34" i="190" l="1"/>
  <c r="W34" i="190"/>
  <c r="AI34" i="190" s="1"/>
  <c r="AJ35" i="190" l="1"/>
  <c r="W35" i="190"/>
  <c r="AI35" i="190" s="1"/>
  <c r="AJ36" i="190" l="1"/>
  <c r="W36" i="190"/>
  <c r="AI36" i="190" s="1"/>
  <c r="W37" i="190" l="1"/>
  <c r="AI37" i="190" s="1"/>
  <c r="AJ37" i="190"/>
  <c r="W38" i="190" l="1"/>
  <c r="AI38" i="190" s="1"/>
  <c r="AJ38" i="190"/>
  <c r="AJ39" i="190" l="1"/>
  <c r="W39" i="190"/>
  <c r="AI39" i="190" s="1"/>
  <c r="AJ40" i="190" l="1"/>
  <c r="W40" i="190"/>
  <c r="AI40" i="190" s="1"/>
  <c r="AJ41" i="190" l="1"/>
  <c r="W41" i="190"/>
  <c r="AI41" i="190" s="1"/>
  <c r="AJ42" i="190" l="1"/>
  <c r="W42" i="190"/>
  <c r="AI42" i="190" s="1"/>
  <c r="AJ43" i="190" l="1"/>
  <c r="W43" i="190"/>
  <c r="AI43" i="190" s="1"/>
  <c r="W44" i="190" l="1"/>
  <c r="AI44" i="190" s="1"/>
  <c r="AJ44" i="190"/>
  <c r="W45" i="190" l="1"/>
  <c r="AI45" i="190" s="1"/>
  <c r="AJ45" i="190"/>
  <c r="AJ46" i="190" l="1"/>
  <c r="W46" i="190"/>
  <c r="AI46" i="190" s="1"/>
  <c r="AJ47" i="190" l="1"/>
  <c r="W47" i="190"/>
  <c r="AI47" i="190" s="1"/>
  <c r="AJ48" i="190" l="1"/>
  <c r="W48" i="190"/>
  <c r="AI48" i="190" s="1"/>
  <c r="AJ49" i="190" l="1"/>
  <c r="W49" i="190"/>
  <c r="AI49" i="190" s="1"/>
  <c r="AJ50" i="190" l="1"/>
  <c r="W50" i="190"/>
  <c r="AI50" i="190" s="1"/>
  <c r="AJ51" i="190" l="1"/>
  <c r="W51" i="190"/>
  <c r="AI51" i="190" s="1"/>
  <c r="AJ52" i="190" l="1"/>
  <c r="W52" i="190"/>
  <c r="AI52" i="190" s="1"/>
  <c r="W53" i="190" l="1"/>
  <c r="AI53" i="190" s="1"/>
  <c r="AJ53" i="190"/>
  <c r="W54" i="190" l="1"/>
  <c r="AI54" i="190" s="1"/>
  <c r="AJ54" i="190"/>
  <c r="AJ55" i="190" l="1"/>
  <c r="W55" i="190"/>
  <c r="AI55" i="190" s="1"/>
  <c r="AJ56" i="190" l="1"/>
  <c r="W56" i="190"/>
  <c r="AI56" i="190" s="1"/>
  <c r="AJ57" i="190" l="1"/>
  <c r="W57" i="190"/>
  <c r="AI57" i="190" s="1"/>
  <c r="AJ58" i="190" l="1"/>
  <c r="W58" i="190"/>
  <c r="AI58" i="190" s="1"/>
  <c r="AJ59" i="190" l="1"/>
  <c r="W59" i="190"/>
  <c r="AI59" i="190" s="1"/>
  <c r="W60" i="190" l="1"/>
  <c r="AI60" i="190" s="1"/>
  <c r="AJ60" i="190"/>
  <c r="AJ61" i="190" l="1"/>
  <c r="W61" i="190"/>
  <c r="AI61" i="190" s="1"/>
  <c r="AJ62" i="190" l="1"/>
  <c r="W62" i="190"/>
  <c r="AI62" i="190" s="1"/>
  <c r="AJ63" i="190" l="1"/>
  <c r="W63" i="190"/>
  <c r="AI63" i="190" s="1"/>
  <c r="AJ64" i="190" l="1"/>
  <c r="W64" i="190"/>
  <c r="AI64" i="190" s="1"/>
  <c r="W65" i="190" l="1"/>
  <c r="AI65" i="190" s="1"/>
  <c r="AJ65" i="190"/>
  <c r="W66" i="190" l="1"/>
  <c r="AI66" i="190" s="1"/>
  <c r="AJ66" i="190"/>
  <c r="AJ67" i="190" l="1"/>
  <c r="W67" i="190"/>
  <c r="AI67" i="190" s="1"/>
  <c r="AJ68" i="190" l="1"/>
  <c r="W68" i="190"/>
  <c r="AI68" i="190" s="1"/>
  <c r="AJ69" i="190" l="1"/>
  <c r="W69" i="190"/>
  <c r="AI69" i="190" s="1"/>
  <c r="AJ70" i="190" l="1"/>
  <c r="W70" i="190"/>
  <c r="AI70" i="190" s="1"/>
  <c r="W71" i="190" l="1"/>
  <c r="AI71" i="190" s="1"/>
  <c r="AJ71" i="190"/>
  <c r="AJ72" i="190" l="1"/>
  <c r="W72" i="190"/>
  <c r="AI72" i="190" s="1"/>
  <c r="W73" i="190" l="1"/>
  <c r="AI73" i="190" s="1"/>
  <c r="AJ73" i="190"/>
  <c r="W74" i="190" l="1"/>
  <c r="AI74" i="190" s="1"/>
  <c r="AJ74" i="190"/>
  <c r="AJ75" i="190" l="1"/>
  <c r="W75" i="190"/>
  <c r="AI75" i="190" s="1"/>
  <c r="AJ76" i="190" l="1"/>
  <c r="W76" i="190"/>
  <c r="AI76" i="190" s="1"/>
  <c r="W77" i="190" l="1"/>
  <c r="AI77" i="190" s="1"/>
  <c r="AJ77" i="190"/>
  <c r="W78" i="190" l="1"/>
  <c r="AI78" i="190" s="1"/>
  <c r="AJ78" i="190"/>
  <c r="AJ79" i="190" l="1"/>
  <c r="W79" i="190"/>
  <c r="AI79" i="190" s="1"/>
  <c r="W80" i="190" l="1"/>
  <c r="AI80" i="190" s="1"/>
  <c r="AJ80" i="190"/>
  <c r="W81" i="190" l="1"/>
  <c r="AI81" i="190" s="1"/>
  <c r="AJ81" i="190"/>
  <c r="AJ82" i="190" l="1"/>
  <c r="W82" i="190"/>
  <c r="AI82" i="190" s="1"/>
  <c r="AJ83" i="190" l="1"/>
  <c r="W83" i="190"/>
  <c r="AI83" i="190" s="1"/>
  <c r="AJ84" i="190" l="1"/>
  <c r="W84" i="190"/>
  <c r="AI84" i="190" s="1"/>
  <c r="W85" i="190" l="1"/>
  <c r="AI85" i="190" s="1"/>
  <c r="AJ85" i="190"/>
  <c r="W87" i="190" l="1"/>
  <c r="AJ87" i="190"/>
  <c r="W88" i="190" l="1"/>
  <c r="AI88" i="190" s="1"/>
  <c r="AJ88" i="190"/>
  <c r="AG87" i="190"/>
  <c r="AJ89" i="190" l="1"/>
  <c r="W89" i="190"/>
  <c r="AI89" i="190" s="1"/>
  <c r="AJ90" i="190" l="1"/>
  <c r="W90" i="190"/>
  <c r="AI90" i="190" s="1"/>
  <c r="W91" i="190" l="1"/>
  <c r="AI91" i="190" s="1"/>
  <c r="AJ91" i="190"/>
  <c r="AJ92" i="190" l="1"/>
  <c r="W92" i="190"/>
  <c r="AI92" i="190" s="1"/>
  <c r="W93" i="190" l="1"/>
  <c r="AI93" i="190" s="1"/>
  <c r="AJ93" i="190"/>
  <c r="AJ94" i="190" l="1"/>
  <c r="W94" i="190"/>
  <c r="AI94" i="190" s="1"/>
  <c r="W95" i="190" l="1"/>
  <c r="AI95" i="190" s="1"/>
  <c r="AJ95" i="190"/>
  <c r="W96" i="190" l="1"/>
  <c r="AI96" i="190" s="1"/>
  <c r="AJ96" i="190"/>
  <c r="AJ97" i="190" l="1"/>
  <c r="W97" i="190"/>
  <c r="AI97" i="190" s="1"/>
  <c r="W98" i="190" l="1"/>
  <c r="AI98" i="190" s="1"/>
  <c r="AJ98" i="190"/>
  <c r="W100" i="190" l="1"/>
  <c r="AJ100" i="190"/>
  <c r="W101" i="190" l="1"/>
  <c r="AI101" i="190" s="1"/>
  <c r="AJ101" i="190"/>
  <c r="AG100" i="190"/>
  <c r="W102" i="190" l="1"/>
  <c r="AI102" i="190" s="1"/>
  <c r="AJ102" i="190"/>
  <c r="W103" i="190" l="1"/>
  <c r="AI103" i="190" s="1"/>
  <c r="AJ103" i="190"/>
  <c r="AJ104" i="190" l="1"/>
  <c r="W104" i="190"/>
  <c r="AI104" i="190" s="1"/>
  <c r="AJ105" i="190" l="1"/>
  <c r="W105" i="190"/>
  <c r="AI105" i="190" s="1"/>
  <c r="AJ106" i="190" l="1"/>
  <c r="W106" i="190"/>
  <c r="AI106" i="190" s="1"/>
  <c r="AJ107" i="190" l="1"/>
  <c r="W107" i="190"/>
  <c r="AI107" i="190" s="1"/>
  <c r="W108" i="190" l="1"/>
  <c r="AI108" i="190" s="1"/>
  <c r="AJ108" i="190"/>
  <c r="W109" i="190" l="1"/>
  <c r="AI109" i="190" s="1"/>
  <c r="AJ109" i="190"/>
  <c r="AJ110" i="190" l="1"/>
  <c r="W110" i="190"/>
  <c r="AI110" i="190" s="1"/>
  <c r="AJ111" i="190" l="1"/>
  <c r="W111" i="190"/>
  <c r="AI111" i="190" s="1"/>
  <c r="AJ113" i="190" l="1"/>
  <c r="W113" i="190"/>
  <c r="AJ114" i="190" l="1"/>
  <c r="W114" i="190"/>
  <c r="AI114" i="190" s="1"/>
  <c r="AG113" i="190"/>
  <c r="AJ115" i="190" l="1"/>
  <c r="W115" i="190"/>
  <c r="AI115" i="190" s="1"/>
  <c r="AJ116" i="190" l="1"/>
  <c r="W116" i="190"/>
  <c r="AI116" i="190" s="1"/>
  <c r="W117" i="190" l="1"/>
  <c r="AI117" i="190" s="1"/>
  <c r="AJ117" i="190"/>
  <c r="W118" i="190" l="1"/>
  <c r="AI118" i="190" s="1"/>
  <c r="AJ118" i="190"/>
  <c r="AJ119" i="190" l="1"/>
  <c r="W119" i="190"/>
  <c r="AI119" i="190" s="1"/>
  <c r="AJ120" i="190" l="1"/>
  <c r="W120" i="190"/>
  <c r="AI120" i="190" s="1"/>
  <c r="W121" i="190" l="1"/>
  <c r="AI121" i="190" s="1"/>
  <c r="AJ121" i="190"/>
  <c r="W122" i="190" l="1"/>
  <c r="AI122" i="190" s="1"/>
  <c r="AJ122" i="190"/>
  <c r="W123" i="190" l="1"/>
  <c r="AI123" i="190" s="1"/>
  <c r="AJ123" i="190"/>
  <c r="W124" i="190" l="1"/>
  <c r="AI124" i="190" s="1"/>
  <c r="AJ124" i="190"/>
  <c r="W126" i="190" l="1"/>
  <c r="AJ126" i="190"/>
  <c r="AJ127" i="190" l="1"/>
  <c r="W127" i="190"/>
  <c r="AI127" i="190" s="1"/>
  <c r="AG126" i="190"/>
  <c r="AJ128" i="190" l="1"/>
  <c r="W128" i="190"/>
  <c r="AI128" i="190" s="1"/>
  <c r="AJ129" i="190" l="1"/>
  <c r="W129" i="190"/>
  <c r="AI129" i="190" s="1"/>
  <c r="AJ130" i="190" l="1"/>
  <c r="W130" i="190"/>
  <c r="AI130" i="190" s="1"/>
  <c r="AJ131" i="190" l="1"/>
  <c r="W131" i="190"/>
  <c r="AI131" i="190" s="1"/>
  <c r="W132" i="190" l="1"/>
  <c r="AI132" i="190" s="1"/>
  <c r="AJ132" i="190"/>
  <c r="AJ133" i="190" l="1"/>
  <c r="W133" i="190"/>
  <c r="AI133" i="190" s="1"/>
  <c r="W134" i="190" l="1"/>
  <c r="AI134" i="190" s="1"/>
  <c r="AJ134" i="190"/>
  <c r="AJ135" i="190" l="1"/>
  <c r="W135" i="190"/>
  <c r="AI135" i="190" s="1"/>
  <c r="AJ136" i="190" l="1"/>
  <c r="W136" i="190"/>
  <c r="AI136" i="190" s="1"/>
  <c r="AJ137" i="190" l="1"/>
  <c r="W137" i="190"/>
  <c r="AI137" i="190" s="1"/>
  <c r="W139" i="190" l="1"/>
  <c r="AJ139" i="190"/>
  <c r="W140" i="190" l="1"/>
  <c r="AI140" i="190" s="1"/>
  <c r="AJ140" i="190"/>
  <c r="AG139" i="190"/>
  <c r="AJ141" i="190" l="1"/>
  <c r="AE140" i="149" s="1"/>
  <c r="AF140" i="149" s="1"/>
  <c r="AG140" i="149" s="1" a="1"/>
  <c r="AG140" i="149" s="1"/>
  <c r="W141" i="190"/>
  <c r="AI141" i="190" s="1"/>
  <c r="AI140" i="149" l="1"/>
  <c r="S140" i="149"/>
  <c r="AL140" i="149" s="1"/>
  <c r="W142" i="190"/>
  <c r="AI142" i="190" s="1"/>
  <c r="AJ142" i="190"/>
  <c r="Y191" i="149" l="1"/>
  <c r="D11" i="214" s="1"/>
  <c r="W143" i="190"/>
  <c r="AI143" i="190" s="1"/>
  <c r="AJ143" i="190"/>
  <c r="AJ144" i="190" l="1"/>
  <c r="W144" i="190"/>
  <c r="AI144" i="190" s="1"/>
  <c r="AJ145" i="190" l="1"/>
  <c r="W145" i="190"/>
  <c r="AI145" i="190" s="1"/>
  <c r="AJ146" i="190" l="1"/>
  <c r="W146" i="190"/>
  <c r="AI146" i="190" s="1"/>
  <c r="AJ147" i="190" l="1"/>
  <c r="W147" i="190"/>
  <c r="AI147" i="190" s="1"/>
  <c r="W148" i="190" l="1"/>
  <c r="AI148" i="190" s="1"/>
  <c r="AJ148" i="190"/>
  <c r="AJ149" i="190" l="1"/>
  <c r="W149" i="190"/>
  <c r="AI149" i="190" s="1"/>
  <c r="AJ150" i="190" l="1"/>
  <c r="W150" i="190"/>
  <c r="AI150" i="190" s="1"/>
  <c r="W152" i="190" l="1"/>
  <c r="AJ152" i="190"/>
  <c r="AJ153" i="190" l="1"/>
  <c r="W153" i="190"/>
  <c r="AI153" i="190" s="1"/>
  <c r="AG152" i="190"/>
  <c r="AJ154" i="190" l="1"/>
  <c r="W154" i="190"/>
  <c r="AI154" i="190" s="1"/>
  <c r="AJ155" i="190" l="1"/>
  <c r="W155" i="190"/>
  <c r="AI155" i="190" s="1"/>
  <c r="W156" i="190" l="1"/>
  <c r="AI156" i="190" s="1"/>
  <c r="AJ156" i="190"/>
  <c r="W157" i="190" l="1"/>
  <c r="AI157" i="190" s="1"/>
  <c r="AJ157" i="190"/>
  <c r="AJ158" i="190" l="1"/>
  <c r="W158" i="190"/>
  <c r="AI158" i="190" s="1"/>
  <c r="W159" i="190" l="1"/>
  <c r="AI159" i="190" s="1"/>
  <c r="AJ159" i="190"/>
  <c r="AJ160" i="190" l="1"/>
  <c r="W160" i="190"/>
  <c r="AI160" i="190" s="1"/>
  <c r="AJ161" i="190" l="1"/>
  <c r="W161" i="190"/>
  <c r="AI161" i="190" s="1"/>
  <c r="AJ162" i="190" l="1"/>
  <c r="W162" i="190"/>
  <c r="AI162" i="190" s="1"/>
  <c r="W163" i="190" l="1"/>
  <c r="AI163" i="190" s="1"/>
  <c r="AJ163" i="190"/>
  <c r="W165" i="190" l="1"/>
  <c r="AJ165" i="190"/>
  <c r="W166" i="190" l="1"/>
  <c r="AI166" i="190" s="1"/>
  <c r="AJ166" i="190"/>
  <c r="AG165" i="190"/>
  <c r="W167" i="190" l="1"/>
  <c r="AI167" i="190" s="1"/>
  <c r="AJ167" i="190"/>
  <c r="W168" i="190" l="1"/>
  <c r="AI168" i="190" s="1"/>
  <c r="AJ168" i="190"/>
  <c r="AJ169" i="190" l="1"/>
  <c r="W169" i="190"/>
  <c r="AI169" i="190" s="1"/>
  <c r="Z170" i="190" l="1"/>
  <c r="AB170" i="190"/>
  <c r="AJ170" i="190"/>
  <c r="W170" i="190"/>
  <c r="AI170" i="190" s="1"/>
  <c r="AJ8" i="190"/>
  <c r="Z168" i="190"/>
  <c r="AB161" i="190"/>
  <c r="AB168" i="190"/>
  <c r="Z163" i="190"/>
  <c r="Z161" i="190"/>
  <c r="AB163" i="190"/>
  <c r="AB166" i="190"/>
  <c r="Z166" i="190"/>
  <c r="AJ171" i="190" l="1"/>
  <c r="Z171" i="190"/>
  <c r="W171" i="190"/>
  <c r="AI171" i="190" s="1"/>
  <c r="AB171" i="190"/>
  <c r="AB12" i="190"/>
  <c r="AB10" i="190"/>
  <c r="Z9" i="190"/>
  <c r="AB9" i="190"/>
  <c r="AB151" i="190"/>
  <c r="Z10" i="190"/>
  <c r="AH10" i="149" s="1"/>
  <c r="AB11" i="190"/>
  <c r="Z99" i="190"/>
  <c r="AB164" i="190"/>
  <c r="AJ99" i="190"/>
  <c r="Z86" i="190"/>
  <c r="AJ86" i="190"/>
  <c r="Z13" i="190"/>
  <c r="Z151" i="190"/>
  <c r="Z8" i="190"/>
  <c r="AB23" i="190"/>
  <c r="Z12" i="190"/>
  <c r="AB138" i="190"/>
  <c r="AJ112" i="190"/>
  <c r="AB112" i="190"/>
  <c r="AB86" i="190"/>
  <c r="Z138" i="190"/>
  <c r="AJ164" i="190"/>
  <c r="AJ151" i="190"/>
  <c r="AB125" i="190"/>
  <c r="AB13" i="190"/>
  <c r="AJ125" i="190"/>
  <c r="Z112" i="190"/>
  <c r="AJ138" i="190"/>
  <c r="Z23" i="190"/>
  <c r="AH28" i="149" s="1"/>
  <c r="Z11" i="190"/>
  <c r="Z15" i="190"/>
  <c r="AB99" i="190"/>
  <c r="Z164" i="190"/>
  <c r="Z16" i="190"/>
  <c r="AB14" i="190"/>
  <c r="Z125" i="190"/>
  <c r="Z18" i="190"/>
  <c r="AB8" i="190"/>
  <c r="AB16" i="190"/>
  <c r="Z14" i="190"/>
  <c r="Z17" i="190"/>
  <c r="AB15" i="190"/>
  <c r="AB17" i="190"/>
  <c r="AB18" i="190"/>
  <c r="Z19" i="190"/>
  <c r="Z22" i="190"/>
  <c r="AB20" i="190"/>
  <c r="AB19" i="190"/>
  <c r="Z20" i="190"/>
  <c r="Z21" i="190"/>
  <c r="AB21" i="190"/>
  <c r="AB22" i="190"/>
  <c r="Z25" i="190"/>
  <c r="Z24" i="190"/>
  <c r="AB24" i="190"/>
  <c r="AB25" i="190"/>
  <c r="Z26" i="190"/>
  <c r="Z27" i="190"/>
  <c r="AB26" i="190"/>
  <c r="AB27" i="190"/>
  <c r="Z28" i="190"/>
  <c r="AB29" i="190"/>
  <c r="Z29" i="190"/>
  <c r="AB28" i="190"/>
  <c r="Z30" i="190"/>
  <c r="AB30" i="190"/>
  <c r="AB31" i="190"/>
  <c r="Z31" i="190"/>
  <c r="Z32" i="190"/>
  <c r="AB32" i="190"/>
  <c r="AB33" i="190"/>
  <c r="Z34" i="190"/>
  <c r="Z33" i="190"/>
  <c r="Z35" i="190"/>
  <c r="AB34" i="190"/>
  <c r="AB35" i="190"/>
  <c r="AB36" i="190"/>
  <c r="AB37" i="190"/>
  <c r="Z36" i="190"/>
  <c r="AB38" i="190"/>
  <c r="AB39" i="190"/>
  <c r="Z37" i="190"/>
  <c r="Z38" i="190"/>
  <c r="Z39" i="190"/>
  <c r="AB40" i="190"/>
  <c r="Z40" i="190"/>
  <c r="Z41" i="190"/>
  <c r="AB41" i="190"/>
  <c r="AB42" i="190"/>
  <c r="Z42" i="190"/>
  <c r="AB43" i="190"/>
  <c r="AB44" i="190"/>
  <c r="Z43" i="190"/>
  <c r="Z45" i="190"/>
  <c r="AB45" i="190"/>
  <c r="Z44" i="190"/>
  <c r="Z46" i="190"/>
  <c r="Z47" i="190"/>
  <c r="AB46" i="190"/>
  <c r="AB47" i="190"/>
  <c r="AB48" i="190"/>
  <c r="AB49" i="190"/>
  <c r="Z49" i="190"/>
  <c r="Z48" i="190"/>
  <c r="AB50" i="190"/>
  <c r="Z50" i="190"/>
  <c r="Z51" i="190"/>
  <c r="AB52" i="190"/>
  <c r="AB51" i="190"/>
  <c r="Z52" i="190"/>
  <c r="AB53" i="190"/>
  <c r="Z53" i="190"/>
  <c r="Z55" i="190"/>
  <c r="Z54" i="190"/>
  <c r="AB54" i="190"/>
  <c r="AB56" i="190"/>
  <c r="AB55" i="190"/>
  <c r="Z56" i="190"/>
  <c r="Z57" i="190"/>
  <c r="AB57" i="190"/>
  <c r="Z58" i="190"/>
  <c r="AB59" i="190"/>
  <c r="Z59" i="190"/>
  <c r="AB58" i="190"/>
  <c r="Z60" i="190"/>
  <c r="Z61" i="190"/>
  <c r="AB60" i="190"/>
  <c r="AB61" i="190"/>
  <c r="Z63" i="190"/>
  <c r="Z62" i="190"/>
  <c r="AB62" i="190"/>
  <c r="AB63" i="190"/>
  <c r="Z64" i="190"/>
  <c r="AB64" i="190"/>
  <c r="Z65" i="190"/>
  <c r="Z66" i="190"/>
  <c r="AB65" i="190"/>
  <c r="AB66" i="190"/>
  <c r="AB67" i="190"/>
  <c r="Z68" i="190"/>
  <c r="Z67" i="190"/>
  <c r="AB68" i="190"/>
  <c r="Z69" i="190"/>
  <c r="AB69" i="190"/>
  <c r="Z70" i="190"/>
  <c r="AB70" i="190"/>
  <c r="AB71" i="190"/>
  <c r="Z71" i="190"/>
  <c r="AB72" i="190"/>
  <c r="Z72" i="190"/>
  <c r="Z74" i="190"/>
  <c r="AB73" i="190"/>
  <c r="Z73" i="190"/>
  <c r="Z75" i="190"/>
  <c r="AB74" i="190"/>
  <c r="AB75" i="190"/>
  <c r="AB76" i="190"/>
  <c r="Z77" i="190"/>
  <c r="Z76" i="190"/>
  <c r="AB78" i="190"/>
  <c r="AB77" i="190"/>
  <c r="Z78" i="190"/>
  <c r="AB79" i="190"/>
  <c r="Z79" i="190"/>
  <c r="Z80" i="190"/>
  <c r="AB80" i="190"/>
  <c r="AB81" i="190"/>
  <c r="Z81" i="190"/>
  <c r="Z82" i="190"/>
  <c r="AB82" i="190"/>
  <c r="AB83" i="190"/>
  <c r="Z84" i="190"/>
  <c r="Z83" i="190"/>
  <c r="AB84" i="190"/>
  <c r="AB85" i="190"/>
  <c r="Z85" i="190"/>
  <c r="Z87" i="190"/>
  <c r="AB87" i="190"/>
  <c r="AI87" i="190" s="1"/>
  <c r="AB88" i="190"/>
  <c r="Z88" i="190"/>
  <c r="AB89" i="190"/>
  <c r="Z89" i="190"/>
  <c r="Z90" i="190"/>
  <c r="AB90" i="190"/>
  <c r="AB91" i="190"/>
  <c r="Z91" i="190"/>
  <c r="AB92" i="190"/>
  <c r="Z92" i="190"/>
  <c r="Z93" i="190"/>
  <c r="AB93" i="190"/>
  <c r="AB94" i="190"/>
  <c r="Z94" i="190"/>
  <c r="Z95" i="190"/>
  <c r="AB95" i="190"/>
  <c r="AB96" i="190"/>
  <c r="Z96" i="190"/>
  <c r="AB97" i="190"/>
  <c r="Z97" i="190"/>
  <c r="AB98" i="190"/>
  <c r="Z98" i="190"/>
  <c r="AB100" i="190"/>
  <c r="AI100" i="190" s="1"/>
  <c r="Z100" i="190"/>
  <c r="AB101" i="190"/>
  <c r="Z101" i="190"/>
  <c r="AB102" i="190"/>
  <c r="Z102" i="190"/>
  <c r="Z103" i="190"/>
  <c r="AB103" i="190"/>
  <c r="Z104" i="190"/>
  <c r="AB104" i="190"/>
  <c r="AB105" i="190"/>
  <c r="Z105" i="190"/>
  <c r="Z106" i="190"/>
  <c r="AB106" i="190"/>
  <c r="Z107" i="190"/>
  <c r="AB107" i="190"/>
  <c r="Z108" i="190"/>
  <c r="AB108" i="190"/>
  <c r="AB109" i="190"/>
  <c r="Z109" i="190"/>
  <c r="Z110" i="190"/>
  <c r="AB110" i="190"/>
  <c r="AB111" i="190"/>
  <c r="Z111" i="190"/>
  <c r="AB113" i="190"/>
  <c r="AI113" i="190" s="1"/>
  <c r="Z113" i="190"/>
  <c r="AB114" i="190"/>
  <c r="Z114" i="190"/>
  <c r="AB115" i="190"/>
  <c r="Z115" i="190"/>
  <c r="AB116" i="190"/>
  <c r="Z116" i="190"/>
  <c r="Z117" i="190"/>
  <c r="AB117" i="190"/>
  <c r="Z118" i="190"/>
  <c r="AB118" i="190"/>
  <c r="AB119" i="190"/>
  <c r="Z119" i="190"/>
  <c r="AB120" i="190"/>
  <c r="Z120" i="190"/>
  <c r="Z121" i="190"/>
  <c r="AB121" i="190"/>
  <c r="Z122" i="190"/>
  <c r="AB122" i="190"/>
  <c r="Z123" i="190"/>
  <c r="AB123" i="190"/>
  <c r="Z124" i="190"/>
  <c r="AB124" i="190"/>
  <c r="AB126" i="190"/>
  <c r="AI126" i="190" s="1"/>
  <c r="Z126" i="190"/>
  <c r="Z127" i="190"/>
  <c r="AB127" i="190"/>
  <c r="AB128" i="190"/>
  <c r="Z128" i="190"/>
  <c r="Z129" i="190"/>
  <c r="AB129" i="190"/>
  <c r="Z130" i="190"/>
  <c r="AB130" i="190"/>
  <c r="Z131" i="190"/>
  <c r="AB131" i="190"/>
  <c r="Z132" i="190"/>
  <c r="AB132" i="190"/>
  <c r="Z133" i="190"/>
  <c r="AB133" i="190"/>
  <c r="Z134" i="190"/>
  <c r="AB134" i="190"/>
  <c r="AB135" i="190"/>
  <c r="Z135" i="190"/>
  <c r="AB136" i="190"/>
  <c r="Z136" i="190"/>
  <c r="AB137" i="190"/>
  <c r="Z137" i="190"/>
  <c r="AB139" i="190"/>
  <c r="AI139" i="190" s="1"/>
  <c r="Z139" i="190"/>
  <c r="AB140" i="190"/>
  <c r="Z140" i="190"/>
  <c r="AB141" i="190"/>
  <c r="Z141" i="190"/>
  <c r="AH140" i="149" s="1"/>
  <c r="AB142" i="190"/>
  <c r="Z142" i="190"/>
  <c r="Z143" i="190"/>
  <c r="AB143" i="190"/>
  <c r="Z144" i="190"/>
  <c r="AB144" i="190"/>
  <c r="Z145" i="190"/>
  <c r="AB145" i="190"/>
  <c r="AB146" i="190"/>
  <c r="Z146" i="190"/>
  <c r="AB147" i="190"/>
  <c r="Z147" i="190"/>
  <c r="Z148" i="190"/>
  <c r="AB148" i="190"/>
  <c r="AB149" i="190"/>
  <c r="Z149" i="190"/>
  <c r="Z150" i="190"/>
  <c r="AB150" i="190"/>
  <c r="Z152" i="190"/>
  <c r="AB152" i="190"/>
  <c r="AI152" i="190" s="1"/>
  <c r="Z153" i="190"/>
  <c r="AB153" i="190"/>
  <c r="Z154" i="190"/>
  <c r="AB154" i="190"/>
  <c r="AB155" i="190"/>
  <c r="Z155" i="190"/>
  <c r="Z156" i="190"/>
  <c r="AB156" i="190"/>
  <c r="Z157" i="190"/>
  <c r="AB157" i="190"/>
  <c r="Z158" i="190"/>
  <c r="AB158" i="190"/>
  <c r="AB159" i="190"/>
  <c r="Z159" i="190"/>
  <c r="AB162" i="190"/>
  <c r="Z165" i="190"/>
  <c r="Z169" i="190"/>
  <c r="AB160" i="190"/>
  <c r="AB169" i="190"/>
  <c r="AB165" i="190"/>
  <c r="AI165" i="190" s="1"/>
  <c r="AB167" i="190"/>
  <c r="Z167" i="190"/>
  <c r="Z162" i="190"/>
  <c r="Z160" i="190"/>
  <c r="AH11" i="149" l="1"/>
  <c r="I17" i="141" l="1"/>
  <c r="T18" i="141" l="1"/>
  <c r="U18" i="141"/>
  <c r="H18" i="141"/>
  <c r="I18" i="141"/>
  <c r="AD66" i="117"/>
  <c r="AD8" i="117" s="1" a="1"/>
  <c r="AD8" i="117" s="1"/>
  <c r="D23" i="214" l="1"/>
  <c r="P6" i="141" a="1"/>
  <c r="P6" i="141" s="1"/>
  <c r="D18" i="214" s="1"/>
  <c r="D30" i="2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tc={9959A49C-89FA-4BB4-9480-1FEAEF6E3975}</author>
    <author>作成者</author>
  </authors>
  <commentList>
    <comment ref="B3" authorId="0" shapeId="0" xr:uid="{9959A49C-89FA-4BB4-9480-1FEAEF6E397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公共施設（PPA）を追加</t>
      </text>
    </comment>
    <comment ref="C3" authorId="1" shapeId="0" xr:uid="{1A16D821-157D-4BE5-A75F-001E1E5213F1}">
      <text>
        <r>
          <rPr>
            <b/>
            <sz val="9"/>
            <color indexed="81"/>
            <rFont val="MS P ゴシック"/>
            <family val="3"/>
            <charset val="128"/>
          </rPr>
          <t>第４回から、
民生電力 又は 民生電力以外
第３回
計画提案書 2.4(2) 又は 2.5(2)</t>
        </r>
        <r>
          <rPr>
            <sz val="9"/>
            <color indexed="81"/>
            <rFont val="MS P ゴシック"/>
            <family val="3"/>
            <charset val="128"/>
          </rPr>
          <t xml:space="preserve">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<sst xmlns="http://schemas.openxmlformats.org/spreadsheetml/2006/main" count="25348" uniqueCount="6343">
  <si>
    <t>No</t>
    <phoneticPr fontId="1"/>
  </si>
  <si>
    <t>作成日：令和〇〇年〇〇月〇〇日</t>
    <rPh sb="0" eb="3">
      <t>サクセイビ</t>
    </rPh>
    <rPh sb="4" eb="6">
      <t>レイワ</t>
    </rPh>
    <rPh sb="8" eb="9">
      <t>ネン</t>
    </rPh>
    <rPh sb="11" eb="12">
      <t>ガツ</t>
    </rPh>
    <rPh sb="14" eb="15">
      <t>ニチ</t>
    </rPh>
    <phoneticPr fontId="1"/>
  </si>
  <si>
    <t>脱炭素先行地域の対象となる地域の規模、範囲をあらわす下表を埋めてください。</t>
    <rPh sb="16" eb="18">
      <t>キボ</t>
    </rPh>
    <rPh sb="26" eb="28">
      <t>カヒョウ</t>
    </rPh>
    <rPh sb="29" eb="30">
      <t>ウ</t>
    </rPh>
    <phoneticPr fontId="1"/>
  </si>
  <si>
    <t>提案地方公共団体内
全域に対する
割合(%)</t>
    <rPh sb="0" eb="2">
      <t>テイアン</t>
    </rPh>
    <rPh sb="2" eb="4">
      <t>チホウ</t>
    </rPh>
    <rPh sb="4" eb="8">
      <t>コウキョウダンタイ</t>
    </rPh>
    <rPh sb="8" eb="9">
      <t>ナイ</t>
    </rPh>
    <rPh sb="10" eb="12">
      <t>ゼンイキ</t>
    </rPh>
    <rPh sb="13" eb="14">
      <t>タイ</t>
    </rPh>
    <rPh sb="17" eb="19">
      <t>ワリアイ</t>
    </rPh>
    <phoneticPr fontId="1"/>
  </si>
  <si>
    <t>提案地方公共団体内
全域の数値</t>
    <rPh sb="0" eb="9">
      <t>テイアンチホウコウキョウダンタイナイ</t>
    </rPh>
    <rPh sb="10" eb="12">
      <t>ゼンイキ</t>
    </rPh>
    <rPh sb="13" eb="15">
      <t>スウチ</t>
    </rPh>
    <phoneticPr fontId="1"/>
  </si>
  <si>
    <t>民
生
需
要
家
数</t>
    <rPh sb="0" eb="1">
      <t>タミ</t>
    </rPh>
    <rPh sb="2" eb="3">
      <t>ナマ</t>
    </rPh>
    <rPh sb="4" eb="5">
      <t>ジュ</t>
    </rPh>
    <rPh sb="6" eb="7">
      <t>カナメ</t>
    </rPh>
    <rPh sb="8" eb="9">
      <t>ケ</t>
    </rPh>
    <rPh sb="10" eb="11">
      <t>スウ</t>
    </rPh>
    <phoneticPr fontId="1"/>
  </si>
  <si>
    <t>取組の規模</t>
    <rPh sb="0" eb="2">
      <t>トリクミ</t>
    </rPh>
    <rPh sb="3" eb="5">
      <t>キボ</t>
    </rPh>
    <phoneticPr fontId="1"/>
  </si>
  <si>
    <t>【太陽光発電】</t>
    <rPh sb="1" eb="6">
      <t>タイヨウコウハツデン</t>
    </rPh>
    <phoneticPr fontId="1"/>
  </si>
  <si>
    <t>設置場所</t>
    <rPh sb="0" eb="4">
      <t>セッチバショ</t>
    </rPh>
    <phoneticPr fontId="1"/>
  </si>
  <si>
    <t>設置者</t>
    <rPh sb="0" eb="3">
      <t>セッチシャ</t>
    </rPh>
    <phoneticPr fontId="1"/>
  </si>
  <si>
    <t>オンサイト・
オフサイト</t>
    <phoneticPr fontId="1"/>
  </si>
  <si>
    <t>設置方法</t>
    <rPh sb="0" eb="4">
      <t>セッチホウホウ</t>
    </rPh>
    <phoneticPr fontId="1"/>
  </si>
  <si>
    <t>数量</t>
    <rPh sb="0" eb="2">
      <t>スウリョウ</t>
    </rPh>
    <phoneticPr fontId="1"/>
  </si>
  <si>
    <t>設備能力(kW)</t>
    <rPh sb="0" eb="4">
      <t>セツビノウリョク</t>
    </rPh>
    <phoneticPr fontId="1"/>
  </si>
  <si>
    <t>導入時期</t>
    <rPh sb="0" eb="4">
      <t>ドウニュウジキ</t>
    </rPh>
    <phoneticPr fontId="1"/>
  </si>
  <si>
    <t>戸建住宅</t>
  </si>
  <si>
    <t>家庭(その他)</t>
  </si>
  <si>
    <t>オフィスビル</t>
  </si>
  <si>
    <t>商業施設</t>
  </si>
  <si>
    <t>宿泊施設</t>
  </si>
  <si>
    <t>公共施設</t>
  </si>
  <si>
    <t>公共(その他)</t>
  </si>
  <si>
    <t>遊休地</t>
  </si>
  <si>
    <t>遊休農地</t>
  </si>
  <si>
    <t>ため池</t>
  </si>
  <si>
    <t>その他</t>
  </si>
  <si>
    <t>合計</t>
    <rPh sb="0" eb="2">
      <t>ゴウケイ</t>
    </rPh>
    <phoneticPr fontId="1"/>
  </si>
  <si>
    <t>発電方式</t>
    <rPh sb="0" eb="4">
      <t>ハツデンホウシキ</t>
    </rPh>
    <phoneticPr fontId="1"/>
  </si>
  <si>
    <t>調達方法(kWh/年)</t>
    <rPh sb="0" eb="4">
      <t>チョウタツホウホウ</t>
    </rPh>
    <rPh sb="9" eb="10">
      <t>ネン</t>
    </rPh>
    <phoneticPr fontId="1"/>
  </si>
  <si>
    <t>対象</t>
    <rPh sb="0" eb="2">
      <t>タイショウ</t>
    </rPh>
    <phoneticPr fontId="1"/>
  </si>
  <si>
    <t>施設名</t>
    <rPh sb="0" eb="3">
      <t>シセツメイ</t>
    </rPh>
    <phoneticPr fontId="1"/>
  </si>
  <si>
    <t>施設数</t>
    <rPh sb="0" eb="3">
      <t>シセツスウ</t>
    </rPh>
    <phoneticPr fontId="1"/>
  </si>
  <si>
    <t>自家消費等</t>
    <rPh sb="0" eb="4">
      <t>ジカショウヒ</t>
    </rPh>
    <rPh sb="4" eb="5">
      <t>ナド</t>
    </rPh>
    <phoneticPr fontId="1"/>
  </si>
  <si>
    <t>相対契約</t>
    <rPh sb="0" eb="4">
      <t>アイタイケイヤク</t>
    </rPh>
    <phoneticPr fontId="1"/>
  </si>
  <si>
    <t>電力メニュー</t>
    <rPh sb="0" eb="2">
      <t>デンリョク</t>
    </rPh>
    <phoneticPr fontId="1"/>
  </si>
  <si>
    <t>証書</t>
    <rPh sb="0" eb="2">
      <t>ショウショ</t>
    </rPh>
    <phoneticPr fontId="1"/>
  </si>
  <si>
    <t>(kWh/年)</t>
    <phoneticPr fontId="1"/>
  </si>
  <si>
    <t>民生・家庭(戸建住宅)</t>
  </si>
  <si>
    <t>民生・家庭(その他)</t>
  </si>
  <si>
    <t>民生・業務その他(オフィスビル)</t>
  </si>
  <si>
    <t>民生・業務その他(商業施設)</t>
  </si>
  <si>
    <t>民生・業務その他(宿泊施設)</t>
  </si>
  <si>
    <t>民生・業務その他(その他)</t>
  </si>
  <si>
    <t>公共(公共施設)</t>
  </si>
  <si>
    <t>区分</t>
    <rPh sb="0" eb="2">
      <t>クブン</t>
    </rPh>
    <phoneticPr fontId="1"/>
  </si>
  <si>
    <t>試算方法</t>
    <rPh sb="0" eb="4">
      <t>シサンホウホウ</t>
    </rPh>
    <phoneticPr fontId="1"/>
  </si>
  <si>
    <t>直近電力
需要量
(kWh/年)</t>
    <rPh sb="0" eb="2">
      <t>チョッキン</t>
    </rPh>
    <rPh sb="2" eb="4">
      <t>デンリョク</t>
    </rPh>
    <rPh sb="5" eb="7">
      <t>ジュヨウ</t>
    </rPh>
    <rPh sb="7" eb="8">
      <t>リョウ</t>
    </rPh>
    <rPh sb="14" eb="15">
      <t>ネン</t>
    </rPh>
    <phoneticPr fontId="1"/>
  </si>
  <si>
    <t>取組内容</t>
    <rPh sb="0" eb="1">
      <t>ト</t>
    </rPh>
    <rPh sb="1" eb="2">
      <t>ク</t>
    </rPh>
    <rPh sb="2" eb="4">
      <t>ナイヨウ</t>
    </rPh>
    <phoneticPr fontId="1"/>
  </si>
  <si>
    <t>各電力需要家における電力削減の取組状況を下表に記載してください。</t>
    <phoneticPr fontId="1"/>
  </si>
  <si>
    <t>なお、施設数が多く下表に収まらない場合など、必要に応じ、参考資料を添付してください。</t>
    <phoneticPr fontId="1"/>
  </si>
  <si>
    <t>省エネによる</t>
    <rPh sb="0" eb="1">
      <t>ショウ</t>
    </rPh>
    <phoneticPr fontId="1"/>
  </si>
  <si>
    <t>電力削減量</t>
    <rPh sb="0" eb="5">
      <t>デンリョクサクゲンリョウ</t>
    </rPh>
    <phoneticPr fontId="1"/>
  </si>
  <si>
    <t>(1) 実施する取組の具体的内容</t>
    <rPh sb="4" eb="6">
      <t>ジッシ</t>
    </rPh>
    <rPh sb="8" eb="10">
      <t>トリクミ</t>
    </rPh>
    <rPh sb="11" eb="16">
      <t>グタイテキナイヨウ</t>
    </rPh>
    <phoneticPr fontId="1"/>
  </si>
  <si>
    <t>電力需要量に係る実質ゼロを達成するための取組内容</t>
    <rPh sb="0" eb="5">
      <t>デンリョクジュヨウリョウ</t>
    </rPh>
    <rPh sb="6" eb="7">
      <t>カカ</t>
    </rPh>
    <rPh sb="8" eb="10">
      <t>ジッシツ</t>
    </rPh>
    <rPh sb="13" eb="15">
      <t>タッセイ</t>
    </rPh>
    <rPh sb="20" eb="24">
      <t>トリクミナイヨウ</t>
    </rPh>
    <phoneticPr fontId="1"/>
  </si>
  <si>
    <t>種類</t>
    <rPh sb="0" eb="2">
      <t>シュルイ</t>
    </rPh>
    <phoneticPr fontId="1"/>
  </si>
  <si>
    <t>電力需要量
(kWh/年)</t>
    <rPh sb="0" eb="5">
      <t>デンリョクジュヨウリョウ</t>
    </rPh>
    <rPh sb="11" eb="12">
      <t>ネン</t>
    </rPh>
    <phoneticPr fontId="1"/>
  </si>
  <si>
    <t>再エネ等の供給量(kWh/年)</t>
    <rPh sb="0" eb="1">
      <t>サイ</t>
    </rPh>
    <rPh sb="3" eb="4">
      <t>ナド</t>
    </rPh>
    <rPh sb="5" eb="7">
      <t>キョウキュウ</t>
    </rPh>
    <rPh sb="7" eb="8">
      <t>リョウ</t>
    </rPh>
    <rPh sb="13" eb="14">
      <t>ネン</t>
    </rPh>
    <phoneticPr fontId="1"/>
  </si>
  <si>
    <t>省エネによる電力削減量
(kWh/年)</t>
    <rPh sb="0" eb="1">
      <t>ショウ</t>
    </rPh>
    <rPh sb="6" eb="11">
      <t>デンリョクサクゲンリョウ</t>
    </rPh>
    <rPh sb="17" eb="18">
      <t>ネン</t>
    </rPh>
    <phoneticPr fontId="1"/>
  </si>
  <si>
    <t>①</t>
    <phoneticPr fontId="1"/>
  </si>
  <si>
    <t>民生・家庭</t>
    <rPh sb="0" eb="2">
      <t>ミンセイ</t>
    </rPh>
    <rPh sb="3" eb="5">
      <t>カテイ</t>
    </rPh>
    <phoneticPr fontId="1"/>
  </si>
  <si>
    <t>②</t>
    <phoneticPr fontId="1"/>
  </si>
  <si>
    <t>民生・業務その他</t>
    <rPh sb="0" eb="2">
      <t>ミンセイ</t>
    </rPh>
    <rPh sb="3" eb="5">
      <t>ギョウム</t>
    </rPh>
    <rPh sb="7" eb="8">
      <t>タ</t>
    </rPh>
    <phoneticPr fontId="1"/>
  </si>
  <si>
    <t>③</t>
    <phoneticPr fontId="1"/>
  </si>
  <si>
    <t>公共</t>
    <rPh sb="0" eb="2">
      <t>コウキョウ</t>
    </rPh>
    <phoneticPr fontId="1"/>
  </si>
  <si>
    <t>【「実質ゼロ」の計算結果】</t>
    <rPh sb="2" eb="4">
      <t>ジッシツ</t>
    </rPh>
    <rPh sb="8" eb="12">
      <t>ケイサンケッカ</t>
    </rPh>
    <phoneticPr fontId="1"/>
  </si>
  <si>
    <t>＝</t>
    <phoneticPr fontId="1"/>
  </si>
  <si>
    <t>＋</t>
    <phoneticPr fontId="1"/>
  </si>
  <si>
    <t>÷</t>
    <phoneticPr fontId="1"/>
  </si>
  <si>
    <t>×100</t>
    <phoneticPr fontId="1"/>
  </si>
  <si>
    <t xml:space="preserve">(※２) </t>
    <phoneticPr fontId="1"/>
  </si>
  <si>
    <t>事業内容</t>
    <rPh sb="0" eb="2">
      <t>ジギョウ</t>
    </rPh>
    <rPh sb="2" eb="4">
      <t>ナイヨウ</t>
    </rPh>
    <phoneticPr fontId="1"/>
  </si>
  <si>
    <t>温室効果ガス
排出削減量
(t-CO2/年)</t>
    <rPh sb="0" eb="2">
      <t>オンシツ</t>
    </rPh>
    <rPh sb="2" eb="4">
      <t>コウカ</t>
    </rPh>
    <rPh sb="7" eb="9">
      <t>ハイシュツ</t>
    </rPh>
    <rPh sb="9" eb="12">
      <t>サクゲンリョウ</t>
    </rPh>
    <rPh sb="20" eb="21">
      <t>ネン</t>
    </rPh>
    <phoneticPr fontId="1"/>
  </si>
  <si>
    <t>(小計)
温室効果ガス
排出削減量
(t-CO2/年)</t>
    <rPh sb="1" eb="3">
      <t>ショウケイ</t>
    </rPh>
    <rPh sb="5" eb="7">
      <t>オンシツ</t>
    </rPh>
    <rPh sb="7" eb="9">
      <t>コウカ</t>
    </rPh>
    <rPh sb="12" eb="14">
      <t>ハイシュツ</t>
    </rPh>
    <rPh sb="14" eb="16">
      <t>サクゲン</t>
    </rPh>
    <rPh sb="16" eb="17">
      <t>リョウ</t>
    </rPh>
    <phoneticPr fontId="1"/>
  </si>
  <si>
    <t>④非エネルギー起源（廃棄物・下水処理）</t>
  </si>
  <si>
    <t>⑤CO2 貯留（森林吸収源等）</t>
  </si>
  <si>
    <t>年度</t>
    <rPh sb="0" eb="2">
      <t>ネンド</t>
    </rPh>
    <phoneticPr fontId="1"/>
  </si>
  <si>
    <t>取組No</t>
    <rPh sb="0" eb="2">
      <t>トリクミ</t>
    </rPh>
    <phoneticPr fontId="1"/>
  </si>
  <si>
    <t>必要額
（千円）</t>
    <rPh sb="0" eb="3">
      <t>ヒツヨウガク</t>
    </rPh>
    <rPh sb="5" eb="7">
      <t>センエン</t>
    </rPh>
    <phoneticPr fontId="1"/>
  </si>
  <si>
    <t>再エネ等の電力供給量のうち脱炭素先行地域がある地方公共団体で発電して消費する再エネ電力量の割合（※１）</t>
    <rPh sb="0" eb="1">
      <t>サイ</t>
    </rPh>
    <rPh sb="3" eb="4">
      <t>ナド</t>
    </rPh>
    <rPh sb="5" eb="7">
      <t>デンリョク</t>
    </rPh>
    <rPh sb="7" eb="9">
      <t>キョウキュウ</t>
    </rPh>
    <rPh sb="9" eb="10">
      <t>リョウ</t>
    </rPh>
    <rPh sb="13" eb="14">
      <t>ダツ</t>
    </rPh>
    <rPh sb="14" eb="16">
      <t>タンソ</t>
    </rPh>
    <rPh sb="16" eb="18">
      <t>センコウ</t>
    </rPh>
    <rPh sb="18" eb="20">
      <t>チイキ</t>
    </rPh>
    <rPh sb="23" eb="25">
      <t>チホウ</t>
    </rPh>
    <rPh sb="25" eb="27">
      <t>コウキョウ</t>
    </rPh>
    <rPh sb="27" eb="29">
      <t>ダンタイ</t>
    </rPh>
    <rPh sb="30" eb="32">
      <t>ハツデン</t>
    </rPh>
    <rPh sb="34" eb="36">
      <t>ショウヒ</t>
    </rPh>
    <rPh sb="38" eb="39">
      <t>サイ</t>
    </rPh>
    <rPh sb="41" eb="43">
      <t>デンリョク</t>
    </rPh>
    <rPh sb="43" eb="44">
      <t>リョウ</t>
    </rPh>
    <rPh sb="45" eb="47">
      <t>ワリアイ</t>
    </rPh>
    <phoneticPr fontId="1"/>
  </si>
  <si>
    <t>脱炭素先行地域がある地方公共団体内に設置された再エネ発電設備で発電した再エネ電力であって、自家消費、相対契約、トラッキング付き証書・FIT特定卸等により再エネ電源が特定されているもののうち、先行地域内の電力需要家が消費するもの</t>
    <phoneticPr fontId="1"/>
  </si>
  <si>
    <t>再エネ等の電力供給量（先行地域の需要家に供給されるものに限る。）のうち、脱炭素先行地域がある地方公共団体内に設置された再エネ発電設備で発電される再エネ電力量の割合が算出されます。</t>
    <rPh sb="82" eb="84">
      <t>サンシュツ</t>
    </rPh>
    <phoneticPr fontId="1"/>
  </si>
  <si>
    <t>発電量
(kWh/年)</t>
    <rPh sb="0" eb="2">
      <t>ハツデン</t>
    </rPh>
    <rPh sb="2" eb="3">
      <t>リョウ</t>
    </rPh>
    <rPh sb="9" eb="10">
      <t>ネン</t>
    </rPh>
    <phoneticPr fontId="1"/>
  </si>
  <si>
    <t>(小計)
設備能力
(kW)</t>
    <rPh sb="1" eb="3">
      <t>ショウケイ</t>
    </rPh>
    <rPh sb="5" eb="9">
      <t>セツビノウリョク</t>
    </rPh>
    <phoneticPr fontId="1"/>
  </si>
  <si>
    <t>(小計)
発電量
(kWh/年)</t>
    <rPh sb="1" eb="3">
      <t>ショウケイ</t>
    </rPh>
    <rPh sb="5" eb="7">
      <t>ハツデン</t>
    </rPh>
    <rPh sb="7" eb="8">
      <t>リョウ</t>
    </rPh>
    <rPh sb="14" eb="15">
      <t>ネン</t>
    </rPh>
    <phoneticPr fontId="1"/>
  </si>
  <si>
    <t>(小計)
直近電力需要量
(kWh/年)</t>
    <rPh sb="1" eb="3">
      <t>ショウケイ</t>
    </rPh>
    <rPh sb="5" eb="7">
      <t>チョッキン</t>
    </rPh>
    <rPh sb="7" eb="9">
      <t>デンリョク</t>
    </rPh>
    <rPh sb="9" eb="11">
      <t>ジュヨウ</t>
    </rPh>
    <rPh sb="11" eb="12">
      <t>リョウ</t>
    </rPh>
    <phoneticPr fontId="1"/>
  </si>
  <si>
    <t>所管府省庁</t>
    <rPh sb="0" eb="2">
      <t>ショカン</t>
    </rPh>
    <rPh sb="2" eb="5">
      <t>フショウチョウ</t>
    </rPh>
    <phoneticPr fontId="1"/>
  </si>
  <si>
    <t>再エネメニュー</t>
    <rPh sb="0" eb="1">
      <t>サイ</t>
    </rPh>
    <phoneticPr fontId="1"/>
  </si>
  <si>
    <t>(※１) 上限100%</t>
    <phoneticPr fontId="1"/>
  </si>
  <si>
    <t>状況</t>
    <rPh sb="0" eb="2">
      <t>ジョウキョウ</t>
    </rPh>
    <phoneticPr fontId="1"/>
  </si>
  <si>
    <t>その手法</t>
    <rPh sb="2" eb="4">
      <t>シュホウ</t>
    </rPh>
    <phoneticPr fontId="1"/>
  </si>
  <si>
    <t>－</t>
  </si>
  <si>
    <t>風力発電</t>
    <rPh sb="0" eb="2">
      <t>フウリョク</t>
    </rPh>
    <rPh sb="2" eb="4">
      <t>ハツデン</t>
    </rPh>
    <phoneticPr fontId="1"/>
  </si>
  <si>
    <t>【廃棄物発電】</t>
    <rPh sb="1" eb="4">
      <t>ハイキブツ</t>
    </rPh>
    <rPh sb="4" eb="6">
      <t>ハツデン</t>
    </rPh>
    <phoneticPr fontId="1"/>
  </si>
  <si>
    <t>共同提案者(民間事業者、団体等)</t>
    <rPh sb="0" eb="2">
      <t>キョウドウ</t>
    </rPh>
    <rPh sb="2" eb="5">
      <t>テイアンシャ</t>
    </rPh>
    <rPh sb="6" eb="8">
      <t>ミンカン</t>
    </rPh>
    <rPh sb="8" eb="11">
      <t>ジギョウシャ</t>
    </rPh>
    <rPh sb="12" eb="14">
      <t>ダンタイ</t>
    </rPh>
    <rPh sb="14" eb="15">
      <t>トウ</t>
    </rPh>
    <phoneticPr fontId="1"/>
  </si>
  <si>
    <t>除外理由</t>
    <rPh sb="0" eb="4">
      <t>ジョガイリユウ</t>
    </rPh>
    <phoneticPr fontId="1"/>
  </si>
  <si>
    <t>除外量(kW)</t>
    <rPh sb="0" eb="3">
      <t>ジョガイリョウ</t>
    </rPh>
    <phoneticPr fontId="1"/>
  </si>
  <si>
    <t>再エネ種別</t>
    <rPh sb="0" eb="1">
      <t>サイ</t>
    </rPh>
    <rPh sb="3" eb="5">
      <t>シュベツ</t>
    </rPh>
    <phoneticPr fontId="1"/>
  </si>
  <si>
    <t>電源</t>
    <rPh sb="0" eb="2">
      <t>デンゲン</t>
    </rPh>
    <phoneticPr fontId="1"/>
  </si>
  <si>
    <t>供給方法（供給主体）等</t>
    <rPh sb="0" eb="2">
      <t>キョウキュウ</t>
    </rPh>
    <rPh sb="2" eb="4">
      <t>ホウホウ</t>
    </rPh>
    <rPh sb="5" eb="7">
      <t>キョウキュウ</t>
    </rPh>
    <rPh sb="7" eb="9">
      <t>シュタイ</t>
    </rPh>
    <rPh sb="10" eb="11">
      <t>ナド</t>
    </rPh>
    <phoneticPr fontId="1"/>
  </si>
  <si>
    <t>調査状況</t>
    <rPh sb="0" eb="4">
      <t>チョウサジョウキョウ</t>
    </rPh>
    <phoneticPr fontId="1"/>
  </si>
  <si>
    <t>導入コスト</t>
    <rPh sb="0" eb="2">
      <t>ドウニュウ</t>
    </rPh>
    <phoneticPr fontId="1"/>
  </si>
  <si>
    <t>電源の詳細仕様</t>
    <rPh sb="0" eb="2">
      <t>デンゲン</t>
    </rPh>
    <rPh sb="3" eb="5">
      <t>ショウサイ</t>
    </rPh>
    <rPh sb="5" eb="7">
      <t>シヨウ</t>
    </rPh>
    <phoneticPr fontId="1"/>
  </si>
  <si>
    <t>発電方式</t>
    <rPh sb="0" eb="2">
      <t>ハツデン</t>
    </rPh>
    <rPh sb="2" eb="4">
      <t>ホウシキ</t>
    </rPh>
    <phoneticPr fontId="1"/>
  </si>
  <si>
    <t>廃棄物発電</t>
    <rPh sb="0" eb="5">
      <t>ハイキブツハツデン</t>
    </rPh>
    <phoneticPr fontId="1"/>
  </si>
  <si>
    <t>設備全体の能力(kW)</t>
    <rPh sb="0" eb="4">
      <t>セツビゼンタイ</t>
    </rPh>
    <rPh sb="5" eb="7">
      <t>ノウリョク</t>
    </rPh>
    <phoneticPr fontId="1"/>
  </si>
  <si>
    <t>設備全体の
発電量(kWh/年)</t>
    <rPh sb="0" eb="4">
      <t>セツビゼンタイ</t>
    </rPh>
    <rPh sb="6" eb="9">
      <t>ハツデンリョウ</t>
    </rPh>
    <rPh sb="14" eb="15">
      <t>ネン</t>
    </rPh>
    <phoneticPr fontId="1"/>
  </si>
  <si>
    <t>バイオマス
比率</t>
    <rPh sb="6" eb="8">
      <t>ヒリツ</t>
    </rPh>
    <phoneticPr fontId="1"/>
  </si>
  <si>
    <t>設備のバイオマス発電量
(kWh/年)</t>
    <rPh sb="0" eb="2">
      <t>セツビ</t>
    </rPh>
    <rPh sb="8" eb="11">
      <t>ハツデンリョウ</t>
    </rPh>
    <rPh sb="17" eb="18">
      <t>ネン</t>
    </rPh>
    <phoneticPr fontId="1"/>
  </si>
  <si>
    <t>系統接続検討状況</t>
    <rPh sb="0" eb="2">
      <t>ケイトウ</t>
    </rPh>
    <rPh sb="2" eb="4">
      <t>セツゾク</t>
    </rPh>
    <rPh sb="4" eb="6">
      <t>ケントウ</t>
    </rPh>
    <rPh sb="6" eb="8">
      <t>ジョウキョウ</t>
    </rPh>
    <phoneticPr fontId="1"/>
  </si>
  <si>
    <t>資料調査</t>
    <rPh sb="0" eb="2">
      <t>シリョウ</t>
    </rPh>
    <rPh sb="2" eb="4">
      <t>チョウサ</t>
    </rPh>
    <phoneticPr fontId="1"/>
  </si>
  <si>
    <t>実地調査</t>
    <rPh sb="0" eb="2">
      <t>ジッチ</t>
    </rPh>
    <rPh sb="2" eb="4">
      <t>チョウサ</t>
    </rPh>
    <phoneticPr fontId="1"/>
  </si>
  <si>
    <t>民生電力以外</t>
    <rPh sb="0" eb="2">
      <t>ミンセイ</t>
    </rPh>
    <rPh sb="2" eb="4">
      <t>デンリョク</t>
    </rPh>
    <rPh sb="4" eb="6">
      <t>イガイ</t>
    </rPh>
    <phoneticPr fontId="1"/>
  </si>
  <si>
    <t>民生電力</t>
    <rPh sb="0" eb="2">
      <t>ミンセイ</t>
    </rPh>
    <rPh sb="2" eb="4">
      <t>デンリョク</t>
    </rPh>
    <phoneticPr fontId="1"/>
  </si>
  <si>
    <t>事業費（年度合計）（千円）</t>
    <rPh sb="0" eb="2">
      <t>ジギョウ</t>
    </rPh>
    <rPh sb="2" eb="3">
      <t>ヒ</t>
    </rPh>
    <rPh sb="4" eb="6">
      <t>ネンド</t>
    </rPh>
    <rPh sb="6" eb="8">
      <t>ゴウケイ</t>
    </rPh>
    <rPh sb="10" eb="12">
      <t>センエン</t>
    </rPh>
    <phoneticPr fontId="1"/>
  </si>
  <si>
    <t>部門別事業費
（千円）</t>
    <rPh sb="0" eb="3">
      <t>ブモンベツ</t>
    </rPh>
    <rPh sb="3" eb="6">
      <t>ジギョウヒ</t>
    </rPh>
    <rPh sb="8" eb="10">
      <t>センエン</t>
    </rPh>
    <phoneticPr fontId="1"/>
  </si>
  <si>
    <t>活用を予定している国の事業
（交付金、補助金等）の名称</t>
    <rPh sb="0" eb="2">
      <t>カツヨウ</t>
    </rPh>
    <rPh sb="3" eb="5">
      <t>ヨテイ</t>
    </rPh>
    <rPh sb="9" eb="10">
      <t>クニ</t>
    </rPh>
    <rPh sb="11" eb="13">
      <t>ジギョウ</t>
    </rPh>
    <rPh sb="15" eb="17">
      <t>コウフ</t>
    </rPh>
    <rPh sb="17" eb="18">
      <t>キン</t>
    </rPh>
    <rPh sb="19" eb="22">
      <t>ホジョキン</t>
    </rPh>
    <rPh sb="22" eb="23">
      <t>トウ</t>
    </rPh>
    <rPh sb="25" eb="27">
      <t>メイショウ</t>
    </rPh>
    <phoneticPr fontId="1"/>
  </si>
  <si>
    <t>住民</t>
    <rPh sb="0" eb="2">
      <t>ジュウミン</t>
    </rPh>
    <phoneticPr fontId="1"/>
  </si>
  <si>
    <t>※可能な限り上記表におさまるように入力してください。</t>
    <rPh sb="1" eb="3">
      <t>カノウ</t>
    </rPh>
    <rPh sb="4" eb="5">
      <t>カギ</t>
    </rPh>
    <rPh sb="6" eb="8">
      <t>ジョウキ</t>
    </rPh>
    <rPh sb="8" eb="9">
      <t>ヒョウ</t>
    </rPh>
    <rPh sb="17" eb="19">
      <t>ニュウリョク</t>
    </rPh>
    <phoneticPr fontId="1"/>
  </si>
  <si>
    <t>不要な(余った)行は削除したうえで、Wordの該当箇所に図で貼り付けてください。</t>
    <phoneticPr fontId="1"/>
  </si>
  <si>
    <t>民生電力</t>
    <rPh sb="0" eb="4">
      <t>ミンセイデンリョク</t>
    </rPh>
    <phoneticPr fontId="1"/>
  </si>
  <si>
    <t>年度合計</t>
    <rPh sb="0" eb="4">
      <t>ネンドゴウケイ</t>
    </rPh>
    <phoneticPr fontId="1"/>
  </si>
  <si>
    <t>部門別</t>
    <rPh sb="0" eb="3">
      <t>ブモンベツ</t>
    </rPh>
    <phoneticPr fontId="1"/>
  </si>
  <si>
    <t>民生電力以外</t>
    <rPh sb="0" eb="6">
      <t>ミンセイデンリョクイガイ</t>
    </rPh>
    <phoneticPr fontId="1"/>
  </si>
  <si>
    <t>その他企業等（ペレット製造事業者（○○○株式会社）、林業組合）</t>
    <rPh sb="2" eb="3">
      <t>タ</t>
    </rPh>
    <rPh sb="3" eb="5">
      <t>キギョウ</t>
    </rPh>
    <rPh sb="5" eb="6">
      <t>トウ</t>
    </rPh>
    <rPh sb="11" eb="13">
      <t>セイゾウ</t>
    </rPh>
    <rPh sb="13" eb="15">
      <t>ジギョウ</t>
    </rPh>
    <rPh sb="15" eb="16">
      <t>シャ</t>
    </rPh>
    <rPh sb="20" eb="24">
      <t>カブシキガイシャ</t>
    </rPh>
    <rPh sb="26" eb="28">
      <t>リンギョウ</t>
    </rPh>
    <rPh sb="28" eb="30">
      <t>クミアイ</t>
    </rPh>
    <phoneticPr fontId="1"/>
  </si>
  <si>
    <t>送配電事業者（○○○株式会社）</t>
    <rPh sb="0" eb="1">
      <t>ソウ</t>
    </rPh>
    <rPh sb="1" eb="3">
      <t>ハイデン</t>
    </rPh>
    <rPh sb="3" eb="5">
      <t>ジギョウ</t>
    </rPh>
    <rPh sb="5" eb="6">
      <t>シャ</t>
    </rPh>
    <rPh sb="10" eb="14">
      <t>カブシキガイシャ</t>
    </rPh>
    <phoneticPr fontId="1"/>
  </si>
  <si>
    <t>金融機関（○○○銀行）</t>
    <rPh sb="0" eb="2">
      <t>キンユウ</t>
    </rPh>
    <rPh sb="2" eb="4">
      <t>キカン</t>
    </rPh>
    <rPh sb="8" eb="10">
      <t>ギンコウ</t>
    </rPh>
    <phoneticPr fontId="1"/>
  </si>
  <si>
    <t>地域新電力（○○○株式会社）</t>
    <rPh sb="0" eb="2">
      <t>チイキ</t>
    </rPh>
    <rPh sb="2" eb="3">
      <t>シン</t>
    </rPh>
    <rPh sb="3" eb="5">
      <t>デンリョク</t>
    </rPh>
    <rPh sb="9" eb="13">
      <t>カブシキガイシャ</t>
    </rPh>
    <phoneticPr fontId="1"/>
  </si>
  <si>
    <t>再エネ発電事業者（○○○株式会社）</t>
    <rPh sb="0" eb="1">
      <t>サイ</t>
    </rPh>
    <rPh sb="3" eb="5">
      <t>ハツデン</t>
    </rPh>
    <rPh sb="5" eb="8">
      <t>ジギョウシャ</t>
    </rPh>
    <phoneticPr fontId="1"/>
  </si>
  <si>
    <t>ＰＰＡ事業者</t>
    <rPh sb="3" eb="6">
      <t>ジギョウシャ</t>
    </rPh>
    <phoneticPr fontId="1"/>
  </si>
  <si>
    <t>〇〇(合意形成対象者名に書き換え)</t>
    <rPh sb="3" eb="10">
      <t>ゴウイケイセイタイショウシャ</t>
    </rPh>
    <rPh sb="10" eb="11">
      <t>メイ</t>
    </rPh>
    <rPh sb="12" eb="13">
      <t>カ</t>
    </rPh>
    <rPh sb="14" eb="15">
      <t>カ</t>
    </rPh>
    <phoneticPr fontId="1"/>
  </si>
  <si>
    <t>(選択してください)</t>
    <rPh sb="1" eb="3">
      <t>センタク</t>
    </rPh>
    <phoneticPr fontId="1"/>
  </si>
  <si>
    <t>対象施設数</t>
    <rPh sb="0" eb="2">
      <t>タイショウ</t>
    </rPh>
    <rPh sb="2" eb="4">
      <t>シセツ</t>
    </rPh>
    <rPh sb="4" eb="5">
      <t>スウ</t>
    </rPh>
    <phoneticPr fontId="1"/>
  </si>
  <si>
    <t>↑Wordへの貼付時はここまでをコピーしてください</t>
    <phoneticPr fontId="1"/>
  </si>
  <si>
    <t>【その他発電設備（廃棄物発電は本表下の表に記載ください）】</t>
    <rPh sb="3" eb="4">
      <t>タ</t>
    </rPh>
    <rPh sb="4" eb="8">
      <t>ハツデンセツビ</t>
    </rPh>
    <rPh sb="9" eb="12">
      <t>ハイキブツ</t>
    </rPh>
    <rPh sb="12" eb="14">
      <t>ハツデン</t>
    </rPh>
    <rPh sb="15" eb="17">
      <t>ホンピョウ</t>
    </rPh>
    <rPh sb="17" eb="18">
      <t>シタ</t>
    </rPh>
    <rPh sb="19" eb="20">
      <t>ヒョウ</t>
    </rPh>
    <rPh sb="21" eb="23">
      <t>キサイ</t>
    </rPh>
    <phoneticPr fontId="1"/>
  </si>
  <si>
    <t>地方公共団体
導入可能量①
（kW）</t>
    <rPh sb="0" eb="6">
      <t>チホウコウキョウダンタイ</t>
    </rPh>
    <rPh sb="7" eb="12">
      <t>ドウニュウカノウリョウ</t>
    </rPh>
    <phoneticPr fontId="1"/>
  </si>
  <si>
    <t>考慮すべき事項②
（経済合理性・支障の有無等）</t>
    <rPh sb="0" eb="2">
      <t>コウリョ</t>
    </rPh>
    <rPh sb="5" eb="7">
      <t>ジコウ</t>
    </rPh>
    <rPh sb="10" eb="12">
      <t>ケイザイ</t>
    </rPh>
    <rPh sb="12" eb="14">
      <t>ゴウリ</t>
    </rPh>
    <rPh sb="14" eb="15">
      <t>セイ</t>
    </rPh>
    <rPh sb="16" eb="18">
      <t>シショウ</t>
    </rPh>
    <rPh sb="19" eb="21">
      <t>ウム</t>
    </rPh>
    <rPh sb="21" eb="22">
      <t>ナド</t>
    </rPh>
    <phoneticPr fontId="1"/>
  </si>
  <si>
    <t>除外後の導入可能量
（①－②）
(kW)</t>
    <rPh sb="0" eb="3">
      <t>ジョガイゴ</t>
    </rPh>
    <rPh sb="4" eb="9">
      <t>ドウニュウカノウリョウ</t>
    </rPh>
    <phoneticPr fontId="1"/>
  </si>
  <si>
    <t>地熱発電</t>
    <rPh sb="0" eb="4">
      <t>チネツハツデン</t>
    </rPh>
    <phoneticPr fontId="1"/>
  </si>
  <si>
    <t>活用可能な既存の再エネ発電量（kWh/年）</t>
    <rPh sb="5" eb="7">
      <t>キゾン</t>
    </rPh>
    <rPh sb="8" eb="9">
      <t>サイ</t>
    </rPh>
    <rPh sb="11" eb="13">
      <t>ハツデン</t>
    </rPh>
    <rPh sb="13" eb="14">
      <t>リョウ</t>
    </rPh>
    <rPh sb="19" eb="20">
      <t>ネン</t>
    </rPh>
    <phoneticPr fontId="1"/>
  </si>
  <si>
    <t>上記のうち先行地域へ供給する電力量（kWh/年）</t>
    <rPh sb="0" eb="2">
      <t>ジョウキ</t>
    </rPh>
    <rPh sb="5" eb="9">
      <t>センコウチイキ</t>
    </rPh>
    <rPh sb="10" eb="12">
      <t>キョウキュウ</t>
    </rPh>
    <rPh sb="14" eb="17">
      <t>デンリョクリョウ</t>
    </rPh>
    <phoneticPr fontId="1"/>
  </si>
  <si>
    <t>発電量のうち先行地域へ供給する電力量(kWh/年)</t>
    <rPh sb="0" eb="3">
      <t>ハツデンリョウ</t>
    </rPh>
    <rPh sb="6" eb="10">
      <t>センコウチイキ</t>
    </rPh>
    <rPh sb="11" eb="13">
      <t>キョウキュウ</t>
    </rPh>
    <rPh sb="15" eb="17">
      <t>デンリョク</t>
    </rPh>
    <rPh sb="17" eb="18">
      <t>リョウ</t>
    </rPh>
    <phoneticPr fontId="1"/>
  </si>
  <si>
    <t>バイオマス発電量のうち先行地域へ供給する電力量(kWh/年)</t>
    <rPh sb="5" eb="8">
      <t>ハツデンリョウ</t>
    </rPh>
    <rPh sb="11" eb="15">
      <t>センコウチイキ</t>
    </rPh>
    <rPh sb="16" eb="18">
      <t>キョウキュウ</t>
    </rPh>
    <rPh sb="20" eb="22">
      <t>デンリョク</t>
    </rPh>
    <rPh sb="22" eb="23">
      <t>リョウ</t>
    </rPh>
    <phoneticPr fontId="1"/>
  </si>
  <si>
    <t>【合計値】</t>
    <rPh sb="1" eb="3">
      <t>ゴウケイ</t>
    </rPh>
    <rPh sb="3" eb="4">
      <t>アタイ</t>
    </rPh>
    <phoneticPr fontId="1"/>
  </si>
  <si>
    <t>先行地域のある地方公共団体内</t>
    <rPh sb="0" eb="2">
      <t>センコウ</t>
    </rPh>
    <rPh sb="2" eb="4">
      <t>チイキ</t>
    </rPh>
    <rPh sb="7" eb="9">
      <t>チホウ</t>
    </rPh>
    <rPh sb="9" eb="11">
      <t>コウキョウ</t>
    </rPh>
    <rPh sb="11" eb="13">
      <t>ダンタイ</t>
    </rPh>
    <rPh sb="13" eb="14">
      <t>ナイ</t>
    </rPh>
    <phoneticPr fontId="1"/>
  </si>
  <si>
    <t>当該地方公共団体の域外</t>
    <rPh sb="0" eb="2">
      <t>トウガイ</t>
    </rPh>
    <phoneticPr fontId="1"/>
  </si>
  <si>
    <t>【参考情報】</t>
    <rPh sb="1" eb="3">
      <t>サンコウ</t>
    </rPh>
    <rPh sb="3" eb="5">
      <t>ジョウホウ</t>
    </rPh>
    <phoneticPr fontId="1"/>
  </si>
  <si>
    <t>自家消費、相対契約、再エネ電力メニュー、証書の電力供給量の合計</t>
    <rPh sb="0" eb="4">
      <t>ジカショウヒ</t>
    </rPh>
    <rPh sb="5" eb="7">
      <t>アイタイ</t>
    </rPh>
    <rPh sb="7" eb="9">
      <t>ケイヤク</t>
    </rPh>
    <rPh sb="10" eb="11">
      <t>サイ</t>
    </rPh>
    <rPh sb="13" eb="15">
      <t>デンリョク</t>
    </rPh>
    <rPh sb="20" eb="22">
      <t>ショウショ</t>
    </rPh>
    <rPh sb="23" eb="25">
      <t>デンリョク</t>
    </rPh>
    <rPh sb="25" eb="28">
      <t>キョウキュウリョウ</t>
    </rPh>
    <rPh sb="29" eb="31">
      <t>ゴウケイ</t>
    </rPh>
    <phoneticPr fontId="1"/>
  </si>
  <si>
    <t>【省エネによる電力削減に関する状況】</t>
    <rPh sb="1" eb="2">
      <t>ショウ</t>
    </rPh>
    <rPh sb="7" eb="9">
      <t>デンリョク</t>
    </rPh>
    <rPh sb="9" eb="11">
      <t>サクゲン</t>
    </rPh>
    <rPh sb="12" eb="13">
      <t>カン</t>
    </rPh>
    <rPh sb="15" eb="17">
      <t>ジョウキョウ</t>
    </rPh>
    <phoneticPr fontId="1"/>
  </si>
  <si>
    <t>【再エネ等の電力調達に関する状況】</t>
    <rPh sb="1" eb="2">
      <t>サイ</t>
    </rPh>
    <rPh sb="4" eb="5">
      <t>ナド</t>
    </rPh>
    <rPh sb="6" eb="8">
      <t>デンリョク</t>
    </rPh>
    <rPh sb="8" eb="10">
      <t>チョウタツ</t>
    </rPh>
    <rPh sb="11" eb="12">
      <t>カン</t>
    </rPh>
    <rPh sb="14" eb="16">
      <t>ジョウキョウ</t>
    </rPh>
    <phoneticPr fontId="1"/>
  </si>
  <si>
    <t>【民生部門の電力需要家の状況】</t>
    <phoneticPr fontId="1"/>
  </si>
  <si>
    <t>再エネ等の電力供給量のうち当該地方公共団体の域外から調達する量（kWh/年）</t>
    <rPh sb="0" eb="1">
      <t>サイ</t>
    </rPh>
    <rPh sb="3" eb="4">
      <t>ナド</t>
    </rPh>
    <rPh sb="5" eb="7">
      <t>デンリョク</t>
    </rPh>
    <rPh sb="7" eb="10">
      <t>キョウキュウリョウ</t>
    </rPh>
    <rPh sb="13" eb="15">
      <t>トウガイ</t>
    </rPh>
    <rPh sb="15" eb="21">
      <t>チホウコウキョウダンタイ</t>
    </rPh>
    <rPh sb="22" eb="24">
      <t>イキガイ</t>
    </rPh>
    <rPh sb="26" eb="28">
      <t>チョウタツ</t>
    </rPh>
    <rPh sb="30" eb="31">
      <t>リョウ</t>
    </rPh>
    <phoneticPr fontId="1"/>
  </si>
  <si>
    <t>割合（％）
（電力供給量に対する割合）</t>
    <rPh sb="0" eb="2">
      <t>ワリアイ</t>
    </rPh>
    <rPh sb="7" eb="9">
      <t>デンリョク</t>
    </rPh>
    <rPh sb="9" eb="11">
      <t>キョウキュウ</t>
    </rPh>
    <rPh sb="11" eb="12">
      <t>リョウ</t>
    </rPh>
    <rPh sb="13" eb="14">
      <t>タイ</t>
    </rPh>
    <rPh sb="16" eb="18">
      <t>ワリアイ</t>
    </rPh>
    <phoneticPr fontId="1"/>
  </si>
  <si>
    <t>先行地域のある地方公共団体内で調達する再エネ等電力証書
（kWh/年）</t>
    <rPh sb="19" eb="20">
      <t>サイ</t>
    </rPh>
    <rPh sb="22" eb="23">
      <t>ナド</t>
    </rPh>
    <rPh sb="23" eb="25">
      <t>デンリョク</t>
    </rPh>
    <rPh sb="24" eb="25">
      <t>ハツデン</t>
    </rPh>
    <rPh sb="25" eb="27">
      <t>ショウショ</t>
    </rPh>
    <phoneticPr fontId="1"/>
  </si>
  <si>
    <t>上記のうち証書以外の当該地方公共団体の域外から調達する再エネ電力量（kWh/年）</t>
    <rPh sb="0" eb="2">
      <t>ジョウキ</t>
    </rPh>
    <rPh sb="5" eb="7">
      <t>ショウショ</t>
    </rPh>
    <rPh sb="7" eb="9">
      <t>イガイ</t>
    </rPh>
    <rPh sb="27" eb="28">
      <t>サイ</t>
    </rPh>
    <rPh sb="30" eb="32">
      <t>デンリョク</t>
    </rPh>
    <phoneticPr fontId="1"/>
  </si>
  <si>
    <t>直近電力需要量の合計</t>
    <rPh sb="8" eb="10">
      <t>ゴウケイ</t>
    </rPh>
    <phoneticPr fontId="1"/>
  </si>
  <si>
    <t>省エネによる電力削減量の合計</t>
    <rPh sb="0" eb="1">
      <t>ショウ</t>
    </rPh>
    <rPh sb="6" eb="8">
      <t>デンリョク</t>
    </rPh>
    <rPh sb="8" eb="10">
      <t>サクゲン</t>
    </rPh>
    <rPh sb="10" eb="11">
      <t>リョウ</t>
    </rPh>
    <rPh sb="12" eb="14">
      <t>ゴウケイ</t>
    </rPh>
    <phoneticPr fontId="1"/>
  </si>
  <si>
    <t>（上記の合計）先行地域に供給される新規再エネ導入量及び既存の再エネ発電量合計（kWh/年）</t>
    <rPh sb="1" eb="3">
      <t>ジョウキ</t>
    </rPh>
    <rPh sb="4" eb="6">
      <t>ゴウケイ</t>
    </rPh>
    <rPh sb="7" eb="9">
      <t>センコウ</t>
    </rPh>
    <rPh sb="9" eb="11">
      <t>チイキ</t>
    </rPh>
    <rPh sb="12" eb="14">
      <t>キョウキュウ</t>
    </rPh>
    <rPh sb="17" eb="19">
      <t>シンキ</t>
    </rPh>
    <rPh sb="19" eb="20">
      <t>サイ</t>
    </rPh>
    <rPh sb="22" eb="24">
      <t>ドウニュウ</t>
    </rPh>
    <rPh sb="24" eb="25">
      <t>リョウ</t>
    </rPh>
    <rPh sb="25" eb="26">
      <t>オヨ</t>
    </rPh>
    <rPh sb="36" eb="38">
      <t>ゴウケイ</t>
    </rPh>
    <phoneticPr fontId="1"/>
  </si>
  <si>
    <t>先行地域の上記に占める
割合(%)</t>
    <phoneticPr fontId="1"/>
  </si>
  <si>
    <t>提案地方公共団体全体の民生電力需要量（kWh/年）</t>
    <rPh sb="0" eb="2">
      <t>テイアン</t>
    </rPh>
    <rPh sb="2" eb="4">
      <t>チホウ</t>
    </rPh>
    <rPh sb="4" eb="6">
      <t>コウキョウ</t>
    </rPh>
    <rPh sb="6" eb="8">
      <t>ダンタイ</t>
    </rPh>
    <rPh sb="8" eb="10">
      <t>ゼンタイ</t>
    </rPh>
    <rPh sb="11" eb="13">
      <t>ミンセイ</t>
    </rPh>
    <rPh sb="13" eb="15">
      <t>デンリョク</t>
    </rPh>
    <rPh sb="15" eb="17">
      <t>ジュヨウ</t>
    </rPh>
    <rPh sb="17" eb="18">
      <t>リョウ</t>
    </rPh>
    <phoneticPr fontId="1"/>
  </si>
  <si>
    <t>現在の
合意形成
進捗度</t>
    <rPh sb="0" eb="2">
      <t>ゲンザイ</t>
    </rPh>
    <rPh sb="9" eb="12">
      <t>シンチョクド</t>
    </rPh>
    <phoneticPr fontId="1"/>
  </si>
  <si>
    <t>⑥その他</t>
    <rPh sb="3" eb="4">
      <t>タ</t>
    </rPh>
    <phoneticPr fontId="1"/>
  </si>
  <si>
    <t>現在の
合意形成
進捗度</t>
    <rPh sb="0" eb="2">
      <t>ゲンザイ</t>
    </rPh>
    <rPh sb="4" eb="6">
      <t>ゴウイ</t>
    </rPh>
    <rPh sb="6" eb="8">
      <t>ケイセイ</t>
    </rPh>
    <rPh sb="9" eb="11">
      <t>シンチョク</t>
    </rPh>
    <rPh sb="11" eb="12">
      <t>ド</t>
    </rPh>
    <phoneticPr fontId="1"/>
  </si>
  <si>
    <t>太陽光発電</t>
    <rPh sb="0" eb="3">
      <t>タイヨウコウ</t>
    </rPh>
    <rPh sb="3" eb="5">
      <t>ハツデン</t>
    </rPh>
    <phoneticPr fontId="1"/>
  </si>
  <si>
    <t>地熱発電</t>
    <rPh sb="0" eb="2">
      <t>チネツ</t>
    </rPh>
    <rPh sb="2" eb="4">
      <t>ハツデン</t>
    </rPh>
    <phoneticPr fontId="1"/>
  </si>
  <si>
    <t>バイオマス発電</t>
    <rPh sb="5" eb="7">
      <t>ハツデン</t>
    </rPh>
    <phoneticPr fontId="1"/>
  </si>
  <si>
    <t>廃棄物発電（バイオマス発電量）</t>
    <rPh sb="0" eb="3">
      <t>ハイキブツ</t>
    </rPh>
    <rPh sb="3" eb="5">
      <t>ハツデン</t>
    </rPh>
    <rPh sb="11" eb="14">
      <t>ハツデンリョウ</t>
    </rPh>
    <phoneticPr fontId="1"/>
  </si>
  <si>
    <t>【電源別新規再エネ導入量合計（kWh/年）】</t>
    <rPh sb="1" eb="3">
      <t>デンゲン</t>
    </rPh>
    <rPh sb="3" eb="4">
      <t>ベツ</t>
    </rPh>
    <rPh sb="4" eb="6">
      <t>シンキ</t>
    </rPh>
    <rPh sb="6" eb="7">
      <t>サイ</t>
    </rPh>
    <rPh sb="9" eb="12">
      <t>ドウニュウリョウ</t>
    </rPh>
    <rPh sb="12" eb="14">
      <t>ゴウケイ</t>
    </rPh>
    <rPh sb="19" eb="20">
      <t>ネン</t>
    </rPh>
    <phoneticPr fontId="1"/>
  </si>
  <si>
    <t>住宅（戸）</t>
    <rPh sb="0" eb="2">
      <t>ジュウタク</t>
    </rPh>
    <rPh sb="3" eb="4">
      <t>コ</t>
    </rPh>
    <phoneticPr fontId="1"/>
  </si>
  <si>
    <t>公共施設（箇所）</t>
    <rPh sb="0" eb="4">
      <t>コウキョウシセツ</t>
    </rPh>
    <rPh sb="5" eb="7">
      <t>カショ</t>
    </rPh>
    <phoneticPr fontId="1"/>
  </si>
  <si>
    <t>民間施設（箇所）</t>
    <rPh sb="0" eb="4">
      <t>ミンカンシセツ</t>
    </rPh>
    <rPh sb="5" eb="7">
      <t>カショ</t>
    </rPh>
    <phoneticPr fontId="1"/>
  </si>
  <si>
    <t>その他（箇所）</t>
    <rPh sb="2" eb="3">
      <t>タ</t>
    </rPh>
    <rPh sb="4" eb="6">
      <t>カショ</t>
    </rPh>
    <phoneticPr fontId="1"/>
  </si>
  <si>
    <t>エリア面積(㎢)</t>
    <rPh sb="3" eb="5">
      <t>メンセキ</t>
    </rPh>
    <phoneticPr fontId="1"/>
  </si>
  <si>
    <t>民生部門の電力需要量
(kWh/年)</t>
    <rPh sb="0" eb="4">
      <t>ミンセイブモン</t>
    </rPh>
    <rPh sb="5" eb="10">
      <t>デンリョクジュヨウリョウ</t>
    </rPh>
    <rPh sb="16" eb="17">
      <t>ネン</t>
    </rPh>
    <phoneticPr fontId="1"/>
  </si>
  <si>
    <t>再エネなどの電力供給量
(kWh/年)</t>
    <rPh sb="0" eb="1">
      <t>サイ</t>
    </rPh>
    <rPh sb="6" eb="11">
      <t>デンリョクキョウキュウリョウ</t>
    </rPh>
    <phoneticPr fontId="1"/>
  </si>
  <si>
    <t>省エネによる電力削減量
(kWh/年)</t>
    <rPh sb="0" eb="1">
      <t>ショウ</t>
    </rPh>
    <rPh sb="6" eb="11">
      <t>デンリョクサクゲンリョウ</t>
    </rPh>
    <phoneticPr fontId="1"/>
  </si>
  <si>
    <t>現在の合意形成進捗度</t>
    <phoneticPr fontId="1"/>
  </si>
  <si>
    <t>設備導入の実現可能性</t>
    <rPh sb="0" eb="2">
      <t>セツビ</t>
    </rPh>
    <rPh sb="2" eb="4">
      <t>ドウニュウ</t>
    </rPh>
    <rPh sb="5" eb="7">
      <t>ジツゲン</t>
    </rPh>
    <rPh sb="7" eb="10">
      <t>カノウセイ</t>
    </rPh>
    <phoneticPr fontId="1"/>
  </si>
  <si>
    <t>契約電力区分</t>
    <rPh sb="0" eb="2">
      <t>ケイヤク</t>
    </rPh>
    <rPh sb="2" eb="4">
      <t>デンリョク</t>
    </rPh>
    <rPh sb="4" eb="6">
      <t>クブン</t>
    </rPh>
    <phoneticPr fontId="1"/>
  </si>
  <si>
    <t>バイオマス
比率（％）</t>
    <rPh sb="6" eb="8">
      <t>ヒリツ</t>
    </rPh>
    <phoneticPr fontId="1"/>
  </si>
  <si>
    <t>設備全体の発電量
(kWh/年)</t>
    <rPh sb="0" eb="2">
      <t>セツビ</t>
    </rPh>
    <rPh sb="2" eb="4">
      <t>ゼンタイ</t>
    </rPh>
    <rPh sb="5" eb="7">
      <t>ハツデン</t>
    </rPh>
    <rPh sb="7" eb="8">
      <t>リョウ</t>
    </rPh>
    <rPh sb="14" eb="15">
      <t>ネン</t>
    </rPh>
    <phoneticPr fontId="1"/>
  </si>
  <si>
    <t>基幹設備</t>
    <rPh sb="0" eb="2">
      <t>キカン</t>
    </rPh>
    <rPh sb="2" eb="4">
      <t>セツビ</t>
    </rPh>
    <phoneticPr fontId="1"/>
  </si>
  <si>
    <t>施設番号</t>
    <rPh sb="0" eb="2">
      <t>シセツ</t>
    </rPh>
    <rPh sb="2" eb="4">
      <t>バンゴウ</t>
    </rPh>
    <phoneticPr fontId="1"/>
  </si>
  <si>
    <t>REPOSや衛星写真確認</t>
    <rPh sb="6" eb="8">
      <t>エイセイ</t>
    </rPh>
    <rPh sb="8" eb="10">
      <t>シャシン</t>
    </rPh>
    <rPh sb="10" eb="12">
      <t>カクニン</t>
    </rPh>
    <phoneticPr fontId="1"/>
  </si>
  <si>
    <t>合意形成対象者</t>
    <rPh sb="0" eb="2">
      <t>ゴウイ</t>
    </rPh>
    <rPh sb="2" eb="4">
      <t>ケイセイ</t>
    </rPh>
    <rPh sb="4" eb="7">
      <t>タイショウシャ</t>
    </rPh>
    <phoneticPr fontId="1"/>
  </si>
  <si>
    <t>合意形成に向けた主な説明項目</t>
    <rPh sb="0" eb="2">
      <t>ゴウイ</t>
    </rPh>
    <rPh sb="2" eb="4">
      <t>ケイセイ</t>
    </rPh>
    <rPh sb="5" eb="6">
      <t>ム</t>
    </rPh>
    <rPh sb="8" eb="9">
      <t>オモ</t>
    </rPh>
    <rPh sb="10" eb="12">
      <t>セツメイ</t>
    </rPh>
    <rPh sb="12" eb="14">
      <t>コウモク</t>
    </rPh>
    <phoneticPr fontId="1"/>
  </si>
  <si>
    <t>施設番号</t>
    <rPh sb="0" eb="4">
      <t>シセツバンゴウ</t>
    </rPh>
    <phoneticPr fontId="1"/>
  </si>
  <si>
    <t>契約電力区分</t>
    <rPh sb="0" eb="6">
      <t>ケイヤクデンリョククブン</t>
    </rPh>
    <phoneticPr fontId="1"/>
  </si>
  <si>
    <t>FS調査実施項目</t>
    <rPh sb="4" eb="6">
      <t>ジッシ</t>
    </rPh>
    <rPh sb="6" eb="8">
      <t>コウモク</t>
    </rPh>
    <phoneticPr fontId="1"/>
  </si>
  <si>
    <t>【地熱発電】</t>
    <rPh sb="1" eb="3">
      <t>チネツ</t>
    </rPh>
    <rPh sb="3" eb="5">
      <t>ハツデン</t>
    </rPh>
    <phoneticPr fontId="1"/>
  </si>
  <si>
    <t>【バイオマス発電】</t>
    <rPh sb="6" eb="8">
      <t>ハツデン</t>
    </rPh>
    <phoneticPr fontId="1"/>
  </si>
  <si>
    <t>風力発電</t>
    <rPh sb="0" eb="4">
      <t>フウリョクハツデン</t>
    </rPh>
    <phoneticPr fontId="1"/>
  </si>
  <si>
    <t>契約電力
区分</t>
    <rPh sb="0" eb="2">
      <t>ケイヤク</t>
    </rPh>
    <rPh sb="2" eb="4">
      <t>デンリョク</t>
    </rPh>
    <rPh sb="5" eb="7">
      <t>クブン</t>
    </rPh>
    <phoneticPr fontId="1"/>
  </si>
  <si>
    <t>【風力発電】</t>
    <rPh sb="1" eb="2">
      <t>カゼ</t>
    </rPh>
    <rPh sb="3" eb="5">
      <t>ハツデン</t>
    </rPh>
    <phoneticPr fontId="1"/>
  </si>
  <si>
    <t>別表</t>
    <rPh sb="0" eb="2">
      <t>ベッピョウ</t>
    </rPh>
    <phoneticPr fontId="1"/>
  </si>
  <si>
    <t/>
  </si>
  <si>
    <t>周辺環境への
影響と対策</t>
    <rPh sb="0" eb="2">
      <t>シュウヘン</t>
    </rPh>
    <rPh sb="2" eb="4">
      <t>カンキョウ</t>
    </rPh>
    <rPh sb="7" eb="9">
      <t>エイキョウ</t>
    </rPh>
    <rPh sb="10" eb="12">
      <t>タイサク</t>
    </rPh>
    <phoneticPr fontId="1"/>
  </si>
  <si>
    <t>先行地域の
コンセプト</t>
    <rPh sb="0" eb="2">
      <t>センコウ</t>
    </rPh>
    <rPh sb="2" eb="4">
      <t>チイキ</t>
    </rPh>
    <phoneticPr fontId="1"/>
  </si>
  <si>
    <t>業務その他（その他）</t>
    <phoneticPr fontId="1"/>
  </si>
  <si>
    <t>【風力発電】</t>
    <rPh sb="1" eb="3">
      <t>フウリョク</t>
    </rPh>
    <rPh sb="3" eb="5">
      <t>ハツデン</t>
    </rPh>
    <phoneticPr fontId="1"/>
  </si>
  <si>
    <t>バイオマス
発電量
(kWh/年)</t>
    <rPh sb="6" eb="8">
      <t>ハツデン</t>
    </rPh>
    <rPh sb="8" eb="9">
      <t>リョウ</t>
    </rPh>
    <rPh sb="15" eb="16">
      <t>ネン</t>
    </rPh>
    <phoneticPr fontId="1"/>
  </si>
  <si>
    <t>対策案・代替案の検討状況</t>
    <rPh sb="0" eb="2">
      <t>タイサク</t>
    </rPh>
    <rPh sb="2" eb="3">
      <t>アン</t>
    </rPh>
    <rPh sb="4" eb="7">
      <t>ダイタイアン</t>
    </rPh>
    <rPh sb="8" eb="10">
      <t>ケントウ</t>
    </rPh>
    <rPh sb="10" eb="12">
      <t>ジョウキョウ</t>
    </rPh>
    <phoneticPr fontId="1"/>
  </si>
  <si>
    <t>懸念事項</t>
    <rPh sb="0" eb="4">
      <t>ケネンジコウ</t>
    </rPh>
    <phoneticPr fontId="1"/>
  </si>
  <si>
    <t>合意形成の今後の予定</t>
    <rPh sb="0" eb="4">
      <t>ゴウイケイセイ</t>
    </rPh>
    <rPh sb="5" eb="7">
      <t>コンゴ</t>
    </rPh>
    <rPh sb="8" eb="10">
      <t>ヨテイ</t>
    </rPh>
    <phoneticPr fontId="1"/>
  </si>
  <si>
    <t>3-2</t>
    <phoneticPr fontId="1"/>
  </si>
  <si>
    <t>合意形成の進捗状況の補足</t>
    <rPh sb="0" eb="2">
      <t>ゴウイ</t>
    </rPh>
    <rPh sb="2" eb="4">
      <t>ケイセイ</t>
    </rPh>
    <rPh sb="5" eb="7">
      <t>シンチョク</t>
    </rPh>
    <rPh sb="7" eb="9">
      <t>ジョウキョウ</t>
    </rPh>
    <rPh sb="10" eb="12">
      <t>ホソク</t>
    </rPh>
    <phoneticPr fontId="1"/>
  </si>
  <si>
    <t>3-1</t>
    <phoneticPr fontId="1"/>
  </si>
  <si>
    <t>系統協議における懸念事項と今後の予定</t>
    <phoneticPr fontId="1"/>
  </si>
  <si>
    <t>FS調査の今後の予定</t>
    <rPh sb="2" eb="4">
      <t>チョウサ</t>
    </rPh>
    <rPh sb="5" eb="7">
      <t>コンゴ</t>
    </rPh>
    <rPh sb="8" eb="10">
      <t>ヨテイ</t>
    </rPh>
    <phoneticPr fontId="1"/>
  </si>
  <si>
    <t>1-2</t>
    <phoneticPr fontId="1"/>
  </si>
  <si>
    <t>FS調査の資料／実地調査の具体的な内容と結果</t>
    <rPh sb="2" eb="4">
      <t>チョウサ</t>
    </rPh>
    <rPh sb="5" eb="7">
      <t>シリョウ</t>
    </rPh>
    <rPh sb="8" eb="10">
      <t>ジッチ</t>
    </rPh>
    <rPh sb="10" eb="12">
      <t>チョウサ</t>
    </rPh>
    <rPh sb="13" eb="15">
      <t>グタイ</t>
    </rPh>
    <rPh sb="15" eb="16">
      <t>テキ</t>
    </rPh>
    <rPh sb="17" eb="19">
      <t>ナイヨウ</t>
    </rPh>
    <rPh sb="20" eb="22">
      <t>ケッカ</t>
    </rPh>
    <phoneticPr fontId="1"/>
  </si>
  <si>
    <t>1-1</t>
    <phoneticPr fontId="1"/>
  </si>
  <si>
    <t>1</t>
    <phoneticPr fontId="1"/>
  </si>
  <si>
    <t>補足事項</t>
    <rPh sb="0" eb="2">
      <t>ホソク</t>
    </rPh>
    <rPh sb="2" eb="4">
      <t>ジコウ</t>
    </rPh>
    <phoneticPr fontId="1"/>
  </si>
  <si>
    <t>項</t>
    <rPh sb="0" eb="1">
      <t>コウ</t>
    </rPh>
    <phoneticPr fontId="1"/>
  </si>
  <si>
    <t>[補足情報」</t>
    <rPh sb="1" eb="3">
      <t>ホソク</t>
    </rPh>
    <rPh sb="3" eb="5">
      <t>ジョウホウ</t>
    </rPh>
    <phoneticPr fontId="1"/>
  </si>
  <si>
    <t>FS調査実施状況</t>
    <rPh sb="2" eb="4">
      <t>チョウサ</t>
    </rPh>
    <rPh sb="4" eb="6">
      <t>ジッシ</t>
    </rPh>
    <rPh sb="6" eb="8">
      <t>ジョウキョウ</t>
    </rPh>
    <phoneticPr fontId="1"/>
  </si>
  <si>
    <t>設備導入の
実現可能性</t>
    <rPh sb="0" eb="2">
      <t>セツビ</t>
    </rPh>
    <rPh sb="2" eb="4">
      <t>ドウニュウ</t>
    </rPh>
    <rPh sb="6" eb="8">
      <t>ジツゲン</t>
    </rPh>
    <rPh sb="8" eb="10">
      <t>カノウ</t>
    </rPh>
    <rPh sb="10" eb="11">
      <t>セイ</t>
    </rPh>
    <phoneticPr fontId="1"/>
  </si>
  <si>
    <t>[基礎情報」</t>
    <rPh sb="1" eb="3">
      <t>キソ</t>
    </rPh>
    <rPh sb="3" eb="5">
      <t>ジョウホウ</t>
    </rPh>
    <phoneticPr fontId="1"/>
  </si>
  <si>
    <t>別表
(累計)</t>
    <rPh sb="0" eb="2">
      <t>ベッピョウ</t>
    </rPh>
    <phoneticPr fontId="1"/>
  </si>
  <si>
    <t>合意形成</t>
    <rPh sb="0" eb="4">
      <t>ゴウイケイセイ</t>
    </rPh>
    <phoneticPr fontId="1"/>
  </si>
  <si>
    <t>直近電力需要量(kWh/年)</t>
    <phoneticPr fontId="1"/>
  </si>
  <si>
    <t>住宅</t>
    <rPh sb="0" eb="2">
      <t>ジュウタク</t>
    </rPh>
    <phoneticPr fontId="1"/>
  </si>
  <si>
    <t>民生・業務その他</t>
    <rPh sb="0" eb="2">
      <t>ミンセイ</t>
    </rPh>
    <rPh sb="3" eb="5">
      <t>ギョウム</t>
    </rPh>
    <rPh sb="7" eb="8">
      <t>タ</t>
    </rPh>
    <phoneticPr fontId="1"/>
  </si>
  <si>
    <t>公共</t>
    <rPh sb="0" eb="2">
      <t>コウキョウ</t>
    </rPh>
    <phoneticPr fontId="1"/>
  </si>
  <si>
    <t>その他発電</t>
    <rPh sb="2" eb="3">
      <t>タ</t>
    </rPh>
    <rPh sb="3" eb="5">
      <t>ハツデン</t>
    </rPh>
    <phoneticPr fontId="1"/>
  </si>
  <si>
    <t>REPOSや衛星写真確認</t>
    <phoneticPr fontId="1"/>
  </si>
  <si>
    <t>記述</t>
    <phoneticPr fontId="1"/>
  </si>
  <si>
    <t>主として取組を実施する
範囲内外</t>
    <rPh sb="0" eb="1">
      <t>シュ</t>
    </rPh>
    <rPh sb="4" eb="6">
      <t>トリクミ</t>
    </rPh>
    <rPh sb="7" eb="9">
      <t>ジッシ</t>
    </rPh>
    <rPh sb="12" eb="14">
      <t>ハンイ</t>
    </rPh>
    <rPh sb="14" eb="15">
      <t>ナイ</t>
    </rPh>
    <rPh sb="15" eb="16">
      <t>ガイ</t>
    </rPh>
    <phoneticPr fontId="1"/>
  </si>
  <si>
    <t>共同提案者(地方公共団体)</t>
    <rPh sb="0" eb="2">
      <t>キョウドウ</t>
    </rPh>
    <rPh sb="2" eb="5">
      <t>テイアンシャ</t>
    </rPh>
    <phoneticPr fontId="1"/>
  </si>
  <si>
    <t>全体</t>
    <rPh sb="0" eb="2">
      <t>ゼンタイ</t>
    </rPh>
    <phoneticPr fontId="1"/>
  </si>
  <si>
    <t>再エネ等の電力供給元
(発電主体)</t>
    <phoneticPr fontId="1"/>
  </si>
  <si>
    <t>電力供給量
(kWh/年)</t>
    <phoneticPr fontId="1"/>
  </si>
  <si>
    <r>
      <t xml:space="preserve">割合（％）
</t>
    </r>
    <r>
      <rPr>
        <b/>
        <sz val="12"/>
        <rFont val="ＭＳ ゴシック"/>
        <family val="3"/>
        <charset val="128"/>
      </rPr>
      <t>（電力需要量に対する割合）</t>
    </r>
    <rPh sb="0" eb="2">
      <t>ワリアイ</t>
    </rPh>
    <rPh sb="7" eb="9">
      <t>デンリョク</t>
    </rPh>
    <rPh sb="9" eb="12">
      <t>ジュヨウリョウ</t>
    </rPh>
    <rPh sb="13" eb="14">
      <t>タイ</t>
    </rPh>
    <rPh sb="16" eb="18">
      <t>ワリアイ</t>
    </rPh>
    <phoneticPr fontId="1"/>
  </si>
  <si>
    <t>合計(kWh/年)</t>
    <rPh sb="0" eb="2">
      <t>ゴウケイ</t>
    </rPh>
    <rPh sb="7" eb="8">
      <t>ネン</t>
    </rPh>
    <phoneticPr fontId="1"/>
  </si>
  <si>
    <t>民生部門の電力需要量(kWh/年)</t>
    <rPh sb="0" eb="2">
      <t>ミンセイ</t>
    </rPh>
    <rPh sb="2" eb="4">
      <t>ブモン</t>
    </rPh>
    <rPh sb="5" eb="7">
      <t>デンリョク</t>
    </rPh>
    <rPh sb="7" eb="9">
      <t>ジュヨウ</t>
    </rPh>
    <rPh sb="9" eb="10">
      <t>リョウ</t>
    </rPh>
    <rPh sb="15" eb="16">
      <t>ネン</t>
    </rPh>
    <phoneticPr fontId="1"/>
  </si>
  <si>
    <t>懸念事項の対応策</t>
    <phoneticPr fontId="1"/>
  </si>
  <si>
    <t>懸念事項</t>
    <phoneticPr fontId="1"/>
  </si>
  <si>
    <t>懸念事項への対策</t>
    <rPh sb="6" eb="8">
      <t>タイサク</t>
    </rPh>
    <phoneticPr fontId="1"/>
  </si>
  <si>
    <t>民生部門の
電力需要家</t>
    <rPh sb="0" eb="2">
      <t>ミンセイ</t>
    </rPh>
    <rPh sb="2" eb="4">
      <t>ブモン</t>
    </rPh>
    <rPh sb="6" eb="10">
      <t>デンリョクジュヨウ</t>
    </rPh>
    <rPh sb="10" eb="11">
      <t>イエ</t>
    </rPh>
    <phoneticPr fontId="1"/>
  </si>
  <si>
    <t>懸念事項の対応策</t>
    <rPh sb="5" eb="8">
      <t>タイオウサク</t>
    </rPh>
    <phoneticPr fontId="1"/>
  </si>
  <si>
    <t>各関係者との取組を進めるに当たっての「懸念事項」と「懸念事項への対応策」があれば、シートに記入してください。</t>
    <phoneticPr fontId="1"/>
  </si>
  <si>
    <t>検討状況</t>
    <rPh sb="0" eb="4">
      <t>ケントウジョウキョウ</t>
    </rPh>
    <phoneticPr fontId="1"/>
  </si>
  <si>
    <t>分類</t>
    <rPh sb="0" eb="2">
      <t>ブンルイ</t>
    </rPh>
    <phoneticPr fontId="1"/>
  </si>
  <si>
    <t>区分１</t>
    <rPh sb="0" eb="2">
      <t>クブン</t>
    </rPh>
    <phoneticPr fontId="1"/>
  </si>
  <si>
    <t>区分２</t>
    <rPh sb="0" eb="2">
      <t>クブン</t>
    </rPh>
    <phoneticPr fontId="1"/>
  </si>
  <si>
    <t>区分３</t>
    <rPh sb="0" eb="2">
      <t>クブン</t>
    </rPh>
    <phoneticPr fontId="1"/>
  </si>
  <si>
    <t>既存住宅</t>
    <rPh sb="0" eb="2">
      <t>キソン</t>
    </rPh>
    <rPh sb="2" eb="4">
      <t>ジュウタク</t>
    </rPh>
    <phoneticPr fontId="1"/>
  </si>
  <si>
    <t>新築住宅</t>
    <rPh sb="0" eb="4">
      <t>シンチクジュウタク</t>
    </rPh>
    <phoneticPr fontId="1"/>
  </si>
  <si>
    <t>民間事業者</t>
    <rPh sb="0" eb="5">
      <t>ミンカンジギョウシャ</t>
    </rPh>
    <phoneticPr fontId="1"/>
  </si>
  <si>
    <t>新築</t>
    <rPh sb="0" eb="2">
      <t>シンチク</t>
    </rPh>
    <phoneticPr fontId="1"/>
  </si>
  <si>
    <t>既存</t>
    <rPh sb="0" eb="2">
      <t>キソン</t>
    </rPh>
    <phoneticPr fontId="1"/>
  </si>
  <si>
    <t>建替</t>
    <rPh sb="0" eb="1">
      <t>タ</t>
    </rPh>
    <rPh sb="1" eb="2">
      <t>カ</t>
    </rPh>
    <phoneticPr fontId="1"/>
  </si>
  <si>
    <t>公共施設</t>
    <rPh sb="0" eb="4">
      <t>コウキョウシセツ</t>
    </rPh>
    <phoneticPr fontId="1"/>
  </si>
  <si>
    <t>エリア名</t>
    <rPh sb="3" eb="4">
      <t>メイ</t>
    </rPh>
    <phoneticPr fontId="48"/>
  </si>
  <si>
    <t>○○エリア</t>
    <phoneticPr fontId="48"/>
  </si>
  <si>
    <t>合計</t>
    <rPh sb="0" eb="2">
      <t>ゴウケイ</t>
    </rPh>
    <phoneticPr fontId="48"/>
  </si>
  <si>
    <t>位置・範囲</t>
    <rPh sb="0" eb="2">
      <t>イチ</t>
    </rPh>
    <rPh sb="3" eb="5">
      <t>ハンイ</t>
    </rPh>
    <phoneticPr fontId="48"/>
  </si>
  <si>
    <t>住宅（戸）</t>
    <rPh sb="0" eb="2">
      <t>ジュウタク</t>
    </rPh>
    <rPh sb="3" eb="4">
      <t>コ</t>
    </rPh>
    <phoneticPr fontId="48"/>
  </si>
  <si>
    <t>民間施設（施設）</t>
    <rPh sb="0" eb="2">
      <t>ミンカン</t>
    </rPh>
    <rPh sb="2" eb="4">
      <t>シセツ</t>
    </rPh>
    <rPh sb="5" eb="7">
      <t>シセツ</t>
    </rPh>
    <phoneticPr fontId="48"/>
  </si>
  <si>
    <t>公共施設（施設）</t>
    <rPh sb="0" eb="4">
      <t>コウキョウシセツ</t>
    </rPh>
    <rPh sb="5" eb="7">
      <t>シセツ</t>
    </rPh>
    <phoneticPr fontId="48"/>
  </si>
  <si>
    <t>電力需要量</t>
    <rPh sb="0" eb="2">
      <t>デンリョク</t>
    </rPh>
    <rPh sb="2" eb="5">
      <t>ジュヨウリョウ</t>
    </rPh>
    <phoneticPr fontId="48"/>
  </si>
  <si>
    <t>再エネ
電力
供給量</t>
    <rPh sb="0" eb="1">
      <t>サイ</t>
    </rPh>
    <rPh sb="4" eb="6">
      <t>デンリョク</t>
    </rPh>
    <rPh sb="7" eb="10">
      <t>キョウキュウリョウ</t>
    </rPh>
    <phoneticPr fontId="48"/>
  </si>
  <si>
    <t>(域内)
新規再エネ導入量</t>
    <rPh sb="1" eb="3">
      <t>イキナイ</t>
    </rPh>
    <rPh sb="5" eb="7">
      <t>シンキ</t>
    </rPh>
    <rPh sb="7" eb="8">
      <t>サイ</t>
    </rPh>
    <rPh sb="10" eb="13">
      <t>ドウニュウリョウ</t>
    </rPh>
    <phoneticPr fontId="48"/>
  </si>
  <si>
    <t>(地方公共団体内)
既存再エネ設備</t>
    <rPh sb="1" eb="7">
      <t>チホウコウキョウダンタイ</t>
    </rPh>
    <rPh sb="7" eb="8">
      <t>ナイ</t>
    </rPh>
    <rPh sb="10" eb="12">
      <t>キゾン</t>
    </rPh>
    <rPh sb="12" eb="13">
      <t>サイ</t>
    </rPh>
    <rPh sb="15" eb="17">
      <t>セツビ</t>
    </rPh>
    <phoneticPr fontId="48"/>
  </si>
  <si>
    <t>合計量</t>
    <rPh sb="0" eb="2">
      <t>ゴウケイ</t>
    </rPh>
    <rPh sb="2" eb="3">
      <t>リョウ</t>
    </rPh>
    <phoneticPr fontId="48"/>
  </si>
  <si>
    <t>省エネ削減効果</t>
    <rPh sb="0" eb="1">
      <t>ショウ</t>
    </rPh>
    <rPh sb="3" eb="5">
      <t>サクゲン</t>
    </rPh>
    <rPh sb="5" eb="7">
      <t>コウカ</t>
    </rPh>
    <phoneticPr fontId="48"/>
  </si>
  <si>
    <t>民生部門電力以外の温室効果ガス排出の削減量（t-CO2/年）</t>
    <rPh sb="0" eb="2">
      <t>ミンセイ</t>
    </rPh>
    <rPh sb="2" eb="4">
      <t>ブモン</t>
    </rPh>
    <rPh sb="4" eb="6">
      <t>デンリョク</t>
    </rPh>
    <rPh sb="6" eb="8">
      <t>イガイ</t>
    </rPh>
    <rPh sb="9" eb="11">
      <t>オンシツ</t>
    </rPh>
    <rPh sb="11" eb="13">
      <t>コウカ</t>
    </rPh>
    <rPh sb="15" eb="17">
      <t>ハイシュツ</t>
    </rPh>
    <rPh sb="18" eb="21">
      <t>サクゲンリョウ</t>
    </rPh>
    <rPh sb="28" eb="29">
      <t>ネン</t>
    </rPh>
    <phoneticPr fontId="48"/>
  </si>
  <si>
    <t>B</t>
    <phoneticPr fontId="1"/>
  </si>
  <si>
    <t>事業概要説明</t>
    <phoneticPr fontId="1"/>
  </si>
  <si>
    <t>再エネ利用の
意向調査</t>
    <phoneticPr fontId="1"/>
  </si>
  <si>
    <t>合意</t>
    <rPh sb="0" eb="2">
      <t>ゴウイ</t>
    </rPh>
    <phoneticPr fontId="1"/>
  </si>
  <si>
    <t>事業への
反応調査</t>
    <phoneticPr fontId="1"/>
  </si>
  <si>
    <t>メリットや
コスト等の
詳細説明</t>
    <rPh sb="9" eb="10">
      <t>ナド</t>
    </rPh>
    <phoneticPr fontId="10"/>
  </si>
  <si>
    <t>導入
時期</t>
    <rPh sb="0" eb="2">
      <t>ドウニュウ</t>
    </rPh>
    <rPh sb="3" eb="5">
      <t>ジキ</t>
    </rPh>
    <phoneticPr fontId="1"/>
  </si>
  <si>
    <t>単独/一括検討</t>
    <rPh sb="0" eb="2">
      <t>タンドク</t>
    </rPh>
    <rPh sb="3" eb="5">
      <t>イッカツ</t>
    </rPh>
    <rPh sb="5" eb="7">
      <t>ケントウ</t>
    </rPh>
    <phoneticPr fontId="1"/>
  </si>
  <si>
    <t>A</t>
    <phoneticPr fontId="1"/>
  </si>
  <si>
    <t>C</t>
    <phoneticPr fontId="1"/>
  </si>
  <si>
    <t>D</t>
    <phoneticPr fontId="1"/>
  </si>
  <si>
    <t>実施事業者候補の検討</t>
    <rPh sb="0" eb="2">
      <t>ジッシ</t>
    </rPh>
    <rPh sb="2" eb="5">
      <t>ジギョウシャ</t>
    </rPh>
    <rPh sb="5" eb="7">
      <t>コウホ</t>
    </rPh>
    <rPh sb="8" eb="10">
      <t>ケントウ</t>
    </rPh>
    <phoneticPr fontId="18"/>
  </si>
  <si>
    <t>合意</t>
    <phoneticPr fontId="1"/>
  </si>
  <si>
    <t>CO2削減量(t-CO2/年)</t>
    <rPh sb="3" eb="5">
      <t>サクゲン</t>
    </rPh>
    <rPh sb="5" eb="6">
      <t>リョウ</t>
    </rPh>
    <rPh sb="13" eb="14">
      <t>ネン</t>
    </rPh>
    <phoneticPr fontId="1"/>
  </si>
  <si>
    <t>事業概要説明</t>
    <rPh sb="0" eb="6">
      <t>ジギョウガイヨウセツメイ</t>
    </rPh>
    <phoneticPr fontId="18"/>
  </si>
  <si>
    <t>必要コスト試算結果等説明</t>
    <rPh sb="0" eb="2">
      <t>ヒツヨウ</t>
    </rPh>
    <rPh sb="5" eb="9">
      <t>シサンケッカ</t>
    </rPh>
    <rPh sb="9" eb="10">
      <t>ナド</t>
    </rPh>
    <rPh sb="10" eb="12">
      <t>セツメイ</t>
    </rPh>
    <phoneticPr fontId="1"/>
  </si>
  <si>
    <t>上記以外の発電方式に該当する場合は、以下に発電方式名と詳細を記載ください</t>
    <rPh sb="21" eb="25">
      <t>ハツデンホウシキ</t>
    </rPh>
    <rPh sb="25" eb="26">
      <t>メイ</t>
    </rPh>
    <rPh sb="27" eb="29">
      <t>ショウサイ</t>
    </rPh>
    <phoneticPr fontId="1"/>
  </si>
  <si>
    <t>水力発電</t>
    <rPh sb="0" eb="2">
      <t>スイリョク</t>
    </rPh>
    <rPh sb="2" eb="4">
      <t>ハツデン</t>
    </rPh>
    <phoneticPr fontId="1"/>
  </si>
  <si>
    <t>【水力発電】</t>
    <rPh sb="1" eb="3">
      <t>スイリョク</t>
    </rPh>
    <rPh sb="3" eb="5">
      <t>ハツデン</t>
    </rPh>
    <phoneticPr fontId="1"/>
  </si>
  <si>
    <t>(単独)接続検討済</t>
  </si>
  <si>
    <t>REPOS/衛星写真確認</t>
    <rPh sb="6" eb="8">
      <t>エイセイ</t>
    </rPh>
    <rPh sb="8" eb="10">
      <t>シャシン</t>
    </rPh>
    <rPh sb="10" eb="12">
      <t>カクニン</t>
    </rPh>
    <phoneticPr fontId="1"/>
  </si>
  <si>
    <t>(単独)工事費負担金入金済</t>
  </si>
  <si>
    <r>
      <rPr>
        <sz val="12"/>
        <rFont val="Yu Gothic UI"/>
        <family val="3"/>
        <charset val="128"/>
      </rPr>
      <t>その他調達(上記以外)</t>
    </r>
    <r>
      <rPr>
        <sz val="12"/>
        <color theme="1"/>
        <rFont val="Yu Gothic UI"/>
        <family val="3"/>
        <charset val="128"/>
      </rPr>
      <t xml:space="preserve">
</t>
    </r>
    <r>
      <rPr>
        <sz val="11"/>
        <color theme="1"/>
        <rFont val="Yu Gothic UI"/>
        <family val="3"/>
        <charset val="128"/>
      </rPr>
      <t>※需要家エリアに記載してください。</t>
    </r>
    <rPh sb="6" eb="10">
      <t>ジョウキイガイ</t>
    </rPh>
    <phoneticPr fontId="1"/>
  </si>
  <si>
    <t>民生部門
電力の取組
(kWh/年)</t>
    <rPh sb="0" eb="2">
      <t>ミンセイ</t>
    </rPh>
    <rPh sb="2" eb="4">
      <t>ブモン</t>
    </rPh>
    <rPh sb="5" eb="7">
      <t>デンリョク</t>
    </rPh>
    <rPh sb="8" eb="10">
      <t>トリクミ</t>
    </rPh>
    <phoneticPr fontId="48"/>
  </si>
  <si>
    <t>令和7年度</t>
    <phoneticPr fontId="1"/>
  </si>
  <si>
    <t>令和8年度</t>
    <phoneticPr fontId="1"/>
  </si>
  <si>
    <t>令和9年度</t>
    <phoneticPr fontId="1"/>
  </si>
  <si>
    <t>令和10年度</t>
    <phoneticPr fontId="1"/>
  </si>
  <si>
    <t>令和11年度</t>
    <phoneticPr fontId="1"/>
  </si>
  <si>
    <t>令和12年度</t>
    <phoneticPr fontId="1"/>
  </si>
  <si>
    <t>設備導入の実現可能性</t>
    <rPh sb="0" eb="4">
      <t>セツビドウニュウ</t>
    </rPh>
    <rPh sb="5" eb="10">
      <t>ジツゲンカノウセイ</t>
    </rPh>
    <phoneticPr fontId="1"/>
  </si>
  <si>
    <t>地区代表者</t>
    <rPh sb="0" eb="5">
      <t>チクダイヒョウシャ</t>
    </rPh>
    <phoneticPr fontId="1"/>
  </si>
  <si>
    <t>事業概要説明</t>
    <rPh sb="0" eb="6">
      <t>ジギョウガイヨウセツメイ</t>
    </rPh>
    <phoneticPr fontId="1"/>
  </si>
  <si>
    <t>事業への
反応調査</t>
    <rPh sb="0" eb="2">
      <t>ジギョウ</t>
    </rPh>
    <rPh sb="5" eb="9">
      <t>ハンノウチョウサ</t>
    </rPh>
    <phoneticPr fontId="1"/>
  </si>
  <si>
    <t>メリットや
コストなどの
詳細説明</t>
    <rPh sb="13" eb="17">
      <t>ショウサイセツメイ</t>
    </rPh>
    <phoneticPr fontId="1"/>
  </si>
  <si>
    <t>再エネ利用の
意向調査</t>
    <rPh sb="0" eb="1">
      <t>サイ</t>
    </rPh>
    <rPh sb="3" eb="5">
      <t>リヨウ</t>
    </rPh>
    <rPh sb="7" eb="11">
      <t>イコウチョウサ</t>
    </rPh>
    <phoneticPr fontId="1"/>
  </si>
  <si>
    <t>再エネ設備導入における合意に向けた進捗度</t>
    <rPh sb="0" eb="1">
      <t>サイ</t>
    </rPh>
    <rPh sb="3" eb="5">
      <t>セツビ</t>
    </rPh>
    <rPh sb="5" eb="7">
      <t>ドウニュウ</t>
    </rPh>
    <rPh sb="11" eb="13">
      <t>ゴウイ</t>
    </rPh>
    <rPh sb="14" eb="15">
      <t>ム</t>
    </rPh>
    <rPh sb="17" eb="20">
      <t>シンチョクド</t>
    </rPh>
    <phoneticPr fontId="1"/>
  </si>
  <si>
    <t>以下の表に取組対象の需要家数・需要量を記載してください</t>
    <rPh sb="0" eb="2">
      <t>イカ</t>
    </rPh>
    <rPh sb="3" eb="4">
      <t>ヒョウ</t>
    </rPh>
    <rPh sb="5" eb="9">
      <t>トリクミタイショウ</t>
    </rPh>
    <rPh sb="10" eb="14">
      <t>ジュヨウカスウ</t>
    </rPh>
    <rPh sb="15" eb="18">
      <t>ジュヨウリョウ</t>
    </rPh>
    <rPh sb="19" eb="21">
      <t>キサイ</t>
    </rPh>
    <phoneticPr fontId="1"/>
  </si>
  <si>
    <t>#</t>
    <phoneticPr fontId="1"/>
  </si>
  <si>
    <t>対象エリアの規模や、需要、再エネ導入量規模等をエリア毎に下表のとおり記載してください。</t>
    <phoneticPr fontId="1"/>
  </si>
  <si>
    <t>1.1 対象エリアの規模等</t>
    <rPh sb="4" eb="6">
      <t>タイショウ</t>
    </rPh>
    <rPh sb="10" eb="12">
      <t>キボ</t>
    </rPh>
    <rPh sb="12" eb="13">
      <t>ナド</t>
    </rPh>
    <phoneticPr fontId="1"/>
  </si>
  <si>
    <t>その他発電</t>
    <rPh sb="2" eb="5">
      <t>タハツデン</t>
    </rPh>
    <phoneticPr fontId="1"/>
  </si>
  <si>
    <t>民生部門以外の電力_新規再エネ導入量 合計</t>
    <rPh sb="0" eb="2">
      <t>ミンセイ</t>
    </rPh>
    <rPh sb="2" eb="4">
      <t>ブモン</t>
    </rPh>
    <rPh sb="4" eb="6">
      <t>イガイ</t>
    </rPh>
    <rPh sb="7" eb="9">
      <t>デンリョク</t>
    </rPh>
    <phoneticPr fontId="1"/>
  </si>
  <si>
    <t>民生部門_新規再エネ導入量 合計</t>
    <rPh sb="0" eb="2">
      <t>ミンセイ</t>
    </rPh>
    <rPh sb="2" eb="4">
      <t>ブモン</t>
    </rPh>
    <rPh sb="5" eb="7">
      <t>シンキ</t>
    </rPh>
    <rPh sb="7" eb="8">
      <t>サイ</t>
    </rPh>
    <rPh sb="10" eb="13">
      <t>ドウニュウリョウ</t>
    </rPh>
    <rPh sb="14" eb="16">
      <t>ゴウケイ</t>
    </rPh>
    <phoneticPr fontId="1"/>
  </si>
  <si>
    <t>代表者</t>
    <rPh sb="0" eb="3">
      <t>ダイヒョウシャ</t>
    </rPh>
    <phoneticPr fontId="1"/>
  </si>
  <si>
    <t>FS/系統接続</t>
    <rPh sb="3" eb="7">
      <t>ケイトウセツゾク</t>
    </rPh>
    <phoneticPr fontId="1"/>
  </si>
  <si>
    <t>発電種別</t>
    <rPh sb="0" eb="4">
      <t>ハツデンシュベツ</t>
    </rPh>
    <phoneticPr fontId="1"/>
  </si>
  <si>
    <t>計算用</t>
    <rPh sb="0" eb="3">
      <t>ケイサンヨウ</t>
    </rPh>
    <phoneticPr fontId="1"/>
  </si>
  <si>
    <t>施設
カウント</t>
    <rPh sb="0" eb="2">
      <t>シセツ</t>
    </rPh>
    <phoneticPr fontId="1"/>
  </si>
  <si>
    <t>民生部門_新規再エネ導入量 合計</t>
    <phoneticPr fontId="1"/>
  </si>
  <si>
    <t>民生部門以外の電力_新規再エネ導入量 合計</t>
    <rPh sb="0" eb="2">
      <t>ミンセイ</t>
    </rPh>
    <rPh sb="2" eb="4">
      <t>ブモン</t>
    </rPh>
    <rPh sb="4" eb="6">
      <t>イガイ</t>
    </rPh>
    <rPh sb="7" eb="9">
      <t>デンリョク</t>
    </rPh>
    <rPh sb="10" eb="12">
      <t>シンキ</t>
    </rPh>
    <rPh sb="12" eb="13">
      <t>サイ</t>
    </rPh>
    <rPh sb="15" eb="17">
      <t>ドウニュウ</t>
    </rPh>
    <rPh sb="17" eb="18">
      <t>リョウ</t>
    </rPh>
    <rPh sb="19" eb="21">
      <t>ゴウケイ</t>
    </rPh>
    <phoneticPr fontId="1"/>
  </si>
  <si>
    <t>【民生部門以外の電力取組】</t>
    <phoneticPr fontId="1"/>
  </si>
  <si>
    <t>民生部門_新規再エネ導入量 合計</t>
    <rPh sb="0" eb="2">
      <t>ミンセイ</t>
    </rPh>
    <rPh sb="2" eb="4">
      <t>ブモン</t>
    </rPh>
    <rPh sb="5" eb="7">
      <t>シンキ</t>
    </rPh>
    <rPh sb="7" eb="8">
      <t>サイ</t>
    </rPh>
    <rPh sb="10" eb="12">
      <t>ドウニュウ</t>
    </rPh>
    <rPh sb="12" eb="13">
      <t>リョウ</t>
    </rPh>
    <rPh sb="14" eb="16">
      <t>ゴウケイ</t>
    </rPh>
    <phoneticPr fontId="1"/>
  </si>
  <si>
    <t>系統接続検討状況</t>
    <rPh sb="0" eb="8">
      <t>ケイトウセツゾクケントウジョウキョウ</t>
    </rPh>
    <phoneticPr fontId="1"/>
  </si>
  <si>
    <t>【その他発電】</t>
    <rPh sb="4" eb="6">
      <t>ハツデン</t>
    </rPh>
    <phoneticPr fontId="1"/>
  </si>
  <si>
    <t>▼プルダウンリスト表示用（削除・移動禁止）</t>
    <rPh sb="9" eb="11">
      <t>ヒョウジ</t>
    </rPh>
    <rPh sb="11" eb="12">
      <t>ヨウ</t>
    </rPh>
    <rPh sb="13" eb="15">
      <t>サクジョ</t>
    </rPh>
    <rPh sb="16" eb="18">
      <t>イドウ</t>
    </rPh>
    <rPh sb="18" eb="20">
      <t>キンシ</t>
    </rPh>
    <phoneticPr fontId="1"/>
  </si>
  <si>
    <t>廃棄物発電</t>
    <rPh sb="0" eb="3">
      <t>ハイキブツ</t>
    </rPh>
    <rPh sb="3" eb="5">
      <t>ハツデン</t>
    </rPh>
    <phoneticPr fontId="1"/>
  </si>
  <si>
    <t>その他</t>
    <phoneticPr fontId="1"/>
  </si>
  <si>
    <t>民生以外</t>
    <rPh sb="0" eb="4">
      <t>ミンセイイガイ</t>
    </rPh>
    <phoneticPr fontId="1"/>
  </si>
  <si>
    <t>取組内容</t>
    <rPh sb="0" eb="4">
      <t>トリクミナイヨウ</t>
    </rPh>
    <phoneticPr fontId="1"/>
  </si>
  <si>
    <t>導入量・台数</t>
    <rPh sb="0" eb="3">
      <t>ドウニュウリョウ</t>
    </rPh>
    <rPh sb="4" eb="6">
      <t>ダイスウ</t>
    </rPh>
    <phoneticPr fontId="1"/>
  </si>
  <si>
    <t>事業費全体の金額（千円）</t>
    <rPh sb="0" eb="5">
      <t>ジギョウヒゼンタイ</t>
    </rPh>
    <rPh sb="6" eb="8">
      <t>キンガク</t>
    </rPh>
    <rPh sb="9" eb="11">
      <t>センエン</t>
    </rPh>
    <phoneticPr fontId="1"/>
  </si>
  <si>
    <t>地方債</t>
    <rPh sb="0" eb="3">
      <t>チホウサイ</t>
    </rPh>
    <phoneticPr fontId="1"/>
  </si>
  <si>
    <t>一般財源</t>
    <rPh sb="0" eb="4">
      <t>イッパンザイゲン</t>
    </rPh>
    <phoneticPr fontId="1"/>
  </si>
  <si>
    <t>その他（金融機関や民間事業者からの資金等）</t>
    <rPh sb="2" eb="3">
      <t>タ</t>
    </rPh>
    <rPh sb="4" eb="8">
      <t>キンユウキカン</t>
    </rPh>
    <rPh sb="9" eb="14">
      <t>ミンカンジギョウシャ</t>
    </rPh>
    <rPh sb="17" eb="19">
      <t>シキン</t>
    </rPh>
    <rPh sb="19" eb="20">
      <t>ナド</t>
    </rPh>
    <phoneticPr fontId="1"/>
  </si>
  <si>
    <t>活用予定の資金金額（千円）</t>
    <rPh sb="0" eb="4">
      <t>カツヨウヨテイ</t>
    </rPh>
    <rPh sb="5" eb="9">
      <t>シキンキンガク</t>
    </rPh>
    <rPh sb="10" eb="12">
      <t>センエン</t>
    </rPh>
    <phoneticPr fontId="1"/>
  </si>
  <si>
    <t>事業費に係る
費用効率性
（円/t-CO2）</t>
    <rPh sb="0" eb="3">
      <t>ジギョウヒ</t>
    </rPh>
    <rPh sb="4" eb="5">
      <t>カカ</t>
    </rPh>
    <rPh sb="7" eb="12">
      <t>ヒヨウコウリツセイ</t>
    </rPh>
    <rPh sb="14" eb="15">
      <t>エン</t>
    </rPh>
    <phoneticPr fontId="1"/>
  </si>
  <si>
    <t>3.4 事業費の額、活用を想定している資金</t>
    <phoneticPr fontId="1"/>
  </si>
  <si>
    <t>取組ごとに事業費全体の金額及び活用を予定している資金を財源項目別に記載してください。</t>
    <phoneticPr fontId="1"/>
  </si>
  <si>
    <t>なお、各取組番号は「3.2 事業の概要」で記載した取組番号と一致するようにしてください。
また、活用予定の資金の中でその他に記載した場合は、表の下にその他の詳細を記載してください。</t>
    <phoneticPr fontId="1"/>
  </si>
  <si>
    <t>3.4 事業費の額（各年度）、活用を想定している国の事業（交付金、補助金等）</t>
    <phoneticPr fontId="1"/>
  </si>
  <si>
    <t>計画の実施に必要となる事業内容及び事業費を年度別・部門別に記載してください。また、活用を予定している国の事業（交付金、補助金等）を記載してください。</t>
    <phoneticPr fontId="1"/>
  </si>
  <si>
    <t xml:space="preserve">その際、各取組番号が、「3.2 事業の概要」で記載した取組番号と一致するようにしてください。なお、執行事務費を計上予定の場合は忘れず記載してください。
</t>
    <phoneticPr fontId="1"/>
  </si>
  <si>
    <t>4.1(1) 脱炭素先行地域の再エネポテンシャルの状況</t>
    <phoneticPr fontId="1"/>
  </si>
  <si>
    <t>4.1(2) 脱炭素先行地域内に供給する新規の再エネ発電設備の導入について(設備情報)</t>
    <rPh sb="38" eb="42">
      <t>セツビジョウホウ</t>
    </rPh>
    <phoneticPr fontId="1"/>
  </si>
  <si>
    <t>4.1(2) 脱炭素先行地域内に供給する新規の再エネ発電設備の導入について(FS調査、系統接続検討状況)</t>
    <phoneticPr fontId="1"/>
  </si>
  <si>
    <t>再エネ導入可能量を踏まえた提案地方公共団体内における新規導入予定の再エネ発電設備について、各施設のFS調査、系統接続検討状況を記載してください。</t>
    <rPh sb="0" eb="1">
      <t>サイ</t>
    </rPh>
    <rPh sb="3" eb="8">
      <t>ドウニュウカノウリョウ</t>
    </rPh>
    <rPh sb="45" eb="46">
      <t>カク</t>
    </rPh>
    <rPh sb="46" eb="48">
      <t>シセツ</t>
    </rPh>
    <rPh sb="51" eb="53">
      <t>チョウサ</t>
    </rPh>
    <rPh sb="54" eb="56">
      <t>ケイトウ</t>
    </rPh>
    <rPh sb="56" eb="58">
      <t>セツゾク</t>
    </rPh>
    <rPh sb="58" eb="60">
      <t>ケントウ</t>
    </rPh>
    <rPh sb="60" eb="62">
      <t>ジョウキョウ</t>
    </rPh>
    <rPh sb="63" eb="65">
      <t>キサイ</t>
    </rPh>
    <phoneticPr fontId="1"/>
  </si>
  <si>
    <t>4.1(2) 脱炭素先行地域内に供給する新規の再エネ発電設備の導入について(合意形成進捗状況)</t>
    <rPh sb="38" eb="42">
      <t>ゴウイケイセイ</t>
    </rPh>
    <rPh sb="42" eb="46">
      <t>シンチョクジョウキョウ</t>
    </rPh>
    <phoneticPr fontId="1"/>
  </si>
  <si>
    <t>再エネ導入可能量を踏まえた提案地方公共団体内における新規導入予定の再エネ発電設備について、合意形成対象者との合意形成進捗状況を記載してください。</t>
    <rPh sb="54" eb="62">
      <t>ゴウイケイセイシンチョクジョウキョウ</t>
    </rPh>
    <rPh sb="63" eb="65">
      <t>キサイ</t>
    </rPh>
    <phoneticPr fontId="1"/>
  </si>
  <si>
    <t>脱炭素先行地域及び当該地域がある地方公共団体において既に導入している、又は、導入することが決定している（契約済、着工済等）再エネ発電設備（脱炭素先行地域内に供給するものに限る。）について、
その種別に設置場所、設置容量等を、表作成ツールを使用して作成し記載してください。</t>
    <phoneticPr fontId="1"/>
  </si>
  <si>
    <t>4.1(3) 活用可能な既存の再エネ発電設備の状況</t>
    <phoneticPr fontId="1"/>
  </si>
  <si>
    <t>4.2 民生部門の電力消費に伴うCO2排出の実質ゼロの取組</t>
    <rPh sb="4" eb="8">
      <t>ミンセイブモン</t>
    </rPh>
    <rPh sb="9" eb="13">
      <t>デンリョクショウヒ</t>
    </rPh>
    <rPh sb="14" eb="15">
      <t>トモナ</t>
    </rPh>
    <rPh sb="19" eb="21">
      <t>ハイシュツ</t>
    </rPh>
    <rPh sb="22" eb="24">
      <t>ジッシツ</t>
    </rPh>
    <rPh sb="27" eb="28">
      <t>ト</t>
    </rPh>
    <rPh sb="28" eb="29">
      <t>ク</t>
    </rPh>
    <phoneticPr fontId="1"/>
  </si>
  <si>
    <t>4.2 対象地域の民生需要家数等</t>
    <rPh sb="4" eb="6">
      <t>タイショウ</t>
    </rPh>
    <rPh sb="6" eb="8">
      <t>チイキ</t>
    </rPh>
    <rPh sb="9" eb="11">
      <t>ミンセイ</t>
    </rPh>
    <rPh sb="11" eb="14">
      <t>ジュヨウカ</t>
    </rPh>
    <rPh sb="14" eb="15">
      <t>スウ</t>
    </rPh>
    <rPh sb="15" eb="16">
      <t>トウ</t>
    </rPh>
    <phoneticPr fontId="1"/>
  </si>
  <si>
    <t>電力需要量に係る実質ゼロを達成するための取組内容について、下表の必要箇所に記載してください。</t>
    <rPh sb="0" eb="2">
      <t>デンリョク</t>
    </rPh>
    <rPh sb="2" eb="4">
      <t>ジュヨウ</t>
    </rPh>
    <rPh sb="4" eb="5">
      <t>リョウ</t>
    </rPh>
    <rPh sb="6" eb="7">
      <t>カカ</t>
    </rPh>
    <rPh sb="8" eb="10">
      <t>ジッシツ</t>
    </rPh>
    <rPh sb="13" eb="15">
      <t>タッセイ</t>
    </rPh>
    <rPh sb="20" eb="22">
      <t>トリクミ</t>
    </rPh>
    <rPh sb="22" eb="24">
      <t>ナイヨウ</t>
    </rPh>
    <rPh sb="29" eb="31">
      <t>カヒョウ</t>
    </rPh>
    <rPh sb="32" eb="36">
      <t>ヒツヨウカショ</t>
    </rPh>
    <rPh sb="37" eb="39">
      <t>キサイ</t>
    </rPh>
    <phoneticPr fontId="1"/>
  </si>
  <si>
    <t>4.2 【民生部門の電力需要家の状況（対象・施設数、直近年度の電力需要量 等）】</t>
    <phoneticPr fontId="1"/>
  </si>
  <si>
    <t>CO2削減効果
（累計）(t-CO2)</t>
    <rPh sb="3" eb="7">
      <t>サクゲンコウカ</t>
    </rPh>
    <rPh sb="9" eb="11">
      <t>ルイケイ</t>
    </rPh>
    <phoneticPr fontId="1"/>
  </si>
  <si>
    <t>4.3 民生部門電力以外の排出削減等の取組の合意形成状況</t>
    <rPh sb="4" eb="6">
      <t>ミンセイ</t>
    </rPh>
    <rPh sb="6" eb="8">
      <t>ブモン</t>
    </rPh>
    <rPh sb="8" eb="10">
      <t>デンリョク</t>
    </rPh>
    <rPh sb="10" eb="12">
      <t>イガイ</t>
    </rPh>
    <rPh sb="13" eb="15">
      <t>ハイシュツ</t>
    </rPh>
    <rPh sb="15" eb="17">
      <t>サクゲン</t>
    </rPh>
    <rPh sb="17" eb="18">
      <t>ナド</t>
    </rPh>
    <rPh sb="19" eb="21">
      <t>トリクミ</t>
    </rPh>
    <rPh sb="22" eb="28">
      <t>ゴウイケイセイジョウキョウ</t>
    </rPh>
    <phoneticPr fontId="1"/>
  </si>
  <si>
    <t>4.3 民生部門電力以外の排出削減等の取組</t>
    <rPh sb="4" eb="6">
      <t>ミンセイ</t>
    </rPh>
    <rPh sb="6" eb="8">
      <t>ブモン</t>
    </rPh>
    <rPh sb="8" eb="10">
      <t>デンリョク</t>
    </rPh>
    <rPh sb="10" eb="12">
      <t>イガイ</t>
    </rPh>
    <rPh sb="13" eb="15">
      <t>ハイシュツ</t>
    </rPh>
    <rPh sb="15" eb="17">
      <t>サクゲン</t>
    </rPh>
    <rPh sb="17" eb="18">
      <t>ナド</t>
    </rPh>
    <rPh sb="19" eb="21">
      <t>トリクミ</t>
    </rPh>
    <phoneticPr fontId="1"/>
  </si>
  <si>
    <t>総事業費/CO2削減量(円/t-CO2)</t>
    <rPh sb="0" eb="4">
      <t>ソウジギョウヒ</t>
    </rPh>
    <rPh sb="8" eb="10">
      <t>サクゲン</t>
    </rPh>
    <rPh sb="10" eb="11">
      <t>リョウ</t>
    </rPh>
    <rPh sb="12" eb="13">
      <t>エン</t>
    </rPh>
    <phoneticPr fontId="1"/>
  </si>
  <si>
    <t>合計(千円)</t>
    <rPh sb="0" eb="2">
      <t>ゴウケイ</t>
    </rPh>
    <rPh sb="3" eb="4">
      <t>セン</t>
    </rPh>
    <rPh sb="4" eb="5">
      <t>エン</t>
    </rPh>
    <phoneticPr fontId="1"/>
  </si>
  <si>
    <t>電力需要家の状況を下表に記載してください。また、下表で挙げられる施設ごとに、需要家との合意形成状況の詳細を記載してください。</t>
    <phoneticPr fontId="1"/>
  </si>
  <si>
    <t>4.2 需要家との合意プロセス(住宅)</t>
    <rPh sb="4" eb="7">
      <t>ジュヨウカ</t>
    </rPh>
    <rPh sb="9" eb="11">
      <t>ゴウイ</t>
    </rPh>
    <rPh sb="16" eb="18">
      <t>ジュウタク</t>
    </rPh>
    <phoneticPr fontId="1"/>
  </si>
  <si>
    <t>4.2 需要家との合意プロセス(民生・業務その他)</t>
    <rPh sb="4" eb="7">
      <t>ジュヨウカ</t>
    </rPh>
    <rPh sb="9" eb="11">
      <t>ゴウイ</t>
    </rPh>
    <phoneticPr fontId="1"/>
  </si>
  <si>
    <t>4.2 需要家との合意プロセス(公共)</t>
    <rPh sb="4" eb="7">
      <t>ジュヨウカ</t>
    </rPh>
    <rPh sb="9" eb="11">
      <t>ゴウイ</t>
    </rPh>
    <rPh sb="16" eb="18">
      <t>コウキョウ</t>
    </rPh>
    <phoneticPr fontId="1"/>
  </si>
  <si>
    <t xml:space="preserve">4.2【民生部門の電力需要家の状況（対象・施設数、直近年度の電力需要量等）】における表に記載されている「施設名」単位で、各電力需要家に供給する再エネ電力の状況を下表に記載してください。
</t>
    <phoneticPr fontId="1"/>
  </si>
  <si>
    <t>なお、施設数が多く下表に収まらない場合など、必要に応じ行を追加してください。なお、行追加の際は、かならず空白行をコピーしたうえで、「コピーしたセルの挿入」からおこなってください。</t>
    <phoneticPr fontId="1"/>
  </si>
  <si>
    <t>再エネ等の電力供給量（先行地域の需要家に供給されるものに限る。）のうち、
脱炭素先行地域がある地方公共団体内に設置された再エネ発電設備で発電される再エネ電力量の割合を記載してください。
その際、下式の分子の値は、再エネ等の電力供給量から地方公共団体外から調達する量を引いた値を記入してください。</t>
    <phoneticPr fontId="1"/>
  </si>
  <si>
    <t>4.2 省エネによる電力削減に関する状況（実施場所・施設数、取組内容 、電力削減量）</t>
    <phoneticPr fontId="1"/>
  </si>
  <si>
    <t>6.2 関係者との連携体制と合意形成状況</t>
    <phoneticPr fontId="1"/>
  </si>
  <si>
    <t>①資料調査</t>
    <rPh sb="1" eb="5">
      <t>シリョウチョウサ</t>
    </rPh>
    <phoneticPr fontId="1"/>
  </si>
  <si>
    <t>②実地調査</t>
    <rPh sb="1" eb="5">
      <t>ジッチチョウサ</t>
    </rPh>
    <phoneticPr fontId="1"/>
  </si>
  <si>
    <t>③系統接続</t>
    <rPh sb="1" eb="5">
      <t>ケイトウセツゾク</t>
    </rPh>
    <phoneticPr fontId="1"/>
  </si>
  <si>
    <t>④合意状況</t>
    <rPh sb="1" eb="3">
      <t>ゴウイ</t>
    </rPh>
    <rPh sb="3" eb="5">
      <t>ジョウキョウ</t>
    </rPh>
    <phoneticPr fontId="1"/>
  </si>
  <si>
    <t>最終判定基準</t>
    <rPh sb="0" eb="2">
      <t>サイシュウ</t>
    </rPh>
    <rPh sb="2" eb="4">
      <t>ハンテイ</t>
    </rPh>
    <rPh sb="4" eb="6">
      <t>キジュン</t>
    </rPh>
    <phoneticPr fontId="1"/>
  </si>
  <si>
    <t>資料調査</t>
    <rPh sb="0" eb="4">
      <t>シリョウチョウサ</t>
    </rPh>
    <phoneticPr fontId="1"/>
  </si>
  <si>
    <t>判定</t>
    <rPh sb="0" eb="2">
      <t>ハンテイ</t>
    </rPh>
    <phoneticPr fontId="1"/>
  </si>
  <si>
    <t>実地調査</t>
    <rPh sb="0" eb="4">
      <t>ジッチチョウサ</t>
    </rPh>
    <phoneticPr fontId="1"/>
  </si>
  <si>
    <t>合意状況</t>
    <rPh sb="0" eb="4">
      <t>ゴウイジョウキョウ</t>
    </rPh>
    <phoneticPr fontId="1"/>
  </si>
  <si>
    <t>①～④最小値</t>
    <rPh sb="3" eb="6">
      <t>サイショウチ</t>
    </rPh>
    <phoneticPr fontId="1"/>
  </si>
  <si>
    <t>未実施</t>
    <rPh sb="0" eb="3">
      <t>ミジッシ</t>
    </rPh>
    <phoneticPr fontId="1"/>
  </si>
  <si>
    <t>（必要に応じて）地区代表者等へ説明し、大筋を合意済み</t>
  </si>
  <si>
    <t>実施中</t>
    <rPh sb="0" eb="3">
      <t>ジッシチュウ</t>
    </rPh>
    <phoneticPr fontId="1"/>
  </si>
  <si>
    <t>対象者に、先行地域のコンセプトについて説明済み</t>
  </si>
  <si>
    <t>実施済</t>
    <rPh sb="0" eb="3">
      <t>ジッシスミ</t>
    </rPh>
    <phoneticPr fontId="1"/>
  </si>
  <si>
    <t>実施済</t>
    <rPh sb="0" eb="3">
      <t>ジッシズ</t>
    </rPh>
    <phoneticPr fontId="1"/>
  </si>
  <si>
    <t>対象者に電源詳細、環境影響及び導入コストについて説明済み</t>
  </si>
  <si>
    <t>対象者に説明した３つのうち、１つ合意</t>
  </si>
  <si>
    <t>(単独)事前相談済</t>
  </si>
  <si>
    <t>対象者に説明した３つのうち、２つ合意</t>
  </si>
  <si>
    <t>対象者に説明した３つ全て合意済み</t>
  </si>
  <si>
    <t>(単独)事業性判断実施済</t>
  </si>
  <si>
    <t>(単独)契約申込済</t>
  </si>
  <si>
    <t>(一括)プロセス開始申込済</t>
  </si>
  <si>
    <t xml:space="preserve">(一括)一括検討開始済 </t>
  </si>
  <si>
    <t>（高圧以上）判定用リスト</t>
    <rPh sb="1" eb="3">
      <t>コウアツ</t>
    </rPh>
    <rPh sb="3" eb="5">
      <t>イジョウ</t>
    </rPh>
    <rPh sb="6" eb="9">
      <t>ハンテイヨウ</t>
    </rPh>
    <phoneticPr fontId="1"/>
  </si>
  <si>
    <t>③合意状況</t>
    <rPh sb="1" eb="3">
      <t>ゴウイ</t>
    </rPh>
    <rPh sb="3" eb="5">
      <t>ジョウキョウ</t>
    </rPh>
    <phoneticPr fontId="1"/>
  </si>
  <si>
    <t>①～③最小値</t>
    <rPh sb="3" eb="6">
      <t>サイショウチ</t>
    </rPh>
    <phoneticPr fontId="1"/>
  </si>
  <si>
    <t>（低圧）判定用リスト</t>
    <rPh sb="1" eb="3">
      <t>テイアツ</t>
    </rPh>
    <rPh sb="4" eb="7">
      <t>ハンテイヨウ</t>
    </rPh>
    <phoneticPr fontId="1"/>
  </si>
  <si>
    <t>設置場所
カウント</t>
    <rPh sb="0" eb="4">
      <t>セッチバショ</t>
    </rPh>
    <phoneticPr fontId="1"/>
  </si>
  <si>
    <t>合意形成対象
代表者</t>
    <rPh sb="0" eb="6">
      <t>ゴウイケイセイタイショウ</t>
    </rPh>
    <rPh sb="7" eb="10">
      <t>ダイヒョウシャ</t>
    </rPh>
    <phoneticPr fontId="1"/>
  </si>
  <si>
    <t>コンセプト説明</t>
    <rPh sb="5" eb="7">
      <t>セツメイ</t>
    </rPh>
    <phoneticPr fontId="1"/>
  </si>
  <si>
    <t>①電源詳細説明</t>
    <rPh sb="1" eb="5">
      <t>デンゲンショウサイ</t>
    </rPh>
    <rPh sb="5" eb="7">
      <t>セツメイ</t>
    </rPh>
    <phoneticPr fontId="1"/>
  </si>
  <si>
    <t>②環境影響説明</t>
    <rPh sb="1" eb="5">
      <t>カンキョウエイキョウ</t>
    </rPh>
    <rPh sb="5" eb="7">
      <t>セツメイ</t>
    </rPh>
    <phoneticPr fontId="1"/>
  </si>
  <si>
    <t>③導入コスト説明</t>
    <rPh sb="1" eb="3">
      <t>ドウニュウ</t>
    </rPh>
    <rPh sb="6" eb="8">
      <t>セツメイ</t>
    </rPh>
    <phoneticPr fontId="1"/>
  </si>
  <si>
    <t>①～③
説明済</t>
    <rPh sb="4" eb="6">
      <t>セツメイ</t>
    </rPh>
    <rPh sb="6" eb="7">
      <t>スミ</t>
    </rPh>
    <phoneticPr fontId="1"/>
  </si>
  <si>
    <t>採点</t>
    <rPh sb="0" eb="2">
      <t>サイテン</t>
    </rPh>
    <phoneticPr fontId="1"/>
  </si>
  <si>
    <t>施設
スコア</t>
    <rPh sb="0" eb="2">
      <t>シセツ</t>
    </rPh>
    <phoneticPr fontId="1"/>
  </si>
  <si>
    <t>代表者
合意設備</t>
    <rPh sb="0" eb="3">
      <t>ダイヒョウシャ</t>
    </rPh>
    <rPh sb="4" eb="6">
      <t>ゴウイ</t>
    </rPh>
    <rPh sb="6" eb="8">
      <t>セツビ</t>
    </rPh>
    <phoneticPr fontId="1"/>
  </si>
  <si>
    <t>③系統接続</t>
    <rPh sb="1" eb="3">
      <t>ケイトウ</t>
    </rPh>
    <rPh sb="3" eb="5">
      <t>セツゾク</t>
    </rPh>
    <phoneticPr fontId="1"/>
  </si>
  <si>
    <t>(低圧)申込完了</t>
    <rPh sb="1" eb="3">
      <t>テイアツ</t>
    </rPh>
    <rPh sb="4" eb="5">
      <t>モウ</t>
    </rPh>
    <rPh sb="5" eb="6">
      <t>コ</t>
    </rPh>
    <rPh sb="6" eb="8">
      <t>カンリョウ</t>
    </rPh>
    <phoneticPr fontId="1"/>
  </si>
  <si>
    <t>FS/系統接続 採点</t>
    <rPh sb="3" eb="7">
      <t>ケイトウセツゾク</t>
    </rPh>
    <rPh sb="8" eb="10">
      <t>サイテン</t>
    </rPh>
    <phoneticPr fontId="1"/>
  </si>
  <si>
    <t>合計形成
採点</t>
    <rPh sb="0" eb="2">
      <t>ゴウケイ</t>
    </rPh>
    <rPh sb="2" eb="4">
      <t>ケイセイ</t>
    </rPh>
    <rPh sb="5" eb="7">
      <t>サイテン</t>
    </rPh>
    <phoneticPr fontId="1"/>
  </si>
  <si>
    <t>総合採点</t>
    <rPh sb="0" eb="4">
      <t>ソウゴウサイテン</t>
    </rPh>
    <phoneticPr fontId="1"/>
  </si>
  <si>
    <t>総合評価</t>
    <rPh sb="0" eb="4">
      <t>ソウゴウヒョウカ</t>
    </rPh>
    <phoneticPr fontId="1"/>
  </si>
  <si>
    <t>【太陽光発電】</t>
  </si>
  <si>
    <t>【水力発電】</t>
  </si>
  <si>
    <t>【風力発電】</t>
  </si>
  <si>
    <t>【地熱発電】</t>
  </si>
  <si>
    <t>【バイオマス発電】</t>
  </si>
  <si>
    <t>【廃棄物発電】</t>
  </si>
  <si>
    <t>【その他発電】</t>
  </si>
  <si>
    <t>【民生部門電力以外の取組】</t>
  </si>
  <si>
    <t>検算</t>
    <rPh sb="0" eb="2">
      <t>ケンザン</t>
    </rPh>
    <phoneticPr fontId="1"/>
  </si>
  <si>
    <t>代表者数</t>
    <rPh sb="0" eb="3">
      <t>ダイヒョウシャ</t>
    </rPh>
    <rPh sb="3" eb="4">
      <t>スウ</t>
    </rPh>
    <phoneticPr fontId="1"/>
  </si>
  <si>
    <t>代表者
コンセプト合意</t>
    <rPh sb="0" eb="3">
      <t>ダイヒョウシャ</t>
    </rPh>
    <rPh sb="9" eb="11">
      <t>ゴウイ</t>
    </rPh>
    <phoneticPr fontId="1"/>
  </si>
  <si>
    <t>地方公共団体等と住民との個別協議</t>
    <rPh sb="0" eb="6">
      <t>チホウコウキョウダンタイ</t>
    </rPh>
    <rPh sb="6" eb="7">
      <t>ナド</t>
    </rPh>
    <rPh sb="8" eb="10">
      <t>ジュウミン</t>
    </rPh>
    <rPh sb="12" eb="16">
      <t>コベツキョウギ</t>
    </rPh>
    <phoneticPr fontId="1"/>
  </si>
  <si>
    <t>(事業への反応調査)</t>
    <rPh sb="1" eb="3">
      <t>ジギョウ</t>
    </rPh>
    <rPh sb="5" eb="9">
      <t>ハンノウチョウサ</t>
    </rPh>
    <phoneticPr fontId="1"/>
  </si>
  <si>
    <t>メリットやコスト/再エネ利用意向調査</t>
    <rPh sb="9" eb="10">
      <t>サイ</t>
    </rPh>
    <rPh sb="12" eb="16">
      <t>リヨウイコウ</t>
    </rPh>
    <rPh sb="16" eb="18">
      <t>チョウサ</t>
    </rPh>
    <phoneticPr fontId="1"/>
  </si>
  <si>
    <t>評価</t>
    <rPh sb="0" eb="2">
      <t>ヒョウカ</t>
    </rPh>
    <phoneticPr fontId="1"/>
  </si>
  <si>
    <t>点数(個別)</t>
    <rPh sb="0" eb="2">
      <t>テンスウ</t>
    </rPh>
    <rPh sb="3" eb="5">
      <t>コベツ</t>
    </rPh>
    <phoneticPr fontId="1"/>
  </si>
  <si>
    <t>【民生部門の電力需要家の状況（対象・施設数、直近年度の電力需要量等）】の表に記載の建物単位ごとに、需要家となる合意形成対象者との調整状況を記載してください。</t>
    <rPh sb="36" eb="37">
      <t>ヒョウ</t>
    </rPh>
    <phoneticPr fontId="1"/>
  </si>
  <si>
    <t>※懸念事項及びその対応策については、本エクセルには記載いただきますが、様式１(Word)に貼付する必要はありません。</t>
    <phoneticPr fontId="1"/>
  </si>
  <si>
    <t>地方公共団体等と住民との
個別協議</t>
    <rPh sb="0" eb="2">
      <t>チホウ</t>
    </rPh>
    <rPh sb="2" eb="4">
      <t>コウキョウ</t>
    </rPh>
    <rPh sb="4" eb="6">
      <t>ダンタイ</t>
    </rPh>
    <rPh sb="6" eb="7">
      <t>トウ</t>
    </rPh>
    <rPh sb="8" eb="10">
      <t>ジュウミン</t>
    </rPh>
    <rPh sb="13" eb="15">
      <t>コベツ</t>
    </rPh>
    <rPh sb="15" eb="17">
      <t>キョウギ</t>
    </rPh>
    <phoneticPr fontId="1"/>
  </si>
  <si>
    <t>入力カウント</t>
    <rPh sb="0" eb="2">
      <t>ニュウリョク</t>
    </rPh>
    <phoneticPr fontId="1"/>
  </si>
  <si>
    <t>戸建住宅</t>
    <rPh sb="0" eb="4">
      <t>コダテジュウタク</t>
    </rPh>
    <phoneticPr fontId="1"/>
  </si>
  <si>
    <t>遊休農地</t>
    <rPh sb="0" eb="2">
      <t>ユウキュウ</t>
    </rPh>
    <rPh sb="2" eb="4">
      <t>ノウチ</t>
    </rPh>
    <phoneticPr fontId="1"/>
  </si>
  <si>
    <t>ため池</t>
    <rPh sb="2" eb="3">
      <t>イケ</t>
    </rPh>
    <phoneticPr fontId="1"/>
  </si>
  <si>
    <t>施設管理者とテナント・店舗等との間の合意</t>
    <rPh sb="0" eb="2">
      <t>シセツ</t>
    </rPh>
    <rPh sb="2" eb="5">
      <t>カンリシャ</t>
    </rPh>
    <rPh sb="11" eb="13">
      <t>テンポ</t>
    </rPh>
    <rPh sb="13" eb="14">
      <t>ナド</t>
    </rPh>
    <rPh sb="16" eb="17">
      <t>アイダ</t>
    </rPh>
    <rPh sb="18" eb="20">
      <t>ゴウイ</t>
    </rPh>
    <phoneticPr fontId="1"/>
  </si>
  <si>
    <t>地方公共団体等と施設管理者との個別協議</t>
    <rPh sb="0" eb="2">
      <t>チホウ</t>
    </rPh>
    <rPh sb="2" eb="4">
      <t>コウキョウ</t>
    </rPh>
    <rPh sb="4" eb="6">
      <t>ダンタイ</t>
    </rPh>
    <rPh sb="6" eb="7">
      <t>トウ</t>
    </rPh>
    <rPh sb="8" eb="10">
      <t>シセツ</t>
    </rPh>
    <rPh sb="10" eb="13">
      <t>カンリシャ</t>
    </rPh>
    <rPh sb="15" eb="17">
      <t>コベツ</t>
    </rPh>
    <rPh sb="17" eb="19">
      <t>キョウギ</t>
    </rPh>
    <phoneticPr fontId="1"/>
  </si>
  <si>
    <t>施設管理者との合意/地方公共団体等と施設管理者との個別協議</t>
    <rPh sb="7" eb="9">
      <t>ゴウイ</t>
    </rPh>
    <rPh sb="10" eb="16">
      <t>チホウコウキョウダンタイ</t>
    </rPh>
    <rPh sb="16" eb="17">
      <t>ナド</t>
    </rPh>
    <rPh sb="18" eb="23">
      <t>シセツカンリシャ</t>
    </rPh>
    <rPh sb="25" eb="29">
      <t>コベツキョウギ</t>
    </rPh>
    <phoneticPr fontId="1"/>
  </si>
  <si>
    <t>メリットやコスト等を含めた事業方針の説明</t>
    <rPh sb="8" eb="9">
      <t>ナド</t>
    </rPh>
    <rPh sb="10" eb="11">
      <t>フク</t>
    </rPh>
    <rPh sb="13" eb="15">
      <t>ジギョウ</t>
    </rPh>
    <rPh sb="15" eb="17">
      <t>ホウシン</t>
    </rPh>
    <rPh sb="18" eb="20">
      <t>セツメイ</t>
    </rPh>
    <phoneticPr fontId="1"/>
  </si>
  <si>
    <t>メリットやコスト等を含めた事業方針への内諾</t>
  </si>
  <si>
    <t>メリットやコスト等を含めた事業方針への内諾</t>
    <phoneticPr fontId="1"/>
  </si>
  <si>
    <t>事業概要説明</t>
  </si>
  <si>
    <t>施設カウント</t>
    <rPh sb="0" eb="2">
      <t>シセツ</t>
    </rPh>
    <phoneticPr fontId="1"/>
  </si>
  <si>
    <t>住宅</t>
  </si>
  <si>
    <t>業務その他</t>
  </si>
  <si>
    <t>業務その他</t>
    <rPh sb="0" eb="2">
      <t>ギョウム</t>
    </rPh>
    <rPh sb="4" eb="5">
      <t>タ</t>
    </rPh>
    <phoneticPr fontId="1"/>
  </si>
  <si>
    <t>公共</t>
  </si>
  <si>
    <t>取組カウント</t>
    <rPh sb="0" eb="2">
      <t>トリクミ</t>
    </rPh>
    <phoneticPr fontId="1"/>
  </si>
  <si>
    <t>取組</t>
    <rPh sb="0" eb="2">
      <t>トリクミ</t>
    </rPh>
    <phoneticPr fontId="1"/>
  </si>
  <si>
    <t>合意形成進捗度</t>
    <rPh sb="0" eb="7">
      <t>ゴウイケイセイシンチョクド</t>
    </rPh>
    <phoneticPr fontId="1"/>
  </si>
  <si>
    <t>【民生部門の電力需要家の状況（対象・施設数、直近年度の電力需要量等）】の表に記載の建物単位ごとに、需要家となる合意形成対象者との調整状況を記載してください。</t>
    <phoneticPr fontId="1"/>
  </si>
  <si>
    <t>事業費</t>
    <rPh sb="0" eb="3">
      <t>ジギョウヒ</t>
    </rPh>
    <phoneticPr fontId="1"/>
  </si>
  <si>
    <t>必要額</t>
    <rPh sb="0" eb="3">
      <t>ヒツヨウガク</t>
    </rPh>
    <phoneticPr fontId="1"/>
  </si>
  <si>
    <t>check</t>
    <phoneticPr fontId="1"/>
  </si>
  <si>
    <t>Result</t>
    <phoneticPr fontId="1"/>
  </si>
  <si>
    <t>部門</t>
    <rPh sb="0" eb="2">
      <t>ブモン</t>
    </rPh>
    <phoneticPr fontId="1"/>
  </si>
  <si>
    <t>エリア面積</t>
    <rPh sb="3" eb="5">
      <t>メンセキ</t>
    </rPh>
    <phoneticPr fontId="1"/>
  </si>
  <si>
    <t>【「実質ゼロ」の計算結果】</t>
  </si>
  <si>
    <t>民生部門の電力需要量
(kWh/年)</t>
  </si>
  <si>
    <t>再エネなどの電力供給量
(kWh/年)</t>
  </si>
  <si>
    <t>省エネによる電力削減量
(kWh/年)</t>
  </si>
  <si>
    <t>＝</t>
  </si>
  <si>
    <t>＋</t>
  </si>
  <si>
    <t>【民生部門の電力需要家の状況】</t>
  </si>
  <si>
    <t>【再エネ等の電力調達に関する状況】</t>
  </si>
  <si>
    <t>【省エネによる電力削減に関する状況】</t>
  </si>
  <si>
    <t>直近電力需要量の合計</t>
  </si>
  <si>
    <t>自家消費、相対契約、再エネ電力メニュー、証書の電力供給量の合計</t>
  </si>
  <si>
    <t>省エネによる電力削減量の合計</t>
  </si>
  <si>
    <t>【参考情報】</t>
  </si>
  <si>
    <t>提案地方公共団体全体の民生電力需要量（kWh/年）</t>
  </si>
  <si>
    <t>再エネ等の電力供給量のうち当該地方公共団体の域外から調達する量（kWh/年）</t>
  </si>
  <si>
    <t>先行地域の上記に占める
割合(%)</t>
  </si>
  <si>
    <t>上記のうち証書以外の当該地方公共団体の域外から調達する再エネ電力量（kWh/年）</t>
  </si>
  <si>
    <t>（上記の合計）先行地域に供給される新規再エネ導入量及び既存の再エネ発電量合計（kWh/年）</t>
  </si>
  <si>
    <t>先行地域のある地方公共団体内で調達する再エネ等電力証書
（kWh/年）</t>
  </si>
  <si>
    <t>Filter対応</t>
    <rPh sb="6" eb="8">
      <t>タイオウ</t>
    </rPh>
    <phoneticPr fontId="1"/>
  </si>
  <si>
    <r>
      <rPr>
        <b/>
        <sz val="11"/>
        <color theme="1"/>
        <rFont val="ＭＳ ゴシック"/>
        <family val="3"/>
        <charset val="128"/>
      </rPr>
      <t>民生部門電力</t>
    </r>
    <r>
      <rPr>
        <sz val="11"/>
        <color theme="1"/>
        <rFont val="ＭＳ ゴシック"/>
        <family val="3"/>
        <charset val="128"/>
      </rPr>
      <t>　【再エネ等の電力供給量のうち脱炭素先行地域がある地方公共団体で発電して消費する再エネ電力量の割合（地産地消割合）】</t>
    </r>
    <rPh sb="0" eb="4">
      <t>ミンセイブモン</t>
    </rPh>
    <rPh sb="4" eb="6">
      <t>デンリョク</t>
    </rPh>
    <phoneticPr fontId="1"/>
  </si>
  <si>
    <t>脱炭素先行地域がある地方公共団体内に設置された再エネ発電設備で発電して先行地域内の電力需要家が消費する再エネ電力量（※２）</t>
    <rPh sb="0" eb="1">
      <t>ダツ</t>
    </rPh>
    <rPh sb="1" eb="3">
      <t>タンソ</t>
    </rPh>
    <rPh sb="3" eb="5">
      <t>センコウ</t>
    </rPh>
    <rPh sb="5" eb="7">
      <t>チイキ</t>
    </rPh>
    <rPh sb="10" eb="12">
      <t>チホウ</t>
    </rPh>
    <rPh sb="12" eb="14">
      <t>コウキョウ</t>
    </rPh>
    <rPh sb="14" eb="16">
      <t>ダンタイ</t>
    </rPh>
    <rPh sb="16" eb="17">
      <t>ナイ</t>
    </rPh>
    <rPh sb="18" eb="20">
      <t>セッチ</t>
    </rPh>
    <rPh sb="23" eb="24">
      <t>サイ</t>
    </rPh>
    <rPh sb="26" eb="28">
      <t>ハツデン</t>
    </rPh>
    <rPh sb="28" eb="30">
      <t>セツビ</t>
    </rPh>
    <rPh sb="31" eb="33">
      <t>ハツデン</t>
    </rPh>
    <rPh sb="35" eb="37">
      <t>センコウ</t>
    </rPh>
    <rPh sb="37" eb="39">
      <t>チイキ</t>
    </rPh>
    <rPh sb="39" eb="40">
      <t>ナイ</t>
    </rPh>
    <rPh sb="41" eb="43">
      <t>デンリョク</t>
    </rPh>
    <rPh sb="43" eb="46">
      <t>ジュヨウカ</t>
    </rPh>
    <rPh sb="47" eb="49">
      <t>ショウヒ</t>
    </rPh>
    <rPh sb="51" eb="52">
      <t>サイ</t>
    </rPh>
    <rPh sb="54" eb="56">
      <t>デンリョク</t>
    </rPh>
    <rPh sb="56" eb="57">
      <t>リョウ</t>
    </rPh>
    <phoneticPr fontId="1"/>
  </si>
  <si>
    <t>【民生部門電力以外の排出削減等の取組】における表に記載されている取組の中で、民生部門以外の電力の取組について、「施設名」単位で各電力需要家に供給する再エネ電力の状況を下表に記載してください。</t>
    <phoneticPr fontId="1"/>
  </si>
  <si>
    <t>民生部門以外</t>
    <rPh sb="0" eb="6">
      <t>ミンセイブモンイガイ</t>
    </rPh>
    <phoneticPr fontId="1"/>
  </si>
  <si>
    <t>民生部門の再エネ等の電力調達に関する状況</t>
    <rPh sb="0" eb="2">
      <t>ミンセイ</t>
    </rPh>
    <rPh sb="2" eb="4">
      <t>ブモン</t>
    </rPh>
    <phoneticPr fontId="1"/>
  </si>
  <si>
    <t>Filter対応</t>
    <phoneticPr fontId="1"/>
  </si>
  <si>
    <t>4.2 CO2排出の実質ゼロの取組 / 4.3 民生部門電力以外の温室効果ガス排出削減等の取組</t>
    <rPh sb="7" eb="9">
      <t>ハイシュツ</t>
    </rPh>
    <rPh sb="10" eb="12">
      <t>ジッシツ</t>
    </rPh>
    <rPh sb="15" eb="16">
      <t>ト</t>
    </rPh>
    <rPh sb="16" eb="17">
      <t>ク</t>
    </rPh>
    <phoneticPr fontId="1"/>
  </si>
  <si>
    <t>タグ</t>
    <phoneticPr fontId="1"/>
  </si>
  <si>
    <t>除外後の導入可能量（①－②）(kW)</t>
    <phoneticPr fontId="1"/>
  </si>
  <si>
    <t>除外量(kW)</t>
    <phoneticPr fontId="1"/>
  </si>
  <si>
    <t>再エネ導入可能量を踏まえた提案地方公共団体内における新規導入予定の再エネ発電設備について、</t>
    <rPh sb="0" eb="1">
      <t>サイ</t>
    </rPh>
    <rPh sb="3" eb="8">
      <t>ドウニュウカノウリョウ</t>
    </rPh>
    <phoneticPr fontId="1"/>
  </si>
  <si>
    <t>基本情報（設置場所、設置者、設備能力、契約電力区分等）に加え、「基幹発電設備」と「設備導入の実現可能性」を記載してください。</t>
    <phoneticPr fontId="1"/>
  </si>
  <si>
    <t>住宅
(Filter)</t>
    <rPh sb="0" eb="2">
      <t>ジュウタク</t>
    </rPh>
    <phoneticPr fontId="1"/>
  </si>
  <si>
    <t>業務その他
(Filter)</t>
    <rPh sb="0" eb="2">
      <t>ギョウム</t>
    </rPh>
    <rPh sb="4" eb="5">
      <t>タ</t>
    </rPh>
    <phoneticPr fontId="1"/>
  </si>
  <si>
    <t>公共
(Filter)</t>
    <rPh sb="0" eb="2">
      <t>コウキョウ</t>
    </rPh>
    <phoneticPr fontId="1"/>
  </si>
  <si>
    <t>取組
(Filter)</t>
    <rPh sb="0" eb="2">
      <t>トリクミ</t>
    </rPh>
    <phoneticPr fontId="1"/>
  </si>
  <si>
    <t>＃</t>
    <phoneticPr fontId="1"/>
  </si>
  <si>
    <t>手入力</t>
    <rPh sb="0" eb="3">
      <t>テニュウリョク</t>
    </rPh>
    <phoneticPr fontId="1"/>
  </si>
  <si>
    <t>設備導入の実現可能性</t>
    <rPh sb="0" eb="2">
      <t>セツビ</t>
    </rPh>
    <rPh sb="2" eb="3">
      <t>シルベ</t>
    </rPh>
    <rPh sb="4" eb="6">
      <t>ジツゲン</t>
    </rPh>
    <rPh sb="6" eb="8">
      <t>カノウ</t>
    </rPh>
    <rPh sb="8" eb="9">
      <t>セイ</t>
    </rPh>
    <phoneticPr fontId="1"/>
  </si>
  <si>
    <t>設備導入の実現可能性</t>
    <rPh sb="0" eb="4">
      <t>セツビドウニュウ</t>
    </rPh>
    <rPh sb="4" eb="9">
      <t>ジツゲンカノウセイ</t>
    </rPh>
    <phoneticPr fontId="1"/>
  </si>
  <si>
    <t>民生
需要家数</t>
    <rPh sb="0" eb="2">
      <t>ミンセイ</t>
    </rPh>
    <rPh sb="3" eb="6">
      <t>ジュヨウカ</t>
    </rPh>
    <rPh sb="6" eb="7">
      <t>スウ</t>
    </rPh>
    <phoneticPr fontId="48"/>
  </si>
  <si>
    <t>再エネ情報提供システム（REPOS）などの算出ツールや衛星写真の活用、独自の調査により算出した脱炭素先行地域がある地方公共団体内の再エネ賦存量のうち、
生態系をはじめとした自然環境や景観等への影響を回避又は極力低減するとともに、災害防止や経済合理性、その他支障の有無も踏まえ、除外すべきものを除いた実際の導入可能な量を、
再エネの種類ごとに定量的に記載してください。</t>
    <phoneticPr fontId="1"/>
  </si>
  <si>
    <t>施設は各対象の区分の中で可能な限りまとめて記載してください。</t>
    <phoneticPr fontId="1"/>
  </si>
  <si>
    <t>地域の特性に応じ、民生部門の電力以外で、地球温暖化対策計画とも整合する温室効果ガスの削減に資する取組を、</t>
    <phoneticPr fontId="1"/>
  </si>
  <si>
    <t>少なくとも１つ以上記載してください。</t>
    <phoneticPr fontId="1"/>
  </si>
  <si>
    <t>注意喚起</t>
    <rPh sb="0" eb="2">
      <t>チュウイ</t>
    </rPh>
    <rPh sb="2" eb="4">
      <t>カンキ</t>
    </rPh>
    <phoneticPr fontId="1"/>
  </si>
  <si>
    <t>Excelの操作中に、左記のような「注意メッセージ」が出ることがあります。</t>
    <rPh sb="6" eb="8">
      <t>ソウサ</t>
    </rPh>
    <rPh sb="8" eb="9">
      <t>チュウ</t>
    </rPh>
    <rPh sb="11" eb="13">
      <t>サキ</t>
    </rPh>
    <rPh sb="18" eb="20">
      <t>チュウイ</t>
    </rPh>
    <rPh sb="27" eb="28">
      <t>デ</t>
    </rPh>
    <phoneticPr fontId="1"/>
  </si>
  <si>
    <t>その際は、必ず「OK」を選択してください。</t>
    <rPh sb="2" eb="3">
      <t>サイ</t>
    </rPh>
    <rPh sb="5" eb="6">
      <t>カナラ</t>
    </rPh>
    <rPh sb="12" eb="14">
      <t>センタク</t>
    </rPh>
    <phoneticPr fontId="1"/>
  </si>
  <si>
    <t>「キャンセル」を選択すると、行追加・削除の動作が止まる恐れがあります。</t>
    <rPh sb="8" eb="10">
      <t>センタク</t>
    </rPh>
    <rPh sb="14" eb="17">
      <t>ギョウツイカ</t>
    </rPh>
    <rPh sb="18" eb="20">
      <t>サクジョ</t>
    </rPh>
    <rPh sb="21" eb="23">
      <t>ドウサ</t>
    </rPh>
    <rPh sb="24" eb="25">
      <t>ト</t>
    </rPh>
    <rPh sb="27" eb="28">
      <t>オソ</t>
    </rPh>
    <phoneticPr fontId="1"/>
  </si>
  <si>
    <t>低圧</t>
    <rPh sb="0" eb="2">
      <t>テイアツ</t>
    </rPh>
    <phoneticPr fontId="1"/>
  </si>
  <si>
    <t>①～③
合意数
加点</t>
    <rPh sb="4" eb="7">
      <t>ゴウイスウ</t>
    </rPh>
    <rPh sb="8" eb="10">
      <t>カテン</t>
    </rPh>
    <phoneticPr fontId="1"/>
  </si>
  <si>
    <t>必要に応じて、行をコピー＆挿入・削除してください。</t>
  </si>
  <si>
    <t>取組ごとに関係者となる、合意形成対象者との調整状況を記載してください。
需要家として合意形成が必要と考えられる全ての対象者について、記載してください。必要に応じて、行をコピー＆挿入・削除してください。
※懸念事項及びその対応策については、本エクセルには記載いただきますが、様式１(Word)に貼付する必要はありません。</t>
  </si>
  <si>
    <t>【再エネ等の電力調達に関する状況】の電力供給量の合計</t>
    <rPh sb="1" eb="2">
      <t>サイ</t>
    </rPh>
    <rPh sb="4" eb="5">
      <t>ナド</t>
    </rPh>
    <rPh sb="6" eb="8">
      <t>デンリョク</t>
    </rPh>
    <rPh sb="8" eb="10">
      <t>チョウタツ</t>
    </rPh>
    <rPh sb="11" eb="12">
      <t>カン</t>
    </rPh>
    <rPh sb="14" eb="16">
      <t>ジョウキョウ</t>
    </rPh>
    <rPh sb="18" eb="20">
      <t>デンリョク</t>
    </rPh>
    <rPh sb="20" eb="22">
      <t>キョウキュウ</t>
    </rPh>
    <rPh sb="22" eb="23">
      <t>リョウ</t>
    </rPh>
    <rPh sb="24" eb="26">
      <t>ゴウケイ</t>
    </rPh>
    <phoneticPr fontId="1"/>
  </si>
  <si>
    <t>行の追加方法について</t>
    <rPh sb="0" eb="1">
      <t>ギョウ</t>
    </rPh>
    <rPh sb="2" eb="4">
      <t>ツイカ</t>
    </rPh>
    <rPh sb="4" eb="6">
      <t>ホウホウ</t>
    </rPh>
    <phoneticPr fontId="1"/>
  </si>
  <si>
    <t>②右クリック→コピー</t>
    <rPh sb="1" eb="2">
      <t>ミギ</t>
    </rPh>
    <phoneticPr fontId="1"/>
  </si>
  <si>
    <r>
      <t>①追加したい箇所の</t>
    </r>
    <r>
      <rPr>
        <b/>
        <sz val="16"/>
        <color rgb="FFFF0000"/>
        <rFont val="游ゴシック"/>
        <family val="3"/>
        <charset val="128"/>
        <scheme val="minor"/>
      </rPr>
      <t>行全体</t>
    </r>
    <r>
      <rPr>
        <b/>
        <sz val="16"/>
        <color theme="1"/>
        <rFont val="游ゴシック"/>
        <family val="3"/>
        <charset val="128"/>
        <scheme val="minor"/>
      </rPr>
      <t>を選択(未入力の行を選択してください)</t>
    </r>
    <rPh sb="1" eb="3">
      <t>ツイカ</t>
    </rPh>
    <rPh sb="6" eb="8">
      <t>カショ</t>
    </rPh>
    <rPh sb="9" eb="10">
      <t>ギョウ</t>
    </rPh>
    <rPh sb="10" eb="12">
      <t>ゼンタイ</t>
    </rPh>
    <rPh sb="13" eb="15">
      <t>センタク</t>
    </rPh>
    <rPh sb="16" eb="19">
      <t>ミニュウリョク</t>
    </rPh>
    <rPh sb="20" eb="21">
      <t>ギョウ</t>
    </rPh>
    <rPh sb="22" eb="24">
      <t>センタク</t>
    </rPh>
    <phoneticPr fontId="1"/>
  </si>
  <si>
    <t>③コピーした行全体を再度選択し、「コピーしたセルの挿入」</t>
    <phoneticPr fontId="1"/>
  </si>
  <si>
    <t>セルの色について</t>
    <rPh sb="3" eb="4">
      <t>イロ</t>
    </rPh>
    <phoneticPr fontId="1"/>
  </si>
  <si>
    <t>入力対象セル</t>
    <rPh sb="0" eb="4">
      <t>ニュウリョクタイショウ</t>
    </rPh>
    <phoneticPr fontId="1"/>
  </si>
  <si>
    <t>自動入力セル</t>
    <rPh sb="0" eb="2">
      <t>ジドウ</t>
    </rPh>
    <rPh sb="2" eb="4">
      <t>ニュウリョク</t>
    </rPh>
    <phoneticPr fontId="1"/>
  </si>
  <si>
    <t>入力が必要なセルと、入力したセルの内容によって自動で計算結果等が反映されるセルを色分けしています。</t>
    <rPh sb="0" eb="2">
      <t>ニュウリョク</t>
    </rPh>
    <rPh sb="3" eb="5">
      <t>ヒツヨウ</t>
    </rPh>
    <rPh sb="10" eb="12">
      <t>ニュウリョク</t>
    </rPh>
    <rPh sb="17" eb="19">
      <t>ナイヨウ</t>
    </rPh>
    <rPh sb="23" eb="25">
      <t>ジドウ</t>
    </rPh>
    <rPh sb="26" eb="28">
      <t>ケイサン</t>
    </rPh>
    <rPh sb="28" eb="30">
      <t>ケッカ</t>
    </rPh>
    <rPh sb="30" eb="31">
      <t>ナド</t>
    </rPh>
    <rPh sb="32" eb="34">
      <t>ハンエイ</t>
    </rPh>
    <rPh sb="40" eb="42">
      <t>イロワ</t>
    </rPh>
    <phoneticPr fontId="1"/>
  </si>
  <si>
    <t>○○エリア</t>
  </si>
  <si>
    <t>表入力に際して、あらかじめ用意されている行数では足りない場合、以下の手順で行を追加ください。</t>
    <rPh sb="0" eb="3">
      <t>ヒョウニュウリョク</t>
    </rPh>
    <rPh sb="4" eb="5">
      <t>サイ</t>
    </rPh>
    <rPh sb="13" eb="15">
      <t>ヨウイ</t>
    </rPh>
    <rPh sb="20" eb="22">
      <t>ギョウスウ</t>
    </rPh>
    <rPh sb="24" eb="25">
      <t>タ</t>
    </rPh>
    <rPh sb="28" eb="30">
      <t>バアイ</t>
    </rPh>
    <rPh sb="31" eb="33">
      <t>イカ</t>
    </rPh>
    <rPh sb="34" eb="36">
      <t>テジュン</t>
    </rPh>
    <rPh sb="37" eb="38">
      <t>ギョウ</t>
    </rPh>
    <rPh sb="39" eb="41">
      <t>ツイカ</t>
    </rPh>
    <phoneticPr fontId="1"/>
  </si>
  <si>
    <r>
      <t>4.2 再エネ等の電力供給に関する状況（施設名・施設数、調達方法 、電力供給量）　</t>
    </r>
    <r>
      <rPr>
        <b/>
        <sz val="11"/>
        <color rgb="FFFF0000"/>
        <rFont val="ＭＳ ゴシック"/>
        <family val="3"/>
        <charset val="128"/>
      </rPr>
      <t>民生部門</t>
    </r>
    <rPh sb="20" eb="23">
      <t>シセツメイ</t>
    </rPh>
    <rPh sb="41" eb="43">
      <t>ミンセイ</t>
    </rPh>
    <rPh sb="43" eb="45">
      <t>ブモン</t>
    </rPh>
    <phoneticPr fontId="1"/>
  </si>
  <si>
    <t>※「行全体を右クリック」→「挿入」はおこなわないでください。左記手順で挿入を行った場合、下図のように追加行が赤く塗りつぶされますので、</t>
    <rPh sb="2" eb="3">
      <t>ギョウ</t>
    </rPh>
    <rPh sb="3" eb="5">
      <t>ゼンタイ</t>
    </rPh>
    <rPh sb="6" eb="7">
      <t>ミギ</t>
    </rPh>
    <rPh sb="14" eb="16">
      <t>ソウニュウ</t>
    </rPh>
    <rPh sb="30" eb="34">
      <t>サキテジュン</t>
    </rPh>
    <rPh sb="35" eb="37">
      <t>ソウニュウ</t>
    </rPh>
    <rPh sb="38" eb="39">
      <t>オコナ</t>
    </rPh>
    <rPh sb="41" eb="43">
      <t>バアイ</t>
    </rPh>
    <rPh sb="44" eb="46">
      <t>カズ</t>
    </rPh>
    <rPh sb="50" eb="52">
      <t>ツイカ</t>
    </rPh>
    <rPh sb="52" eb="53">
      <t>ギョウ</t>
    </rPh>
    <rPh sb="54" eb="55">
      <t>アカ</t>
    </rPh>
    <rPh sb="56" eb="57">
      <t>ヌ</t>
    </rPh>
    <phoneticPr fontId="1"/>
  </si>
  <si>
    <t>「Ctrl+Z」等で操作をもとに戻し、再度上記手順から追加をお願いいたします。</t>
    <rPh sb="8" eb="9">
      <t>ナド</t>
    </rPh>
    <rPh sb="19" eb="21">
      <t>サイド</t>
    </rPh>
    <rPh sb="21" eb="23">
      <t>ジョウキ</t>
    </rPh>
    <rPh sb="23" eb="25">
      <t>テジュン</t>
    </rPh>
    <rPh sb="27" eb="29">
      <t>ツイカ</t>
    </rPh>
    <rPh sb="31" eb="32">
      <t>ネガ</t>
    </rPh>
    <phoneticPr fontId="1"/>
  </si>
  <si>
    <t>事業費
（千円）</t>
    <rPh sb="0" eb="3">
      <t>ジギョウヒ</t>
    </rPh>
    <rPh sb="5" eb="7">
      <t>センエン</t>
    </rPh>
    <phoneticPr fontId="1"/>
  </si>
  <si>
    <t>事業費（年度合計）（千円）</t>
    <rPh sb="0" eb="2">
      <t>ジギョウ</t>
    </rPh>
    <rPh sb="2" eb="3">
      <t>ヒ</t>
    </rPh>
    <rPh sb="5" eb="7">
      <t>ネンド</t>
    </rPh>
    <rPh sb="7" eb="9">
      <t>ゴウケイ</t>
    </rPh>
    <rPh sb="11" eb="13">
      <t>センエン</t>
    </rPh>
    <phoneticPr fontId="1"/>
  </si>
  <si>
    <t>(小計)
温室効果ガス
排出削減量
(t-CO2/年)</t>
    <phoneticPr fontId="1"/>
  </si>
  <si>
    <t>(低圧)申込準備完了</t>
    <rPh sb="1" eb="3">
      <t>テイアツ</t>
    </rPh>
    <rPh sb="4" eb="5">
      <t>モウ</t>
    </rPh>
    <rPh sb="5" eb="6">
      <t>コ</t>
    </rPh>
    <rPh sb="6" eb="8">
      <t>ジュンビ</t>
    </rPh>
    <rPh sb="8" eb="10">
      <t>カンリョウ</t>
    </rPh>
    <phoneticPr fontId="1"/>
  </si>
  <si>
    <t>(低圧)申込準備開始</t>
    <rPh sb="1" eb="3">
      <t>テイアツ</t>
    </rPh>
    <rPh sb="4" eb="5">
      <t>モウ</t>
    </rPh>
    <rPh sb="5" eb="6">
      <t>コ</t>
    </rPh>
    <rPh sb="6" eb="8">
      <t>ジュンビ</t>
    </rPh>
    <rPh sb="8" eb="10">
      <t>カイシ</t>
    </rPh>
    <phoneticPr fontId="1"/>
  </si>
  <si>
    <t>(単独)事前相談(書面等での接続可能性確認)開始</t>
    <rPh sb="22" eb="24">
      <t>カイシ</t>
    </rPh>
    <phoneticPr fontId="1"/>
  </si>
  <si>
    <t>(単独)接続検討申込開始</t>
    <rPh sb="10" eb="12">
      <t>カイシ</t>
    </rPh>
    <phoneticPr fontId="1"/>
  </si>
  <si>
    <t>(単独)契約申込開始</t>
    <rPh sb="8" eb="10">
      <t>カイシ</t>
    </rPh>
    <phoneticPr fontId="1"/>
  </si>
  <si>
    <t>(一括)再接続検討開始</t>
    <rPh sb="9" eb="11">
      <t>カイシ</t>
    </rPh>
    <phoneticPr fontId="1"/>
  </si>
  <si>
    <t>(一括)契約申込開始</t>
    <rPh sb="8" eb="10">
      <t>カイシ</t>
    </rPh>
    <phoneticPr fontId="1"/>
  </si>
  <si>
    <t>(一括)契約申込済</t>
    <phoneticPr fontId="1"/>
  </si>
  <si>
    <t>(一括)工事費負担金入金済</t>
    <phoneticPr fontId="1"/>
  </si>
  <si>
    <t>(一括)応募済</t>
    <phoneticPr fontId="1"/>
  </si>
  <si>
    <t>(一括)接続検討開始</t>
    <rPh sb="8" eb="9">
      <t>カイ</t>
    </rPh>
    <phoneticPr fontId="1"/>
  </si>
  <si>
    <t>(一括)接続検討済</t>
    <phoneticPr fontId="1"/>
  </si>
  <si>
    <t>(一括)再接続検討済</t>
    <phoneticPr fontId="1"/>
  </si>
  <si>
    <t>検討不要</t>
    <phoneticPr fontId="1"/>
  </si>
  <si>
    <t>(単独)事業内容・コンセプト等共有済</t>
    <phoneticPr fontId="1"/>
  </si>
  <si>
    <t>検討未実施</t>
  </si>
  <si>
    <t>4.1(2)新規再エネ導入量合計（kWh/年）</t>
    <rPh sb="6" eb="8">
      <t>シンキ</t>
    </rPh>
    <rPh sb="8" eb="9">
      <t>サイ</t>
    </rPh>
    <rPh sb="11" eb="13">
      <t>ドウニュウ</t>
    </rPh>
    <rPh sb="13" eb="14">
      <t>リョウ</t>
    </rPh>
    <rPh sb="14" eb="16">
      <t>ゴウケイ</t>
    </rPh>
    <rPh sb="21" eb="22">
      <t>ネン</t>
    </rPh>
    <phoneticPr fontId="1"/>
  </si>
  <si>
    <t>4.1(3)利用可能な既存の再エネ発電量のうち、先行地域に供給される電力量合計（kWh/年）</t>
    <rPh sb="6" eb="8">
      <t>リヨウ</t>
    </rPh>
    <rPh sb="8" eb="10">
      <t>カノウ</t>
    </rPh>
    <rPh sb="11" eb="13">
      <t>キゾン</t>
    </rPh>
    <rPh sb="14" eb="15">
      <t>サイ</t>
    </rPh>
    <rPh sb="17" eb="19">
      <t>ハツデン</t>
    </rPh>
    <rPh sb="19" eb="20">
      <t>リョウ</t>
    </rPh>
    <rPh sb="24" eb="26">
      <t>センコウ</t>
    </rPh>
    <rPh sb="26" eb="28">
      <t>チイキ</t>
    </rPh>
    <rPh sb="28" eb="30">
      <t>キョウキュウ</t>
    </rPh>
    <rPh sb="33" eb="36">
      <t>デンリョクリョウ</t>
    </rPh>
    <rPh sb="37" eb="39">
      <t>ゴウケイ</t>
    </rPh>
    <rPh sb="44" eb="45">
      <t>ネン</t>
    </rPh>
    <phoneticPr fontId="1"/>
  </si>
  <si>
    <t>〇〇発電(こちらに発電方式を記載ください)</t>
    <rPh sb="2" eb="4">
      <t>ハツデン</t>
    </rPh>
    <rPh sb="9" eb="13">
      <t>ハツデンホウシキ</t>
    </rPh>
    <rPh sb="14" eb="16">
      <t>キサイ</t>
    </rPh>
    <phoneticPr fontId="1"/>
  </si>
  <si>
    <t>接続状況(低圧)</t>
    <rPh sb="0" eb="4">
      <t>セツゾクジョウキョウ</t>
    </rPh>
    <rPh sb="5" eb="7">
      <t>テイアツ</t>
    </rPh>
    <phoneticPr fontId="1"/>
  </si>
  <si>
    <t>接続状況(高圧・特別高圧)</t>
    <rPh sb="0" eb="4">
      <t>セツゾクジョウキョウ</t>
    </rPh>
    <rPh sb="5" eb="7">
      <t>コウアツ</t>
    </rPh>
    <rPh sb="8" eb="12">
      <t>トクベツコウアツ</t>
    </rPh>
    <phoneticPr fontId="1"/>
  </si>
  <si>
    <t>①産業部門（工業、農林水産業等）</t>
    <phoneticPr fontId="1"/>
  </si>
  <si>
    <t>②熱利用・供給</t>
    <phoneticPr fontId="1"/>
  </si>
  <si>
    <t>③運輸部門（自動車・交通 /EV・FCV・EVスタンド等）</t>
    <phoneticPr fontId="1"/>
  </si>
  <si>
    <t>なお、事務執行費を計上予定の場合は忘れず記載してください。</t>
    <phoneticPr fontId="1"/>
  </si>
  <si>
    <t>別途、作成の｢費用効率性算出シート（Excel形式）｣の同一の事業は、事業費・必要額の合計金額が一致するように注意してください。</t>
    <phoneticPr fontId="1"/>
  </si>
  <si>
    <t>当該地方公共団体の域外から調達する量</t>
    <rPh sb="0" eb="2">
      <t>トウガイ</t>
    </rPh>
    <rPh sb="2" eb="4">
      <t>チホウ</t>
    </rPh>
    <rPh sb="4" eb="6">
      <t>コウキョウ</t>
    </rPh>
    <rPh sb="6" eb="8">
      <t>ダンタイ</t>
    </rPh>
    <rPh sb="9" eb="11">
      <t>イキガイ</t>
    </rPh>
    <rPh sb="13" eb="15">
      <t>チョウタツ</t>
    </rPh>
    <rPh sb="17" eb="18">
      <t>リョウ</t>
    </rPh>
    <phoneticPr fontId="1"/>
  </si>
  <si>
    <t>(kWh/年)</t>
  </si>
  <si>
    <t>省エネによる
電力削減量
(kWh/年)</t>
    <rPh sb="0" eb="1">
      <t>ショウ</t>
    </rPh>
    <rPh sb="7" eb="12">
      <t>デンリョクサクゲンリョウ</t>
    </rPh>
    <rPh sb="18" eb="19">
      <t>ネン</t>
    </rPh>
    <phoneticPr fontId="1"/>
  </si>
  <si>
    <t>6.2関係者との合意形成状況</t>
  </si>
  <si>
    <t>4.3電力供給状況(民生部門電力以外)</t>
  </si>
  <si>
    <t>4.3民生部門電力以外の取組</t>
  </si>
  <si>
    <t>4.3民生部門電力以外の排出削減取組</t>
  </si>
  <si>
    <t>4.2電力削減量</t>
  </si>
  <si>
    <t>4.2地産地消割合</t>
  </si>
  <si>
    <t>4.2電力供給状況(民生部門)</t>
  </si>
  <si>
    <t>4.2需要家合意形成状況(公共)</t>
  </si>
  <si>
    <t>4.2需要家合意形成状況(民生・業務その他)</t>
  </si>
  <si>
    <t>4.2需要家合意形成状況(住宅)</t>
  </si>
  <si>
    <t>4.2民生電力需要量</t>
  </si>
  <si>
    <t>4.2実質ゼロ(サマリ)</t>
  </si>
  <si>
    <t>4.2対象地域の民生需要家数等</t>
  </si>
  <si>
    <t>4.2実質ゼロ(計算結果)</t>
  </si>
  <si>
    <t>4.1(3)活用可能な既存の再エネ発電設備</t>
  </si>
  <si>
    <t>4.1(2)新規の再エネ発電設備の導入(別表)</t>
  </si>
  <si>
    <t>4.1(2)新規再エネ導入予定(合意形成)</t>
  </si>
  <si>
    <t>4.1(2)新規再エネ導入予定(FS調査、系統接続検討状況)</t>
  </si>
  <si>
    <t>4.1(2)新規再エネ導入予定（設備情報）</t>
  </si>
  <si>
    <t>4.1(1)再エネ導入可能量</t>
  </si>
  <si>
    <t>3.4活用想定補助金(年度別)</t>
  </si>
  <si>
    <t>3.4活用想定補助金(事業別)</t>
  </si>
  <si>
    <t>1.1対象エリアの規模等</t>
  </si>
  <si>
    <t>表紙</t>
    <phoneticPr fontId="1"/>
  </si>
  <si>
    <t>sheet</t>
    <phoneticPr fontId="1"/>
  </si>
  <si>
    <t>1_1</t>
    <phoneticPr fontId="1"/>
  </si>
  <si>
    <t>2_1</t>
    <phoneticPr fontId="1"/>
  </si>
  <si>
    <t>3_1</t>
    <phoneticPr fontId="1"/>
  </si>
  <si>
    <t>4_1</t>
    <phoneticPr fontId="1"/>
  </si>
  <si>
    <t>5_1</t>
    <phoneticPr fontId="1"/>
  </si>
  <si>
    <t>6_1</t>
    <phoneticPr fontId="1"/>
  </si>
  <si>
    <t>7_1</t>
    <phoneticPr fontId="1"/>
  </si>
  <si>
    <t>8_1</t>
    <phoneticPr fontId="1"/>
  </si>
  <si>
    <t>入力漏れなし</t>
    <rPh sb="0" eb="2">
      <t>ニュウリョク</t>
    </rPh>
    <rPh sb="2" eb="3">
      <t>モ</t>
    </rPh>
    <phoneticPr fontId="1"/>
  </si>
  <si>
    <t>合意状況</t>
    <rPh sb="0" eb="2">
      <t>ゴウイ</t>
    </rPh>
    <rPh sb="2" eb="4">
      <t>ジョウキョウ</t>
    </rPh>
    <phoneticPr fontId="1"/>
  </si>
  <si>
    <t>result</t>
    <phoneticPr fontId="1"/>
  </si>
  <si>
    <t>入力漏れなし</t>
    <rPh sb="0" eb="3">
      <t>ニュウリョクモ</t>
    </rPh>
    <phoneticPr fontId="1"/>
  </si>
  <si>
    <t>No.</t>
    <phoneticPr fontId="1"/>
  </si>
  <si>
    <t>主たる提案者</t>
    <rPh sb="0" eb="1">
      <t>シュ</t>
    </rPh>
    <rPh sb="3" eb="6">
      <t>テイアンシャ</t>
    </rPh>
    <phoneticPr fontId="1"/>
  </si>
  <si>
    <t>バイオマス
発電量
(kWh/年)</t>
    <rPh sb="6" eb="9">
      <t>ハツデンリョウ</t>
    </rPh>
    <phoneticPr fontId="1"/>
  </si>
  <si>
    <t>非再エネ</t>
    <rPh sb="0" eb="1">
      <t>ヒ</t>
    </rPh>
    <rPh sb="1" eb="2">
      <t>サイ</t>
    </rPh>
    <phoneticPr fontId="1"/>
  </si>
  <si>
    <t>再エネ</t>
    <rPh sb="0" eb="1">
      <t>サイ</t>
    </rPh>
    <phoneticPr fontId="1"/>
  </si>
  <si>
    <t>電力調達量
(kWh/年)</t>
    <rPh sb="2" eb="4">
      <t>チョウタツ</t>
    </rPh>
    <phoneticPr fontId="1"/>
  </si>
  <si>
    <t>電力調達量
(kWh/年)</t>
    <rPh sb="0" eb="2">
      <t>デンリョク</t>
    </rPh>
    <rPh sb="2" eb="4">
      <t>チョウタツ</t>
    </rPh>
    <rPh sb="4" eb="5">
      <t>リョウ</t>
    </rPh>
    <rPh sb="11" eb="12">
      <t>ネン</t>
    </rPh>
    <phoneticPr fontId="1"/>
  </si>
  <si>
    <t>需要量
(kWh/年)</t>
    <rPh sb="0" eb="3">
      <t>ジュヨウリョウ</t>
    </rPh>
    <phoneticPr fontId="1"/>
  </si>
  <si>
    <t>電力</t>
    <phoneticPr fontId="1"/>
  </si>
  <si>
    <t>再エネ
電力調達量
(kWh/年)</t>
    <rPh sb="0" eb="1">
      <t>サイ</t>
    </rPh>
    <rPh sb="6" eb="8">
      <t>チョウタツ</t>
    </rPh>
    <phoneticPr fontId="1"/>
  </si>
  <si>
    <t>非再エネ
電力調達量
(kWh/年)</t>
    <rPh sb="0" eb="1">
      <t>ヒ</t>
    </rPh>
    <phoneticPr fontId="1"/>
  </si>
  <si>
    <r>
      <t xml:space="preserve">4.3 再エネ等の電力供給に関する状況（施設名・施設数、調達方法 、電力供給量） </t>
    </r>
    <r>
      <rPr>
        <b/>
        <sz val="11"/>
        <color rgb="FFFF0000"/>
        <rFont val="ＭＳ ゴシック"/>
        <family val="3"/>
        <charset val="128"/>
      </rPr>
      <t>民生部門以外</t>
    </r>
    <rPh sb="20" eb="23">
      <t>シセツメイ</t>
    </rPh>
    <rPh sb="41" eb="43">
      <t>ミンセイ</t>
    </rPh>
    <rPh sb="43" eb="45">
      <t>ブモン</t>
    </rPh>
    <rPh sb="45" eb="47">
      <t>イガイ</t>
    </rPh>
    <phoneticPr fontId="1"/>
  </si>
  <si>
    <t>民生部門以外の再エネ等の電力調達に関する状況</t>
    <rPh sb="0" eb="2">
      <t>ミンセイ</t>
    </rPh>
    <rPh sb="2" eb="4">
      <t>ブモン</t>
    </rPh>
    <rPh sb="4" eb="6">
      <t>イガイ</t>
    </rPh>
    <phoneticPr fontId="1"/>
  </si>
  <si>
    <t>民生部門以外の電力　合計</t>
    <rPh sb="0" eb="2">
      <t>ミンセイ</t>
    </rPh>
    <rPh sb="2" eb="4">
      <t>ブモン</t>
    </rPh>
    <rPh sb="4" eb="6">
      <t>イガイ</t>
    </rPh>
    <rPh sb="7" eb="9">
      <t>デンリョク</t>
    </rPh>
    <rPh sb="10" eb="12">
      <t>ゴウケイ</t>
    </rPh>
    <phoneticPr fontId="1"/>
  </si>
  <si>
    <t>【民生部門以外の電力取組】</t>
    <rPh sb="1" eb="3">
      <t>ミンセイ</t>
    </rPh>
    <rPh sb="3" eb="5">
      <t>ブモン</t>
    </rPh>
    <rPh sb="5" eb="7">
      <t>イガイ</t>
    </rPh>
    <rPh sb="8" eb="10">
      <t>デンリョク</t>
    </rPh>
    <rPh sb="10" eb="12">
      <t>トリクミ</t>
    </rPh>
    <phoneticPr fontId="1"/>
  </si>
  <si>
    <r>
      <rPr>
        <b/>
        <sz val="11"/>
        <color theme="1"/>
        <rFont val="ＭＳ ゴシック"/>
        <family val="3"/>
        <charset val="128"/>
      </rPr>
      <t>民生部門以外電力</t>
    </r>
    <r>
      <rPr>
        <sz val="11"/>
        <color theme="1"/>
        <rFont val="ＭＳ ゴシック"/>
        <family val="3"/>
        <charset val="128"/>
      </rPr>
      <t>　【再エネ等の電力供給量のうち脱炭素先行地域がある地方公共団体で発電して消費する再エネ電力量の割合（地産地消割合）】</t>
    </r>
    <rPh sb="0" eb="2">
      <t>ミンセイ</t>
    </rPh>
    <rPh sb="2" eb="4">
      <t>ブモン</t>
    </rPh>
    <rPh sb="4" eb="6">
      <t>イガイ</t>
    </rPh>
    <rPh sb="6" eb="7">
      <t>チカラ</t>
    </rPh>
    <phoneticPr fontId="1"/>
  </si>
  <si>
    <t>その他交付金
/補助金</t>
    <rPh sb="2" eb="3">
      <t>ホカ</t>
    </rPh>
    <rPh sb="3" eb="6">
      <t>コウフキン</t>
    </rPh>
    <rPh sb="8" eb="11">
      <t>ホジョキン</t>
    </rPh>
    <phoneticPr fontId="1"/>
  </si>
  <si>
    <t>地域脱炭素移行・再エネ推進交付金</t>
    <rPh sb="0" eb="2">
      <t>チイキ</t>
    </rPh>
    <rPh sb="2" eb="3">
      <t>ダツ</t>
    </rPh>
    <rPh sb="3" eb="5">
      <t>タンソ</t>
    </rPh>
    <rPh sb="5" eb="7">
      <t>イコウ</t>
    </rPh>
    <rPh sb="8" eb="9">
      <t>サイ</t>
    </rPh>
    <rPh sb="11" eb="13">
      <t>スイシン</t>
    </rPh>
    <rPh sb="13" eb="16">
      <t>コウフキン</t>
    </rPh>
    <phoneticPr fontId="1"/>
  </si>
  <si>
    <t>特定地域脱炭素移行加速化交付金【GX】</t>
    <phoneticPr fontId="1"/>
  </si>
  <si>
    <t>地域脱炭素移行・
再エネ推進交付金</t>
    <phoneticPr fontId="1"/>
  </si>
  <si>
    <t>合意形成対象者数</t>
    <phoneticPr fontId="1"/>
  </si>
  <si>
    <t>地方公共団体が所有する廃棄物処理施設</t>
    <phoneticPr fontId="1"/>
  </si>
  <si>
    <t>費用効率性算出ツール</t>
    <phoneticPr fontId="1"/>
  </si>
  <si>
    <t>都道府県名</t>
    <rPh sb="0" eb="4">
      <t>トドウフケン</t>
    </rPh>
    <rPh sb="4" eb="5">
      <t>メイ</t>
    </rPh>
    <phoneticPr fontId="1"/>
  </si>
  <si>
    <t>自治体名</t>
    <rPh sb="0" eb="3">
      <t>ジチタイ</t>
    </rPh>
    <rPh sb="3" eb="4">
      <t>メイ</t>
    </rPh>
    <phoneticPr fontId="1"/>
  </si>
  <si>
    <t>自治体コード</t>
    <phoneticPr fontId="1"/>
  </si>
  <si>
    <t>財政力指数</t>
    <rPh sb="0" eb="3">
      <t>ザイセイリョク</t>
    </rPh>
    <rPh sb="3" eb="5">
      <t>シスウ</t>
    </rPh>
    <phoneticPr fontId="1"/>
  </si>
  <si>
    <t>交付期間</t>
    <rPh sb="0" eb="2">
      <t>コウフ</t>
    </rPh>
    <rPh sb="2" eb="4">
      <t>キカン</t>
    </rPh>
    <phoneticPr fontId="1"/>
  </si>
  <si>
    <t>番号</t>
    <rPh sb="0" eb="2">
      <t>バンゴウ</t>
    </rPh>
    <phoneticPr fontId="1"/>
  </si>
  <si>
    <t>事業実施方法</t>
    <rPh sb="0" eb="2">
      <t>ジギョウ</t>
    </rPh>
    <rPh sb="2" eb="4">
      <t>ジッシ</t>
    </rPh>
    <rPh sb="4" eb="6">
      <t>ホウホウ</t>
    </rPh>
    <phoneticPr fontId="1"/>
  </si>
  <si>
    <t>交付対象事業</t>
    <rPh sb="0" eb="2">
      <t>コウフ</t>
    </rPh>
    <rPh sb="2" eb="4">
      <t>タイショウ</t>
    </rPh>
    <rPh sb="4" eb="6">
      <t>ジギョウ</t>
    </rPh>
    <phoneticPr fontId="1"/>
  </si>
  <si>
    <t>計画提案書 民生電力 又は 民生電力以外</t>
    <rPh sb="6" eb="8">
      <t>ミンセイ</t>
    </rPh>
    <rPh sb="8" eb="10">
      <t>デンリョク</t>
    </rPh>
    <rPh sb="11" eb="12">
      <t>マタ</t>
    </rPh>
    <rPh sb="14" eb="20">
      <t>ミンセイデンリョクイガイ</t>
    </rPh>
    <phoneticPr fontId="1"/>
  </si>
  <si>
    <t>計画提案書3.4における「事業内容」の名称</t>
    <phoneticPr fontId="1"/>
  </si>
  <si>
    <t>※民間裨益型自営線マイクログリッド・熱導管グリッドを構築する場合</t>
    <rPh sb="1" eb="3">
      <t>ミンカン</t>
    </rPh>
    <rPh sb="3" eb="5">
      <t>ヒエキ</t>
    </rPh>
    <rPh sb="5" eb="6">
      <t>ガタ</t>
    </rPh>
    <rPh sb="6" eb="8">
      <t>ジエイ</t>
    </rPh>
    <rPh sb="8" eb="9">
      <t>セン</t>
    </rPh>
    <rPh sb="18" eb="21">
      <t>ネツドウカン</t>
    </rPh>
    <rPh sb="26" eb="28">
      <t>コウチク</t>
    </rPh>
    <rPh sb="30" eb="32">
      <t>バアイ</t>
    </rPh>
    <phoneticPr fontId="1"/>
  </si>
  <si>
    <t>事業効果</t>
    <rPh sb="0" eb="2">
      <t>ジギョウ</t>
    </rPh>
    <rPh sb="2" eb="4">
      <t>コウカ</t>
    </rPh>
    <phoneticPr fontId="1"/>
  </si>
  <si>
    <t>費用効率性（円／t-CO2）</t>
    <rPh sb="0" eb="5">
      <t>ヒヨウコウリツセイ</t>
    </rPh>
    <phoneticPr fontId="1"/>
  </si>
  <si>
    <t>事業方式</t>
    <rPh sb="0" eb="2">
      <t>ジギョウ</t>
    </rPh>
    <rPh sb="2" eb="4">
      <t>ホウシキ</t>
    </rPh>
    <phoneticPr fontId="1"/>
  </si>
  <si>
    <t>事業実施主体</t>
    <rPh sb="0" eb="2">
      <t>ジギョウ</t>
    </rPh>
    <rPh sb="2" eb="4">
      <t>ジッシ</t>
    </rPh>
    <rPh sb="4" eb="6">
      <t>シュタイ</t>
    </rPh>
    <phoneticPr fontId="1"/>
  </si>
  <si>
    <t>事業種別</t>
    <rPh sb="0" eb="2">
      <t>ジギョウ</t>
    </rPh>
    <rPh sb="2" eb="4">
      <t>シュベツ</t>
    </rPh>
    <phoneticPr fontId="1"/>
  </si>
  <si>
    <t>設備区分</t>
    <rPh sb="0" eb="2">
      <t>セツビ</t>
    </rPh>
    <rPh sb="2" eb="4">
      <t>クブン</t>
    </rPh>
    <phoneticPr fontId="1"/>
  </si>
  <si>
    <t>設備種別</t>
    <rPh sb="0" eb="2">
      <t>セツビ</t>
    </rPh>
    <rPh sb="2" eb="4">
      <t>シュベツ</t>
    </rPh>
    <phoneticPr fontId="1"/>
  </si>
  <si>
    <t>箇所名</t>
    <rPh sb="0" eb="2">
      <t>カショ</t>
    </rPh>
    <rPh sb="2" eb="3">
      <t>メイ</t>
    </rPh>
    <phoneticPr fontId="1"/>
  </si>
  <si>
    <t>事業量</t>
    <rPh sb="0" eb="3">
      <t>ジギョウリョウ</t>
    </rPh>
    <phoneticPr fontId="1"/>
  </si>
  <si>
    <t>事業概要</t>
    <rPh sb="0" eb="2">
      <t>ジギョウ</t>
    </rPh>
    <rPh sb="2" eb="4">
      <t>ガイヨウ</t>
    </rPh>
    <phoneticPr fontId="1"/>
  </si>
  <si>
    <t>過疎地域での導入</t>
  </si>
  <si>
    <t>自営線又は熱導管</t>
    <rPh sb="0" eb="2">
      <t>ジエイ</t>
    </rPh>
    <rPh sb="2" eb="3">
      <t>セン</t>
    </rPh>
    <rPh sb="3" eb="4">
      <t>マタ</t>
    </rPh>
    <rPh sb="5" eb="8">
      <t>ネツドウカン</t>
    </rPh>
    <phoneticPr fontId="1"/>
  </si>
  <si>
    <t>特定地域脱炭素移行加速化交付金活用可否</t>
    <rPh sb="17" eb="19">
      <t>カヒ</t>
    </rPh>
    <phoneticPr fontId="1"/>
  </si>
  <si>
    <t>（再エネ設備の場合）
自営線MG内の
民間施設への再エネ・熱供給有無</t>
    <rPh sb="1" eb="2">
      <t>サイ</t>
    </rPh>
    <rPh sb="4" eb="6">
      <t>セツビ</t>
    </rPh>
    <rPh sb="7" eb="9">
      <t>バアイ</t>
    </rPh>
    <rPh sb="16" eb="17">
      <t>ナイ</t>
    </rPh>
    <rPh sb="19" eb="21">
      <t>ミンカン</t>
    </rPh>
    <rPh sb="21" eb="23">
      <t>シセツ</t>
    </rPh>
    <rPh sb="25" eb="26">
      <t>サイ</t>
    </rPh>
    <rPh sb="29" eb="30">
      <t>ネツ</t>
    </rPh>
    <rPh sb="30" eb="32">
      <t>キョウキュウ</t>
    </rPh>
    <rPh sb="32" eb="34">
      <t>ウム</t>
    </rPh>
    <phoneticPr fontId="1"/>
  </si>
  <si>
    <t>（蓄電池の場合）
自営線MG内の
負荷調整に使用するか</t>
    <rPh sb="1" eb="4">
      <t>チクデンチ</t>
    </rPh>
    <rPh sb="5" eb="7">
      <t>バアイ</t>
    </rPh>
    <rPh sb="14" eb="15">
      <t>ナイ</t>
    </rPh>
    <rPh sb="17" eb="19">
      <t>フカ</t>
    </rPh>
    <rPh sb="19" eb="21">
      <t>チョウセイ</t>
    </rPh>
    <rPh sb="22" eb="24">
      <t>シヨウ</t>
    </rPh>
    <phoneticPr fontId="1"/>
  </si>
  <si>
    <t>事業費（円）</t>
    <rPh sb="0" eb="3">
      <t>ジギョウヒ</t>
    </rPh>
    <rPh sb="4" eb="5">
      <t>エン</t>
    </rPh>
    <phoneticPr fontId="1"/>
  </si>
  <si>
    <t>交付対象事業費（円）</t>
    <rPh sb="0" eb="2">
      <t>コウフ</t>
    </rPh>
    <rPh sb="2" eb="4">
      <t>タイショウ</t>
    </rPh>
    <rPh sb="4" eb="7">
      <t>ジギョウヒ</t>
    </rPh>
    <phoneticPr fontId="1"/>
  </si>
  <si>
    <t>交付率</t>
    <rPh sb="0" eb="3">
      <t>コウフリツ</t>
    </rPh>
    <phoneticPr fontId="1"/>
  </si>
  <si>
    <t>交付限度額（円）</t>
    <rPh sb="0" eb="2">
      <t>コウフ</t>
    </rPh>
    <rPh sb="2" eb="5">
      <t>ゲンドガク</t>
    </rPh>
    <rPh sb="6" eb="7">
      <t>エン</t>
    </rPh>
    <phoneticPr fontId="1"/>
  </si>
  <si>
    <t>協調補助（円）</t>
    <rPh sb="0" eb="2">
      <t>キョウチョウ</t>
    </rPh>
    <rPh sb="2" eb="4">
      <t>ホジョ</t>
    </rPh>
    <phoneticPr fontId="1"/>
  </si>
  <si>
    <t>法定耐用年数
（年）</t>
    <rPh sb="0" eb="2">
      <t>ホウテイ</t>
    </rPh>
    <rPh sb="2" eb="4">
      <t>タイヨウ</t>
    </rPh>
    <rPh sb="4" eb="6">
      <t>ネンスウ</t>
    </rPh>
    <rPh sb="8" eb="9">
      <t>ネン</t>
    </rPh>
    <phoneticPr fontId="1"/>
  </si>
  <si>
    <t>事業費/削減量</t>
    <rPh sb="0" eb="3">
      <t>ジギョウヒ</t>
    </rPh>
    <phoneticPr fontId="1"/>
  </si>
  <si>
    <t>交付限度額/削減量</t>
    <rPh sb="0" eb="5">
      <t>コウフゲンドガク</t>
    </rPh>
    <phoneticPr fontId="1"/>
  </si>
  <si>
    <t>③＝①×②</t>
    <phoneticPr fontId="1"/>
  </si>
  <si>
    <t>うち設備整備事業費　計</t>
    <rPh sb="2" eb="4">
      <t>セツビ</t>
    </rPh>
    <rPh sb="4" eb="6">
      <t>セイビ</t>
    </rPh>
    <rPh sb="6" eb="9">
      <t>ジギョウヒ</t>
    </rPh>
    <rPh sb="10" eb="11">
      <t>ケイ</t>
    </rPh>
    <phoneticPr fontId="1"/>
  </si>
  <si>
    <t>うち効果促進事業　計</t>
    <rPh sb="2" eb="4">
      <t>コウカ</t>
    </rPh>
    <rPh sb="4" eb="6">
      <t>ソクシン</t>
    </rPh>
    <rPh sb="6" eb="8">
      <t>ジギョウ</t>
    </rPh>
    <rPh sb="9" eb="10">
      <t>ケイ</t>
    </rPh>
    <phoneticPr fontId="1"/>
  </si>
  <si>
    <t>うち執行事務費　計</t>
    <rPh sb="2" eb="4">
      <t>シッコウ</t>
    </rPh>
    <rPh sb="4" eb="7">
      <t>ジムヒ</t>
    </rPh>
    <rPh sb="8" eb="9">
      <t>ケイ</t>
    </rPh>
    <phoneticPr fontId="1"/>
  </si>
  <si>
    <t>効果促進事業割合</t>
    <rPh sb="0" eb="2">
      <t>コウカ</t>
    </rPh>
    <rPh sb="2" eb="4">
      <t>ソクシン</t>
    </rPh>
    <rPh sb="4" eb="6">
      <t>ジギョウ</t>
    </rPh>
    <rPh sb="6" eb="8">
      <t>ワリアイ</t>
    </rPh>
    <phoneticPr fontId="1"/>
  </si>
  <si>
    <t>過疎地域での導入・自営線MG可否</t>
    <rPh sb="9" eb="12">
      <t>ジエイセン</t>
    </rPh>
    <rPh sb="14" eb="16">
      <t>カヒ</t>
    </rPh>
    <phoneticPr fontId="1"/>
  </si>
  <si>
    <t>○</t>
    <phoneticPr fontId="1"/>
  </si>
  <si>
    <t>自営線or熱導管</t>
    <rPh sb="0" eb="3">
      <t>ジエイセン</t>
    </rPh>
    <rPh sb="5" eb="8">
      <t>ネツドウカン</t>
    </rPh>
    <phoneticPr fontId="1"/>
  </si>
  <si>
    <t>自営線接続</t>
    <rPh sb="0" eb="3">
      <t>ジエイセン</t>
    </rPh>
    <rPh sb="3" eb="5">
      <t>セツゾク</t>
    </rPh>
    <phoneticPr fontId="1"/>
  </si>
  <si>
    <t>熱導管接続</t>
    <rPh sb="0" eb="3">
      <t>ネツドウカン</t>
    </rPh>
    <rPh sb="3" eb="5">
      <t>セツゾク</t>
    </rPh>
    <phoneticPr fontId="1"/>
  </si>
  <si>
    <t>シート</t>
    <phoneticPr fontId="1"/>
  </si>
  <si>
    <t>合計額（千円）</t>
    <rPh sb="0" eb="2">
      <t>ゴウケイ</t>
    </rPh>
    <rPh sb="2" eb="3">
      <t>ガク</t>
    </rPh>
    <rPh sb="4" eb="6">
      <t>センエン</t>
    </rPh>
    <phoneticPr fontId="1"/>
  </si>
  <si>
    <t>ﾖﾅｸﾞﾆﾁｮｳ</t>
  </si>
  <si>
    <t>ｵｷﾅﾜｹﾝ</t>
  </si>
  <si>
    <t>473821</t>
  </si>
  <si>
    <t>与那国町</t>
  </si>
  <si>
    <t>沖縄県</t>
  </si>
  <si>
    <t>ﾀｹﾄﾐﾁｮｳ</t>
  </si>
  <si>
    <t>473812</t>
  </si>
  <si>
    <t>竹富町</t>
  </si>
  <si>
    <t>ﾀﾗﾏｿﾝ</t>
  </si>
  <si>
    <t>473758</t>
  </si>
  <si>
    <t>多良間村</t>
  </si>
  <si>
    <t>ﾔｴｾﾁｮｳ</t>
  </si>
  <si>
    <t>473626</t>
  </si>
  <si>
    <t>八重瀬町</t>
  </si>
  <si>
    <t>ｸﾒｼﾞﾏﾁｮｳ</t>
  </si>
  <si>
    <t>473618</t>
  </si>
  <si>
    <t>久米島町</t>
  </si>
  <si>
    <t>ｲｾﾞﾅｿﾝ</t>
  </si>
  <si>
    <t>473600</t>
  </si>
  <si>
    <t>伊是名村</t>
  </si>
  <si>
    <t>ｲﾍﾔｿﾝ</t>
  </si>
  <si>
    <t>473596</t>
  </si>
  <si>
    <t>伊平屋村</t>
  </si>
  <si>
    <t>ｷﾀﾀﾞｲﾄｳｿﾝ</t>
  </si>
  <si>
    <t>473588</t>
  </si>
  <si>
    <t>北大東村</t>
  </si>
  <si>
    <t>ﾐﾅﾐﾀﾞｲﾄｳｿﾝ</t>
  </si>
  <si>
    <t>473570</t>
  </si>
  <si>
    <t>南大東村</t>
  </si>
  <si>
    <t>ﾄﾅｷｿﾝ</t>
  </si>
  <si>
    <t>473561</t>
  </si>
  <si>
    <t>渡名喜村</t>
  </si>
  <si>
    <t>ｱｸﾞﾆｿﾝ</t>
  </si>
  <si>
    <t>473553</t>
  </si>
  <si>
    <t>粟国村</t>
  </si>
  <si>
    <t>ｻﾞﾏﾐｿﾝ</t>
  </si>
  <si>
    <t>473545</t>
  </si>
  <si>
    <t>座間味村</t>
  </si>
  <si>
    <t>ﾄｶｼｷｿﾝ</t>
  </si>
  <si>
    <t>473537</t>
  </si>
  <si>
    <t>渡嘉敷村</t>
  </si>
  <si>
    <t>ﾊｴﾊﾞﾙﾁｮｳ</t>
  </si>
  <si>
    <t>473502</t>
  </si>
  <si>
    <t>南風原町</t>
  </si>
  <si>
    <t>ﾖﾅﾊﾞﾙﾁｮｳ</t>
  </si>
  <si>
    <t>473481</t>
  </si>
  <si>
    <t>与那原町</t>
  </si>
  <si>
    <t>ﾆｼﾊﾗﾁｮｳ</t>
  </si>
  <si>
    <t>473294</t>
  </si>
  <si>
    <t>西原町</t>
  </si>
  <si>
    <t>ﾅｶｸﾞｽｸｿﾝ</t>
  </si>
  <si>
    <t>473286</t>
  </si>
  <si>
    <t>中城村</t>
  </si>
  <si>
    <t>ｷﾀﾅｶｸﾞｽｸｿﾝ</t>
  </si>
  <si>
    <t>473278</t>
  </si>
  <si>
    <t>北中城村</t>
  </si>
  <si>
    <t>ﾁﾔﾀﾝﾁｮｳ</t>
  </si>
  <si>
    <t>473260</t>
  </si>
  <si>
    <t>北谷町</t>
  </si>
  <si>
    <t>ｶﾃﾞﾅﾁｮｳ</t>
  </si>
  <si>
    <t>473251</t>
  </si>
  <si>
    <t>嘉手納町</t>
  </si>
  <si>
    <t>ﾖﾐﾀﾝｿﾝ</t>
  </si>
  <si>
    <t>473243</t>
  </si>
  <si>
    <t>読谷村</t>
  </si>
  <si>
    <t>ｲｴｿﾝ</t>
  </si>
  <si>
    <t>473154</t>
  </si>
  <si>
    <t>伊江村</t>
  </si>
  <si>
    <t>ｷﾝﾁｮｳ</t>
  </si>
  <si>
    <t>473146</t>
  </si>
  <si>
    <t>金武町</t>
  </si>
  <si>
    <t>ｷﾞﾉｻﾞｿﾝ</t>
  </si>
  <si>
    <t>473138</t>
  </si>
  <si>
    <t>宜野座村</t>
  </si>
  <si>
    <t>ｵﾝﾅｿﾝ</t>
  </si>
  <si>
    <t>473111</t>
  </si>
  <si>
    <t>恩納村</t>
  </si>
  <si>
    <t>ﾓﾄﾌﾞﾁｮｳ</t>
  </si>
  <si>
    <t>473081</t>
  </si>
  <si>
    <t>本部町</t>
  </si>
  <si>
    <t>ﾅｷｼﾞﾝｿﾝ</t>
  </si>
  <si>
    <t>473065</t>
  </si>
  <si>
    <t>今帰仁村</t>
  </si>
  <si>
    <t>ﾋｶﾞｼｿﾝ</t>
  </si>
  <si>
    <t>473031</t>
  </si>
  <si>
    <t>東村</t>
  </si>
  <si>
    <t>ｵｵｷﾞﾐｿﾝ</t>
  </si>
  <si>
    <t>473022</t>
  </si>
  <si>
    <t>大宜味村</t>
  </si>
  <si>
    <t>ｸﾆｶﾞﾐｿﾝ</t>
  </si>
  <si>
    <t>473014</t>
  </si>
  <si>
    <t>国頭村</t>
  </si>
  <si>
    <t>ﾅﾝｼﾞｮｳｼ</t>
  </si>
  <si>
    <t>472158</t>
  </si>
  <si>
    <t>南城市</t>
  </si>
  <si>
    <t>ﾐﾔｺｼﾞﾏｼ</t>
  </si>
  <si>
    <t>472140</t>
  </si>
  <si>
    <t>宮古島市</t>
  </si>
  <si>
    <t>ｳﾙﾏｼ</t>
  </si>
  <si>
    <t>472131</t>
  </si>
  <si>
    <t>うるま市</t>
  </si>
  <si>
    <t>ﾄﾐｸﾞｽｸｼ</t>
  </si>
  <si>
    <t>472123</t>
  </si>
  <si>
    <t>豊見城市</t>
  </si>
  <si>
    <t>ｵｷﾅﾜｼ</t>
  </si>
  <si>
    <t>472115</t>
  </si>
  <si>
    <t>沖縄市</t>
  </si>
  <si>
    <t>ｲﾄﾏﾝｼ</t>
  </si>
  <si>
    <t>472107</t>
  </si>
  <si>
    <t>糸満市</t>
  </si>
  <si>
    <t>ﾅｺﾞｼ</t>
  </si>
  <si>
    <t>472093</t>
  </si>
  <si>
    <t>名護市</t>
  </si>
  <si>
    <t>ｳﾗｿｴｼ</t>
  </si>
  <si>
    <t>472085</t>
  </si>
  <si>
    <t>浦添市</t>
  </si>
  <si>
    <t>ｲｼｶﾞｷｼ</t>
  </si>
  <si>
    <t>472077</t>
  </si>
  <si>
    <t>石垣市</t>
  </si>
  <si>
    <t>ｷﾞﾉﾜﾝｼ</t>
  </si>
  <si>
    <t>472051</t>
  </si>
  <si>
    <t>宜野湾市</t>
  </si>
  <si>
    <t>ﾅﾊｼ</t>
  </si>
  <si>
    <t>472018</t>
  </si>
  <si>
    <t>那覇市</t>
  </si>
  <si>
    <t>ｵｷﾅﾜｹﾝ</t>
    <phoneticPr fontId="87"/>
  </si>
  <si>
    <t>470007</t>
    <phoneticPr fontId="87"/>
  </si>
  <si>
    <t>沖縄県</t>
    <phoneticPr fontId="87"/>
  </si>
  <si>
    <t>ﾖﾛﾝﾁｮｳ</t>
  </si>
  <si>
    <t>ｶｺﾞｼﾏｹﾝ</t>
  </si>
  <si>
    <t>465356</t>
  </si>
  <si>
    <t>与論町</t>
  </si>
  <si>
    <t>鹿児島県</t>
  </si>
  <si>
    <t>ﾁﾅﾁｮｳ</t>
  </si>
  <si>
    <t>465348</t>
  </si>
  <si>
    <t>知名町</t>
  </si>
  <si>
    <t>ﾜﾄﾞﾏﾘﾁｮｳ</t>
  </si>
  <si>
    <t>465330</t>
  </si>
  <si>
    <t>和泊町</t>
  </si>
  <si>
    <t>ｲｾﾝﾁｮｳ</t>
  </si>
  <si>
    <t>465321</t>
  </si>
  <si>
    <t>伊仙町</t>
  </si>
  <si>
    <t>ｱﾏｷﾞﾁｮｳ</t>
  </si>
  <si>
    <t>465313</t>
  </si>
  <si>
    <t>天城町</t>
  </si>
  <si>
    <t>ﾄｸﾉｼﾏﾁｮｳ</t>
  </si>
  <si>
    <t>465305</t>
  </si>
  <si>
    <t>徳之島町</t>
  </si>
  <si>
    <t>ｷｶｲﾁｮｳ</t>
  </si>
  <si>
    <t>465291</t>
  </si>
  <si>
    <t>喜界町</t>
  </si>
  <si>
    <t>ﾀﾂｺﾞｳﾁｮｳ</t>
  </si>
  <si>
    <t>465275</t>
  </si>
  <si>
    <t>龍郷町</t>
  </si>
  <si>
    <t>ｾﾄｳﾁﾁｮｳ</t>
  </si>
  <si>
    <t>465259</t>
  </si>
  <si>
    <t>瀬戸内町</t>
  </si>
  <si>
    <t>ｳｹﾝｿﾝ</t>
  </si>
  <si>
    <t>465241</t>
  </si>
  <si>
    <t>宇検村</t>
  </si>
  <si>
    <t>ﾔﾏﾄｿﾝ</t>
  </si>
  <si>
    <t>465232</t>
  </si>
  <si>
    <t>大和村</t>
  </si>
  <si>
    <t>ﾔｸｼﾏﾁｮｳ</t>
  </si>
  <si>
    <t>465054</t>
  </si>
  <si>
    <t>屋久島町</t>
  </si>
  <si>
    <t>ﾐﾅﾐﾀﾈﾁｮｳ</t>
  </si>
  <si>
    <t>465020</t>
  </si>
  <si>
    <t>南種子町</t>
  </si>
  <si>
    <t>ﾅｶﾀﾈﾁｮｳ</t>
  </si>
  <si>
    <t>465011</t>
  </si>
  <si>
    <t>中種子町</t>
  </si>
  <si>
    <t>ｷﾓﾂｷﾁｮｳ</t>
    <phoneticPr fontId="87"/>
  </si>
  <si>
    <t>464929</t>
  </si>
  <si>
    <t>肝付町</t>
  </si>
  <si>
    <t>ﾐﾅﾐｵｵｽﾐﾁｮｳ</t>
  </si>
  <si>
    <t>464911</t>
  </si>
  <si>
    <t>南大隅町</t>
  </si>
  <si>
    <t>ｷﾝｺｳﾁｮｳ</t>
  </si>
  <si>
    <t>464902</t>
  </si>
  <si>
    <t>錦江町</t>
  </si>
  <si>
    <t>ﾋｶﾞｼｸｼﾗﾁｮｳ</t>
  </si>
  <si>
    <t>464821</t>
  </si>
  <si>
    <t>東串良町</t>
  </si>
  <si>
    <t>ｵｵｻｷﾁｮｳ</t>
  </si>
  <si>
    <t>464686</t>
  </si>
  <si>
    <t>大崎町</t>
  </si>
  <si>
    <t>ﾕｳｽｲﾁｮｳ</t>
  </si>
  <si>
    <t>464520</t>
  </si>
  <si>
    <t>湧水町</t>
  </si>
  <si>
    <t>ﾅｶﾞｼﾏﾁｮｳ</t>
  </si>
  <si>
    <t>464040</t>
  </si>
  <si>
    <t>長島町</t>
  </si>
  <si>
    <t>ｻﾂﾏﾁｮｳ</t>
  </si>
  <si>
    <t>463922</t>
  </si>
  <si>
    <t>さつま町</t>
  </si>
  <si>
    <t>ﾄｼﾏﾑﾗ</t>
  </si>
  <si>
    <t>463043</t>
  </si>
  <si>
    <t>十島村</t>
  </si>
  <si>
    <t>ﾐｼﾏﾑﾗ</t>
  </si>
  <si>
    <t>463035</t>
  </si>
  <si>
    <t>三島村</t>
  </si>
  <si>
    <t>ｱｲﾗｼ</t>
  </si>
  <si>
    <t>462250</t>
  </si>
  <si>
    <t>姶良市</t>
  </si>
  <si>
    <t>ｲｻｼ</t>
  </si>
  <si>
    <t>462241</t>
  </si>
  <si>
    <t>伊佐市</t>
  </si>
  <si>
    <t>ﾐﾅﾐｷｭｳｼｭｳｼ</t>
  </si>
  <si>
    <t>462233</t>
  </si>
  <si>
    <t>南九州市</t>
  </si>
  <si>
    <t>ｱﾏﾐｼ</t>
  </si>
  <si>
    <t>462225</t>
  </si>
  <si>
    <t>奄美市</t>
  </si>
  <si>
    <t>ｼﾌﾞｼｼ</t>
  </si>
  <si>
    <t>462217</t>
  </si>
  <si>
    <t>志布志市</t>
  </si>
  <si>
    <t>ﾐﾅﾐｻﾂﾏｼ</t>
  </si>
  <si>
    <t>462209</t>
  </si>
  <si>
    <t>南さつま市</t>
  </si>
  <si>
    <t>ｲﾁｷｸｼｷﾉｼ</t>
  </si>
  <si>
    <t>462195</t>
  </si>
  <si>
    <t>いちき串木野市</t>
  </si>
  <si>
    <t>ｷﾘｼﾏｼ</t>
  </si>
  <si>
    <t>462187</t>
  </si>
  <si>
    <t>霧島市</t>
  </si>
  <si>
    <t>ｿｵｼ</t>
  </si>
  <si>
    <t>462179</t>
  </si>
  <si>
    <t>曽於市</t>
  </si>
  <si>
    <t>ﾋｵｷｼ</t>
  </si>
  <si>
    <t>462161</t>
  </si>
  <si>
    <t>日置市</t>
  </si>
  <si>
    <t>ｻﾂﾏｾﾝﾀﾞｲｼ</t>
  </si>
  <si>
    <t>462152</t>
  </si>
  <si>
    <t>薩摩川内市</t>
  </si>
  <si>
    <t>ﾀﾙﾐｽﾞｼ</t>
  </si>
  <si>
    <t>462144</t>
  </si>
  <si>
    <t>垂水市</t>
  </si>
  <si>
    <t>ﾆｼﾉｵﾓﾃｼ</t>
  </si>
  <si>
    <t>462136</t>
  </si>
  <si>
    <t>西之表市</t>
  </si>
  <si>
    <t>ｲﾌﾞｽｷｼ</t>
  </si>
  <si>
    <t>462101</t>
  </si>
  <si>
    <t>指宿市</t>
  </si>
  <si>
    <t>ｲｽﾞﾐｼ</t>
  </si>
  <si>
    <t>462080</t>
  </si>
  <si>
    <t>出水市</t>
  </si>
  <si>
    <t>ｱｸﾈｼ</t>
  </si>
  <si>
    <t>462063</t>
  </si>
  <si>
    <t>阿久根市</t>
  </si>
  <si>
    <t>ﾏｸﾗｻﾞｷｼ</t>
  </si>
  <si>
    <t>462047</t>
  </si>
  <si>
    <t>枕崎市</t>
  </si>
  <si>
    <t>ｶﾉﾔｼ</t>
  </si>
  <si>
    <t>462039</t>
  </si>
  <si>
    <t>鹿屋市</t>
  </si>
  <si>
    <t>ｶｺﾞｼﾏｼ</t>
  </si>
  <si>
    <t>462012</t>
  </si>
  <si>
    <t>鹿児島市</t>
  </si>
  <si>
    <t>ｶｺﾞｼﾏｹﾝ</t>
    <phoneticPr fontId="87"/>
  </si>
  <si>
    <t>460001</t>
    <phoneticPr fontId="87"/>
  </si>
  <si>
    <t>鹿児島県</t>
    <phoneticPr fontId="87"/>
  </si>
  <si>
    <t>ｺﾞｶｾﾁｮｳ</t>
  </si>
  <si>
    <t>ﾐﾔｻﾞｷｹﾝ</t>
  </si>
  <si>
    <t>454435</t>
  </si>
  <si>
    <t>五ヶ瀬町</t>
  </si>
  <si>
    <t>宮崎県</t>
  </si>
  <si>
    <t>ﾋﾉｶｹﾞﾁｮｳ</t>
  </si>
  <si>
    <t>454427</t>
  </si>
  <si>
    <t>日之影町</t>
  </si>
  <si>
    <t>ﾀｶﾁﾎﾁｮｳ</t>
  </si>
  <si>
    <t>454419</t>
  </si>
  <si>
    <t>高千穂町</t>
  </si>
  <si>
    <t>ﾐｻﾄﾁｮｳ</t>
  </si>
  <si>
    <t>454311</t>
  </si>
  <si>
    <t>美郷町</t>
  </si>
  <si>
    <t>ｼｲﾊﾞｿﾝ</t>
  </si>
  <si>
    <t>454303</t>
  </si>
  <si>
    <t>椎葉村</t>
  </si>
  <si>
    <t>ﾓﾛﾂｶｿﾝ</t>
  </si>
  <si>
    <t>454290</t>
  </si>
  <si>
    <t>諸塚村</t>
  </si>
  <si>
    <t>ｶﾄﾞｶﾞﾜﾁｮｳ</t>
  </si>
  <si>
    <t>454214</t>
  </si>
  <si>
    <t>門川町</t>
  </si>
  <si>
    <t>ﾂﾉﾁｮｳ</t>
  </si>
  <si>
    <t>454061</t>
  </si>
  <si>
    <t>都農町</t>
  </si>
  <si>
    <t>ｶﾜﾐﾅﾐﾁｮｳ</t>
  </si>
  <si>
    <t>454052</t>
  </si>
  <si>
    <t>川南町</t>
  </si>
  <si>
    <t>ｷｼﾞｮｳﾁｮｳ</t>
  </si>
  <si>
    <t>454044</t>
  </si>
  <si>
    <t>木城町</t>
  </si>
  <si>
    <t>ﾆｼﾒﾗｿﾝ</t>
  </si>
  <si>
    <t>454036</t>
  </si>
  <si>
    <t>西米良村</t>
  </si>
  <si>
    <t>ｼﾝﾄﾐﾁｮｳ</t>
  </si>
  <si>
    <t>454028</t>
  </si>
  <si>
    <t>新富町</t>
  </si>
  <si>
    <t>ﾀｶﾅﾍﾞﾁｮｳ</t>
  </si>
  <si>
    <t>454010</t>
  </si>
  <si>
    <t>高鍋町</t>
  </si>
  <si>
    <t>ｱﾔﾁｮｳ</t>
  </si>
  <si>
    <t>453838</t>
  </si>
  <si>
    <t>綾町</t>
  </si>
  <si>
    <t>ｸﾆﾄﾐﾁｮｳ</t>
  </si>
  <si>
    <t>453820</t>
  </si>
  <si>
    <t>国富町</t>
  </si>
  <si>
    <t>ﾀｶﾊﾙﾁｮｳ</t>
  </si>
  <si>
    <t>453617</t>
  </si>
  <si>
    <t>高原町</t>
  </si>
  <si>
    <t>ﾐﾏﾀﾁｮｳ</t>
  </si>
  <si>
    <t>453412</t>
  </si>
  <si>
    <t>三股町</t>
  </si>
  <si>
    <t>ｴﾋﾞﾉｼ</t>
  </si>
  <si>
    <t>452092</t>
  </si>
  <si>
    <t>えびの市</t>
  </si>
  <si>
    <t>ｻｲﾄｼ</t>
  </si>
  <si>
    <t>452084</t>
  </si>
  <si>
    <t>西都市</t>
  </si>
  <si>
    <t>ｸｼﾏｼ</t>
  </si>
  <si>
    <t>452076</t>
  </si>
  <si>
    <t>串間市</t>
  </si>
  <si>
    <t>ﾋｭｳｶﾞｼ</t>
  </si>
  <si>
    <t>452068</t>
  </si>
  <si>
    <t>日向市</t>
  </si>
  <si>
    <t>ｺﾊﾞﾔｼｼ</t>
  </si>
  <si>
    <t>452050</t>
  </si>
  <si>
    <t>小林市</t>
  </si>
  <si>
    <t>ﾆﾁﾅﾝｼ</t>
  </si>
  <si>
    <t>452041</t>
  </si>
  <si>
    <t>日南市</t>
  </si>
  <si>
    <t>ﾉﾍﾞｵｶｼ</t>
  </si>
  <si>
    <t>452033</t>
  </si>
  <si>
    <t>延岡市</t>
  </si>
  <si>
    <t>ﾐﾔｺﾉｼﾞｮｳｼ</t>
  </si>
  <si>
    <t>452025</t>
  </si>
  <si>
    <t>都城市</t>
  </si>
  <si>
    <t>ﾐﾔｻﾞｷｼ</t>
  </si>
  <si>
    <t>452017</t>
  </si>
  <si>
    <t>宮崎市</t>
  </si>
  <si>
    <t>ﾐﾔｻﾞｷｹﾝ</t>
    <phoneticPr fontId="87"/>
  </si>
  <si>
    <t>450006</t>
    <phoneticPr fontId="87"/>
  </si>
  <si>
    <t>宮崎県</t>
    <phoneticPr fontId="87"/>
  </si>
  <si>
    <t>ｸｽﾏﾁ</t>
  </si>
  <si>
    <t>ｵｵｲﾀｹﾝ</t>
  </si>
  <si>
    <t>444626</t>
  </si>
  <si>
    <t>玖珠町</t>
  </si>
  <si>
    <t>大分県</t>
  </si>
  <si>
    <t>ｺｺﾉｴﾏﾁ</t>
  </si>
  <si>
    <t>444618</t>
  </si>
  <si>
    <t>九重町</t>
  </si>
  <si>
    <t>ﾋｼﾞﾏﾁ</t>
  </si>
  <si>
    <t>443417</t>
  </si>
  <si>
    <t>日出町</t>
  </si>
  <si>
    <t>ﾋﾒｼﾏﾑﾗ</t>
  </si>
  <si>
    <t>443221</t>
  </si>
  <si>
    <t>姫島村</t>
  </si>
  <si>
    <t>ｸﾆｻｷｼ</t>
  </si>
  <si>
    <t>442143</t>
  </si>
  <si>
    <t>国東市</t>
  </si>
  <si>
    <t>ﾕﾌｼ</t>
  </si>
  <si>
    <t>442135</t>
  </si>
  <si>
    <t>由布市</t>
  </si>
  <si>
    <t>ﾌﾞﾝｺﾞｵｵﾉｼ</t>
  </si>
  <si>
    <t>442127</t>
  </si>
  <si>
    <t>豊後大野市</t>
  </si>
  <si>
    <t>ｳｻｼ</t>
  </si>
  <si>
    <t>442119</t>
  </si>
  <si>
    <t>宇佐市</t>
  </si>
  <si>
    <t>ｷﾂｷｼ</t>
  </si>
  <si>
    <t>442101</t>
  </si>
  <si>
    <t>杵築市</t>
  </si>
  <si>
    <t>ﾌﾞﾝｺﾞﾀｶﾀﾞｼ</t>
  </si>
  <si>
    <t>442097</t>
  </si>
  <si>
    <t>豊後高田市</t>
  </si>
  <si>
    <t>ﾀｹﾀｼ</t>
  </si>
  <si>
    <t>442089</t>
  </si>
  <si>
    <t>竹田市</t>
  </si>
  <si>
    <t>ﾂｸﾐｼ</t>
  </si>
  <si>
    <t>442071</t>
  </si>
  <si>
    <t>津久見市</t>
  </si>
  <si>
    <t>ｳｽｷｼ</t>
  </si>
  <si>
    <t>442062</t>
  </si>
  <si>
    <t>臼杵市</t>
  </si>
  <si>
    <t>ｻｲｷｼ</t>
  </si>
  <si>
    <t>442054</t>
  </si>
  <si>
    <t>佐伯市</t>
  </si>
  <si>
    <t>ﾋﾀｼ</t>
  </si>
  <si>
    <t>442046</t>
  </si>
  <si>
    <t>日田市</t>
  </si>
  <si>
    <t>ﾅｶﾂｼ</t>
  </si>
  <si>
    <t>442038</t>
  </si>
  <si>
    <t>中津市</t>
  </si>
  <si>
    <t>ﾍﾞｯﾌﾟｼ</t>
    <phoneticPr fontId="87"/>
  </si>
  <si>
    <t>442020</t>
  </si>
  <si>
    <t>別府市</t>
  </si>
  <si>
    <t>ｵｵｲﾀｼ</t>
  </si>
  <si>
    <t>442011</t>
  </si>
  <si>
    <t>大分市</t>
  </si>
  <si>
    <t>ｵｵｲﾀｹﾝ</t>
    <phoneticPr fontId="87"/>
  </si>
  <si>
    <t>440001</t>
    <phoneticPr fontId="87"/>
  </si>
  <si>
    <t>大分県</t>
    <phoneticPr fontId="87"/>
  </si>
  <si>
    <t>ﾚｲﾎｸﾏﾁ</t>
  </si>
  <si>
    <t>ｸﾏﾓﾄｹﾝ</t>
  </si>
  <si>
    <t>435317</t>
  </si>
  <si>
    <t>苓北町</t>
  </si>
  <si>
    <t>熊本県</t>
  </si>
  <si>
    <t>ｱｻｷﾞﾘﾁｮｳ</t>
  </si>
  <si>
    <t>435147</t>
  </si>
  <si>
    <t>あさぎり町</t>
  </si>
  <si>
    <t>ｸﾏﾑﾗ</t>
  </si>
  <si>
    <t>435139</t>
  </si>
  <si>
    <t>球磨村</t>
  </si>
  <si>
    <t>ﾔﾏｴﾑﾗ</t>
  </si>
  <si>
    <t>435121</t>
  </si>
  <si>
    <t>山江村</t>
  </si>
  <si>
    <t>ｲﾂｷﾑﾗ</t>
  </si>
  <si>
    <t>435112</t>
  </si>
  <si>
    <t>五木村</t>
  </si>
  <si>
    <t>ｻｶﾞﾗﾑﾗ</t>
  </si>
  <si>
    <t>435104</t>
  </si>
  <si>
    <t>相良村</t>
  </si>
  <si>
    <t>ﾐｽﾞｶﾐﾑﾗ</t>
  </si>
  <si>
    <t>435074</t>
  </si>
  <si>
    <t>水上村</t>
  </si>
  <si>
    <t>ﾕﾉﾏｴﾏﾁ</t>
  </si>
  <si>
    <t>435066</t>
  </si>
  <si>
    <t>湯前町</t>
  </si>
  <si>
    <t>ﾀﾗｷﾞﾏﾁ</t>
  </si>
  <si>
    <t>435058</t>
  </si>
  <si>
    <t>多良木町</t>
  </si>
  <si>
    <t>ﾆｼｷﾏﾁ</t>
  </si>
  <si>
    <t>435015</t>
  </si>
  <si>
    <t>錦町</t>
  </si>
  <si>
    <t>ﾂﾅｷﾞﾏﾁ</t>
  </si>
  <si>
    <t>434841</t>
  </si>
  <si>
    <t>津奈木町</t>
  </si>
  <si>
    <t>ｱｼｷﾀﾏﾁ</t>
  </si>
  <si>
    <t>434825</t>
  </si>
  <si>
    <t>芦北町</t>
  </si>
  <si>
    <t>ﾋｶﾜﾁｮｳ</t>
  </si>
  <si>
    <t>434680</t>
  </si>
  <si>
    <t>氷川町</t>
  </si>
  <si>
    <t>ﾔﾏﾄﾁｮｳ</t>
  </si>
  <si>
    <t>434477</t>
  </si>
  <si>
    <t>山都町</t>
  </si>
  <si>
    <t>ｺｳｻﾏﾁ</t>
  </si>
  <si>
    <t>434442</t>
  </si>
  <si>
    <t>甲佐町</t>
  </si>
  <si>
    <t>ﾏｼｷﾏﾁ</t>
  </si>
  <si>
    <t>434434</t>
  </si>
  <si>
    <t>益城町</t>
  </si>
  <si>
    <t>ｶｼﾏﾏﾁ</t>
  </si>
  <si>
    <t>434426</t>
  </si>
  <si>
    <t>嘉島町</t>
  </si>
  <si>
    <t>ﾐﾌﾈﾏﾁ</t>
  </si>
  <si>
    <t>434418</t>
  </si>
  <si>
    <t>御船町</t>
  </si>
  <si>
    <t>ﾐﾅﾐｱｿﾑﾗ</t>
  </si>
  <si>
    <t>434337</t>
  </si>
  <si>
    <t>南阿蘇村</t>
  </si>
  <si>
    <t>ﾆｼﾊﾗﾑﾗ</t>
  </si>
  <si>
    <t>434329</t>
  </si>
  <si>
    <t>西原村</t>
  </si>
  <si>
    <t>ﾀｶﾓﾘﾏﾁ</t>
  </si>
  <si>
    <t>434281</t>
  </si>
  <si>
    <t>高森町</t>
  </si>
  <si>
    <t>ｳﾌﾞﾔﾏﾑﾗ</t>
  </si>
  <si>
    <t>434256</t>
  </si>
  <si>
    <t>産山村</t>
  </si>
  <si>
    <t>ｵｸﾞﾆﾏﾁ</t>
  </si>
  <si>
    <t>434248</t>
  </si>
  <si>
    <t>小国町</t>
  </si>
  <si>
    <t>ﾐﾅﾐｵｸﾞﾆﾏﾁ</t>
  </si>
  <si>
    <t>434230</t>
  </si>
  <si>
    <t>南小国町</t>
  </si>
  <si>
    <t>ｷｸﾖｳﾏﾁ</t>
  </si>
  <si>
    <t>434043</t>
  </si>
  <si>
    <t>菊陽町</t>
  </si>
  <si>
    <t>ｵｵﾂﾞﾏﾁ</t>
  </si>
  <si>
    <t>434035</t>
  </si>
  <si>
    <t>大津町</t>
  </si>
  <si>
    <t>ﾅｺﾞﾐﾏﾁ</t>
  </si>
  <si>
    <t>433691</t>
  </si>
  <si>
    <t>和水町</t>
  </si>
  <si>
    <t>ﾅｶﾞｽﾏﾁ</t>
  </si>
  <si>
    <t>433683</t>
  </si>
  <si>
    <t>長洲町</t>
  </si>
  <si>
    <t>ﾅﾝｶﾝﾏﾁ</t>
  </si>
  <si>
    <t>433675</t>
  </si>
  <si>
    <t>南関町</t>
  </si>
  <si>
    <t>ｷﾞｮｸﾄｳﾏﾁ</t>
    <phoneticPr fontId="87"/>
  </si>
  <si>
    <t>433641</t>
  </si>
  <si>
    <t>玉東町</t>
  </si>
  <si>
    <t>ﾐｻﾄﾏﾁ</t>
  </si>
  <si>
    <t>433489</t>
  </si>
  <si>
    <t>美里町</t>
  </si>
  <si>
    <t>ｺｳｼｼ</t>
  </si>
  <si>
    <t>432164</t>
  </si>
  <si>
    <t>合志市</t>
  </si>
  <si>
    <t>ｱﾏｸｻｼ</t>
  </si>
  <si>
    <t>432156</t>
  </si>
  <si>
    <t>天草市</t>
  </si>
  <si>
    <t>ｱｿｼ</t>
  </si>
  <si>
    <t>432148</t>
  </si>
  <si>
    <t>阿蘇市</t>
  </si>
  <si>
    <t>ｳｷｼ</t>
  </si>
  <si>
    <t>432130</t>
  </si>
  <si>
    <t>宇城市</t>
  </si>
  <si>
    <t>ｶﾐｱﾏｸｻｼ</t>
  </si>
  <si>
    <t>432121</t>
  </si>
  <si>
    <t>上天草市</t>
  </si>
  <si>
    <t>ｳﾄｼ</t>
  </si>
  <si>
    <t>432113</t>
  </si>
  <si>
    <t>宇土市</t>
  </si>
  <si>
    <t>ｷｸﾁｼ</t>
  </si>
  <si>
    <t>432105</t>
  </si>
  <si>
    <t>菊池市</t>
  </si>
  <si>
    <t>ﾔﾏｶﾞｼ</t>
  </si>
  <si>
    <t>432083</t>
  </si>
  <si>
    <t>山鹿市</t>
  </si>
  <si>
    <t>ﾀﾏﾅｼ</t>
  </si>
  <si>
    <t>432067</t>
  </si>
  <si>
    <t>玉名市</t>
  </si>
  <si>
    <t>ﾐﾅﾏﾀｼ</t>
  </si>
  <si>
    <t>432059</t>
  </si>
  <si>
    <t>水俣市</t>
  </si>
  <si>
    <t>ｱﾗｵｼ</t>
  </si>
  <si>
    <t>432041</t>
  </si>
  <si>
    <t>荒尾市</t>
  </si>
  <si>
    <t>ﾋﾄﾖｼｼ</t>
  </si>
  <si>
    <t>432032</t>
  </si>
  <si>
    <t>人吉市</t>
  </si>
  <si>
    <t>ﾔﾂｼﾛｼ</t>
  </si>
  <si>
    <t>432024</t>
  </si>
  <si>
    <t>八代市</t>
  </si>
  <si>
    <t>ｸﾏﾓﾄｼ</t>
  </si>
  <si>
    <t>431001</t>
  </si>
  <si>
    <t>熊本市</t>
  </si>
  <si>
    <t>ｸﾏﾓﾄｹﾝ</t>
    <phoneticPr fontId="87"/>
  </si>
  <si>
    <t>430005</t>
    <phoneticPr fontId="87"/>
  </si>
  <si>
    <t>熊本県</t>
    <phoneticPr fontId="87"/>
  </si>
  <si>
    <t>ｼﾝｶﾐｺﾞﾄｳﾁｮｳ</t>
  </si>
  <si>
    <t>ﾅｶﾞｻｷｹﾝ</t>
  </si>
  <si>
    <t>424111</t>
  </si>
  <si>
    <t>新上五島町</t>
  </si>
  <si>
    <t>長崎県</t>
  </si>
  <si>
    <t>ｻｻﾞﾁｮｳ</t>
  </si>
  <si>
    <t>423912</t>
  </si>
  <si>
    <t>佐々町</t>
  </si>
  <si>
    <t>ｵﾁﾞｶﾁｮｳ</t>
  </si>
  <si>
    <t>423831</t>
  </si>
  <si>
    <t>小値賀町</t>
  </si>
  <si>
    <t>ﾊｻﾐﾁｮｳ</t>
  </si>
  <si>
    <t>423238</t>
  </si>
  <si>
    <t>波佐見町</t>
  </si>
  <si>
    <t>ｶﾜﾀﾅﾁｮｳ</t>
  </si>
  <si>
    <t>423220</t>
  </si>
  <si>
    <t>川棚町</t>
  </si>
  <si>
    <t>ﾋｶﾞｼｿﾉｷﾞﾁｮｳ</t>
  </si>
  <si>
    <t>423211</t>
  </si>
  <si>
    <t>東彼杵町</t>
  </si>
  <si>
    <t>ﾄｷﾞﾂﾁｮｳ</t>
  </si>
  <si>
    <t>423084</t>
  </si>
  <si>
    <t>時津町</t>
  </si>
  <si>
    <t>ﾅｶﾞﾖﾁｮｳ</t>
  </si>
  <si>
    <t>423076</t>
  </si>
  <si>
    <t>長与町</t>
  </si>
  <si>
    <t>ﾐﾅﾐｼﾏﾊﾞﾗｼ</t>
  </si>
  <si>
    <t>422142</t>
  </si>
  <si>
    <t>南島原市</t>
  </si>
  <si>
    <t>ｳﾝｾﾞﾝｼ</t>
  </si>
  <si>
    <t>422134</t>
  </si>
  <si>
    <t>雲仙市</t>
  </si>
  <si>
    <t>ｻｲｶｲｼ</t>
  </si>
  <si>
    <t>422126</t>
  </si>
  <si>
    <t>西海市</t>
  </si>
  <si>
    <t>ｺﾞﾄｳｼ</t>
  </si>
  <si>
    <t>422118</t>
  </si>
  <si>
    <t>五島市</t>
  </si>
  <si>
    <t>ｲｷｼ</t>
  </si>
  <si>
    <t>422100</t>
  </si>
  <si>
    <t>壱岐市</t>
  </si>
  <si>
    <t>ﾂｼﾏｼ</t>
  </si>
  <si>
    <t>422096</t>
  </si>
  <si>
    <t>対馬市</t>
  </si>
  <si>
    <t>ﾏﾂｳﾗｼ</t>
  </si>
  <si>
    <t>422088</t>
  </si>
  <si>
    <t>松浦市</t>
  </si>
  <si>
    <t>ﾋﾗﾄﾞｼ</t>
  </si>
  <si>
    <t>422070</t>
  </si>
  <si>
    <t>平戸市</t>
  </si>
  <si>
    <t>ｵｵﾑﾗｼ</t>
  </si>
  <si>
    <t>422053</t>
  </si>
  <si>
    <t>大村市</t>
  </si>
  <si>
    <t>ｲｻﾊﾔｼ</t>
  </si>
  <si>
    <t>422045</t>
  </si>
  <si>
    <t>諫早市</t>
  </si>
  <si>
    <t>ｼﾏﾊﾞﾗｼ</t>
  </si>
  <si>
    <t>422037</t>
  </si>
  <si>
    <t>島原市</t>
  </si>
  <si>
    <t>ｻｾﾎﾞｼ</t>
  </si>
  <si>
    <t>422029</t>
  </si>
  <si>
    <t>佐世保市</t>
  </si>
  <si>
    <t>ﾅｶﾞｻｷｼ</t>
  </si>
  <si>
    <t>422011</t>
  </si>
  <si>
    <t>長崎市</t>
  </si>
  <si>
    <t>ﾅｶﾞｻｷｹﾝ</t>
    <phoneticPr fontId="87"/>
  </si>
  <si>
    <t>420000</t>
    <phoneticPr fontId="87"/>
  </si>
  <si>
    <t>長崎県</t>
    <phoneticPr fontId="87"/>
  </si>
  <si>
    <t>ﾀﾗﾁｮｳ</t>
  </si>
  <si>
    <t>ｻｶﾞｹﾝ</t>
  </si>
  <si>
    <t>414417</t>
  </si>
  <si>
    <t>太良町</t>
  </si>
  <si>
    <t>佐賀県</t>
  </si>
  <si>
    <t>ｼﾛｲｼﾁｮｳ</t>
  </si>
  <si>
    <t>414255</t>
  </si>
  <si>
    <t>白石町</t>
  </si>
  <si>
    <t>ｺｳﾎｸﾏﾁ</t>
  </si>
  <si>
    <t>414247</t>
  </si>
  <si>
    <t>江北町</t>
  </si>
  <si>
    <t>ｵｵﾏﾁﾁｮｳ</t>
  </si>
  <si>
    <t>414239</t>
  </si>
  <si>
    <t>大町町</t>
  </si>
  <si>
    <t>ｱﾘﾀﾁｮｳ</t>
  </si>
  <si>
    <t>414018</t>
  </si>
  <si>
    <t>有田町</t>
  </si>
  <si>
    <t>ｹﾞﾝｶｲﾁｮｳ</t>
  </si>
  <si>
    <t>413879</t>
  </si>
  <si>
    <t>玄海町</t>
  </si>
  <si>
    <t>ﾐﾔｷﾁｮｳ</t>
  </si>
  <si>
    <t>413461</t>
  </si>
  <si>
    <t>みやき町</t>
  </si>
  <si>
    <t>ｶﾐﾐﾈﾁｮｳ</t>
  </si>
  <si>
    <t>413453</t>
  </si>
  <si>
    <t>上峰町</t>
  </si>
  <si>
    <t>ｷﾔﾏﾁｮｳ</t>
  </si>
  <si>
    <t>413411</t>
  </si>
  <si>
    <t>基山町</t>
  </si>
  <si>
    <t>ﾖｼﾉｶﾞﾘﾁｮｳ</t>
  </si>
  <si>
    <t>413275</t>
  </si>
  <si>
    <t>吉野ヶ里町</t>
  </si>
  <si>
    <t>ｶﾝｻﾞｷｼ</t>
  </si>
  <si>
    <t>412104</t>
  </si>
  <si>
    <t>神埼市</t>
  </si>
  <si>
    <t>ｳﾚｼﾉｼ</t>
  </si>
  <si>
    <t>412091</t>
  </si>
  <si>
    <t>嬉野市</t>
  </si>
  <si>
    <t>ｵｷﾞｼ</t>
  </si>
  <si>
    <t>412082</t>
  </si>
  <si>
    <t>小城市</t>
  </si>
  <si>
    <t>ｶｼﾏｼ</t>
  </si>
  <si>
    <t>412074</t>
  </si>
  <si>
    <t>鹿島市</t>
  </si>
  <si>
    <t>ﾀｹｵｼ</t>
  </si>
  <si>
    <t>412066</t>
  </si>
  <si>
    <t>武雄市</t>
  </si>
  <si>
    <t>ｲﾏﾘｼ</t>
  </si>
  <si>
    <t>412058</t>
  </si>
  <si>
    <t>伊万里市</t>
  </si>
  <si>
    <t>ﾀｸｼ</t>
  </si>
  <si>
    <t>412040</t>
  </si>
  <si>
    <t>多久市</t>
  </si>
  <si>
    <t>ﾄｽｼ</t>
  </si>
  <si>
    <t>412031</t>
  </si>
  <si>
    <t>鳥栖市</t>
  </si>
  <si>
    <t>ｶﾗﾂｼ</t>
  </si>
  <si>
    <t>412023</t>
  </si>
  <si>
    <t>唐津市</t>
  </si>
  <si>
    <t>ｻｶﾞｼ</t>
  </si>
  <si>
    <t>412015</t>
  </si>
  <si>
    <t>佐賀市</t>
  </si>
  <si>
    <t>ｻｶﾞｹﾝ</t>
    <phoneticPr fontId="87"/>
  </si>
  <si>
    <t>410004</t>
    <phoneticPr fontId="87"/>
  </si>
  <si>
    <t>佐賀県</t>
    <phoneticPr fontId="87"/>
  </si>
  <si>
    <t>ﾁｸｼﾞｮｳﾏﾁ</t>
  </si>
  <si>
    <t>ﾌｸｵｶｹﾝ</t>
  </si>
  <si>
    <t>406473</t>
  </si>
  <si>
    <t>築上町</t>
  </si>
  <si>
    <t>福岡県</t>
  </si>
  <si>
    <t>ｺｳｹﾞﾏﾁ</t>
  </si>
  <si>
    <t>406465</t>
  </si>
  <si>
    <t>上毛町</t>
  </si>
  <si>
    <t>ﾖｼﾄﾐﾏﾁ</t>
  </si>
  <si>
    <t>406422</t>
  </si>
  <si>
    <t>吉富町</t>
  </si>
  <si>
    <t>ﾐﾔｺﾏﾁ</t>
  </si>
  <si>
    <t>406252</t>
  </si>
  <si>
    <t>みやこ町</t>
  </si>
  <si>
    <t>ｶﾝﾀﾞﾏﾁ</t>
  </si>
  <si>
    <t>406210</t>
  </si>
  <si>
    <t>苅田町</t>
  </si>
  <si>
    <t>ﾌｸﾁﾏﾁ</t>
  </si>
  <si>
    <t>406104</t>
  </si>
  <si>
    <t>福智町</t>
  </si>
  <si>
    <t>ｱｶﾑﾗ</t>
  </si>
  <si>
    <t>406091</t>
  </si>
  <si>
    <t>赤村</t>
  </si>
  <si>
    <t>ｵｵﾄｳﾏﾁ</t>
  </si>
  <si>
    <t>406082</t>
  </si>
  <si>
    <t>大任町</t>
  </si>
  <si>
    <t>ｶﾜｻｷﾏﾁ</t>
  </si>
  <si>
    <t>406058</t>
  </si>
  <si>
    <t>川崎町</t>
  </si>
  <si>
    <t>ｲﾄﾀﾞﾏﾁ</t>
  </si>
  <si>
    <t>406040</t>
  </si>
  <si>
    <t>糸田町</t>
  </si>
  <si>
    <t>ｿｴﾀﾞﾏﾁ</t>
  </si>
  <si>
    <t>406023</t>
  </si>
  <si>
    <t>添田町</t>
  </si>
  <si>
    <t>ｶﾜﾗﾏﾁ</t>
  </si>
  <si>
    <t>406015</t>
  </si>
  <si>
    <t>香春町</t>
  </si>
  <si>
    <t>ﾋﾛｶﾜﾏﾁ</t>
  </si>
  <si>
    <t>405442</t>
  </si>
  <si>
    <t>広川町</t>
  </si>
  <si>
    <t>ｵｵｷﾏﾁ</t>
  </si>
  <si>
    <t>405221</t>
  </si>
  <si>
    <t>大木町</t>
  </si>
  <si>
    <t>ﾀﾁｱﾗｲﾏﾁ</t>
  </si>
  <si>
    <t>405035</t>
  </si>
  <si>
    <t>大刀洗町</t>
  </si>
  <si>
    <t>ﾄｳﾎｳﾑﾗ</t>
  </si>
  <si>
    <t>404489</t>
  </si>
  <si>
    <t>東峰村</t>
  </si>
  <si>
    <t>ﾁｸｾﾞﾝﾏﾁ</t>
  </si>
  <si>
    <t>404471</t>
  </si>
  <si>
    <t>筑前町</t>
  </si>
  <si>
    <t>ｹｲｾﾝﾏﾁ</t>
  </si>
  <si>
    <t>404217</t>
  </si>
  <si>
    <t>桂川町</t>
  </si>
  <si>
    <t>ｸﾗﾃﾏﾁ</t>
  </si>
  <si>
    <t>404021</t>
  </si>
  <si>
    <t>鞍手町</t>
  </si>
  <si>
    <t>ｺﾀｹﾏﾁ</t>
  </si>
  <si>
    <t>404012</t>
  </si>
  <si>
    <t>小竹町</t>
  </si>
  <si>
    <t>ｵﾝｶﾞﾁｮｳ</t>
  </si>
  <si>
    <t>403849</t>
  </si>
  <si>
    <t>遠賀町</t>
  </si>
  <si>
    <t>ｵｶｶﾞｷﾏﾁ</t>
  </si>
  <si>
    <t>403831</t>
  </si>
  <si>
    <t>岡垣町</t>
  </si>
  <si>
    <t>ﾐｽﾞﾏｷﾏﾁ</t>
  </si>
  <si>
    <t>403822</t>
  </si>
  <si>
    <t>水巻町</t>
  </si>
  <si>
    <t>ｱｼﾔﾏﾁ</t>
  </si>
  <si>
    <t>403814</t>
  </si>
  <si>
    <t>芦屋町</t>
  </si>
  <si>
    <t>ｶｽﾔﾏﾁ</t>
  </si>
  <si>
    <t>403491</t>
  </si>
  <si>
    <t>粕屋町</t>
  </si>
  <si>
    <t>ﾋｻﾔﾏﾏﾁ</t>
  </si>
  <si>
    <t>403482</t>
  </si>
  <si>
    <t>久山町</t>
  </si>
  <si>
    <t>ｼﾝｸﾞｳﾏﾁ</t>
  </si>
  <si>
    <t>403458</t>
  </si>
  <si>
    <t>新宮町</t>
  </si>
  <si>
    <t>ｽｴﾏﾁ</t>
  </si>
  <si>
    <t>403440</t>
  </si>
  <si>
    <t>須恵町</t>
  </si>
  <si>
    <t>ｼﾒﾏﾁ</t>
  </si>
  <si>
    <t>403431</t>
  </si>
  <si>
    <t>志免町</t>
  </si>
  <si>
    <t>ｻｻｸﾞﾘﾏﾁ</t>
  </si>
  <si>
    <t>403423</t>
  </si>
  <si>
    <t>篠栗町</t>
  </si>
  <si>
    <t>ｳﾐﾏﾁ</t>
  </si>
  <si>
    <t>403415</t>
  </si>
  <si>
    <t>宇美町</t>
  </si>
  <si>
    <t>ﾅｶｶﾞﾜｼ</t>
    <phoneticPr fontId="87"/>
  </si>
  <si>
    <t>ﾌｸｵｶｹﾝ</t>
    <phoneticPr fontId="87"/>
  </si>
  <si>
    <t>402311</t>
    <phoneticPr fontId="87"/>
  </si>
  <si>
    <t>那珂川市</t>
    <rPh sb="0" eb="3">
      <t>ナカガワ</t>
    </rPh>
    <rPh sb="3" eb="4">
      <t>シ</t>
    </rPh>
    <phoneticPr fontId="87"/>
  </si>
  <si>
    <t>福岡県</t>
    <rPh sb="0" eb="3">
      <t>フクオカケン</t>
    </rPh>
    <phoneticPr fontId="87"/>
  </si>
  <si>
    <t>ｲﾄｼﾏｼ</t>
  </si>
  <si>
    <t>402303</t>
  </si>
  <si>
    <t>糸島市</t>
  </si>
  <si>
    <t>ﾐﾔﾏｼ</t>
  </si>
  <si>
    <t>402290</t>
  </si>
  <si>
    <t>みやま市</t>
  </si>
  <si>
    <t>ｱｻｸﾗｼ</t>
  </si>
  <si>
    <t>402281</t>
  </si>
  <si>
    <t>朝倉市</t>
  </si>
  <si>
    <t>ｶﾏｼ</t>
  </si>
  <si>
    <t>402273</t>
  </si>
  <si>
    <t>嘉麻市</t>
  </si>
  <si>
    <t>ﾐﾔﾜｶｼ</t>
  </si>
  <si>
    <t>402265</t>
  </si>
  <si>
    <t>宮若市</t>
  </si>
  <si>
    <t>ｳｷﾊｼ</t>
  </si>
  <si>
    <t>402257</t>
  </si>
  <si>
    <t>うきは市</t>
  </si>
  <si>
    <t>ﾌｸﾂｼ</t>
  </si>
  <si>
    <t>402249</t>
  </si>
  <si>
    <t>福津市</t>
  </si>
  <si>
    <t>ｺｶﾞｼ</t>
  </si>
  <si>
    <t>402231</t>
  </si>
  <si>
    <t>古賀市</t>
  </si>
  <si>
    <t>ﾀﾞｻﾞｲﾌｼ</t>
  </si>
  <si>
    <t>402214</t>
  </si>
  <si>
    <t>太宰府市</t>
  </si>
  <si>
    <t>ﾑﾅｶﾀｼ</t>
  </si>
  <si>
    <t>402206</t>
  </si>
  <si>
    <t>宗像市</t>
  </si>
  <si>
    <t>ｵｵﾉｼﾞｮｳｼ</t>
  </si>
  <si>
    <t>402192</t>
  </si>
  <si>
    <t>大野城市</t>
  </si>
  <si>
    <t>ｶｽｶﾞｼ</t>
  </si>
  <si>
    <t>402184</t>
  </si>
  <si>
    <t>春日市</t>
  </si>
  <si>
    <t>ﾁｸｼﾉｼ</t>
  </si>
  <si>
    <t>402176</t>
  </si>
  <si>
    <t>筑紫野市</t>
  </si>
  <si>
    <t>ｵｺﾞｵﾘｼ</t>
  </si>
  <si>
    <t>402168</t>
  </si>
  <si>
    <t>小郡市</t>
  </si>
  <si>
    <t>ﾅｶﾏｼ</t>
  </si>
  <si>
    <t>402150</t>
  </si>
  <si>
    <t>中間市</t>
  </si>
  <si>
    <t>ﾌﾞｾﾞﾝｼ</t>
  </si>
  <si>
    <t>402141</t>
  </si>
  <si>
    <t>豊前市</t>
  </si>
  <si>
    <t>ﾕｸﾊｼｼ</t>
  </si>
  <si>
    <t>402133</t>
  </si>
  <si>
    <t>行橋市</t>
  </si>
  <si>
    <t>ｵｵｶﾜｼ</t>
  </si>
  <si>
    <t>402125</t>
  </si>
  <si>
    <t>大川市</t>
  </si>
  <si>
    <t>ﾁｸｺﾞｼ</t>
  </si>
  <si>
    <t>402117</t>
  </si>
  <si>
    <t>筑後市</t>
  </si>
  <si>
    <t>ﾔﾒｼ</t>
  </si>
  <si>
    <t>402109</t>
  </si>
  <si>
    <t>八女市</t>
  </si>
  <si>
    <t>ﾔﾅｶﾞﾜｼ</t>
  </si>
  <si>
    <t>402079</t>
  </si>
  <si>
    <t>柳川市</t>
  </si>
  <si>
    <t>ﾀｶﾞﾜｼ</t>
  </si>
  <si>
    <t>402061</t>
  </si>
  <si>
    <t>田川市</t>
  </si>
  <si>
    <t>ｲｲﾂﾞｶｼ</t>
  </si>
  <si>
    <t>402052</t>
  </si>
  <si>
    <t>飯塚市</t>
  </si>
  <si>
    <t>ﾉｵｶﾞﾀｼ</t>
  </si>
  <si>
    <t>402044</t>
  </si>
  <si>
    <t>直方市</t>
  </si>
  <si>
    <t>ｸﾙﾒｼ</t>
  </si>
  <si>
    <t>402036</t>
  </si>
  <si>
    <t>久留米市</t>
  </si>
  <si>
    <t>ｵｵﾑﾀｼ</t>
  </si>
  <si>
    <t>402028</t>
  </si>
  <si>
    <t>大牟田市</t>
  </si>
  <si>
    <t>ﾌｸｵｶｼ</t>
  </si>
  <si>
    <t>401307</t>
  </si>
  <si>
    <t>福岡市</t>
  </si>
  <si>
    <t>ｷﾀｷｭｳｼｭｳｼ</t>
    <phoneticPr fontId="87"/>
  </si>
  <si>
    <t>401005</t>
  </si>
  <si>
    <t>北九州市</t>
  </si>
  <si>
    <t>400009</t>
    <phoneticPr fontId="87"/>
  </si>
  <si>
    <t>福岡県</t>
    <phoneticPr fontId="87"/>
  </si>
  <si>
    <t>ｸﾛｼｵﾁｮｳ</t>
  </si>
  <si>
    <t>ｺｳﾁｹﾝ</t>
  </si>
  <si>
    <t>394289</t>
  </si>
  <si>
    <t>黒潮町</t>
  </si>
  <si>
    <t>高知県</t>
  </si>
  <si>
    <t>ﾐﾊﾗﾑﾗ</t>
  </si>
  <si>
    <t>394271</t>
  </si>
  <si>
    <t>三原村</t>
  </si>
  <si>
    <t>ｵｵﾂｷﾁｮｳ</t>
  </si>
  <si>
    <t>394246</t>
  </si>
  <si>
    <t>大月町</t>
  </si>
  <si>
    <t>ｼﾏﾝﾄﾁｮｳ</t>
  </si>
  <si>
    <t>394122</t>
  </si>
  <si>
    <t>四万十町</t>
  </si>
  <si>
    <t>394114</t>
  </si>
  <si>
    <t>津野町</t>
  </si>
  <si>
    <t>ﾋﾀﾞｶﾑﾗ</t>
  </si>
  <si>
    <t>394106</t>
  </si>
  <si>
    <t>日高村</t>
  </si>
  <si>
    <t>ﾕｽﾊﾗﾁｮｳ</t>
  </si>
  <si>
    <t>394050</t>
  </si>
  <si>
    <t>梼原町</t>
  </si>
  <si>
    <t>ｵﾁﾁｮｳ</t>
  </si>
  <si>
    <t>394033</t>
  </si>
  <si>
    <t>越知町</t>
  </si>
  <si>
    <t>ｻｶﾜﾁｮｳ</t>
  </si>
  <si>
    <t>394025</t>
  </si>
  <si>
    <t>佐川町</t>
  </si>
  <si>
    <t>ﾅｶﾄｻﾁｮｳ</t>
  </si>
  <si>
    <t>394017</t>
  </si>
  <si>
    <t>中土佐町</t>
  </si>
  <si>
    <t>ﾆﾖﾄﾞｶﾞﾜﾁｮｳ</t>
    <phoneticPr fontId="87"/>
  </si>
  <si>
    <t>393878</t>
  </si>
  <si>
    <t>仁淀川町</t>
  </si>
  <si>
    <t>ｲﾉﾁｮｳ</t>
  </si>
  <si>
    <t>393860</t>
  </si>
  <si>
    <t>いの町</t>
  </si>
  <si>
    <t>ｵｵｶﾜﾑﾗ</t>
  </si>
  <si>
    <t>393649</t>
  </si>
  <si>
    <t>大川村</t>
  </si>
  <si>
    <t>ﾄｻﾁｮｳ</t>
  </si>
  <si>
    <t>393631</t>
  </si>
  <si>
    <t>土佐町</t>
  </si>
  <si>
    <t>ｵｵﾄﾖﾁｮｳ</t>
  </si>
  <si>
    <t>393444</t>
  </si>
  <si>
    <t>大豊町</t>
  </si>
  <si>
    <t>ﾓﾄﾔﾏﾁｮｳ</t>
  </si>
  <si>
    <t>393410</t>
  </si>
  <si>
    <t>本山町</t>
  </si>
  <si>
    <t>ｹﾞｲｾｲﾑﾗ</t>
  </si>
  <si>
    <t>393070</t>
  </si>
  <si>
    <t>芸西村</t>
  </si>
  <si>
    <t>ｳﾏｼﾞﾑﾗ</t>
  </si>
  <si>
    <t>393061</t>
  </si>
  <si>
    <t>馬路村</t>
  </si>
  <si>
    <t>ｷﾀｶﾞﾜﾑﾗ</t>
  </si>
  <si>
    <t>393053</t>
  </si>
  <si>
    <t>北川村</t>
  </si>
  <si>
    <t>ﾔｽﾀﾞﾁｮｳ</t>
  </si>
  <si>
    <t>393045</t>
  </si>
  <si>
    <t>安田町</t>
  </si>
  <si>
    <t>ﾀﾉﾁｮｳ</t>
  </si>
  <si>
    <t>393037</t>
  </si>
  <si>
    <t>田野町</t>
  </si>
  <si>
    <t>ﾅﾊﾘﾁｮｳ</t>
  </si>
  <si>
    <t>393029</t>
  </si>
  <si>
    <t>奈半利町</t>
  </si>
  <si>
    <t>ﾄｳﾖｳﾁｮｳ</t>
  </si>
  <si>
    <t>393011</t>
  </si>
  <si>
    <t>東洋町</t>
  </si>
  <si>
    <t>ｶﾐｼ</t>
  </si>
  <si>
    <t>392120</t>
  </si>
  <si>
    <t>香美市</t>
  </si>
  <si>
    <t>ｺｳﾅﾝｼ</t>
  </si>
  <si>
    <t>392111</t>
  </si>
  <si>
    <t>香南市</t>
  </si>
  <si>
    <t>ｼﾏﾝﾄｼ</t>
  </si>
  <si>
    <t>392103</t>
  </si>
  <si>
    <t>四万十市</t>
  </si>
  <si>
    <t>ﾄｻｼﾐｽﾞｼ</t>
  </si>
  <si>
    <t>392090</t>
  </si>
  <si>
    <t>土佐清水市</t>
  </si>
  <si>
    <t>ｽｸﾓｼ</t>
  </si>
  <si>
    <t>392081</t>
  </si>
  <si>
    <t>宿毛市</t>
  </si>
  <si>
    <t>ｽｻｷｼ</t>
  </si>
  <si>
    <t>392065</t>
  </si>
  <si>
    <t>須崎市</t>
  </si>
  <si>
    <t>ﾄｻｼ</t>
  </si>
  <si>
    <t>392057</t>
  </si>
  <si>
    <t>土佐市</t>
  </si>
  <si>
    <t>ﾅﾝｺｸｼ</t>
  </si>
  <si>
    <t>392049</t>
  </si>
  <si>
    <t>南国市</t>
  </si>
  <si>
    <t>ｱｷｼ</t>
  </si>
  <si>
    <t>392031</t>
  </si>
  <si>
    <t>安芸市</t>
  </si>
  <si>
    <t>ﾑﾛﾄｼ</t>
  </si>
  <si>
    <t>392022</t>
  </si>
  <si>
    <t>室戸市</t>
  </si>
  <si>
    <t>ｺｳﾁｼ</t>
  </si>
  <si>
    <t>392014</t>
  </si>
  <si>
    <t>高知市</t>
  </si>
  <si>
    <t>ｺｳﾁｹﾝ</t>
    <phoneticPr fontId="87"/>
  </si>
  <si>
    <t>390003</t>
    <phoneticPr fontId="87"/>
  </si>
  <si>
    <t>高知県</t>
    <phoneticPr fontId="87"/>
  </si>
  <si>
    <t>ｱｲﾅﾝﾁｮｳ</t>
  </si>
  <si>
    <t>ｴﾋﾒｹﾝ</t>
  </si>
  <si>
    <t>385069</t>
  </si>
  <si>
    <t>愛南町</t>
  </si>
  <si>
    <t>愛媛県</t>
  </si>
  <si>
    <t>ｷﾎｸﾁｮｳ</t>
  </si>
  <si>
    <t>384887</t>
  </si>
  <si>
    <t>鬼北町</t>
  </si>
  <si>
    <t>ﾏﾂﾉﾁｮｳ</t>
  </si>
  <si>
    <t>384844</t>
  </si>
  <si>
    <t>松野町</t>
  </si>
  <si>
    <t>ｲｶﾀﾁｮｳ</t>
  </si>
  <si>
    <t>384429</t>
  </si>
  <si>
    <t>伊方町</t>
  </si>
  <si>
    <t>ｳﾁｺﾁｮｳ</t>
  </si>
  <si>
    <t>384224</t>
  </si>
  <si>
    <t>内子町</t>
  </si>
  <si>
    <t>ﾄﾍﾞﾁｮｳ</t>
  </si>
  <si>
    <t>384020</t>
  </si>
  <si>
    <t>砥部町</t>
  </si>
  <si>
    <t>ﾏｻｷﾁｮｳ</t>
  </si>
  <si>
    <t>384011</t>
  </si>
  <si>
    <t>松前町</t>
  </si>
  <si>
    <t>ｸﾏｺｳｹﾞﾝﾁｮｳ</t>
  </si>
  <si>
    <t>383864</t>
  </si>
  <si>
    <t>久万高原町</t>
  </si>
  <si>
    <t>ｶﾐｼﾞﾏﾁｮｳ</t>
  </si>
  <si>
    <t>383562</t>
  </si>
  <si>
    <t>上島町</t>
  </si>
  <si>
    <t>ﾄｳｵﾝｼ</t>
  </si>
  <si>
    <t>382159</t>
  </si>
  <si>
    <t>東温市</t>
  </si>
  <si>
    <t>ｾｲﾖｼ</t>
  </si>
  <si>
    <t>382141</t>
  </si>
  <si>
    <t>西予市</t>
  </si>
  <si>
    <t>ｼｺｸﾁｭｳｵｳｼ</t>
  </si>
  <si>
    <t>382132</t>
  </si>
  <si>
    <t>四国中央市</t>
  </si>
  <si>
    <t>ｲﾖｼ</t>
  </si>
  <si>
    <t>382108</t>
  </si>
  <si>
    <t>伊予市</t>
  </si>
  <si>
    <t>ｵｵｽﾞｼ</t>
  </si>
  <si>
    <t>382078</t>
  </si>
  <si>
    <t>大洲市</t>
  </si>
  <si>
    <t>ｻｲｼﾞｮｳｼ</t>
    <phoneticPr fontId="87"/>
  </si>
  <si>
    <t>382060</t>
  </si>
  <si>
    <t>西条市</t>
  </si>
  <si>
    <t>ﾆｲﾊﾏｼ</t>
  </si>
  <si>
    <t>382051</t>
  </si>
  <si>
    <t>新居浜市</t>
  </si>
  <si>
    <t>ﾔﾜﾀﾊﾏｼ</t>
  </si>
  <si>
    <t>382043</t>
  </si>
  <si>
    <t>八幡浜市</t>
  </si>
  <si>
    <t>ｳﾜｼﾞﾏｼ</t>
  </si>
  <si>
    <t>382035</t>
  </si>
  <si>
    <t>宇和島市</t>
  </si>
  <si>
    <t>ｲﾏﾊﾞﾘｼ</t>
  </si>
  <si>
    <t>382027</t>
  </si>
  <si>
    <t>今治市</t>
  </si>
  <si>
    <t>ﾏﾂﾔﾏｼ</t>
  </si>
  <si>
    <t>382019</t>
  </si>
  <si>
    <t>松山市</t>
  </si>
  <si>
    <t>ｴﾋﾒｹﾝ</t>
    <phoneticPr fontId="87"/>
  </si>
  <si>
    <t>380008</t>
    <phoneticPr fontId="87"/>
  </si>
  <si>
    <t>愛媛県</t>
    <phoneticPr fontId="87"/>
  </si>
  <si>
    <t>ﾏﾝﾉｳﾁｮｳ</t>
  </si>
  <si>
    <t>ｶｶﾞﾜｹﾝ</t>
  </si>
  <si>
    <t>374067</t>
  </si>
  <si>
    <t>まんのう町</t>
  </si>
  <si>
    <t>香川県</t>
  </si>
  <si>
    <t>ﾀﾄﾞﾂﾁｮｳ</t>
  </si>
  <si>
    <t>374041</t>
  </si>
  <si>
    <t>多度津町</t>
  </si>
  <si>
    <t>ｺﾄﾋﾗﾁｮｳ</t>
  </si>
  <si>
    <t>374032</t>
  </si>
  <si>
    <t>琴平町</t>
  </si>
  <si>
    <t>ｱﾔｶﾞﾜﾁｮｳ</t>
  </si>
  <si>
    <t>373877</t>
  </si>
  <si>
    <t>綾川町</t>
  </si>
  <si>
    <t>ｳﾀﾂﾞﾁｮｳ</t>
  </si>
  <si>
    <t>373869</t>
  </si>
  <si>
    <t>宇多津町</t>
  </si>
  <si>
    <t>ﾅｵｼﾏﾁｮｳ</t>
  </si>
  <si>
    <t>373648</t>
  </si>
  <si>
    <t>直島町</t>
  </si>
  <si>
    <t>ﾐｷﾁｮｳ</t>
  </si>
  <si>
    <t>373419</t>
  </si>
  <si>
    <t>三木町</t>
  </si>
  <si>
    <t>ｼｮｳﾄﾞｼﾏﾁｮｳ</t>
  </si>
  <si>
    <t>373249</t>
  </si>
  <si>
    <t>小豆島町</t>
  </si>
  <si>
    <t>ﾄﾉｼｮｳﾁｮｳ</t>
  </si>
  <si>
    <t>373222</t>
  </si>
  <si>
    <t>土庄町</t>
  </si>
  <si>
    <t>ﾐﾄﾖｼ</t>
  </si>
  <si>
    <t>372081</t>
  </si>
  <si>
    <t>三豊市</t>
  </si>
  <si>
    <t>ﾋｶﾞｼｶｶﾞﾜｼ</t>
  </si>
  <si>
    <t>372072</t>
  </si>
  <si>
    <t>東かがわ市</t>
  </si>
  <si>
    <t>ｻﾇｷｼ</t>
  </si>
  <si>
    <t>372064</t>
  </si>
  <si>
    <t>さぬき市</t>
  </si>
  <si>
    <t>ｶﾝｵﾝｼﾞｼ</t>
  </si>
  <si>
    <t>372056</t>
  </si>
  <si>
    <t>観音寺市</t>
  </si>
  <si>
    <t>ｾﾞﾝﾂｳｼﾞｼ</t>
  </si>
  <si>
    <t>372048</t>
  </si>
  <si>
    <t>善通寺市</t>
  </si>
  <si>
    <t>ｻｶｲﾃﾞｼ</t>
  </si>
  <si>
    <t>372030</t>
  </si>
  <si>
    <t>坂出市</t>
  </si>
  <si>
    <t>ﾏﾙｶﾞﾒｼ</t>
  </si>
  <si>
    <t>372021</t>
  </si>
  <si>
    <t>丸亀市</t>
  </si>
  <si>
    <t>ﾀｶﾏﾂｼ</t>
  </si>
  <si>
    <t>372013</t>
  </si>
  <si>
    <t>高松市</t>
  </si>
  <si>
    <t>ｶｶﾞﾜｹﾝ</t>
    <phoneticPr fontId="87"/>
  </si>
  <si>
    <t>370002</t>
    <phoneticPr fontId="87"/>
  </si>
  <si>
    <t>香川県</t>
    <phoneticPr fontId="87"/>
  </si>
  <si>
    <t>ﾋｶﾞｼﾐﾖｼﾁｮｳ</t>
  </si>
  <si>
    <t>ﾄｸｼﾏｹﾝ</t>
  </si>
  <si>
    <t>364894</t>
  </si>
  <si>
    <t>東みよし町</t>
  </si>
  <si>
    <t>徳島県</t>
  </si>
  <si>
    <t>ﾂﾙｷﾞﾁｮｳ</t>
  </si>
  <si>
    <t>364681</t>
  </si>
  <si>
    <t>つるぎ町</t>
  </si>
  <si>
    <t>ｶﾐｲﾀﾁｮｳ</t>
  </si>
  <si>
    <t>364053</t>
  </si>
  <si>
    <t>上板町</t>
  </si>
  <si>
    <t>ｲﾀﾉﾁｮｳ</t>
  </si>
  <si>
    <t>364045</t>
  </si>
  <si>
    <t>板野町</t>
  </si>
  <si>
    <t>ｱｲｽﾞﾐﾁｮｳ</t>
  </si>
  <si>
    <t>364037</t>
  </si>
  <si>
    <t>藍住町</t>
  </si>
  <si>
    <t>ｷﾀｼﾞﾏﾁｮｳ</t>
  </si>
  <si>
    <t>364029</t>
  </si>
  <si>
    <t>北島町</t>
  </si>
  <si>
    <t>ﾏﾂｼｹﾞﾁｮｳ</t>
  </si>
  <si>
    <t>364011</t>
  </si>
  <si>
    <t>松茂町</t>
  </si>
  <si>
    <t>ｶｲﾖｳﾁｮｳ</t>
  </si>
  <si>
    <t>363880</t>
  </si>
  <si>
    <t>海陽町</t>
  </si>
  <si>
    <t>ﾐﾅﾐﾁｮｳ</t>
  </si>
  <si>
    <t>363871</t>
  </si>
  <si>
    <t>美波町</t>
  </si>
  <si>
    <t>ﾑｷﾞﾁｮｳ</t>
  </si>
  <si>
    <t>363839</t>
  </si>
  <si>
    <t>牟岐町</t>
  </si>
  <si>
    <t>ﾅｶﾁｮｳ</t>
  </si>
  <si>
    <t>363685</t>
  </si>
  <si>
    <t>那賀町</t>
  </si>
  <si>
    <t>ｶﾐﾔﾏﾁｮｳ</t>
  </si>
  <si>
    <t>363421</t>
  </si>
  <si>
    <t>神山町</t>
  </si>
  <si>
    <t>ｲｼｲﾁｮｳ</t>
  </si>
  <si>
    <t>363413</t>
  </si>
  <si>
    <t>石井町</t>
  </si>
  <si>
    <t>ｻﾅｺﾞｳﾁｿﾝ</t>
  </si>
  <si>
    <t>363219</t>
  </si>
  <si>
    <t>佐那河内村</t>
  </si>
  <si>
    <t>ｶﾐｶﾂﾁｮｳ</t>
  </si>
  <si>
    <t>363022</t>
  </si>
  <si>
    <t>上勝町</t>
  </si>
  <si>
    <t>ｶﾂｳﾗﾁｮｳ</t>
  </si>
  <si>
    <t>363014</t>
  </si>
  <si>
    <t>勝浦町</t>
  </si>
  <si>
    <t>ﾐﾖｼｼ</t>
  </si>
  <si>
    <t>362085</t>
  </si>
  <si>
    <t>三好市</t>
  </si>
  <si>
    <t>ﾐﾏｼ</t>
  </si>
  <si>
    <t>362077</t>
  </si>
  <si>
    <t>美馬市</t>
  </si>
  <si>
    <t>ｱﾜｼ</t>
  </si>
  <si>
    <t>362069</t>
  </si>
  <si>
    <t>阿波市</t>
  </si>
  <si>
    <t>ﾖｼﾉｶﾞﾜｼ</t>
  </si>
  <si>
    <t>362051</t>
  </si>
  <si>
    <t>吉野川市</t>
  </si>
  <si>
    <t>ｱﾅﾝｼ</t>
  </si>
  <si>
    <t>362042</t>
  </si>
  <si>
    <t>阿南市</t>
  </si>
  <si>
    <t>ｺﾏﾂｼﾏｼ</t>
  </si>
  <si>
    <t>362034</t>
  </si>
  <si>
    <t>小松島市</t>
  </si>
  <si>
    <t>ﾅﾙﾄｼ</t>
  </si>
  <si>
    <t>362026</t>
  </si>
  <si>
    <t>鳴門市</t>
  </si>
  <si>
    <t>ﾄｸｼﾏｼ</t>
  </si>
  <si>
    <t>362018</t>
  </si>
  <si>
    <t>徳島市</t>
  </si>
  <si>
    <t>ﾄｸｼﾏｹﾝ</t>
    <phoneticPr fontId="87"/>
  </si>
  <si>
    <t>360007</t>
    <phoneticPr fontId="87"/>
  </si>
  <si>
    <t>徳島県</t>
    <phoneticPr fontId="87"/>
  </si>
  <si>
    <t>ｱﾌﾞﾁｮｳ</t>
  </si>
  <si>
    <t>ﾔﾏｸﾞﾁｹﾝ</t>
  </si>
  <si>
    <t>355020</t>
  </si>
  <si>
    <t>阿武町</t>
  </si>
  <si>
    <t>山口県</t>
  </si>
  <si>
    <t>ﾋﾗｵﾁｮｳ</t>
  </si>
  <si>
    <t>353442</t>
  </si>
  <si>
    <t>平生町</t>
  </si>
  <si>
    <t>ﾀﾌﾞｾﾁｮｳ</t>
  </si>
  <si>
    <t>353434</t>
  </si>
  <si>
    <t>田布施町</t>
  </si>
  <si>
    <t>ｶﾐﾉｾｷﾁｮｳ</t>
  </si>
  <si>
    <t>353418</t>
  </si>
  <si>
    <t>上関町</t>
  </si>
  <si>
    <t>ﾜｷﾁｮｳ</t>
  </si>
  <si>
    <t>353213</t>
  </si>
  <si>
    <t>和木町</t>
  </si>
  <si>
    <t>ｽｵｳｵｵｼﾏﾁｮｳ</t>
  </si>
  <si>
    <t>353051</t>
  </si>
  <si>
    <t>周防大島町</t>
  </si>
  <si>
    <t>ｻﾝﾖｳｵﾉﾀﾞｼ</t>
  </si>
  <si>
    <t>352161</t>
  </si>
  <si>
    <t>山陽小野田市</t>
  </si>
  <si>
    <t>ｼｭｳﾅﾝｼ</t>
    <phoneticPr fontId="87"/>
  </si>
  <si>
    <t>352152</t>
  </si>
  <si>
    <t>周南市</t>
  </si>
  <si>
    <t>ﾐﾈｼ</t>
  </si>
  <si>
    <t>352136</t>
  </si>
  <si>
    <t>美祢市</t>
  </si>
  <si>
    <t>ﾔﾅｲｼ</t>
  </si>
  <si>
    <t>352128</t>
  </si>
  <si>
    <t>柳井市</t>
  </si>
  <si>
    <t>ﾅｶﾞﾄｼ</t>
  </si>
  <si>
    <t>352110</t>
  </si>
  <si>
    <t>長門市</t>
  </si>
  <si>
    <t>ﾋｶﾘｼ</t>
  </si>
  <si>
    <t>352101</t>
  </si>
  <si>
    <t>光市</t>
  </si>
  <si>
    <t>ｲﾜｸﾆｼ</t>
  </si>
  <si>
    <t>352080</t>
  </si>
  <si>
    <t>岩国市</t>
  </si>
  <si>
    <t>ｸﾀﾞﾏﾂｼ</t>
  </si>
  <si>
    <t>352071</t>
  </si>
  <si>
    <t>下松市</t>
  </si>
  <si>
    <t>ﾎｳﾌｼ</t>
  </si>
  <si>
    <t>352063</t>
  </si>
  <si>
    <t>防府市</t>
  </si>
  <si>
    <t>ﾊｷﾞｼ</t>
  </si>
  <si>
    <t>352047</t>
  </si>
  <si>
    <t>萩市</t>
  </si>
  <si>
    <t>ﾔﾏｸﾞﾁｼ</t>
  </si>
  <si>
    <t>352039</t>
  </si>
  <si>
    <t>山口市</t>
  </si>
  <si>
    <t>ｳﾍﾞｼ</t>
  </si>
  <si>
    <t>352021</t>
  </si>
  <si>
    <t>宇部市</t>
  </si>
  <si>
    <t>ｼﾓﾉｾｷｼ</t>
  </si>
  <si>
    <t>352012</t>
  </si>
  <si>
    <t>下関市</t>
  </si>
  <si>
    <t>ﾔﾏｸﾞﾁｹﾝ</t>
    <phoneticPr fontId="87"/>
  </si>
  <si>
    <t>350001</t>
    <phoneticPr fontId="87"/>
  </si>
  <si>
    <t>山口県</t>
    <phoneticPr fontId="87"/>
  </si>
  <si>
    <t>ｼﾞﾝｾｷｺｳｹﾞﾝﾁｮｳ</t>
  </si>
  <si>
    <t>ﾋﾛｼﾏｹﾝ</t>
  </si>
  <si>
    <t>345458</t>
  </si>
  <si>
    <t>神石高原町</t>
  </si>
  <si>
    <t>広島県</t>
  </si>
  <si>
    <t>ｾﾗﾁｮｳ</t>
  </si>
  <si>
    <t>344621</t>
  </si>
  <si>
    <t>世羅町</t>
  </si>
  <si>
    <t>ｵｵｻｷｶﾐｼﾞﾏﾁｮｳ</t>
  </si>
  <si>
    <t>344311</t>
  </si>
  <si>
    <t>大崎上島町</t>
  </si>
  <si>
    <t>ｷﾀﾋﾛｼﾏﾁｮｳ</t>
  </si>
  <si>
    <t>343692</t>
  </si>
  <si>
    <t>北広島町</t>
  </si>
  <si>
    <t>ｱｷｵｵﾀﾁｮｳ</t>
  </si>
  <si>
    <t>343684</t>
  </si>
  <si>
    <t>安芸太田町</t>
  </si>
  <si>
    <t>ｻｶﾁｮｳ</t>
  </si>
  <si>
    <t>343099</t>
  </si>
  <si>
    <t>坂町</t>
  </si>
  <si>
    <t>ｸﾏﾉﾁｮｳ</t>
  </si>
  <si>
    <t>343072</t>
  </si>
  <si>
    <t>熊野町</t>
  </si>
  <si>
    <t>ｶｲﾀﾁｮｳ</t>
  </si>
  <si>
    <t>343048</t>
  </si>
  <si>
    <t>海田町</t>
  </si>
  <si>
    <t>ﾌﾁｭｳﾁｮｳ</t>
  </si>
  <si>
    <t>343021</t>
  </si>
  <si>
    <t>府中町</t>
  </si>
  <si>
    <t>ｴﾀｼﾞﾏｼ</t>
  </si>
  <si>
    <t>342157</t>
  </si>
  <si>
    <t>江田島市</t>
  </si>
  <si>
    <t>ｱｷﾀｶﾀｼ</t>
  </si>
  <si>
    <t>342149</t>
  </si>
  <si>
    <t>安芸高田市</t>
  </si>
  <si>
    <t>ﾊﾂｶｲﾁｼ</t>
  </si>
  <si>
    <t>342131</t>
  </si>
  <si>
    <t>廿日市市</t>
  </si>
  <si>
    <t>ﾋｶﾞｼﾋﾛｼﾏｼ</t>
  </si>
  <si>
    <t>342122</t>
  </si>
  <si>
    <t>東広島市</t>
  </si>
  <si>
    <t>ｵｵﾀｹｼ</t>
  </si>
  <si>
    <t>342114</t>
  </si>
  <si>
    <t>大竹市</t>
  </si>
  <si>
    <t>ｼｮｳﾊﾞﾗｼ</t>
  </si>
  <si>
    <t>342106</t>
  </si>
  <si>
    <t>庄原市</t>
  </si>
  <si>
    <t>342092</t>
  </si>
  <si>
    <t>三次市</t>
  </si>
  <si>
    <t>ﾌﾁｭｳｼ</t>
  </si>
  <si>
    <t>342084</t>
  </si>
  <si>
    <t>府中市</t>
  </si>
  <si>
    <t>ﾌｸﾔﾏｼ</t>
  </si>
  <si>
    <t>342076</t>
  </si>
  <si>
    <t>福山市</t>
  </si>
  <si>
    <t>ｵﾉﾐﾁｼ</t>
  </si>
  <si>
    <t>342050</t>
  </si>
  <si>
    <t>尾道市</t>
  </si>
  <si>
    <t>ﾐﾊﾗｼ</t>
  </si>
  <si>
    <t>342041</t>
  </si>
  <si>
    <t>三原市</t>
  </si>
  <si>
    <t>ﾀｹﾊﾗｼ</t>
  </si>
  <si>
    <t>342033</t>
  </si>
  <si>
    <t>竹原市</t>
  </si>
  <si>
    <t>ｸﾚｼ</t>
  </si>
  <si>
    <t>342025</t>
  </si>
  <si>
    <t>呉市</t>
  </si>
  <si>
    <t>ﾋﾛｼﾏｼ</t>
  </si>
  <si>
    <t>341002</t>
  </si>
  <si>
    <t>広島市</t>
  </si>
  <si>
    <t>ﾋﾛｼﾏｹﾝ</t>
    <phoneticPr fontId="87"/>
  </si>
  <si>
    <t>340006</t>
    <phoneticPr fontId="87"/>
  </si>
  <si>
    <t>広島県</t>
    <phoneticPr fontId="87"/>
  </si>
  <si>
    <t>ｷﾋﾞﾁｭｳｵｳﾁｮｳ</t>
  </si>
  <si>
    <t>ｵｶﾔﾏｹﾝ</t>
  </si>
  <si>
    <t>336815</t>
  </si>
  <si>
    <t>吉備中央町</t>
  </si>
  <si>
    <t>岡山県</t>
  </si>
  <si>
    <t>ﾐｻｷﾁｮｳ</t>
  </si>
  <si>
    <t>336661</t>
  </si>
  <si>
    <t>美咲町</t>
  </si>
  <si>
    <t>ｸﾒﾅﾝﾁｮｳ</t>
  </si>
  <si>
    <t>336637</t>
  </si>
  <si>
    <t>久米南町</t>
  </si>
  <si>
    <t>ﾆｼｱﾜｸﾗｿﾝ</t>
  </si>
  <si>
    <t>336432</t>
  </si>
  <si>
    <t>西粟倉村</t>
  </si>
  <si>
    <t>ﾅｷﾞﾁｮｳ</t>
  </si>
  <si>
    <t>336238</t>
  </si>
  <si>
    <t>奈義町</t>
  </si>
  <si>
    <t>ｼｮｳｵｳﾁｮｳ</t>
  </si>
  <si>
    <t>336220</t>
  </si>
  <si>
    <t>勝央町</t>
  </si>
  <si>
    <t>ｶｶﾞﾐﾉﾁｮｳ</t>
  </si>
  <si>
    <t>336068</t>
  </si>
  <si>
    <t>鏡野町</t>
  </si>
  <si>
    <t>ｼﾝｼﾞﾖｳｿﾝ</t>
  </si>
  <si>
    <t>335860</t>
  </si>
  <si>
    <t>新庄村</t>
  </si>
  <si>
    <t>ﾔｶｹﾞﾁｮｳ</t>
  </si>
  <si>
    <t>334618</t>
  </si>
  <si>
    <t>矢掛町</t>
  </si>
  <si>
    <t>ｻﾄｼｮｳﾁｮｳ</t>
  </si>
  <si>
    <t>334456</t>
  </si>
  <si>
    <t>里庄町</t>
  </si>
  <si>
    <t>ﾊﾔｼﾏﾁｮｳ</t>
  </si>
  <si>
    <t>334235</t>
  </si>
  <si>
    <t>早島町</t>
  </si>
  <si>
    <t>ﾜｹﾁｮｳ</t>
  </si>
  <si>
    <t>333468</t>
  </si>
  <si>
    <t>和気町</t>
  </si>
  <si>
    <t>ｱｻｸﾁｼ</t>
  </si>
  <si>
    <t>332160</t>
  </si>
  <si>
    <t>浅口市</t>
  </si>
  <si>
    <t>ﾐﾏｻｶｼ</t>
  </si>
  <si>
    <t>332151</t>
  </si>
  <si>
    <t>美作市</t>
  </si>
  <si>
    <t>ﾏﾆﾜｼ</t>
  </si>
  <si>
    <t>332143</t>
  </si>
  <si>
    <t>真庭市</t>
  </si>
  <si>
    <t>ｱｶｲﾜｼ</t>
  </si>
  <si>
    <t>332135</t>
  </si>
  <si>
    <t>赤磐市</t>
  </si>
  <si>
    <t>ｾﾄｳﾁｼ</t>
  </si>
  <si>
    <t>332127</t>
  </si>
  <si>
    <t>瀬戸内市</t>
  </si>
  <si>
    <t>ﾋﾞｾﾞﾝｼ</t>
  </si>
  <si>
    <t>332119</t>
  </si>
  <si>
    <t>備前市</t>
  </si>
  <si>
    <t>ﾆｲﾐｼ</t>
  </si>
  <si>
    <t>332101</t>
  </si>
  <si>
    <t>新見市</t>
  </si>
  <si>
    <t>ﾀｶﾊｼｼ</t>
  </si>
  <si>
    <t>332097</t>
  </si>
  <si>
    <t>高梁市</t>
  </si>
  <si>
    <t>ｿｳｼﾞﾔｼ</t>
  </si>
  <si>
    <t>332089</t>
  </si>
  <si>
    <t>総社市</t>
  </si>
  <si>
    <t>ｲﾊﾞﾗｼ</t>
  </si>
  <si>
    <t>332071</t>
  </si>
  <si>
    <t>井原市</t>
  </si>
  <si>
    <t>ｶｻｵｶｼ</t>
  </si>
  <si>
    <t>332054</t>
  </si>
  <si>
    <t>笠岡市</t>
  </si>
  <si>
    <t>ﾀﾏﾉｼ</t>
  </si>
  <si>
    <t>332046</t>
  </si>
  <si>
    <t>玉野市</t>
  </si>
  <si>
    <t>ﾂﾔﾏｼ</t>
  </si>
  <si>
    <t>332038</t>
  </si>
  <si>
    <t>津山市</t>
  </si>
  <si>
    <t>ｸﾗｼｷｼ</t>
  </si>
  <si>
    <t>332020</t>
  </si>
  <si>
    <t>倉敷市</t>
  </si>
  <si>
    <t>ｵｶﾔﾏｼ</t>
  </si>
  <si>
    <t>331007</t>
  </si>
  <si>
    <t>岡山市</t>
  </si>
  <si>
    <t>ｵｶﾔﾏｹﾝ</t>
    <phoneticPr fontId="87"/>
  </si>
  <si>
    <t>330001</t>
    <phoneticPr fontId="87"/>
  </si>
  <si>
    <t>岡山県</t>
    <phoneticPr fontId="87"/>
  </si>
  <si>
    <t>ｵｷﾉｼﾏﾁｮｳ</t>
  </si>
  <si>
    <t>ｼﾏﾈｹﾝ</t>
  </si>
  <si>
    <t>325287</t>
  </si>
  <si>
    <t>隠岐の島町</t>
  </si>
  <si>
    <t>島根県</t>
  </si>
  <si>
    <t>ﾁﾌﾞﾑﾗ</t>
  </si>
  <si>
    <t>325279</t>
  </si>
  <si>
    <t>知夫村</t>
  </si>
  <si>
    <t>ﾆｼﾉｼﾏﾁｮｳ</t>
  </si>
  <si>
    <t>325261</t>
  </si>
  <si>
    <t>西ノ島町</t>
  </si>
  <si>
    <t>ｱﾏﾁｮｳ</t>
  </si>
  <si>
    <t>325252</t>
  </si>
  <si>
    <t>海士町</t>
  </si>
  <si>
    <t>ﾖｼｶﾁｮｳ</t>
    <phoneticPr fontId="87"/>
  </si>
  <si>
    <t>325058</t>
  </si>
  <si>
    <t>吉賀町</t>
  </si>
  <si>
    <t>ﾂﾜﾉﾁｮｳ</t>
  </si>
  <si>
    <t>325015</t>
  </si>
  <si>
    <t>津和野町</t>
  </si>
  <si>
    <t>ｵｵﾅﾝﾁｮｳ</t>
  </si>
  <si>
    <t>324493</t>
  </si>
  <si>
    <t>邑南町</t>
  </si>
  <si>
    <t>324485</t>
  </si>
  <si>
    <t>ｶﾜﾓﾄﾏﾁ</t>
  </si>
  <si>
    <t>324418</t>
  </si>
  <si>
    <t>川本町</t>
  </si>
  <si>
    <t>ｲｲﾅﾝﾁｮｳ</t>
  </si>
  <si>
    <t>323861</t>
  </si>
  <si>
    <t>飯南町</t>
  </si>
  <si>
    <t>ｵｸｲｽﾞﾓﾁｮｳ</t>
  </si>
  <si>
    <t>323438</t>
  </si>
  <si>
    <t>奥出雲町</t>
  </si>
  <si>
    <t>ｳﾝﾅﾝｼ</t>
  </si>
  <si>
    <t>322091</t>
  </si>
  <si>
    <t>雲南市</t>
  </si>
  <si>
    <t>ｺﾞｳﾂｼ</t>
  </si>
  <si>
    <t>322075</t>
  </si>
  <si>
    <t>江津市</t>
  </si>
  <si>
    <t>ﾔｽｷﾞｼ</t>
  </si>
  <si>
    <t>322067</t>
  </si>
  <si>
    <t>安来市</t>
  </si>
  <si>
    <t>ｵｵﾀﾞｼ</t>
  </si>
  <si>
    <t>322059</t>
  </si>
  <si>
    <t>大田市</t>
  </si>
  <si>
    <t>ﾏｽﾀﾞｼ</t>
  </si>
  <si>
    <t>322041</t>
  </si>
  <si>
    <t>益田市</t>
  </si>
  <si>
    <t>ｲｽﾞﾓｼ</t>
  </si>
  <si>
    <t>322032</t>
  </si>
  <si>
    <t>出雲市</t>
  </si>
  <si>
    <t>ﾊﾏﾀﾞｼ</t>
  </si>
  <si>
    <t>322024</t>
  </si>
  <si>
    <t>浜田市</t>
  </si>
  <si>
    <t>ﾏﾂｴｼ</t>
  </si>
  <si>
    <t>322016</t>
  </si>
  <si>
    <t>松江市</t>
  </si>
  <si>
    <t>ｼﾏﾈｹﾝ</t>
    <phoneticPr fontId="87"/>
  </si>
  <si>
    <t>320005</t>
    <phoneticPr fontId="87"/>
  </si>
  <si>
    <t>島根県</t>
    <phoneticPr fontId="87"/>
  </si>
  <si>
    <t>ｺｳﾌﾁｮｳ</t>
  </si>
  <si>
    <t>ﾄｯﾄﾘｹﾝ</t>
  </si>
  <si>
    <t>314030</t>
  </si>
  <si>
    <t>江府町</t>
  </si>
  <si>
    <t>鳥取県</t>
  </si>
  <si>
    <t>ﾋﾉﾁｮｳ</t>
  </si>
  <si>
    <t>314021</t>
  </si>
  <si>
    <t>日野町</t>
  </si>
  <si>
    <t>ﾆﾁﾅﾝﾁｮｳ</t>
  </si>
  <si>
    <t>314013</t>
  </si>
  <si>
    <t>日南町</t>
  </si>
  <si>
    <t>ﾎｳｷﾁｮｳ</t>
  </si>
  <si>
    <t>313904</t>
  </si>
  <si>
    <t>伯耆町</t>
  </si>
  <si>
    <t>ﾅﾝﾌﾞﾁｮｳ</t>
  </si>
  <si>
    <t>313891</t>
  </si>
  <si>
    <t>南部町</t>
  </si>
  <si>
    <t>ﾀﾞｲｾﾝﾁｮｳ</t>
  </si>
  <si>
    <t>313866</t>
  </si>
  <si>
    <t>大山町</t>
  </si>
  <si>
    <t>ﾋｴﾂﾞｿﾝ</t>
  </si>
  <si>
    <t>313840</t>
  </si>
  <si>
    <t>日吉津村</t>
  </si>
  <si>
    <t>ﾎｸｴｲﾁｮｳ</t>
  </si>
  <si>
    <t>313726</t>
  </si>
  <si>
    <t>北栄町</t>
  </si>
  <si>
    <t>ｺﾄｳﾗﾁｮｳ</t>
  </si>
  <si>
    <t>313718</t>
  </si>
  <si>
    <t>琴浦町</t>
  </si>
  <si>
    <t>ﾕﾘﾊﾏﾁｮｳ</t>
  </si>
  <si>
    <t>313700</t>
  </si>
  <si>
    <t>湯梨浜町</t>
  </si>
  <si>
    <t>ﾐｻｻﾁｮｳ</t>
  </si>
  <si>
    <t>313645</t>
  </si>
  <si>
    <t>三朝町</t>
  </si>
  <si>
    <t>ﾔｽﾞﾁｮｳ</t>
  </si>
  <si>
    <t>313297</t>
  </si>
  <si>
    <t>八頭町</t>
  </si>
  <si>
    <t>ﾁﾂﾞﾁｮｳ</t>
    <phoneticPr fontId="87"/>
  </si>
  <si>
    <t>313289</t>
  </si>
  <si>
    <t>智頭町</t>
  </si>
  <si>
    <t>ﾜｶｻﾁｮｳ</t>
  </si>
  <si>
    <t>313254</t>
  </si>
  <si>
    <t>若桜町</t>
  </si>
  <si>
    <t>ｲﾜﾐﾁｮｳ</t>
  </si>
  <si>
    <t>313025</t>
  </si>
  <si>
    <t>岩美町</t>
  </si>
  <si>
    <t>ｻｶｲﾐﾅﾄｼ</t>
  </si>
  <si>
    <t>312045</t>
  </si>
  <si>
    <t>境港市</t>
  </si>
  <si>
    <t>ｸﾗﾖｼｼ</t>
  </si>
  <si>
    <t>312037</t>
  </si>
  <si>
    <t>倉吉市</t>
  </si>
  <si>
    <t>ﾖﾅｺﾞｼ</t>
  </si>
  <si>
    <t>312029</t>
  </si>
  <si>
    <t>米子市</t>
  </si>
  <si>
    <t>ﾄｯﾄﾘｼ</t>
    <phoneticPr fontId="87"/>
  </si>
  <si>
    <t>312011</t>
  </si>
  <si>
    <t>鳥取市</t>
  </si>
  <si>
    <t>ﾄｯﾄﾘｹﾝ</t>
    <phoneticPr fontId="87"/>
  </si>
  <si>
    <t>310000</t>
    <phoneticPr fontId="87"/>
  </si>
  <si>
    <t>鳥取県</t>
    <phoneticPr fontId="87"/>
  </si>
  <si>
    <t>ｸｼﾓﾄﾁｮｳ</t>
  </si>
  <si>
    <t>ﾜｶﾔﾏｹﾝ</t>
  </si>
  <si>
    <t>304280</t>
  </si>
  <si>
    <t>串本町</t>
  </si>
  <si>
    <t>和歌山県</t>
  </si>
  <si>
    <t>ｷﾀﾔﾏﾑﾗ</t>
  </si>
  <si>
    <t>304271</t>
  </si>
  <si>
    <t>北山村</t>
  </si>
  <si>
    <t>ｺｻﾞｶﾞﾜﾁｮｳ</t>
  </si>
  <si>
    <t>304247</t>
  </si>
  <si>
    <t>古座川町</t>
  </si>
  <si>
    <t>ﾀｲｼﾞﾁｮｳ</t>
  </si>
  <si>
    <t>304221</t>
  </si>
  <si>
    <t>太地町</t>
  </si>
  <si>
    <t>ﾅﾁｶﾂｳﾗﾁｮｳ</t>
  </si>
  <si>
    <t>304212</t>
  </si>
  <si>
    <t>那智勝浦町</t>
  </si>
  <si>
    <t>ｽｻﾐﾁｮｳ</t>
  </si>
  <si>
    <t>304069</t>
  </si>
  <si>
    <t>すさみ町</t>
  </si>
  <si>
    <t>ｶﾐﾄﾝﾀﾞﾁｮｳ</t>
  </si>
  <si>
    <t>304042</t>
  </si>
  <si>
    <t>上富田町</t>
  </si>
  <si>
    <t>ｼﾗﾊﾏﾁｮｳ</t>
  </si>
  <si>
    <t>304018</t>
  </si>
  <si>
    <t>白浜町</t>
  </si>
  <si>
    <t>ﾋﾀﾞｶｶﾞﾜﾁｮｳ</t>
  </si>
  <si>
    <t>303925</t>
  </si>
  <si>
    <t>日高川町</t>
  </si>
  <si>
    <t>ﾐﾅﾍﾞﾁｮｳ</t>
  </si>
  <si>
    <t>303917</t>
  </si>
  <si>
    <t>みなべ町</t>
  </si>
  <si>
    <t>ｲﾅﾐﾁｮｳ</t>
  </si>
  <si>
    <t>303909</t>
  </si>
  <si>
    <t>印南町</t>
  </si>
  <si>
    <t>ﾕﾗﾁｮｳ</t>
  </si>
  <si>
    <t>303836</t>
  </si>
  <si>
    <t>由良町</t>
  </si>
  <si>
    <t>ﾋﾀﾞｶﾁｮｳ</t>
  </si>
  <si>
    <t>303828</t>
  </si>
  <si>
    <t>日高町</t>
  </si>
  <si>
    <t>ﾐﾊﾏﾁｮｳ</t>
  </si>
  <si>
    <t>303810</t>
  </si>
  <si>
    <t>美浜町</t>
  </si>
  <si>
    <t>ｱﾘﾀﾞｶﾞﾜﾁｮｳ</t>
  </si>
  <si>
    <t>303666</t>
  </si>
  <si>
    <t>有田川町</t>
  </si>
  <si>
    <t>ﾋﾛｶﾞﾜﾁｮｳ</t>
  </si>
  <si>
    <t>303623</t>
  </si>
  <si>
    <t>ﾕｱｻﾁｮｳ</t>
  </si>
  <si>
    <t>303615</t>
  </si>
  <si>
    <t>湯浅町</t>
  </si>
  <si>
    <t>ｺｳﾔﾁｮｳ</t>
  </si>
  <si>
    <t>303445</t>
  </si>
  <si>
    <t>高野町</t>
  </si>
  <si>
    <t>ｸﾄﾞﾔﾏﾁｮｳ</t>
  </si>
  <si>
    <t>303437</t>
  </si>
  <si>
    <t>九度山町</t>
  </si>
  <si>
    <t>ｶﾂﾗｷﾞﾁｮｳ</t>
  </si>
  <si>
    <t>303411</t>
  </si>
  <si>
    <t>かつらぎ町</t>
  </si>
  <si>
    <t>ｷﾐﾉﾁｮｳ</t>
  </si>
  <si>
    <t>303046</t>
  </si>
  <si>
    <t>紀美野町</t>
  </si>
  <si>
    <t>ｲﾜﾃﾞｼ</t>
  </si>
  <si>
    <t>302091</t>
  </si>
  <si>
    <t>岩出市</t>
  </si>
  <si>
    <t>ｷﾉｶﾜｼ</t>
  </si>
  <si>
    <t>302082</t>
  </si>
  <si>
    <t>紀の川市</t>
  </si>
  <si>
    <t>ｼﾝｸﾞｳｼ</t>
  </si>
  <si>
    <t>302074</t>
  </si>
  <si>
    <t>新宮市</t>
  </si>
  <si>
    <t>ﾀﾅﾍﾞｼ</t>
  </si>
  <si>
    <t>302066</t>
  </si>
  <si>
    <t>田辺市</t>
  </si>
  <si>
    <t>ｺﾞﾎﾞｳｼ</t>
  </si>
  <si>
    <t>302058</t>
  </si>
  <si>
    <t>御坊市</t>
  </si>
  <si>
    <t>ｱﾘﾀﾞｼ</t>
  </si>
  <si>
    <t>302040</t>
  </si>
  <si>
    <t>有田市</t>
  </si>
  <si>
    <t>ﾊｼﾓﾄｼ</t>
  </si>
  <si>
    <t>302031</t>
  </si>
  <si>
    <t>橋本市</t>
  </si>
  <si>
    <t>ｶｲﾅﾝｼ</t>
  </si>
  <si>
    <t>302023</t>
  </si>
  <si>
    <t>海南市</t>
  </si>
  <si>
    <t>ﾜｶﾔﾏｼ</t>
  </si>
  <si>
    <t>302015</t>
  </si>
  <si>
    <t>和歌山市</t>
  </si>
  <si>
    <t>ﾜｶﾔﾏｹﾝ</t>
    <phoneticPr fontId="87"/>
  </si>
  <si>
    <t>300004</t>
    <phoneticPr fontId="87"/>
  </si>
  <si>
    <t>和歌山県</t>
    <phoneticPr fontId="87"/>
  </si>
  <si>
    <t>ﾋｶﾞｼﾖｼﾉﾑﾗ</t>
  </si>
  <si>
    <t>ﾅﾗｹﾝ</t>
  </si>
  <si>
    <t>294535</t>
  </si>
  <si>
    <t>東吉野村</t>
  </si>
  <si>
    <t>奈良県</t>
  </si>
  <si>
    <t>ｶﾜｶﾐﾑﾗ</t>
  </si>
  <si>
    <t>294527</t>
  </si>
  <si>
    <t>川上村</t>
  </si>
  <si>
    <t>ｶﾐｷﾀﾔﾏﾑﾗ</t>
  </si>
  <si>
    <t>294519</t>
  </si>
  <si>
    <t>上北山村</t>
  </si>
  <si>
    <t>ｼﾓｷﾀﾔﾏﾑﾗ</t>
  </si>
  <si>
    <t>294501</t>
  </si>
  <si>
    <t>下北山村</t>
  </si>
  <si>
    <t>ﾄﾂｶﾜﾑﾗ</t>
  </si>
  <si>
    <t>294497</t>
  </si>
  <si>
    <t>十津川村</t>
  </si>
  <si>
    <t>ﾉｾｶﾞﾜﾑﾗ</t>
  </si>
  <si>
    <t>294471</t>
  </si>
  <si>
    <t>野迫川村</t>
  </si>
  <si>
    <t>ﾃﾝｶﾜﾑﾗ</t>
  </si>
  <si>
    <t>294462</t>
  </si>
  <si>
    <t>天川村</t>
  </si>
  <si>
    <t>ｸﾛﾀｷﾑﾗ</t>
  </si>
  <si>
    <t>294446</t>
  </si>
  <si>
    <t>黒滝村</t>
  </si>
  <si>
    <t>ｼﾓｲﾁﾁｮｳ</t>
  </si>
  <si>
    <t>294438</t>
  </si>
  <si>
    <t>下市町</t>
  </si>
  <si>
    <t>ｵｵﾖﾄﾞﾁｮｳ</t>
  </si>
  <si>
    <t>294420</t>
  </si>
  <si>
    <t>大淀町</t>
  </si>
  <si>
    <t>ﾖｼﾉﾁｮｳ</t>
  </si>
  <si>
    <t>294411</t>
  </si>
  <si>
    <t>吉野町</t>
  </si>
  <si>
    <t>ｶﾜｲﾁｮｳ</t>
  </si>
  <si>
    <t>294276</t>
  </si>
  <si>
    <t>河合町</t>
  </si>
  <si>
    <t>ｺｳﾘﾖｳﾁｮｳ</t>
  </si>
  <si>
    <t>294268</t>
  </si>
  <si>
    <t>広陵町</t>
  </si>
  <si>
    <t>ｵｳｼﾞﾁｮｳ</t>
  </si>
  <si>
    <t>294250</t>
  </si>
  <si>
    <t>王寺町</t>
  </si>
  <si>
    <t>ｶﾝﾏｷﾁｮｳ</t>
  </si>
  <si>
    <t>294241</t>
  </si>
  <si>
    <t>上牧町</t>
  </si>
  <si>
    <t>ｱｽｶﾑﾗ</t>
  </si>
  <si>
    <t>294021</t>
  </si>
  <si>
    <t>明日香村</t>
  </si>
  <si>
    <t>ﾀｶﾄﾘﾁｮｳ</t>
  </si>
  <si>
    <t>294012</t>
  </si>
  <si>
    <t>高取町</t>
  </si>
  <si>
    <t>ﾐﾂｴﾑﾗ</t>
  </si>
  <si>
    <t>293865</t>
  </si>
  <si>
    <t>御杖村</t>
  </si>
  <si>
    <t>ｿﾆﾑﾗ</t>
  </si>
  <si>
    <t>293857</t>
  </si>
  <si>
    <t>曽爾村</t>
  </si>
  <si>
    <t>ﾀﾜﾗﾓﾄﾁｮｳ</t>
  </si>
  <si>
    <t>293636</t>
  </si>
  <si>
    <t>田原本町</t>
  </si>
  <si>
    <t>ﾐﾔｹﾁｮｳ</t>
  </si>
  <si>
    <t>293628</t>
  </si>
  <si>
    <t>三宅町</t>
  </si>
  <si>
    <t>ｶﾜﾆｼﾁｮｳ</t>
  </si>
  <si>
    <t>293610</t>
  </si>
  <si>
    <t>川西町</t>
  </si>
  <si>
    <t>ｱﾝﾄﾞﾁｮｳ</t>
  </si>
  <si>
    <t>293458</t>
  </si>
  <si>
    <t>安堵町</t>
  </si>
  <si>
    <t>ｲｶﾙｶﾞﾁｮｳ</t>
  </si>
  <si>
    <t>293440</t>
  </si>
  <si>
    <t>斑鳩町</t>
  </si>
  <si>
    <t>ｻﾝｺﾞｳﾁｮｳ</t>
  </si>
  <si>
    <t>293431</t>
  </si>
  <si>
    <t>三郷町</t>
  </si>
  <si>
    <t>ﾍｸﾞﾘﾁｮｳ</t>
  </si>
  <si>
    <t>293423</t>
  </si>
  <si>
    <t>平群町</t>
  </si>
  <si>
    <t>ﾔﾏｿﾞｴﾑﾗ</t>
  </si>
  <si>
    <t>293229</t>
  </si>
  <si>
    <t>山添村</t>
  </si>
  <si>
    <t>ｳﾀﾞｼ</t>
  </si>
  <si>
    <t>292125</t>
  </si>
  <si>
    <t>宇陀市</t>
  </si>
  <si>
    <t>ｶﾂﾗｷﾞｼ</t>
  </si>
  <si>
    <t>292117</t>
  </si>
  <si>
    <t>葛城市</t>
  </si>
  <si>
    <t>ｶｼﾊﾞｼ</t>
  </si>
  <si>
    <t>292109</t>
  </si>
  <si>
    <t>香芝市</t>
  </si>
  <si>
    <t>ｲｺﾏｼ</t>
  </si>
  <si>
    <t>292095</t>
  </si>
  <si>
    <t>生駒市</t>
  </si>
  <si>
    <t>ｺﾞｾｼ</t>
  </si>
  <si>
    <t>292087</t>
  </si>
  <si>
    <t>御所市</t>
  </si>
  <si>
    <t>ｺﾞｼﾞｮｳｼ</t>
    <phoneticPr fontId="87"/>
  </si>
  <si>
    <t>292079</t>
  </si>
  <si>
    <t>五條市</t>
  </si>
  <si>
    <t>ｻｸﾗｲｼ</t>
  </si>
  <si>
    <t>292061</t>
  </si>
  <si>
    <t>桜井市</t>
  </si>
  <si>
    <t>ｶｼﾊﾗｼ</t>
  </si>
  <si>
    <t>292052</t>
  </si>
  <si>
    <t>橿原市</t>
  </si>
  <si>
    <t>ﾃﾝﾘｼ</t>
  </si>
  <si>
    <t>292044</t>
  </si>
  <si>
    <t>天理市</t>
  </si>
  <si>
    <t>ﾔﾏﾄｺｵﾘﾔﾏｼ</t>
  </si>
  <si>
    <t>292036</t>
  </si>
  <si>
    <t>大和郡山市</t>
  </si>
  <si>
    <t>ﾔﾏﾄﾀｶﾀﾞｼ</t>
  </si>
  <si>
    <t>292028</t>
  </si>
  <si>
    <t>大和高田市</t>
  </si>
  <si>
    <t>ﾅﾗｼ</t>
  </si>
  <si>
    <t>292010</t>
  </si>
  <si>
    <t>奈良市</t>
  </si>
  <si>
    <t>ﾅﾗｹﾝ</t>
    <phoneticPr fontId="87"/>
  </si>
  <si>
    <t>290009</t>
    <phoneticPr fontId="87"/>
  </si>
  <si>
    <t>奈良県</t>
    <phoneticPr fontId="87"/>
  </si>
  <si>
    <t>ｼﾝｵﾝｾﾝﾁｮｳ</t>
  </si>
  <si>
    <t>ﾋｮｳｺﾞｹﾝ</t>
  </si>
  <si>
    <t>285862</t>
  </si>
  <si>
    <t>新温泉町</t>
  </si>
  <si>
    <t>兵庫県</t>
  </si>
  <si>
    <t>ｶﾐﾁｮｳ</t>
  </si>
  <si>
    <t>285854</t>
  </si>
  <si>
    <t>香美町</t>
  </si>
  <si>
    <t>ｻﾖｳﾁｮｳ</t>
  </si>
  <si>
    <t>285013</t>
  </si>
  <si>
    <t>佐用町</t>
  </si>
  <si>
    <t>ｶﾐｺﾞｵﾘﾁｮｳ</t>
  </si>
  <si>
    <t>284815</t>
  </si>
  <si>
    <t>上郡町</t>
  </si>
  <si>
    <t>ﾀｲｼﾁｮｳ</t>
  </si>
  <si>
    <t>284645</t>
  </si>
  <si>
    <t>太子町</t>
  </si>
  <si>
    <t>ｶﾐｶﾜﾁｮｳ</t>
  </si>
  <si>
    <t>284467</t>
  </si>
  <si>
    <t>神河町</t>
  </si>
  <si>
    <t>ﾌｸｻｷﾁｮｳ</t>
  </si>
  <si>
    <t>284432</t>
  </si>
  <si>
    <t>福崎町</t>
  </si>
  <si>
    <t>ｲﾁｶﾜﾁｮｳ</t>
  </si>
  <si>
    <t>284424</t>
  </si>
  <si>
    <t>市川町</t>
  </si>
  <si>
    <t>ﾊﾘﾏﾁｮｳ</t>
  </si>
  <si>
    <t>283827</t>
  </si>
  <si>
    <t>播磨町</t>
  </si>
  <si>
    <t>283819</t>
  </si>
  <si>
    <t>稲美町</t>
  </si>
  <si>
    <t>ﾀｶﾁｮｳ</t>
  </si>
  <si>
    <t>283657</t>
  </si>
  <si>
    <t>多可町</t>
  </si>
  <si>
    <t>ｲﾅｶﾞﾜﾁｮｳ</t>
  </si>
  <si>
    <t>283011</t>
  </si>
  <si>
    <t>猪名川町</t>
  </si>
  <si>
    <t>ﾀﾂﾉｼ</t>
  </si>
  <si>
    <t>282294</t>
  </si>
  <si>
    <t>たつの市</t>
  </si>
  <si>
    <t>ｶﾄｳｼ</t>
  </si>
  <si>
    <t>282286</t>
  </si>
  <si>
    <t>加東市</t>
  </si>
  <si>
    <t>ｼｿｳｼ</t>
  </si>
  <si>
    <t>282278</t>
  </si>
  <si>
    <t>宍粟市</t>
  </si>
  <si>
    <t>ｱﾜｼﾞｼ</t>
  </si>
  <si>
    <t>282260</t>
  </si>
  <si>
    <t>淡路市</t>
  </si>
  <si>
    <t>ｱｻｺﾞｼ</t>
  </si>
  <si>
    <t>282251</t>
  </si>
  <si>
    <t>朝来市</t>
  </si>
  <si>
    <t>ﾐﾅﾐｱﾜｼﾞｼ</t>
  </si>
  <si>
    <t>282243</t>
  </si>
  <si>
    <t>南あわじ市</t>
  </si>
  <si>
    <t>ﾀﾝﾊﾞｼ</t>
  </si>
  <si>
    <t>282235</t>
  </si>
  <si>
    <t>丹波市</t>
  </si>
  <si>
    <t>ﾔﾌﾞｼ</t>
  </si>
  <si>
    <t>282227</t>
  </si>
  <si>
    <t>養父市</t>
  </si>
  <si>
    <t>ﾀﾝﾊﾞｻｻﾔﾏｼ</t>
    <phoneticPr fontId="87"/>
  </si>
  <si>
    <t>282219</t>
  </si>
  <si>
    <t>丹波篠山市</t>
    <rPh sb="0" eb="2">
      <t>タンバ</t>
    </rPh>
    <rPh sb="2" eb="5">
      <t>ササヤマシ</t>
    </rPh>
    <phoneticPr fontId="87"/>
  </si>
  <si>
    <t>ｶｻｲｼ</t>
  </si>
  <si>
    <t>282201</t>
  </si>
  <si>
    <t>加西市</t>
  </si>
  <si>
    <t>ｻﾝﾀﾞｼ</t>
  </si>
  <si>
    <t>282197</t>
  </si>
  <si>
    <t>三田市</t>
  </si>
  <si>
    <t>ｵﾉｼ</t>
  </si>
  <si>
    <t>282189</t>
  </si>
  <si>
    <t>小野市</t>
  </si>
  <si>
    <t>ｶﾜﾆｼｼ</t>
  </si>
  <si>
    <t>282171</t>
  </si>
  <si>
    <t>川西市</t>
  </si>
  <si>
    <t>ﾀｶｻｺﾞｼ</t>
  </si>
  <si>
    <t>282162</t>
  </si>
  <si>
    <t>高砂市</t>
  </si>
  <si>
    <t>ﾐｷｼ</t>
  </si>
  <si>
    <t>282154</t>
  </si>
  <si>
    <t>三木市</t>
  </si>
  <si>
    <t>ﾀｶﾗﾂﾞｶｼ</t>
  </si>
  <si>
    <t>282146</t>
  </si>
  <si>
    <t>宝塚市</t>
  </si>
  <si>
    <t>ﾆｼﾜｷｼ</t>
  </si>
  <si>
    <t>282138</t>
  </si>
  <si>
    <t>西脇市</t>
  </si>
  <si>
    <t>ｱｺｳｼ</t>
  </si>
  <si>
    <t>282120</t>
  </si>
  <si>
    <t>赤穂市</t>
  </si>
  <si>
    <t>ｶｺｶﾞﾜｼ</t>
  </si>
  <si>
    <t>282103</t>
  </si>
  <si>
    <t>加古川市</t>
  </si>
  <si>
    <t>ﾄﾖｵｶｼ</t>
  </si>
  <si>
    <t>282090</t>
  </si>
  <si>
    <t>豊岡市</t>
  </si>
  <si>
    <t>ｱｲｵｲｼ</t>
  </si>
  <si>
    <t>282081</t>
  </si>
  <si>
    <t>相生市</t>
  </si>
  <si>
    <t>ｲﾀﾐｼ</t>
  </si>
  <si>
    <t>282073</t>
  </si>
  <si>
    <t>伊丹市</t>
  </si>
  <si>
    <t>ｱｼﾔｼ</t>
  </si>
  <si>
    <t>282065</t>
  </si>
  <si>
    <t>芦屋市</t>
  </si>
  <si>
    <t>ｽﾓﾄｼ</t>
  </si>
  <si>
    <t>282057</t>
  </si>
  <si>
    <t>洲本市</t>
  </si>
  <si>
    <t>ﾆｼﾉﾐﾔｼ</t>
  </si>
  <si>
    <t>282049</t>
  </si>
  <si>
    <t>西宮市</t>
  </si>
  <si>
    <t>ｱｶｼｼ</t>
  </si>
  <si>
    <t>282031</t>
  </si>
  <si>
    <t>明石市</t>
  </si>
  <si>
    <t>ｱﾏｶﾞｻｷｼ</t>
  </si>
  <si>
    <t>282022</t>
  </si>
  <si>
    <t>尼崎市</t>
  </si>
  <si>
    <t>ﾋﾒｼﾞｼ</t>
  </si>
  <si>
    <t>282014</t>
  </si>
  <si>
    <t>姫路市</t>
  </si>
  <si>
    <t>ｺｳﾍﾞｼ</t>
  </si>
  <si>
    <t>281000</t>
  </si>
  <si>
    <t>神戸市</t>
  </si>
  <si>
    <t>ﾋｮｳｺﾞｹﾝ</t>
    <phoneticPr fontId="87"/>
  </si>
  <si>
    <t>280003</t>
    <phoneticPr fontId="87"/>
  </si>
  <si>
    <t>兵庫県</t>
    <phoneticPr fontId="87"/>
  </si>
  <si>
    <t>ﾁﾊﾔｱｶｻｶﾑﾗ</t>
  </si>
  <si>
    <t>ｵｵｻｶﾌ</t>
  </si>
  <si>
    <t>273830</t>
  </si>
  <si>
    <t>千早赤阪村</t>
  </si>
  <si>
    <t>大阪府</t>
  </si>
  <si>
    <t>ｶﾅﾝﾁｮｳ</t>
  </si>
  <si>
    <t>273821</t>
  </si>
  <si>
    <t>河南町</t>
  </si>
  <si>
    <t>273813</t>
  </si>
  <si>
    <t>273660</t>
  </si>
  <si>
    <t>岬町</t>
  </si>
  <si>
    <t>ﾀｼﾞﾘﾁｮｳ</t>
  </si>
  <si>
    <t>273627</t>
  </si>
  <si>
    <t>田尻町</t>
  </si>
  <si>
    <t>ｸﾏﾄﾘﾁｮｳ</t>
  </si>
  <si>
    <t>273619</t>
  </si>
  <si>
    <t>熊取町</t>
  </si>
  <si>
    <t>ﾀﾀﾞｵｶﾁｮｳ</t>
  </si>
  <si>
    <t>273414</t>
  </si>
  <si>
    <t>忠岡町</t>
  </si>
  <si>
    <t>ﾉｾﾁｮｳ</t>
  </si>
  <si>
    <t>273228</t>
  </si>
  <si>
    <t>能勢町</t>
  </si>
  <si>
    <t>ﾄﾖﾉﾁｮｳ</t>
  </si>
  <si>
    <t>273210</t>
  </si>
  <si>
    <t>豊能町</t>
  </si>
  <si>
    <t>ｼﾏﾓﾄﾁｮｳ</t>
  </si>
  <si>
    <t>273015</t>
  </si>
  <si>
    <t>島本町</t>
  </si>
  <si>
    <t>ﾊﾝﾅﾝｼ</t>
  </si>
  <si>
    <t>272329</t>
  </si>
  <si>
    <t>阪南市</t>
  </si>
  <si>
    <t>ｵｵｻｶｻﾔﾏｼ</t>
  </si>
  <si>
    <t>272311</t>
  </si>
  <si>
    <t>大阪狭山市</t>
  </si>
  <si>
    <t>ｶﾀﾉｼ</t>
  </si>
  <si>
    <t>272302</t>
  </si>
  <si>
    <t>交野市</t>
  </si>
  <si>
    <t>ｼｼﾞﾖｳﾅﾜﾃｼ</t>
  </si>
  <si>
    <t>272299</t>
  </si>
  <si>
    <t>四條畷市</t>
  </si>
  <si>
    <t>ｾﾝﾅﾝｼ</t>
  </si>
  <si>
    <t>272281</t>
  </si>
  <si>
    <t>泉南市</t>
  </si>
  <si>
    <t>ﾋｶﾞｼｵｵｻｶｼ</t>
  </si>
  <si>
    <t>272272</t>
  </si>
  <si>
    <t>東大阪市</t>
  </si>
  <si>
    <t>ﾌｼﾞｲﾃﾞﾗｼ</t>
  </si>
  <si>
    <t>272264</t>
  </si>
  <si>
    <t>藤井寺市</t>
  </si>
  <si>
    <t>ﾀｶｲｼｼ</t>
  </si>
  <si>
    <t>272256</t>
  </si>
  <si>
    <t>高石市</t>
  </si>
  <si>
    <t>ｾｯﾂｼ</t>
    <phoneticPr fontId="87"/>
  </si>
  <si>
    <t>272248</t>
  </si>
  <si>
    <t>摂津市</t>
  </si>
  <si>
    <t>ｶﾄﾞﾏｼ</t>
  </si>
  <si>
    <t>272230</t>
  </si>
  <si>
    <t>門真市</t>
  </si>
  <si>
    <t>ﾊﾋﾞｷﾉｼ</t>
  </si>
  <si>
    <t>272221</t>
  </si>
  <si>
    <t>羽曳野市</t>
  </si>
  <si>
    <t>ｶｼﾜﾗｼ</t>
  </si>
  <si>
    <t>272213</t>
  </si>
  <si>
    <t>柏原市</t>
  </si>
  <si>
    <t>ﾐﾉｵｼ</t>
  </si>
  <si>
    <t>272205</t>
  </si>
  <si>
    <t>箕面市</t>
  </si>
  <si>
    <t>272191</t>
  </si>
  <si>
    <t>和泉市</t>
  </si>
  <si>
    <t>ﾀﾞｲﾄｳｼ</t>
  </si>
  <si>
    <t>272183</t>
  </si>
  <si>
    <t>大東市</t>
  </si>
  <si>
    <t>ﾏﾂﾊﾞﾗｼ</t>
  </si>
  <si>
    <t>272175</t>
  </si>
  <si>
    <t>松原市</t>
  </si>
  <si>
    <t>ｶﾜﾁﾅｶﾞﾉｼ</t>
  </si>
  <si>
    <t>272167</t>
  </si>
  <si>
    <t>河内長野市</t>
  </si>
  <si>
    <t>ﾈﾔｶﾞﾜｼ</t>
  </si>
  <si>
    <t>272159</t>
  </si>
  <si>
    <t>寝屋川市</t>
  </si>
  <si>
    <t>ﾄﾝﾀﾞﾊﾞﾔｼｼ</t>
  </si>
  <si>
    <t>272141</t>
  </si>
  <si>
    <t>富田林市</t>
  </si>
  <si>
    <t>ｲｽﾞﾐｻﾉｼ</t>
  </si>
  <si>
    <t>272132</t>
  </si>
  <si>
    <t>泉佐野市</t>
  </si>
  <si>
    <t>ﾔｵｼ</t>
  </si>
  <si>
    <t>272124</t>
  </si>
  <si>
    <t>八尾市</t>
  </si>
  <si>
    <t>ｲﾊﾞﾗｷｼ</t>
  </si>
  <si>
    <t>272116</t>
  </si>
  <si>
    <t>茨木市</t>
  </si>
  <si>
    <t>ﾋﾗｶﾀｼ</t>
  </si>
  <si>
    <t>272108</t>
  </si>
  <si>
    <t>枚方市</t>
  </si>
  <si>
    <t>ﾓﾘｸﾞﾁｼ</t>
  </si>
  <si>
    <t>272094</t>
  </si>
  <si>
    <t>守口市</t>
  </si>
  <si>
    <t>ｶｲﾂﾞｶｼ</t>
  </si>
  <si>
    <t>272086</t>
  </si>
  <si>
    <t>貝塚市</t>
  </si>
  <si>
    <t>ﾀｶﾂｷｼ</t>
  </si>
  <si>
    <t>272078</t>
  </si>
  <si>
    <t>高槻市</t>
  </si>
  <si>
    <t>ｲｽﾞﾐｵｵﾂｼ</t>
  </si>
  <si>
    <t>272060</t>
  </si>
  <si>
    <t>泉大津市</t>
  </si>
  <si>
    <t>ｽｲﾀｼ</t>
  </si>
  <si>
    <t>272051</t>
  </si>
  <si>
    <t>吹田市</t>
  </si>
  <si>
    <t>ｲｹﾀﾞｼ</t>
  </si>
  <si>
    <t>272043</t>
  </si>
  <si>
    <t>池田市</t>
  </si>
  <si>
    <t>ﾄﾖﾅｶｼ</t>
  </si>
  <si>
    <t>272035</t>
  </si>
  <si>
    <t>豊中市</t>
  </si>
  <si>
    <t>ｷｼﾜﾀﾞｼ</t>
  </si>
  <si>
    <t>272027</t>
  </si>
  <si>
    <t>岸和田市</t>
  </si>
  <si>
    <t>ｻｶｲｼ</t>
  </si>
  <si>
    <t>271403</t>
  </si>
  <si>
    <t>堺市</t>
  </si>
  <si>
    <t>ｵｵｻｶｼ</t>
  </si>
  <si>
    <t>271004</t>
  </si>
  <si>
    <t>大阪市</t>
  </si>
  <si>
    <t>ｵｵｻｶﾌ</t>
    <phoneticPr fontId="87"/>
  </si>
  <si>
    <t>270008</t>
    <phoneticPr fontId="87"/>
  </si>
  <si>
    <t>大阪府</t>
    <phoneticPr fontId="87"/>
  </si>
  <si>
    <t>ﾖｻﾉﾁｮｳ</t>
  </si>
  <si>
    <t>ｷｮｳﾄﾌ</t>
  </si>
  <si>
    <t>264652</t>
  </si>
  <si>
    <t>与謝野町</t>
  </si>
  <si>
    <t>京都府</t>
  </si>
  <si>
    <t>ｲﾈﾁｮｳ</t>
  </si>
  <si>
    <t>264636</t>
  </si>
  <si>
    <t>伊根町</t>
  </si>
  <si>
    <t>ｷｮｳﾀﾝﾊﾞﾁｮｳ</t>
  </si>
  <si>
    <t>264075</t>
  </si>
  <si>
    <t>京丹波町</t>
  </si>
  <si>
    <t>ﾐﾅﾐﾔﾏｼﾛﾑﾗ</t>
  </si>
  <si>
    <t>263672</t>
  </si>
  <si>
    <t>南山城村</t>
  </si>
  <si>
    <t>ｾｲｶﾁｮｳ</t>
  </si>
  <si>
    <t>263664</t>
  </si>
  <si>
    <t>精華町</t>
  </si>
  <si>
    <t>ﾜﾂﾞｶﾁｮｳ</t>
  </si>
  <si>
    <t>263656</t>
  </si>
  <si>
    <t>和束町</t>
  </si>
  <si>
    <t>ｶｻｷﾞﾁｮｳ</t>
  </si>
  <si>
    <t>263648</t>
  </si>
  <si>
    <t>笠置町</t>
  </si>
  <si>
    <t>ｳｼﾞﾀﾜﾗﾁｮｳ</t>
  </si>
  <si>
    <t>263443</t>
  </si>
  <si>
    <t>宇治田原町</t>
  </si>
  <si>
    <t>ｲﾃﾞﾁｮｳ</t>
  </si>
  <si>
    <t>263435</t>
  </si>
  <si>
    <t>井手町</t>
  </si>
  <si>
    <t>ｸﾐﾔﾏﾁｮｳ</t>
  </si>
  <si>
    <t>263222</t>
  </si>
  <si>
    <t>久御山町</t>
  </si>
  <si>
    <t>ｵｵﾔﾏｻﾞｷﾁｮｳ</t>
  </si>
  <si>
    <t>263036</t>
  </si>
  <si>
    <t>大山崎町</t>
  </si>
  <si>
    <t>ｷﾂﾞｶﾞﾜｼ</t>
    <phoneticPr fontId="87"/>
  </si>
  <si>
    <t>262145</t>
  </si>
  <si>
    <t>木津川市</t>
  </si>
  <si>
    <t>ﾅﾝﾀﾝｼ</t>
  </si>
  <si>
    <t>262137</t>
  </si>
  <si>
    <t>南丹市</t>
  </si>
  <si>
    <t>ｷｮｳﾀﾝｺﾞｼ</t>
  </si>
  <si>
    <t>262129</t>
  </si>
  <si>
    <t>京丹後市</t>
  </si>
  <si>
    <t>ｷｮｳﾀﾅﾍﾞｼ</t>
  </si>
  <si>
    <t>262111</t>
  </si>
  <si>
    <t>京田辺市</t>
  </si>
  <si>
    <t>ﾔﾜﾀｼ</t>
  </si>
  <si>
    <t>262102</t>
  </si>
  <si>
    <t>八幡市</t>
  </si>
  <si>
    <t>ﾅｶﾞｵｶｷｮｳｼ</t>
  </si>
  <si>
    <t>262099</t>
  </si>
  <si>
    <t>長岡京市</t>
  </si>
  <si>
    <t>ﾑｺｳｼ</t>
  </si>
  <si>
    <t>262081</t>
  </si>
  <si>
    <t>向日市</t>
  </si>
  <si>
    <t>ｼﾞｮｳﾖｳｼ</t>
    <phoneticPr fontId="87"/>
  </si>
  <si>
    <t>262072</t>
  </si>
  <si>
    <t>城陽市</t>
  </si>
  <si>
    <t>ｶﾒｵｶｼ</t>
  </si>
  <si>
    <t>262064</t>
  </si>
  <si>
    <t>亀岡市</t>
  </si>
  <si>
    <t>ﾐﾔﾂﾞｼ</t>
  </si>
  <si>
    <t>262056</t>
  </si>
  <si>
    <t>宮津市</t>
  </si>
  <si>
    <t>ｳｼﾞｼ</t>
  </si>
  <si>
    <t>262048</t>
  </si>
  <si>
    <t>宇治市</t>
  </si>
  <si>
    <t>ｱﾔﾍﾞｼ</t>
  </si>
  <si>
    <t>262030</t>
  </si>
  <si>
    <t>綾部市</t>
  </si>
  <si>
    <t>ﾏｲﾂﾞﾙｼ</t>
  </si>
  <si>
    <t>262021</t>
  </si>
  <si>
    <t>舞鶴市</t>
  </si>
  <si>
    <t>ﾌｸﾁﾔﾏｼ</t>
  </si>
  <si>
    <t>262013</t>
  </si>
  <si>
    <t>福知山市</t>
  </si>
  <si>
    <t>ｷｮｳﾄｼ</t>
    <phoneticPr fontId="87"/>
  </si>
  <si>
    <t>261009</t>
  </si>
  <si>
    <t>京都市</t>
  </si>
  <si>
    <t>ｷｮｳﾄﾌ</t>
    <phoneticPr fontId="87"/>
  </si>
  <si>
    <t>260002</t>
    <phoneticPr fontId="87"/>
  </si>
  <si>
    <t>京都府</t>
    <phoneticPr fontId="87"/>
  </si>
  <si>
    <t>ﾀｶﾞﾁｮｳ</t>
  </si>
  <si>
    <t>ｼｶﾞｹﾝ</t>
  </si>
  <si>
    <t>254436</t>
  </si>
  <si>
    <t>多賀町</t>
  </si>
  <si>
    <t>滋賀県</t>
  </si>
  <si>
    <t>ｺｳﾗﾁｮｳ</t>
  </si>
  <si>
    <t>254428</t>
  </si>
  <si>
    <t>甲良町</t>
  </si>
  <si>
    <t>ﾄﾖｻﾄﾁｮｳ</t>
  </si>
  <si>
    <t>254410</t>
  </si>
  <si>
    <t>豊郷町</t>
  </si>
  <si>
    <t>ｱｲｼｮｳﾁｮｳ</t>
  </si>
  <si>
    <t>254258</t>
  </si>
  <si>
    <t>愛荘町</t>
  </si>
  <si>
    <t>ﾘﾕｳｵｳﾁｮｳ</t>
  </si>
  <si>
    <t>253847</t>
  </si>
  <si>
    <t>竜王町</t>
  </si>
  <si>
    <t>253839</t>
  </si>
  <si>
    <t>ﾏｲﾊﾞﾗｼ</t>
  </si>
  <si>
    <t>252140</t>
  </si>
  <si>
    <t>米原市</t>
  </si>
  <si>
    <t>ﾋｶﾞｼｵｳﾐｼ</t>
  </si>
  <si>
    <t>252131</t>
  </si>
  <si>
    <t>東近江市</t>
  </si>
  <si>
    <t>ﾀｶｼﾏｼ</t>
  </si>
  <si>
    <t>252123</t>
  </si>
  <si>
    <t>高島市</t>
  </si>
  <si>
    <t>ｺﾅﾝｼ</t>
  </si>
  <si>
    <t>252115</t>
  </si>
  <si>
    <t>湖南市</t>
  </si>
  <si>
    <t>ﾔｽｼ</t>
  </si>
  <si>
    <t>252107</t>
  </si>
  <si>
    <t>野洲市</t>
  </si>
  <si>
    <t>ｺｳｶｼ</t>
  </si>
  <si>
    <t>252093</t>
  </si>
  <si>
    <t>甲賀市</t>
  </si>
  <si>
    <t>ﾘｯﾄｳｼ</t>
    <phoneticPr fontId="87"/>
  </si>
  <si>
    <t>252085</t>
  </si>
  <si>
    <t>栗東市</t>
  </si>
  <si>
    <t>ﾓﾘﾔﾏｼ</t>
  </si>
  <si>
    <t>252077</t>
  </si>
  <si>
    <t>守山市</t>
  </si>
  <si>
    <t>ｸｻﾂｼ</t>
  </si>
  <si>
    <t>252069</t>
  </si>
  <si>
    <t>草津市</t>
  </si>
  <si>
    <t>ｵｳﾐﾊﾁﾏﾝｼ</t>
  </si>
  <si>
    <t>252042</t>
  </si>
  <si>
    <t>近江八幡市</t>
  </si>
  <si>
    <t>ﾅｶﾞﾊﾏｼ</t>
  </si>
  <si>
    <t>252034</t>
  </si>
  <si>
    <t>長浜市</t>
  </si>
  <si>
    <t>ﾋｺﾈｼ</t>
  </si>
  <si>
    <t>252026</t>
  </si>
  <si>
    <t>彦根市</t>
  </si>
  <si>
    <t>ｵｵﾂｼ</t>
  </si>
  <si>
    <t>252018</t>
  </si>
  <si>
    <t>大津市</t>
  </si>
  <si>
    <t>ｼｶﾞｹﾝ</t>
    <phoneticPr fontId="87"/>
  </si>
  <si>
    <t>250007</t>
    <phoneticPr fontId="87"/>
  </si>
  <si>
    <t>滋賀県</t>
    <phoneticPr fontId="87"/>
  </si>
  <si>
    <t>ｷﾎｳﾁｮｳ</t>
  </si>
  <si>
    <t>ﾐｴｹﾝ</t>
  </si>
  <si>
    <t>245623</t>
  </si>
  <si>
    <t>紀宝町</t>
  </si>
  <si>
    <t>三重県</t>
  </si>
  <si>
    <t>245615</t>
  </si>
  <si>
    <t>御浜町</t>
  </si>
  <si>
    <t>245437</t>
  </si>
  <si>
    <t>紀北町</t>
  </si>
  <si>
    <t>ﾐﾅﾐｲｾﾁｮｳ</t>
  </si>
  <si>
    <t>244724</t>
  </si>
  <si>
    <t>南伊勢町</t>
  </si>
  <si>
    <t>ﾀｲｷﾁｮｳ</t>
  </si>
  <si>
    <t>244716</t>
  </si>
  <si>
    <t>大紀町</t>
  </si>
  <si>
    <t>ﾜﾀﾗｲﾁｮｳ</t>
  </si>
  <si>
    <t>244708</t>
  </si>
  <si>
    <t>度会町</t>
  </si>
  <si>
    <t>ﾀﾏｷﾁｮｳ</t>
  </si>
  <si>
    <t>244619</t>
  </si>
  <si>
    <t>玉城町</t>
  </si>
  <si>
    <t>ｵｵﾀﾞｲﾁｮｳ</t>
  </si>
  <si>
    <t>244431</t>
  </si>
  <si>
    <t>大台町</t>
  </si>
  <si>
    <t>ﾒｲﾜﾁｮｳ</t>
  </si>
  <si>
    <t>244422</t>
  </si>
  <si>
    <t>明和町</t>
  </si>
  <si>
    <t>ﾀｷﾁｮｳ</t>
  </si>
  <si>
    <t>244414</t>
  </si>
  <si>
    <t>多気町</t>
  </si>
  <si>
    <t>ｶﾜｺﾞｴﾁｮｳ</t>
  </si>
  <si>
    <t>243442</t>
  </si>
  <si>
    <t>川越町</t>
  </si>
  <si>
    <t>ｱｻﾋﾁｮｳ</t>
  </si>
  <si>
    <t>243434</t>
  </si>
  <si>
    <t>朝日町</t>
  </si>
  <si>
    <t>ｺﾓﾉﾁｮｳ</t>
  </si>
  <si>
    <t>243418</t>
  </si>
  <si>
    <t>菰野町</t>
  </si>
  <si>
    <t>ﾄｳｲﾝﾁｮｳ</t>
  </si>
  <si>
    <t>243248</t>
  </si>
  <si>
    <t>東員町</t>
  </si>
  <si>
    <t>ｷｿｻｷﾁｮｳ</t>
  </si>
  <si>
    <t>243035</t>
  </si>
  <si>
    <t>木曽岬町</t>
  </si>
  <si>
    <t>ｲｶﾞｼ</t>
  </si>
  <si>
    <t>242161</t>
  </si>
  <si>
    <t>伊賀市</t>
  </si>
  <si>
    <t>ｼﾏｼ</t>
  </si>
  <si>
    <t>242152</t>
  </si>
  <si>
    <t>志摩市</t>
  </si>
  <si>
    <t>ｲﾅﾍﾞｼ</t>
  </si>
  <si>
    <t>242144</t>
  </si>
  <si>
    <t>いなべ市</t>
  </si>
  <si>
    <t>ｸﾏﾉｼ</t>
  </si>
  <si>
    <t>242128</t>
  </si>
  <si>
    <t>熊野市</t>
  </si>
  <si>
    <t>ﾄﾊﾞｼ</t>
  </si>
  <si>
    <t>242110</t>
  </si>
  <si>
    <t>鳥羽市</t>
  </si>
  <si>
    <t>ｶﾒﾔﾏｼ</t>
  </si>
  <si>
    <t>242101</t>
  </si>
  <si>
    <t>亀山市</t>
  </si>
  <si>
    <t>ｵﾜｾｼ</t>
  </si>
  <si>
    <t>242098</t>
  </si>
  <si>
    <t>尾鷲市</t>
  </si>
  <si>
    <t>ﾅﾊﾞﾘｼ</t>
  </si>
  <si>
    <t>242080</t>
  </si>
  <si>
    <t>名張市</t>
  </si>
  <si>
    <t>ｽｽﾞｶｼ</t>
  </si>
  <si>
    <t>242071</t>
  </si>
  <si>
    <t>鈴鹿市</t>
  </si>
  <si>
    <t>ｸﾜﾅｼ</t>
  </si>
  <si>
    <t>242055</t>
  </si>
  <si>
    <t>桑名市</t>
  </si>
  <si>
    <t>ﾏﾂｻｶｼ</t>
  </si>
  <si>
    <t>242047</t>
  </si>
  <si>
    <t>松阪市</t>
  </si>
  <si>
    <t>ｲｾｼ</t>
  </si>
  <si>
    <t>242039</t>
  </si>
  <si>
    <t>伊勢市</t>
  </si>
  <si>
    <t>ﾖｯｶｲﾁｼ</t>
    <phoneticPr fontId="87"/>
  </si>
  <si>
    <t>242021</t>
  </si>
  <si>
    <t>四日市市</t>
  </si>
  <si>
    <t>ﾂｼ</t>
  </si>
  <si>
    <t>242012</t>
  </si>
  <si>
    <t>津市</t>
  </si>
  <si>
    <t>ﾐｴｹﾝ</t>
    <phoneticPr fontId="87"/>
  </si>
  <si>
    <t>240001</t>
    <phoneticPr fontId="87"/>
  </si>
  <si>
    <t>三重県</t>
    <phoneticPr fontId="87"/>
  </si>
  <si>
    <t>ﾄﾖﾈﾑﾗ</t>
  </si>
  <si>
    <t>ｱｲﾁｹﾝ</t>
  </si>
  <si>
    <t>235636</t>
  </si>
  <si>
    <t>豊根村</t>
  </si>
  <si>
    <t>愛知県</t>
  </si>
  <si>
    <t>ﾄｳｴｲﾁｮｳ</t>
  </si>
  <si>
    <t>235628</t>
  </si>
  <si>
    <t>東栄町</t>
  </si>
  <si>
    <t>ｼﾀﾗﾁｮｳ</t>
  </si>
  <si>
    <t>235610</t>
  </si>
  <si>
    <t>設楽町</t>
  </si>
  <si>
    <t>ｺｳﾀﾁｮｳ</t>
  </si>
  <si>
    <t>235016</t>
  </si>
  <si>
    <t>幸田町</t>
  </si>
  <si>
    <t>ﾀｹﾄﾖﾁｮｳ</t>
  </si>
  <si>
    <t>234478</t>
  </si>
  <si>
    <t>武豊町</t>
  </si>
  <si>
    <t>234460</t>
  </si>
  <si>
    <t>ﾐﾅﾐﾁﾀﾁｮｳ</t>
  </si>
  <si>
    <t>234451</t>
  </si>
  <si>
    <t>南知多町</t>
  </si>
  <si>
    <t>ﾋｶﾞｼｳﾗﾁｮｳ</t>
  </si>
  <si>
    <t>234427</t>
  </si>
  <si>
    <t>東浦町</t>
  </si>
  <si>
    <t>ｱｸﾞｲﾁｮｳ</t>
  </si>
  <si>
    <t>234419</t>
  </si>
  <si>
    <t>阿久比町</t>
  </si>
  <si>
    <t>ﾄﾋﾞｼﾏﾑﾗ</t>
  </si>
  <si>
    <t>234273</t>
  </si>
  <si>
    <t>飛島村</t>
  </si>
  <si>
    <t>ｶﾆｴﾁｮｳ</t>
  </si>
  <si>
    <t>234257</t>
  </si>
  <si>
    <t>蟹江町</t>
  </si>
  <si>
    <t>ｵｵﾊﾙﾁｮｳ</t>
  </si>
  <si>
    <t>234249</t>
  </si>
  <si>
    <t>大治町</t>
  </si>
  <si>
    <t>ﾌｿｳﾁｮｳ</t>
  </si>
  <si>
    <t>233625</t>
  </si>
  <si>
    <t>扶桑町</t>
  </si>
  <si>
    <t>ｵｵｸﾞﾁﾁｮｳ</t>
  </si>
  <si>
    <t>233617</t>
  </si>
  <si>
    <t>大口町</t>
  </si>
  <si>
    <t>ﾄﾖﾔﾏﾁｮｳ</t>
  </si>
  <si>
    <t>233421</t>
  </si>
  <si>
    <t>豊山町</t>
  </si>
  <si>
    <t>ﾄｳｺﾞｳﾁｮｳ</t>
  </si>
  <si>
    <t>233021</t>
  </si>
  <si>
    <t>東郷町</t>
  </si>
  <si>
    <t>ﾅｶﾞｸﾃｼ</t>
  </si>
  <si>
    <t>232386</t>
  </si>
  <si>
    <t>長久手市</t>
  </si>
  <si>
    <t>ｱﾏｼ</t>
  </si>
  <si>
    <t>232378</t>
  </si>
  <si>
    <t>あま市</t>
  </si>
  <si>
    <t>232360</t>
  </si>
  <si>
    <t>みよし市</t>
  </si>
  <si>
    <t>ﾔﾄﾐｼ</t>
  </si>
  <si>
    <t>232351</t>
  </si>
  <si>
    <t>弥富市</t>
  </si>
  <si>
    <t>ｷﾀﾅｺﾞﾔｼ</t>
  </si>
  <si>
    <t>232343</t>
  </si>
  <si>
    <t>北名古屋市</t>
  </si>
  <si>
    <t>ｷﾖｽｼ</t>
  </si>
  <si>
    <t>232335</t>
  </si>
  <si>
    <t>清須市</t>
  </si>
  <si>
    <t>ｱｲｻｲｼ</t>
  </si>
  <si>
    <t>232327</t>
  </si>
  <si>
    <t>愛西市</t>
  </si>
  <si>
    <t>ﾀﾊﾗｼ</t>
  </si>
  <si>
    <t>232319</t>
  </si>
  <si>
    <t>田原市</t>
  </si>
  <si>
    <t>ﾆｯｼﾝｼ</t>
    <phoneticPr fontId="87"/>
  </si>
  <si>
    <t>232301</t>
  </si>
  <si>
    <t>日進市</t>
  </si>
  <si>
    <t>ﾄﾖｱｹｼ</t>
  </si>
  <si>
    <t>232297</t>
  </si>
  <si>
    <t>豊明市</t>
  </si>
  <si>
    <t>ｲﾜｸﾗｼ</t>
  </si>
  <si>
    <t>232289</t>
  </si>
  <si>
    <t>岩倉市</t>
  </si>
  <si>
    <t>ﾀｶﾊﾏｼ</t>
  </si>
  <si>
    <t>232271</t>
  </si>
  <si>
    <t>高浜市</t>
  </si>
  <si>
    <t>ｵﾜﾘｱｻﾋｼ</t>
  </si>
  <si>
    <t>232262</t>
  </si>
  <si>
    <t>尾張旭市</t>
  </si>
  <si>
    <t>ﾁﾘｭｳｼ</t>
    <phoneticPr fontId="87"/>
  </si>
  <si>
    <t>232254</t>
  </si>
  <si>
    <t>知立市</t>
  </si>
  <si>
    <t>ﾁﾀｼ</t>
  </si>
  <si>
    <t>232246</t>
  </si>
  <si>
    <t>知多市</t>
  </si>
  <si>
    <t>ｵｵﾌﾞｼ</t>
  </si>
  <si>
    <t>232238</t>
  </si>
  <si>
    <t>大府市</t>
  </si>
  <si>
    <t>ﾄｳｶｲｼ</t>
  </si>
  <si>
    <t>232220</t>
  </si>
  <si>
    <t>東海市</t>
  </si>
  <si>
    <t>ｼﾝｼﾛｼ</t>
  </si>
  <si>
    <t>232211</t>
  </si>
  <si>
    <t>新城市</t>
  </si>
  <si>
    <t>ｲﾅｻﾞﾜｼ</t>
  </si>
  <si>
    <t>232203</t>
  </si>
  <si>
    <t>稲沢市</t>
  </si>
  <si>
    <t>ｺﾏｷｼ</t>
  </si>
  <si>
    <t>232190</t>
  </si>
  <si>
    <t>小牧市</t>
  </si>
  <si>
    <t>232173</t>
  </si>
  <si>
    <t>江南市</t>
  </si>
  <si>
    <t>ﾄｺﾅﾒｼ</t>
  </si>
  <si>
    <t>232165</t>
  </si>
  <si>
    <t>常滑市</t>
  </si>
  <si>
    <t>ｲﾇﾔﾏｼ</t>
  </si>
  <si>
    <t>232157</t>
  </si>
  <si>
    <t>犬山市</t>
  </si>
  <si>
    <t>ｶﾞﾏｺﾞｵﾘｼ</t>
  </si>
  <si>
    <t>232149</t>
  </si>
  <si>
    <t>蒲郡市</t>
  </si>
  <si>
    <t>ﾆｼｵｼ</t>
  </si>
  <si>
    <t>232131</t>
  </si>
  <si>
    <t>西尾市</t>
  </si>
  <si>
    <t>ｱﾝｼﾞｮｳｼ</t>
    <phoneticPr fontId="87"/>
  </si>
  <si>
    <t>232122</t>
  </si>
  <si>
    <t>安城市</t>
  </si>
  <si>
    <t>ﾄﾖﾀｼ</t>
  </si>
  <si>
    <t>232114</t>
  </si>
  <si>
    <t>豊田市</t>
  </si>
  <si>
    <t>ｶﾘﾔｼ</t>
  </si>
  <si>
    <t>232106</t>
  </si>
  <si>
    <t>刈谷市</t>
  </si>
  <si>
    <t>ﾍｷﾅﾝｼ</t>
  </si>
  <si>
    <t>232092</t>
  </si>
  <si>
    <t>碧南市</t>
  </si>
  <si>
    <t>232084</t>
  </si>
  <si>
    <t>津島市</t>
  </si>
  <si>
    <t>ﾄﾖｶﾜｼ</t>
  </si>
  <si>
    <t>232076</t>
  </si>
  <si>
    <t>豊川市</t>
  </si>
  <si>
    <t>ｶｽｶﾞｲｼ</t>
  </si>
  <si>
    <t>232068</t>
  </si>
  <si>
    <t>春日井市</t>
  </si>
  <si>
    <t>ﾊﾝﾀﾞｼ</t>
  </si>
  <si>
    <t>232050</t>
  </si>
  <si>
    <t>半田市</t>
  </si>
  <si>
    <t>ｾﾄｼ</t>
  </si>
  <si>
    <t>232041</t>
  </si>
  <si>
    <t>瀬戸市</t>
  </si>
  <si>
    <t>ｲﾁﾉﾐﾔｼ</t>
  </si>
  <si>
    <t>232033</t>
  </si>
  <si>
    <t>一宮市</t>
  </si>
  <si>
    <t>ｵｶｻﾞｷｼ</t>
  </si>
  <si>
    <t>232025</t>
  </si>
  <si>
    <t>岡崎市</t>
  </si>
  <si>
    <t>ﾄﾖﾊｼｼ</t>
  </si>
  <si>
    <t>232017</t>
  </si>
  <si>
    <t>豊橋市</t>
  </si>
  <si>
    <t>ﾅｺﾞﾔｼ</t>
  </si>
  <si>
    <t>231002</t>
  </si>
  <si>
    <t>名古屋市</t>
  </si>
  <si>
    <t>ｱｲﾁｹﾝ</t>
    <phoneticPr fontId="87"/>
  </si>
  <si>
    <t>230006</t>
    <phoneticPr fontId="87"/>
  </si>
  <si>
    <t>愛知県</t>
    <phoneticPr fontId="87"/>
  </si>
  <si>
    <t>ﾓﾘﾏﾁ</t>
  </si>
  <si>
    <t>ｼｽﾞｵｶｹﾝ</t>
  </si>
  <si>
    <t>224618</t>
  </si>
  <si>
    <t>森町</t>
  </si>
  <si>
    <t>静岡県</t>
  </si>
  <si>
    <t>ｶﾜﾈﾎﾝﾁｮｳ</t>
    <phoneticPr fontId="87"/>
  </si>
  <si>
    <t>224294</t>
  </si>
  <si>
    <t>川根本町</t>
  </si>
  <si>
    <t>ﾖｼﾀﾞﾁｮｳ</t>
  </si>
  <si>
    <t>224243</t>
  </si>
  <si>
    <t>吉田町</t>
  </si>
  <si>
    <t>ｵﾔﾏﾁｮｳ</t>
  </si>
  <si>
    <t>223441</t>
  </si>
  <si>
    <t>小山町</t>
  </si>
  <si>
    <t>ﾅｶﾞｲｽﾞﾐﾁｮｳ</t>
  </si>
  <si>
    <t>223425</t>
  </si>
  <si>
    <t>長泉町</t>
  </si>
  <si>
    <t>ｼﾐｽﾞﾁｮｳ</t>
  </si>
  <si>
    <t>223417</t>
  </si>
  <si>
    <t>清水町</t>
  </si>
  <si>
    <t>ｶﾝﾅﾐﾁｮｳ</t>
  </si>
  <si>
    <t>223255</t>
  </si>
  <si>
    <t>函南町</t>
  </si>
  <si>
    <t>ﾆｼｲｽﾞﾁｮｳ</t>
  </si>
  <si>
    <t>223069</t>
  </si>
  <si>
    <t>西伊豆町</t>
  </si>
  <si>
    <t>ﾏﾂｻﾞｷﾁｮｳ</t>
  </si>
  <si>
    <t>223051</t>
  </si>
  <si>
    <t>松崎町</t>
  </si>
  <si>
    <t>ﾐﾅﾐｲｽﾞﾁｮｳ</t>
  </si>
  <si>
    <t>223042</t>
  </si>
  <si>
    <t>南伊豆町</t>
  </si>
  <si>
    <t>ｶﾜﾂﾞﾁｮｳ</t>
  </si>
  <si>
    <t>223026</t>
  </si>
  <si>
    <t>河津町</t>
  </si>
  <si>
    <t>ﾋｶﾞｼｲｽﾞﾁｮｳ</t>
  </si>
  <si>
    <t>223018</t>
  </si>
  <si>
    <t>東伊豆町</t>
  </si>
  <si>
    <t>ﾏｷﾉﾊﾗｼ</t>
  </si>
  <si>
    <t>222267</t>
  </si>
  <si>
    <t>牧之原市</t>
  </si>
  <si>
    <t>ｲｽﾞﾉｸﾆｼ</t>
  </si>
  <si>
    <t>222259</t>
  </si>
  <si>
    <t>伊豆の国市</t>
  </si>
  <si>
    <t>ｷｸｶﾞﾜｼ</t>
  </si>
  <si>
    <t>222241</t>
  </si>
  <si>
    <t>菊川市</t>
  </si>
  <si>
    <t>ｵﾏｴｻﾞｷｼ</t>
  </si>
  <si>
    <t>222232</t>
  </si>
  <si>
    <t>御前崎市</t>
  </si>
  <si>
    <t>ｲｽﾞｼ</t>
  </si>
  <si>
    <t>222224</t>
  </si>
  <si>
    <t>伊豆市</t>
  </si>
  <si>
    <t>ｺｻｲｼ</t>
  </si>
  <si>
    <t>222216</t>
  </si>
  <si>
    <t>湖西市</t>
  </si>
  <si>
    <t>ｽｿﾉｼ</t>
  </si>
  <si>
    <t>222208</t>
  </si>
  <si>
    <t>裾野市</t>
  </si>
  <si>
    <t>ｼﾓﾀﾞｼ</t>
  </si>
  <si>
    <t>222194</t>
  </si>
  <si>
    <t>下田市</t>
  </si>
  <si>
    <t>ﾌｸﾛｲｼ</t>
  </si>
  <si>
    <t>222160</t>
  </si>
  <si>
    <t>袋井市</t>
  </si>
  <si>
    <t>ｺﾞﾃﾝﾊﾞｼ</t>
  </si>
  <si>
    <t>222151</t>
  </si>
  <si>
    <t>御殿場市</t>
  </si>
  <si>
    <t>ﾌｼﾞｴﾀﾞｼ</t>
  </si>
  <si>
    <t>222143</t>
  </si>
  <si>
    <t>藤枝市</t>
  </si>
  <si>
    <t>ｶｹｶﾞﾜｼ</t>
  </si>
  <si>
    <t>222135</t>
  </si>
  <si>
    <t>掛川市</t>
  </si>
  <si>
    <t>ﾔｲﾂﾞｼ</t>
  </si>
  <si>
    <t>222127</t>
  </si>
  <si>
    <t>焼津市</t>
  </si>
  <si>
    <t>ｲﾜﾀｼ</t>
  </si>
  <si>
    <t>222119</t>
  </si>
  <si>
    <t>磐田市</t>
  </si>
  <si>
    <t>ﾌｼﾞｼ</t>
  </si>
  <si>
    <t>222101</t>
  </si>
  <si>
    <t>富士市</t>
  </si>
  <si>
    <t>ｼﾏﾀﾞｼ</t>
  </si>
  <si>
    <t>222097</t>
  </si>
  <si>
    <t>島田市</t>
  </si>
  <si>
    <t>ｲﾄｳｼ</t>
  </si>
  <si>
    <t>222089</t>
  </si>
  <si>
    <t>伊東市</t>
  </si>
  <si>
    <t>ﾌｼﾞﾉﾐﾔｼ</t>
  </si>
  <si>
    <t>222071</t>
  </si>
  <si>
    <t>富士宮市</t>
  </si>
  <si>
    <t>ﾐｼﾏｼ</t>
  </si>
  <si>
    <t>222062</t>
  </si>
  <si>
    <t>三島市</t>
  </si>
  <si>
    <t>ｱﾀﾐｼ</t>
  </si>
  <si>
    <t>222054</t>
  </si>
  <si>
    <t>熱海市</t>
  </si>
  <si>
    <t>ﾇﾏﾂﾞｼ</t>
  </si>
  <si>
    <t>222038</t>
  </si>
  <si>
    <t>沼津市</t>
  </si>
  <si>
    <t>ﾊﾏﾏﾂｼ</t>
  </si>
  <si>
    <t>221309</t>
  </si>
  <si>
    <t>浜松市</t>
  </si>
  <si>
    <t>ｼｽﾞｵｶｼ</t>
  </si>
  <si>
    <t>221007</t>
  </si>
  <si>
    <t>静岡市</t>
  </si>
  <si>
    <t>ｼｽﾞｵｶｹﾝ</t>
    <phoneticPr fontId="87"/>
  </si>
  <si>
    <t>220001</t>
    <phoneticPr fontId="87"/>
  </si>
  <si>
    <t>静岡県</t>
    <phoneticPr fontId="87"/>
  </si>
  <si>
    <t>ｼﾗｶﾜﾑﾗ</t>
  </si>
  <si>
    <t>ｷﾞﾌｹﾝ</t>
  </si>
  <si>
    <t>216046</t>
  </si>
  <si>
    <t>白川村</t>
  </si>
  <si>
    <t>岐阜県</t>
  </si>
  <si>
    <t>ﾐﾀｹﾁｮｳ</t>
  </si>
  <si>
    <t>215210</t>
  </si>
  <si>
    <t>御嵩町</t>
  </si>
  <si>
    <t>ﾋｶﾞｼｼﾗｶﾜﾑﾗ</t>
  </si>
  <si>
    <t>215074</t>
  </si>
  <si>
    <t>東白川村</t>
  </si>
  <si>
    <t>ｼﾗｶﾜﾁｮｳ</t>
  </si>
  <si>
    <t>215066</t>
  </si>
  <si>
    <t>白川町</t>
  </si>
  <si>
    <t>ﾔｵﾂﾁｮｳ</t>
  </si>
  <si>
    <t>215058</t>
  </si>
  <si>
    <t>八百津町</t>
  </si>
  <si>
    <t>ﾋﾁｿｳﾁｮｳ</t>
  </si>
  <si>
    <t>215040</t>
  </si>
  <si>
    <t>七宗町</t>
  </si>
  <si>
    <t>ｶﾜﾍﾞﾁｮｳ</t>
  </si>
  <si>
    <t>215031</t>
  </si>
  <si>
    <t>川辺町</t>
  </si>
  <si>
    <t>ﾄﾐｶﾁｮｳ</t>
  </si>
  <si>
    <t>215023</t>
  </si>
  <si>
    <t>富加町</t>
  </si>
  <si>
    <t>ｻｶﾎｷﾞﾁｮｳ</t>
  </si>
  <si>
    <t>215015</t>
  </si>
  <si>
    <t>坂祝町</t>
  </si>
  <si>
    <t>ｷﾀｶﾞﾀﾁｮｳ</t>
  </si>
  <si>
    <t>214213</t>
  </si>
  <si>
    <t>北方町</t>
  </si>
  <si>
    <t>ｲｹﾀﾞﾁｮｳ</t>
  </si>
  <si>
    <t>214043</t>
  </si>
  <si>
    <t>池田町</t>
  </si>
  <si>
    <t>ｵｵﾉﾁｮｳ</t>
  </si>
  <si>
    <t>214035</t>
  </si>
  <si>
    <t>大野町</t>
  </si>
  <si>
    <t>ｲﾋﾞｶﾞﾜﾁｮｳ</t>
  </si>
  <si>
    <t>214019</t>
  </si>
  <si>
    <t>揖斐川町</t>
  </si>
  <si>
    <t>ｱﾝﾊﾟﾁﾁｮｳ</t>
  </si>
  <si>
    <t>213837</t>
  </si>
  <si>
    <t>安八町</t>
  </si>
  <si>
    <t>ﾜﾉｳﾁﾁｮｳ</t>
  </si>
  <si>
    <t>213829</t>
  </si>
  <si>
    <t>輪之内町</t>
  </si>
  <si>
    <t>ｺﾞｳﾄﾞﾁｮｳ</t>
  </si>
  <si>
    <t>213811</t>
  </si>
  <si>
    <t>神戸町</t>
  </si>
  <si>
    <t>ｾｷｶﾞﾊﾗﾁｮｳ</t>
  </si>
  <si>
    <t>213624</t>
  </si>
  <si>
    <t>関ケ原町</t>
  </si>
  <si>
    <t>ﾀﾙｲﾁｮｳ</t>
  </si>
  <si>
    <t>213616</t>
  </si>
  <si>
    <t>垂井町</t>
  </si>
  <si>
    <t>ﾖｳﾛｳﾁｮｳ</t>
  </si>
  <si>
    <t>213411</t>
  </si>
  <si>
    <t>養老町</t>
  </si>
  <si>
    <t>ｶｻﾏﾂﾁｮｳ</t>
  </si>
  <si>
    <t>213039</t>
  </si>
  <si>
    <t>笠松町</t>
  </si>
  <si>
    <t>ｷﾞﾅﾝﾁｮｳ</t>
  </si>
  <si>
    <t>213021</t>
  </si>
  <si>
    <t>岐南町</t>
  </si>
  <si>
    <t>ｶｲﾂﾞｼ</t>
  </si>
  <si>
    <t>212211</t>
  </si>
  <si>
    <t>海津市</t>
  </si>
  <si>
    <t>ｹﾞﾛｼ</t>
  </si>
  <si>
    <t>212202</t>
  </si>
  <si>
    <t>下呂市</t>
  </si>
  <si>
    <t>ｸﾞｼﾞｮｳｼ</t>
    <phoneticPr fontId="87"/>
  </si>
  <si>
    <t>212199</t>
  </si>
  <si>
    <t>郡上市</t>
  </si>
  <si>
    <t>ﾓﾄｽｼ</t>
  </si>
  <si>
    <t>212181</t>
  </si>
  <si>
    <t>本巣市</t>
  </si>
  <si>
    <t>ﾋﾀﾞｼ</t>
  </si>
  <si>
    <t>212172</t>
  </si>
  <si>
    <t>飛騨市</t>
  </si>
  <si>
    <t>ﾐｽﾞﾎｼ</t>
  </si>
  <si>
    <t>212164</t>
  </si>
  <si>
    <t>瑞穂市</t>
  </si>
  <si>
    <t>ﾔﾏｶﾞﾀｼ</t>
  </si>
  <si>
    <t>212156</t>
  </si>
  <si>
    <t>山県市</t>
  </si>
  <si>
    <t>ｶﾆｼ</t>
  </si>
  <si>
    <t>212148</t>
  </si>
  <si>
    <t>可児市</t>
  </si>
  <si>
    <t>ｶｶﾐｶﾞﾊﾗｼ</t>
  </si>
  <si>
    <t>212130</t>
  </si>
  <si>
    <t>各務原市</t>
  </si>
  <si>
    <t>ﾄｷｼ</t>
  </si>
  <si>
    <t>212121</t>
  </si>
  <si>
    <t>土岐市</t>
  </si>
  <si>
    <t>ﾐﾉｶﾓｼ</t>
  </si>
  <si>
    <t>212113</t>
  </si>
  <si>
    <t>美濃加茂市</t>
  </si>
  <si>
    <t>ｴﾅｼ</t>
  </si>
  <si>
    <t>212105</t>
  </si>
  <si>
    <t>恵那市</t>
  </si>
  <si>
    <t>ﾊｼﾏｼ</t>
  </si>
  <si>
    <t>212091</t>
  </si>
  <si>
    <t>羽島市</t>
  </si>
  <si>
    <t>ﾐｽﾞﾅﾐｼ</t>
  </si>
  <si>
    <t>212083</t>
  </si>
  <si>
    <t>瑞浪市</t>
  </si>
  <si>
    <t>ﾐﾉｼ</t>
  </si>
  <si>
    <t>212075</t>
  </si>
  <si>
    <t>美濃市</t>
  </si>
  <si>
    <t>ﾅｶﾂｶﾞﾜｼ</t>
  </si>
  <si>
    <t>212067</t>
  </si>
  <si>
    <t>中津川市</t>
  </si>
  <si>
    <t>ｾｷｼ</t>
  </si>
  <si>
    <t>212059</t>
  </si>
  <si>
    <t>関市</t>
  </si>
  <si>
    <t>ﾀｼﾞﾐｼ</t>
  </si>
  <si>
    <t>212041</t>
  </si>
  <si>
    <t>多治見市</t>
  </si>
  <si>
    <t>ﾀｶﾔﾏｼ</t>
  </si>
  <si>
    <t>212032</t>
  </si>
  <si>
    <t>高山市</t>
  </si>
  <si>
    <t>ｵｵｶﾞｷｼ</t>
  </si>
  <si>
    <t>212024</t>
  </si>
  <si>
    <t>大垣市</t>
  </si>
  <si>
    <t>ｷﾞﾌｼ</t>
  </si>
  <si>
    <t>212016</t>
  </si>
  <si>
    <t>岐阜市</t>
  </si>
  <si>
    <t>ｷﾞﾌｹﾝ</t>
    <phoneticPr fontId="87"/>
  </si>
  <si>
    <t>210005</t>
    <phoneticPr fontId="87"/>
  </si>
  <si>
    <t>岐阜県</t>
    <phoneticPr fontId="87"/>
  </si>
  <si>
    <t>ｻｶｴﾑﾗ</t>
  </si>
  <si>
    <t>ﾅｶﾞﾉｹﾝ</t>
  </si>
  <si>
    <t>206024</t>
  </si>
  <si>
    <t>栄村</t>
  </si>
  <si>
    <t>長野県</t>
  </si>
  <si>
    <t>ｲｲﾂﾞﾅﾏﾁ</t>
  </si>
  <si>
    <t>205907</t>
  </si>
  <si>
    <t>飯綱町</t>
  </si>
  <si>
    <t>ｵｶﾞﾜﾑﾗ</t>
  </si>
  <si>
    <t>205885</t>
  </si>
  <si>
    <t>小川村</t>
  </si>
  <si>
    <t>ｼﾅﾉﾏﾁ</t>
  </si>
  <si>
    <t>205834</t>
  </si>
  <si>
    <t>信濃町</t>
  </si>
  <si>
    <t>ﾉｻﾞﾜｵﾝｾﾝﾑﾗ</t>
  </si>
  <si>
    <t>205630</t>
  </si>
  <si>
    <t>野沢温泉村</t>
  </si>
  <si>
    <t>ｷｼﾞﾏﾀﾞｲﾗﾑﾗ</t>
  </si>
  <si>
    <t>205621</t>
  </si>
  <si>
    <t>木島平村</t>
  </si>
  <si>
    <t>ﾔﾏﾉｳﾁﾏﾁ</t>
  </si>
  <si>
    <t>205613</t>
  </si>
  <si>
    <t>山ノ内町</t>
  </si>
  <si>
    <t>ﾀｶﾔﾏﾑﾗ</t>
  </si>
  <si>
    <t>205435</t>
  </si>
  <si>
    <t>高山村</t>
  </si>
  <si>
    <t>ｵﾌﾞｾﾏﾁ</t>
  </si>
  <si>
    <t>205419</t>
  </si>
  <si>
    <t>小布施町</t>
  </si>
  <si>
    <t>ｻｶｷﾏﾁ</t>
  </si>
  <si>
    <t>205214</t>
  </si>
  <si>
    <t>坂城町</t>
  </si>
  <si>
    <t>ｵﾀﾘﾑﾗ</t>
  </si>
  <si>
    <t>204862</t>
  </si>
  <si>
    <t>小谷村</t>
  </si>
  <si>
    <t>ﾊｸﾊﾞﾑﾗ</t>
  </si>
  <si>
    <t>204854</t>
  </si>
  <si>
    <t>白馬村</t>
  </si>
  <si>
    <t>ﾏﾂｶﾜﾑﾗ</t>
  </si>
  <si>
    <t>204820</t>
  </si>
  <si>
    <t>松川村</t>
  </si>
  <si>
    <t>ｲｹﾀﾞﾏﾁ</t>
  </si>
  <si>
    <t>204811</t>
  </si>
  <si>
    <t>ﾁｸﾎｸﾑﾗ</t>
  </si>
  <si>
    <t>204528</t>
  </si>
  <si>
    <t>筑北村</t>
  </si>
  <si>
    <t>ｱｻﾋﾑﾗ</t>
  </si>
  <si>
    <t>204510</t>
  </si>
  <si>
    <t>朝日村</t>
  </si>
  <si>
    <t>ﾔﾏｶﾞﾀﾑﾗ</t>
  </si>
  <si>
    <t>204501</t>
  </si>
  <si>
    <t>山形村</t>
  </si>
  <si>
    <t>ｲｸｻｶﾑﾗ</t>
  </si>
  <si>
    <t>204480</t>
  </si>
  <si>
    <t>生坂村</t>
  </si>
  <si>
    <t>ｵﾐﾑﾗ</t>
  </si>
  <si>
    <t>204463</t>
  </si>
  <si>
    <t>麻績村</t>
  </si>
  <si>
    <t>ｷｿﾏﾁ</t>
  </si>
  <si>
    <t>204323</t>
  </si>
  <si>
    <t>木曽町</t>
  </si>
  <si>
    <t>ｵｵｸﾜﾑﾗ</t>
  </si>
  <si>
    <t>204307</t>
  </si>
  <si>
    <t>大桑村</t>
  </si>
  <si>
    <t>ｵｳﾀｷﾑﾗ</t>
  </si>
  <si>
    <t>204293</t>
  </si>
  <si>
    <t>王滝村</t>
  </si>
  <si>
    <t>ｷｿﾑﾗ</t>
  </si>
  <si>
    <t>204251</t>
  </si>
  <si>
    <t>木祖村</t>
  </si>
  <si>
    <t>ﾅｷﾞｿﾏﾁ</t>
  </si>
  <si>
    <t>204234</t>
  </si>
  <si>
    <t>南木曽町</t>
  </si>
  <si>
    <t>ｱｹﾞﾏﾂﾏﾁ</t>
  </si>
  <si>
    <t>204226</t>
  </si>
  <si>
    <t>上松町</t>
  </si>
  <si>
    <t>ｵｵｼｶﾑﾗ</t>
  </si>
  <si>
    <t>204170</t>
  </si>
  <si>
    <t>大鹿村</t>
  </si>
  <si>
    <t>ﾄﾖｵｶﾑﾗ</t>
  </si>
  <si>
    <t>204161</t>
  </si>
  <si>
    <t>豊丘村</t>
  </si>
  <si>
    <t>ﾀｶｷﾞﾑﾗ</t>
  </si>
  <si>
    <t>204153</t>
  </si>
  <si>
    <t>喬木村</t>
  </si>
  <si>
    <t>ﾔｽｵｶﾑﾗ</t>
  </si>
  <si>
    <t>204145</t>
  </si>
  <si>
    <t>泰阜村</t>
  </si>
  <si>
    <t>ﾃﾝﾘｭｳﾑﾗ</t>
    <phoneticPr fontId="87"/>
  </si>
  <si>
    <t>204137</t>
  </si>
  <si>
    <t>天龍村</t>
  </si>
  <si>
    <t>ｳﾙｷﾞﾑﾗ</t>
  </si>
  <si>
    <t>204129</t>
  </si>
  <si>
    <t>売木村</t>
  </si>
  <si>
    <t>ｼﾓｼﾞｮｳﾑﾗ</t>
    <phoneticPr fontId="87"/>
  </si>
  <si>
    <t>204111</t>
  </si>
  <si>
    <t>下條村</t>
  </si>
  <si>
    <t>ﾈﾊﾞﾑﾗ</t>
  </si>
  <si>
    <t>204102</t>
  </si>
  <si>
    <t>根羽村</t>
  </si>
  <si>
    <t>ﾋﾗﾔﾑﾗ</t>
  </si>
  <si>
    <t>204099</t>
  </si>
  <si>
    <t>平谷村</t>
  </si>
  <si>
    <t>ｱﾁﾑﾗ</t>
  </si>
  <si>
    <t>204072</t>
  </si>
  <si>
    <t>阿智村</t>
  </si>
  <si>
    <t>ｱﾅﾝﾁｮｳ</t>
  </si>
  <si>
    <t>204048</t>
  </si>
  <si>
    <t>阿南町</t>
  </si>
  <si>
    <t>204030</t>
  </si>
  <si>
    <t>ﾏﾂｶﾜﾏﾁ</t>
  </si>
  <si>
    <t>204021</t>
  </si>
  <si>
    <t>松川町</t>
  </si>
  <si>
    <t>ﾐﾔﾀﾞﾑﾗ</t>
  </si>
  <si>
    <t>203882</t>
  </si>
  <si>
    <t>宮田村</t>
  </si>
  <si>
    <t>ﾅｶｶﾞﾜﾑﾗ</t>
  </si>
  <si>
    <t>203866</t>
  </si>
  <si>
    <t>中川村</t>
  </si>
  <si>
    <t>ﾐﾅﾐﾐﾉﾜﾑﾗ</t>
  </si>
  <si>
    <t>203858</t>
  </si>
  <si>
    <t>南箕輪村</t>
  </si>
  <si>
    <t>ｲｲｼﾞﾏﾏﾁ</t>
  </si>
  <si>
    <t>203840</t>
  </si>
  <si>
    <t>飯島町</t>
  </si>
  <si>
    <t>ﾐﾉﾜﾏﾁ</t>
  </si>
  <si>
    <t>203831</t>
  </si>
  <si>
    <t>箕輪町</t>
  </si>
  <si>
    <t>ﾀﾂﾉﾏﾁ</t>
  </si>
  <si>
    <t>203823</t>
  </si>
  <si>
    <t>辰野町</t>
  </si>
  <si>
    <t>ﾊﾗﾑﾗ</t>
  </si>
  <si>
    <t>203637</t>
  </si>
  <si>
    <t>原村</t>
  </si>
  <si>
    <t>ﾌｼﾞﾐﾏﾁ</t>
  </si>
  <si>
    <t>203629</t>
  </si>
  <si>
    <t>富士見町</t>
  </si>
  <si>
    <t>ｼﾓｽﾜﾏﾁ</t>
  </si>
  <si>
    <t>203611</t>
  </si>
  <si>
    <t>下諏訪町</t>
  </si>
  <si>
    <t>ﾅｶﾞﾜﾏﾁ</t>
  </si>
  <si>
    <t>203505</t>
  </si>
  <si>
    <t>長和町</t>
  </si>
  <si>
    <t>ｱｵｷﾑﾗ</t>
  </si>
  <si>
    <t>203491</t>
  </si>
  <si>
    <t>青木村</t>
  </si>
  <si>
    <t>ﾀﾃｼﾅﾏﾁ</t>
  </si>
  <si>
    <t>203246</t>
  </si>
  <si>
    <t>立科町</t>
  </si>
  <si>
    <t>ﾐﾖﾀﾏﾁ</t>
  </si>
  <si>
    <t>203238</t>
  </si>
  <si>
    <t>御代田町</t>
  </si>
  <si>
    <t>ｶﾙｲｻﾞﾜﾏﾁ</t>
  </si>
  <si>
    <t>203211</t>
  </si>
  <si>
    <t>軽井沢町</t>
  </si>
  <si>
    <t>ｻｸﾎﾏﾁ</t>
  </si>
  <si>
    <t>203092</t>
  </si>
  <si>
    <t>佐久穂町</t>
  </si>
  <si>
    <t>ｷﾀｱｲｷﾑﾗ</t>
  </si>
  <si>
    <t>203076</t>
  </si>
  <si>
    <t>北相木村</t>
  </si>
  <si>
    <t>ﾐﾅﾐｱｲｷﾑﾗ</t>
  </si>
  <si>
    <t>203068</t>
  </si>
  <si>
    <t>南相木村</t>
  </si>
  <si>
    <t>ﾐﾅﾐﾏｷﾑﾗ</t>
  </si>
  <si>
    <t>203050</t>
  </si>
  <si>
    <t>南牧村</t>
  </si>
  <si>
    <t>203041</t>
  </si>
  <si>
    <t>ｺｳﾐﾏﾁ</t>
  </si>
  <si>
    <t>203033</t>
  </si>
  <si>
    <t>小海町</t>
  </si>
  <si>
    <t>ｱﾂﾞﾐﾉｼ</t>
  </si>
  <si>
    <t>202207</t>
  </si>
  <si>
    <t>安曇野市</t>
  </si>
  <si>
    <t>ﾄｳﾐｼ</t>
  </si>
  <si>
    <t>202193</t>
  </si>
  <si>
    <t>東御市</t>
  </si>
  <si>
    <t>ﾁｸﾏｼ</t>
  </si>
  <si>
    <t>202185</t>
  </si>
  <si>
    <t>千曲市</t>
  </si>
  <si>
    <t>ｻｸｼ</t>
  </si>
  <si>
    <t>202177</t>
  </si>
  <si>
    <t>佐久市</t>
  </si>
  <si>
    <t>ｼｵｼﾞﾘｼ</t>
  </si>
  <si>
    <t>202151</t>
  </si>
  <si>
    <t>塩尻市</t>
  </si>
  <si>
    <t>ﾁﾉｼ</t>
  </si>
  <si>
    <t>202142</t>
  </si>
  <si>
    <t>茅野市</t>
  </si>
  <si>
    <t>ｲｲﾔﾏｼ</t>
  </si>
  <si>
    <t>202134</t>
  </si>
  <si>
    <t>飯山市</t>
  </si>
  <si>
    <t>ｵｵﾏﾁｼ</t>
  </si>
  <si>
    <t>202126</t>
  </si>
  <si>
    <t>大町市</t>
  </si>
  <si>
    <t>ﾅｶﾉｼ</t>
  </si>
  <si>
    <t>202118</t>
  </si>
  <si>
    <t>中野市</t>
  </si>
  <si>
    <t>ｺﾏｶﾞﾈｼ</t>
  </si>
  <si>
    <t>202100</t>
  </si>
  <si>
    <t>駒ヶ根市</t>
  </si>
  <si>
    <t>ｲﾅｼ</t>
  </si>
  <si>
    <t>202096</t>
  </si>
  <si>
    <t>伊那市</t>
  </si>
  <si>
    <t>ｺﾓﾛｼ</t>
  </si>
  <si>
    <t>202088</t>
  </si>
  <si>
    <t>小諸市</t>
  </si>
  <si>
    <t>ｽｻﾞｶｼ</t>
  </si>
  <si>
    <t>202070</t>
  </si>
  <si>
    <t>須坂市</t>
  </si>
  <si>
    <t>ｽﾜｼ</t>
  </si>
  <si>
    <t>202061</t>
  </si>
  <si>
    <t>諏訪市</t>
  </si>
  <si>
    <t>ｲｲﾀﾞｼ</t>
  </si>
  <si>
    <t>202053</t>
  </si>
  <si>
    <t>飯田市</t>
  </si>
  <si>
    <t>ｵｶﾔｼ</t>
  </si>
  <si>
    <t>202045</t>
  </si>
  <si>
    <t>岡谷市</t>
  </si>
  <si>
    <t>ｳｴﾀﾞｼ</t>
  </si>
  <si>
    <t>202037</t>
  </si>
  <si>
    <t>上田市</t>
  </si>
  <si>
    <t>ﾏﾂﾓﾄｼ</t>
  </si>
  <si>
    <t>202029</t>
  </si>
  <si>
    <t>松本市</t>
  </si>
  <si>
    <t>ﾅｶﾞﾉｼ</t>
  </si>
  <si>
    <t>202011</t>
  </si>
  <si>
    <t>長野市</t>
  </si>
  <si>
    <t>ﾅｶﾞﾉｹﾝ</t>
    <phoneticPr fontId="87"/>
  </si>
  <si>
    <t>200000</t>
    <phoneticPr fontId="87"/>
  </si>
  <si>
    <t>長野県</t>
    <phoneticPr fontId="87"/>
  </si>
  <si>
    <t>ﾀﾊﾞﾔﾏﾑﾗ</t>
  </si>
  <si>
    <t>ﾔﾏﾅｼｹﾝ</t>
  </si>
  <si>
    <t>194433</t>
  </si>
  <si>
    <t>丹波山村</t>
  </si>
  <si>
    <t>山梨県</t>
  </si>
  <si>
    <t>ｺｽｹﾞﾑﾗ</t>
  </si>
  <si>
    <t>194425</t>
  </si>
  <si>
    <t>小菅村</t>
  </si>
  <si>
    <t>ﾌｼﾞｶﾜｸﾞﾁｺﾏﾁ</t>
  </si>
  <si>
    <t>194301</t>
  </si>
  <si>
    <t>富士河口湖町</t>
  </si>
  <si>
    <t>ﾅﾙｻﾜﾑﾗ</t>
  </si>
  <si>
    <t>194298</t>
  </si>
  <si>
    <t>鳴沢村</t>
  </si>
  <si>
    <t>ﾔﾏﾅｶｺﾑﾗ</t>
  </si>
  <si>
    <t>194255</t>
  </si>
  <si>
    <t>山中湖村</t>
  </si>
  <si>
    <t>ｵｼﾉﾑﾗ</t>
  </si>
  <si>
    <t>194247</t>
  </si>
  <si>
    <t>忍野村</t>
  </si>
  <si>
    <t>ﾆｼｶﾂﾗﾁｮｳ</t>
  </si>
  <si>
    <t>194239</t>
  </si>
  <si>
    <t>西桂町</t>
  </si>
  <si>
    <t>ﾄﾞｳｼﾑﾗ</t>
  </si>
  <si>
    <t>194221</t>
  </si>
  <si>
    <t>道志村</t>
  </si>
  <si>
    <t>ｼｮｳﾜﾁｮｳ</t>
  </si>
  <si>
    <t>193844</t>
  </si>
  <si>
    <t>昭和町</t>
  </si>
  <si>
    <t>ﾌｼﾞｶﾜﾁｮｳ</t>
  </si>
  <si>
    <t>193682</t>
  </si>
  <si>
    <t>富士川町</t>
  </si>
  <si>
    <t>193666</t>
  </si>
  <si>
    <t>ﾐﾉﾌﾞﾁｮｳ</t>
  </si>
  <si>
    <t>193658</t>
  </si>
  <si>
    <t>身延町</t>
  </si>
  <si>
    <t>ﾊﾔｶﾜﾁｮｳ</t>
  </si>
  <si>
    <t>193640</t>
  </si>
  <si>
    <t>早川町</t>
  </si>
  <si>
    <t>ｲﾁｶﾜﾐｻﾄﾁｮｳ</t>
  </si>
  <si>
    <t>193461</t>
  </si>
  <si>
    <t>市川三郷町</t>
  </si>
  <si>
    <t>ﾁｭｳｵｳｼ</t>
  </si>
  <si>
    <t>192147</t>
  </si>
  <si>
    <t>中央市</t>
  </si>
  <si>
    <t>ｺｳｼｭｳｼ</t>
  </si>
  <si>
    <t>192139</t>
  </si>
  <si>
    <t>甲州市</t>
  </si>
  <si>
    <t>ｳｴﾉﾊﾗｼ</t>
  </si>
  <si>
    <t>192121</t>
  </si>
  <si>
    <t>上野原市</t>
  </si>
  <si>
    <t>ﾌｴﾌｷｼ</t>
  </si>
  <si>
    <t>192112</t>
  </si>
  <si>
    <t>笛吹市</t>
  </si>
  <si>
    <t>ｶｲｼ</t>
  </si>
  <si>
    <t>192104</t>
  </si>
  <si>
    <t>甲斐市</t>
  </si>
  <si>
    <t>ﾎｸﾄｼ</t>
  </si>
  <si>
    <t>192091</t>
  </si>
  <si>
    <t>北杜市</t>
  </si>
  <si>
    <t>ﾐﾅﾐｱﾙﾌﾟｽｼ</t>
  </si>
  <si>
    <t>192082</t>
  </si>
  <si>
    <t>南アルプス市</t>
  </si>
  <si>
    <t>ﾆﾗｻｷｼ</t>
  </si>
  <si>
    <t>192074</t>
  </si>
  <si>
    <t>韮崎市</t>
  </si>
  <si>
    <t>ｵｵﾂｷｼ</t>
  </si>
  <si>
    <t>192066</t>
  </si>
  <si>
    <t>大月市</t>
  </si>
  <si>
    <t>ﾔﾏﾅｼｼ</t>
  </si>
  <si>
    <t>192058</t>
  </si>
  <si>
    <t>山梨市</t>
  </si>
  <si>
    <t>ﾂﾙｼ</t>
  </si>
  <si>
    <t>192040</t>
  </si>
  <si>
    <t>都留市</t>
  </si>
  <si>
    <t>ﾌｼﾞﾖｼﾀﾞｼ</t>
  </si>
  <si>
    <t>192023</t>
  </si>
  <si>
    <t>富士吉田市</t>
  </si>
  <si>
    <t>ｺｳﾌｼ</t>
  </si>
  <si>
    <t>192015</t>
  </si>
  <si>
    <t>甲府市</t>
  </si>
  <si>
    <t>ﾔﾏﾅｼｹﾝ</t>
    <phoneticPr fontId="87"/>
  </si>
  <si>
    <t>190004</t>
    <phoneticPr fontId="87"/>
  </si>
  <si>
    <t>山梨県</t>
    <phoneticPr fontId="87"/>
  </si>
  <si>
    <t>ﾌｸｲｹﾝ</t>
  </si>
  <si>
    <t>185019</t>
  </si>
  <si>
    <t>若狭町</t>
  </si>
  <si>
    <t>福井県</t>
  </si>
  <si>
    <t>ｵｵｲﾁｮｳ</t>
  </si>
  <si>
    <t>184837</t>
  </si>
  <si>
    <t>おおい町</t>
  </si>
  <si>
    <t>ﾀｶﾊﾏﾁｮｳ</t>
  </si>
  <si>
    <t>184811</t>
  </si>
  <si>
    <t>高浜町</t>
  </si>
  <si>
    <t>184420</t>
  </si>
  <si>
    <t>ｴﾁｾﾞﾝﾁｮｳ</t>
  </si>
  <si>
    <t>184233</t>
  </si>
  <si>
    <t>越前町</t>
  </si>
  <si>
    <t>ﾐﾅﾐｴﾁｾﾞﾝﾁｮｳ</t>
  </si>
  <si>
    <t>184047</t>
  </si>
  <si>
    <t>南越前町</t>
  </si>
  <si>
    <t>183822</t>
  </si>
  <si>
    <t>ｴｲﾍｲｼﾞﾁｮｳ</t>
  </si>
  <si>
    <t>183229</t>
  </si>
  <si>
    <t>永平寺町</t>
  </si>
  <si>
    <t>182109</t>
  </si>
  <si>
    <t>坂井市</t>
  </si>
  <si>
    <t>ｴﾁｾﾞﾝｼ</t>
  </si>
  <si>
    <t>182095</t>
  </si>
  <si>
    <t>越前市</t>
  </si>
  <si>
    <t>ｱﾜﾗｼ</t>
  </si>
  <si>
    <t>182087</t>
  </si>
  <si>
    <t>あわら市</t>
  </si>
  <si>
    <t>ｻﾊﾞｴｼ</t>
  </si>
  <si>
    <t>182079</t>
  </si>
  <si>
    <t>鯖江市</t>
  </si>
  <si>
    <t>ｶﾂﾔﾏｼ</t>
  </si>
  <si>
    <t>182061</t>
  </si>
  <si>
    <t>勝山市</t>
  </si>
  <si>
    <t>ｵｵﾉｼ</t>
  </si>
  <si>
    <t>182052</t>
  </si>
  <si>
    <t>大野市</t>
  </si>
  <si>
    <t>ｵﾊﾞﾏｼ</t>
  </si>
  <si>
    <t>182044</t>
  </si>
  <si>
    <t>小浜市</t>
  </si>
  <si>
    <t>ﾂﾙｶﾞｼ</t>
  </si>
  <si>
    <t>182028</t>
  </si>
  <si>
    <t>敦賀市</t>
  </si>
  <si>
    <t>ﾌｸｲｼ</t>
  </si>
  <si>
    <t>182010</t>
  </si>
  <si>
    <t>福井市</t>
  </si>
  <si>
    <t>ﾌｸｲｹﾝ</t>
    <phoneticPr fontId="87"/>
  </si>
  <si>
    <t>180009</t>
    <phoneticPr fontId="87"/>
  </si>
  <si>
    <t>福井県</t>
    <phoneticPr fontId="87"/>
  </si>
  <si>
    <t>ﾉﾄﾁｮｳ</t>
  </si>
  <si>
    <t>ｲｼｶﾜｹﾝ</t>
  </si>
  <si>
    <t>174637</t>
  </si>
  <si>
    <t>能登町</t>
  </si>
  <si>
    <t>石川県</t>
  </si>
  <si>
    <t>ｱﾅﾐｽﾞﾏﾁ</t>
  </si>
  <si>
    <t>174611</t>
  </si>
  <si>
    <t>穴水町</t>
  </si>
  <si>
    <t>ﾅｶﾉﾄﾏﾁ</t>
  </si>
  <si>
    <t>174076</t>
  </si>
  <si>
    <t>中能登町</t>
  </si>
  <si>
    <t>ﾎｳﾀﾞﾂｼﾐｽﾞﾁｮｳ</t>
  </si>
  <si>
    <t>173860</t>
  </si>
  <si>
    <t>宝達志水町</t>
  </si>
  <si>
    <t>ｼｶﾏﾁ</t>
  </si>
  <si>
    <t>173843</t>
  </si>
  <si>
    <t>志賀町</t>
  </si>
  <si>
    <t>ｳﾁﾅﾀﾞﾏﾁ</t>
  </si>
  <si>
    <t>173657</t>
  </si>
  <si>
    <t>内灘町</t>
  </si>
  <si>
    <t>ﾂﾊﾞﾀﾏﾁ</t>
  </si>
  <si>
    <t>173614</t>
  </si>
  <si>
    <t>津幡町</t>
  </si>
  <si>
    <t>ｶﾜｷﾀﾏﾁ</t>
  </si>
  <si>
    <t>173240</t>
  </si>
  <si>
    <t>川北町</t>
  </si>
  <si>
    <t>ﾉﾉｲﾁｼ</t>
  </si>
  <si>
    <t>172120</t>
  </si>
  <si>
    <t>野々市市</t>
  </si>
  <si>
    <t>ﾉﾐｼ</t>
  </si>
  <si>
    <t>172111</t>
  </si>
  <si>
    <t>能美市</t>
  </si>
  <si>
    <t>ﾊｸｻﾝｼ</t>
  </si>
  <si>
    <t>172103</t>
  </si>
  <si>
    <t>白山市</t>
  </si>
  <si>
    <t>ｶﾎｸｼ</t>
  </si>
  <si>
    <t>172090</t>
  </si>
  <si>
    <t>かほく市</t>
  </si>
  <si>
    <t>ﾊｸｲｼ</t>
  </si>
  <si>
    <t>172073</t>
  </si>
  <si>
    <t>羽咋市</t>
  </si>
  <si>
    <t>ｶｶﾞｼ</t>
  </si>
  <si>
    <t>172065</t>
  </si>
  <si>
    <t>加賀市</t>
  </si>
  <si>
    <t>ｽｽﾞｼ</t>
  </si>
  <si>
    <t>172057</t>
  </si>
  <si>
    <t>珠洲市</t>
  </si>
  <si>
    <t>ﾜｼﾞﾏｼ</t>
  </si>
  <si>
    <t>172049</t>
  </si>
  <si>
    <t>輪島市</t>
  </si>
  <si>
    <t>ｺﾏﾂｼ</t>
  </si>
  <si>
    <t>172031</t>
  </si>
  <si>
    <t>小松市</t>
  </si>
  <si>
    <t>ﾅﾅｵｼ</t>
  </si>
  <si>
    <t>172022</t>
  </si>
  <si>
    <t>七尾市</t>
  </si>
  <si>
    <t>ｶﾅｻﾞﾜｼ</t>
  </si>
  <si>
    <t>172014</t>
  </si>
  <si>
    <t>金沢市</t>
  </si>
  <si>
    <t>ｲｼｶﾜｹﾝ</t>
    <phoneticPr fontId="87"/>
  </si>
  <si>
    <t>170003</t>
    <phoneticPr fontId="87"/>
  </si>
  <si>
    <t>石川県</t>
    <phoneticPr fontId="87"/>
  </si>
  <si>
    <t>ｱｻﾋﾏﾁ</t>
  </si>
  <si>
    <t>ﾄﾔﾏｹﾝ</t>
  </si>
  <si>
    <t>163431</t>
  </si>
  <si>
    <t>富山県</t>
  </si>
  <si>
    <t>ﾆｭｳｾﾞﾝﾏﾁ</t>
    <phoneticPr fontId="87"/>
  </si>
  <si>
    <t>163422</t>
  </si>
  <si>
    <t>入善町</t>
  </si>
  <si>
    <t>ﾀﾃﾔﾏﾏﾁ</t>
  </si>
  <si>
    <t>163236</t>
  </si>
  <si>
    <t>立山町</t>
  </si>
  <si>
    <t>ｶﾐｲﾁﾏﾁ</t>
  </si>
  <si>
    <t>163228</t>
  </si>
  <si>
    <t>上市町</t>
  </si>
  <si>
    <t>ﾌﾅﾊｼﾑﾗ</t>
  </si>
  <si>
    <t>163210</t>
  </si>
  <si>
    <t>舟橋村</t>
  </si>
  <si>
    <t>ｲﾐｽﾞｼ</t>
  </si>
  <si>
    <t>162116</t>
  </si>
  <si>
    <t>射水市</t>
  </si>
  <si>
    <t>ﾅﾝﾄｼ</t>
  </si>
  <si>
    <t>162108</t>
  </si>
  <si>
    <t>南砺市</t>
  </si>
  <si>
    <t>ｵﾔﾍﾞｼ</t>
  </si>
  <si>
    <t>162094</t>
  </si>
  <si>
    <t>小矢部市</t>
  </si>
  <si>
    <t>ﾄﾅﾐｼ</t>
  </si>
  <si>
    <t>162086</t>
  </si>
  <si>
    <t>砺波市</t>
  </si>
  <si>
    <t>ｸﾛﾍﾞｼ</t>
  </si>
  <si>
    <t>162078</t>
  </si>
  <si>
    <t>黒部市</t>
  </si>
  <si>
    <t>ﾅﾒﾘｶﾜｼ</t>
  </si>
  <si>
    <t>162060</t>
  </si>
  <si>
    <t>滑川市</t>
  </si>
  <si>
    <t>ﾋﾐｼ</t>
  </si>
  <si>
    <t>162051</t>
  </si>
  <si>
    <t>氷見市</t>
  </si>
  <si>
    <t>ｳｵﾂﾞｼ</t>
  </si>
  <si>
    <t>162043</t>
  </si>
  <si>
    <t>魚津市</t>
  </si>
  <si>
    <t>ﾀｶｵｶｼ</t>
  </si>
  <si>
    <t>162027</t>
  </si>
  <si>
    <t>高岡市</t>
  </si>
  <si>
    <t>ﾄﾔﾏｼ</t>
  </si>
  <si>
    <t>162019</t>
  </si>
  <si>
    <t>富山市</t>
  </si>
  <si>
    <t>ﾄﾔﾏｹﾝ</t>
    <phoneticPr fontId="87"/>
  </si>
  <si>
    <t>160008</t>
    <phoneticPr fontId="87"/>
  </si>
  <si>
    <t>富山県</t>
    <phoneticPr fontId="87"/>
  </si>
  <si>
    <t>ｱﾜｼﾏｳﾗﾑﾗ</t>
  </si>
  <si>
    <t>ﾆｲｶﾞﾀｹﾝ</t>
  </si>
  <si>
    <t>155861</t>
  </si>
  <si>
    <t>粟島浦村</t>
  </si>
  <si>
    <t>新潟県</t>
  </si>
  <si>
    <t>ｾｷｶﾜﾑﾗ</t>
  </si>
  <si>
    <t>155811</t>
  </si>
  <si>
    <t>関川村</t>
  </si>
  <si>
    <t>ｶﾘﾜﾑﾗ</t>
  </si>
  <si>
    <t>155047</t>
  </si>
  <si>
    <t>刈羽村</t>
  </si>
  <si>
    <t>ﾂﾅﾝﾏﾁ</t>
  </si>
  <si>
    <t>154822</t>
  </si>
  <si>
    <t>津南町</t>
  </si>
  <si>
    <t>ﾕｻﾞﾜﾏﾁ</t>
  </si>
  <si>
    <t>154610</t>
  </si>
  <si>
    <t>湯沢町</t>
  </si>
  <si>
    <t>ｲｽﾞﾓｻﾞｷﾏﾁ</t>
  </si>
  <si>
    <t>154059</t>
  </si>
  <si>
    <t>出雲崎町</t>
  </si>
  <si>
    <t>ｱｶﾞﾏﾁ</t>
  </si>
  <si>
    <t>153851</t>
  </si>
  <si>
    <t>阿賀町</t>
  </si>
  <si>
    <t>ﾀｶﾞﾐﾏﾁ</t>
  </si>
  <si>
    <t>153613</t>
  </si>
  <si>
    <t>田上町</t>
  </si>
  <si>
    <t>ﾔﾋｺﾑﾗ</t>
  </si>
  <si>
    <t>153427</t>
  </si>
  <si>
    <t>弥彦村</t>
  </si>
  <si>
    <t>ｾｲﾛｳﾏﾁ</t>
  </si>
  <si>
    <t>153079</t>
  </si>
  <si>
    <t>聖籠町</t>
  </si>
  <si>
    <t>ﾀｲﾅｲｼ</t>
  </si>
  <si>
    <t>152277</t>
  </si>
  <si>
    <t>胎内市</t>
  </si>
  <si>
    <t>ﾐﾅﾐｳｵﾇﾏｼ</t>
  </si>
  <si>
    <t>152269</t>
  </si>
  <si>
    <t>南魚沼市</t>
  </si>
  <si>
    <t>ｳｵﾇﾏｼ</t>
  </si>
  <si>
    <t>152251</t>
  </si>
  <si>
    <t>魚沼市</t>
  </si>
  <si>
    <t>ｻﾄﾞｼ</t>
  </si>
  <si>
    <t>152242</t>
  </si>
  <si>
    <t>佐渡市</t>
  </si>
  <si>
    <t>ｱｶﾞﾉｼ</t>
  </si>
  <si>
    <t>152234</t>
  </si>
  <si>
    <t>阿賀野市</t>
  </si>
  <si>
    <t>ｼﾞｮｳｴﾂｼ</t>
    <phoneticPr fontId="87"/>
  </si>
  <si>
    <t>152226</t>
  </si>
  <si>
    <t>上越市</t>
  </si>
  <si>
    <t>ｺﾞｾﾝｼ</t>
  </si>
  <si>
    <t>152188</t>
  </si>
  <si>
    <t>五泉市</t>
  </si>
  <si>
    <t>ﾐｮｳｺｳｼ</t>
  </si>
  <si>
    <t>152170</t>
  </si>
  <si>
    <t>妙高市</t>
  </si>
  <si>
    <t>ｲﾄｲｶﾞﾜｼ</t>
  </si>
  <si>
    <t>152161</t>
  </si>
  <si>
    <t>糸魚川市</t>
  </si>
  <si>
    <t>ﾂﾊﾞﾒｼ</t>
  </si>
  <si>
    <t>152137</t>
  </si>
  <si>
    <t>燕市</t>
  </si>
  <si>
    <t>ﾑﾗｶﾐｼ</t>
  </si>
  <si>
    <t>152129</t>
  </si>
  <si>
    <t>村上市</t>
  </si>
  <si>
    <t>ﾐﾂｹｼ</t>
  </si>
  <si>
    <t>152111</t>
  </si>
  <si>
    <t>見附市</t>
  </si>
  <si>
    <t>ﾄｵｶﾏﾁｼ</t>
  </si>
  <si>
    <t>152102</t>
  </si>
  <si>
    <t>十日町市</t>
  </si>
  <si>
    <t>ｶﾓｼ</t>
  </si>
  <si>
    <t>152099</t>
  </si>
  <si>
    <t>加茂市</t>
  </si>
  <si>
    <t>ｵﾁﾞﾔｼ</t>
  </si>
  <si>
    <t>152081</t>
  </si>
  <si>
    <t>小千谷市</t>
  </si>
  <si>
    <t>ｼﾊﾞﾀｼ</t>
  </si>
  <si>
    <t>152064</t>
  </si>
  <si>
    <t>新発田市</t>
  </si>
  <si>
    <t>ｶｼﾜｻﾞｷｼ</t>
  </si>
  <si>
    <t>152056</t>
  </si>
  <si>
    <t>柏崎市</t>
  </si>
  <si>
    <t>ｻﾝｼﾞｮｳｼ</t>
    <phoneticPr fontId="87"/>
  </si>
  <si>
    <t>152048</t>
  </si>
  <si>
    <t>三条市</t>
  </si>
  <si>
    <t>ﾅｶﾞｵｶｼ</t>
  </si>
  <si>
    <t>152021</t>
  </si>
  <si>
    <t>長岡市</t>
  </si>
  <si>
    <t>ﾆｲｶﾞﾀｼ</t>
  </si>
  <si>
    <t>151009</t>
  </si>
  <si>
    <t>新潟市</t>
  </si>
  <si>
    <t>ﾆｲｶﾞﾀｹﾝ</t>
    <phoneticPr fontId="87"/>
  </si>
  <si>
    <t>150002</t>
    <phoneticPr fontId="87"/>
  </si>
  <si>
    <t>新潟県</t>
    <phoneticPr fontId="87"/>
  </si>
  <si>
    <t>ｷﾖｶﾜﾑﾗ</t>
  </si>
  <si>
    <t>ｶﾅｶﾞﾜｹﾝ</t>
  </si>
  <si>
    <t>144029</t>
  </si>
  <si>
    <t>清川村</t>
  </si>
  <si>
    <t>神奈川県</t>
  </si>
  <si>
    <t>ｱｲｶﾜﾏﾁ</t>
  </si>
  <si>
    <t>144011</t>
  </si>
  <si>
    <t>愛川町</t>
  </si>
  <si>
    <t>ﾕｶﾞﾜﾗﾏﾁ</t>
  </si>
  <si>
    <t>143847</t>
  </si>
  <si>
    <t>湯河原町</t>
  </si>
  <si>
    <t>ﾏﾅﾂﾙﾏﾁ</t>
  </si>
  <si>
    <t>143839</t>
  </si>
  <si>
    <t>真鶴町</t>
  </si>
  <si>
    <t>ﾊｺﾈﾏﾁ</t>
  </si>
  <si>
    <t>143821</t>
  </si>
  <si>
    <t>箱根町</t>
  </si>
  <si>
    <t>ｶｲｾｲﾏﾁ</t>
  </si>
  <si>
    <t>143669</t>
  </si>
  <si>
    <t>開成町</t>
  </si>
  <si>
    <t>ﾔﾏｷﾀﾏﾁ</t>
  </si>
  <si>
    <t>143642</t>
  </si>
  <si>
    <t>山北町</t>
  </si>
  <si>
    <t>ﾏﾂﾀﾞﾏﾁ</t>
  </si>
  <si>
    <t>143634</t>
  </si>
  <si>
    <t>松田町</t>
  </si>
  <si>
    <t>ｵｵｲﾏﾁ</t>
  </si>
  <si>
    <t>143626</t>
  </si>
  <si>
    <t>大井町</t>
  </si>
  <si>
    <t>ﾅｶｲﾏﾁ</t>
  </si>
  <si>
    <t>143618</t>
  </si>
  <si>
    <t>中井町</t>
  </si>
  <si>
    <t>ﾆﾉﾐﾔﾏﾁ</t>
  </si>
  <si>
    <t>143421</t>
  </si>
  <si>
    <t>二宮町</t>
  </si>
  <si>
    <t>ｵｵｲｿﾏﾁ</t>
  </si>
  <si>
    <t>143413</t>
  </si>
  <si>
    <t>大磯町</t>
  </si>
  <si>
    <t>ｻﾑｶﾜﾏﾁ</t>
  </si>
  <si>
    <t>143219</t>
  </si>
  <si>
    <t>寒川町</t>
  </si>
  <si>
    <t>ﾊﾔﾏﾏﾁ</t>
  </si>
  <si>
    <t>143014</t>
  </si>
  <si>
    <t>葉山町</t>
  </si>
  <si>
    <t>ｱﾔｾｼ</t>
  </si>
  <si>
    <t>142182</t>
  </si>
  <si>
    <t>綾瀬市</t>
  </si>
  <si>
    <t>ﾐﾅﾐｱｼｶﾞﾗｼ</t>
  </si>
  <si>
    <t>142174</t>
  </si>
  <si>
    <t>南足柄市</t>
  </si>
  <si>
    <t>ｻﾞﾏｼ</t>
  </si>
  <si>
    <t>142166</t>
  </si>
  <si>
    <t>座間市</t>
  </si>
  <si>
    <t>ｴﾋﾞﾅｼ</t>
  </si>
  <si>
    <t>142158</t>
  </si>
  <si>
    <t>海老名市</t>
  </si>
  <si>
    <t>ｲｾﾊﾗｼ</t>
  </si>
  <si>
    <t>142140</t>
  </si>
  <si>
    <t>伊勢原市</t>
  </si>
  <si>
    <t>ﾔﾏﾄｼ</t>
  </si>
  <si>
    <t>142131</t>
  </si>
  <si>
    <t>大和市</t>
  </si>
  <si>
    <t>ｱﾂｷﾞｼ</t>
  </si>
  <si>
    <t>142123</t>
  </si>
  <si>
    <t>厚木市</t>
  </si>
  <si>
    <t>ﾊﾀﾞﾉｼ</t>
  </si>
  <si>
    <t>142115</t>
  </si>
  <si>
    <t>秦野市</t>
  </si>
  <si>
    <t>ﾐｳﾗｼ</t>
  </si>
  <si>
    <t>142107</t>
  </si>
  <si>
    <t>三浦市</t>
  </si>
  <si>
    <t>ｽﾞｼｼ</t>
  </si>
  <si>
    <t>142085</t>
  </si>
  <si>
    <t>逗子市</t>
  </si>
  <si>
    <t>ﾁｶﾞｻｷｼ</t>
  </si>
  <si>
    <t>142077</t>
  </si>
  <si>
    <t>茅ヶ崎市</t>
  </si>
  <si>
    <t>ｵﾀﾞﾜﾗｼ</t>
  </si>
  <si>
    <t>142069</t>
  </si>
  <si>
    <t>小田原市</t>
  </si>
  <si>
    <t>ﾌｼﾞｻﾜｼ</t>
  </si>
  <si>
    <t>142051</t>
  </si>
  <si>
    <t>藤沢市</t>
  </si>
  <si>
    <t>ｶﾏｸﾗｼ</t>
  </si>
  <si>
    <t>142042</t>
  </si>
  <si>
    <t>鎌倉市</t>
  </si>
  <si>
    <t>ﾋﾗﾂｶｼ</t>
  </si>
  <si>
    <t>142034</t>
  </si>
  <si>
    <t>平塚市</t>
  </si>
  <si>
    <t>ﾖｺｽｶｼ</t>
  </si>
  <si>
    <t>142018</t>
  </si>
  <si>
    <t>横須賀市</t>
  </si>
  <si>
    <t>ｻｶﾞﾐﾊﾗｼ</t>
  </si>
  <si>
    <t>141500</t>
  </si>
  <si>
    <t>相模原市</t>
  </si>
  <si>
    <t>ｶﾜｻｷｼ</t>
  </si>
  <si>
    <t>141305</t>
  </si>
  <si>
    <t>川崎市</t>
  </si>
  <si>
    <t>ﾖｺﾊﾏｼ</t>
  </si>
  <si>
    <t>141003</t>
  </si>
  <si>
    <t>横浜市</t>
  </si>
  <si>
    <t>ｶﾅｶﾞﾜｹﾝ</t>
    <phoneticPr fontId="87"/>
  </si>
  <si>
    <t>140007</t>
    <phoneticPr fontId="87"/>
  </si>
  <si>
    <t>神奈川県</t>
    <phoneticPr fontId="87"/>
  </si>
  <si>
    <t>ｵｶﾞｻﾜﾗﾑﾗ</t>
  </si>
  <si>
    <t>ﾄｳｷｮｳﾄ</t>
  </si>
  <si>
    <t>134210</t>
  </si>
  <si>
    <t>小笠原村</t>
  </si>
  <si>
    <t>東京都</t>
  </si>
  <si>
    <t>ｱｵｶﾞｼﾏﾑﾗ</t>
  </si>
  <si>
    <t>134023</t>
  </si>
  <si>
    <t>青ヶ島村</t>
  </si>
  <si>
    <t>ﾊﾁｼﾞｮｳﾏﾁ</t>
    <phoneticPr fontId="87"/>
  </si>
  <si>
    <t>134015</t>
  </si>
  <si>
    <t>八丈町</t>
  </si>
  <si>
    <t>ﾐｸﾗｼﾞﾏﾑﾗ</t>
  </si>
  <si>
    <t>133825</t>
  </si>
  <si>
    <t>御蔵島村</t>
  </si>
  <si>
    <t>ﾐﾔｹﾑﾗ</t>
  </si>
  <si>
    <t>133817</t>
  </si>
  <si>
    <t>三宅村</t>
  </si>
  <si>
    <t>ｺｳﾂﾞｼﾏﾑﾗ</t>
  </si>
  <si>
    <t>133647</t>
  </si>
  <si>
    <t>神津島村</t>
  </si>
  <si>
    <t>ﾆｲｼﾞﾏﾑﾗ</t>
  </si>
  <si>
    <t>133639</t>
  </si>
  <si>
    <t>新島村</t>
  </si>
  <si>
    <t>133621</t>
  </si>
  <si>
    <t>利島村</t>
  </si>
  <si>
    <t>ｵｵｼﾏﾏﾁ</t>
  </si>
  <si>
    <t>133612</t>
  </si>
  <si>
    <t>大島町</t>
  </si>
  <si>
    <t>ｵｸﾀﾏﾏﾁ</t>
  </si>
  <si>
    <t>133086</t>
  </si>
  <si>
    <t>奥多摩町</t>
  </si>
  <si>
    <t>ﾋﾉﾊﾗﾑﾗ</t>
  </si>
  <si>
    <t>133078</t>
  </si>
  <si>
    <t>檜原村</t>
  </si>
  <si>
    <t>ﾋﾉﾃﾞﾏﾁ</t>
  </si>
  <si>
    <t>133051</t>
  </si>
  <si>
    <t>日の出町</t>
  </si>
  <si>
    <t>ﾐｽﾞﾎﾏﾁ</t>
  </si>
  <si>
    <t>133035</t>
  </si>
  <si>
    <t>瑞穂町</t>
  </si>
  <si>
    <t>ﾆｼﾄｳｷｮｳｼ</t>
    <phoneticPr fontId="87"/>
  </si>
  <si>
    <t>132292</t>
  </si>
  <si>
    <t>西東京市</t>
  </si>
  <si>
    <t>ｱｷﾙﾉｼ</t>
  </si>
  <si>
    <t>132284</t>
  </si>
  <si>
    <t>あきる野市</t>
  </si>
  <si>
    <t>ﾊﾑﾗｼ</t>
  </si>
  <si>
    <t>132276</t>
  </si>
  <si>
    <t>羽村市</t>
  </si>
  <si>
    <t>ｲﾅｷﾞｼ</t>
  </si>
  <si>
    <t>132250</t>
  </si>
  <si>
    <t>稲城市</t>
  </si>
  <si>
    <t>ﾀﾏｼ</t>
  </si>
  <si>
    <t>132241</t>
  </si>
  <si>
    <t>多摩市</t>
  </si>
  <si>
    <t>ﾑｻｼﾑﾗﾔﾏｼ</t>
  </si>
  <si>
    <t>132233</t>
  </si>
  <si>
    <t>武蔵村山市</t>
  </si>
  <si>
    <t>ﾋｶﾞｼｸﾙﾒｼ</t>
  </si>
  <si>
    <t>132225</t>
  </si>
  <si>
    <t>東久留米市</t>
  </si>
  <si>
    <t>ｷﾖｾｼ</t>
  </si>
  <si>
    <t>132217</t>
  </si>
  <si>
    <t>清瀬市</t>
  </si>
  <si>
    <t>ﾋｶﾞｼﾔﾏﾄｼ</t>
  </si>
  <si>
    <t>132209</t>
  </si>
  <si>
    <t>東大和市</t>
  </si>
  <si>
    <t>ｺﾏｴｼ</t>
  </si>
  <si>
    <t>132195</t>
  </si>
  <si>
    <t>狛江市</t>
  </si>
  <si>
    <t>ﾌｯｻｼ</t>
    <phoneticPr fontId="87"/>
  </si>
  <si>
    <t>132187</t>
  </si>
  <si>
    <t>福生市</t>
  </si>
  <si>
    <t>ｸﾆﾀﾁｼ</t>
  </si>
  <si>
    <t>132152</t>
  </si>
  <si>
    <t>国立市</t>
  </si>
  <si>
    <t>ｺｸﾌﾞﾝｼﾞｼ</t>
  </si>
  <si>
    <t>132144</t>
  </si>
  <si>
    <t>国分寺市</t>
  </si>
  <si>
    <t>ﾋｶﾞｼﾑﾗﾔﾏｼ</t>
  </si>
  <si>
    <t>132136</t>
  </si>
  <si>
    <t>東村山市</t>
  </si>
  <si>
    <t>ﾋﾉｼ</t>
  </si>
  <si>
    <t>132128</t>
  </si>
  <si>
    <t>日野市</t>
  </si>
  <si>
    <t>ｺﾀﾞｲﾗｼ</t>
  </si>
  <si>
    <t>132110</t>
  </si>
  <si>
    <t>小平市</t>
  </si>
  <si>
    <t>ｺｶﾞﾈｲｼ</t>
  </si>
  <si>
    <t>132101</t>
  </si>
  <si>
    <t>小金井市</t>
  </si>
  <si>
    <t>ﾏﾁﾀﾞｼ</t>
  </si>
  <si>
    <t>132098</t>
  </si>
  <si>
    <t>町田市</t>
  </si>
  <si>
    <t>ﾁｮｳﾌｼ</t>
  </si>
  <si>
    <t>132080</t>
  </si>
  <si>
    <t>調布市</t>
  </si>
  <si>
    <t>ｱｷｼﾏｼ</t>
  </si>
  <si>
    <t>132071</t>
  </si>
  <si>
    <t>昭島市</t>
  </si>
  <si>
    <t>132063</t>
  </si>
  <si>
    <t>ｵｳﾒｼ</t>
  </si>
  <si>
    <t>132055</t>
  </si>
  <si>
    <t>青梅市</t>
  </si>
  <si>
    <t>ﾐﾀｶｼ</t>
  </si>
  <si>
    <t>132047</t>
  </si>
  <si>
    <t>三鷹市</t>
  </si>
  <si>
    <t>ﾑｻｼﾉｼ</t>
  </si>
  <si>
    <t>132039</t>
  </si>
  <si>
    <t>武蔵野市</t>
  </si>
  <si>
    <t>ﾀﾁｶﾜｼ</t>
  </si>
  <si>
    <t>132021</t>
  </si>
  <si>
    <t>立川市</t>
  </si>
  <si>
    <t>ﾊﾁｵｳｼﾞｼ</t>
  </si>
  <si>
    <t>132012</t>
  </si>
  <si>
    <t>八王子市</t>
  </si>
  <si>
    <t>ｴﾄﾞｶﾞﾜｸ</t>
  </si>
  <si>
    <t>131237</t>
  </si>
  <si>
    <t>江戸川区</t>
  </si>
  <si>
    <t>ｶﾂｼｶｸ</t>
  </si>
  <si>
    <t>131229</t>
  </si>
  <si>
    <t>葛飾区</t>
  </si>
  <si>
    <t>ｱﾀﾞﾁｸ</t>
  </si>
  <si>
    <t>131211</t>
  </si>
  <si>
    <t>足立区</t>
  </si>
  <si>
    <t>ﾈﾘﾏｸ</t>
  </si>
  <si>
    <t>131202</t>
  </si>
  <si>
    <t>練馬区</t>
  </si>
  <si>
    <t>ｲﾀﾊﾞｼｸ</t>
  </si>
  <si>
    <t>131199</t>
  </si>
  <si>
    <t>板橋区</t>
  </si>
  <si>
    <t>ｱﾗｶﾜｸ</t>
  </si>
  <si>
    <t>131181</t>
  </si>
  <si>
    <t>荒川区</t>
  </si>
  <si>
    <t>ｷﾀｸ</t>
  </si>
  <si>
    <t>131172</t>
  </si>
  <si>
    <t>北区</t>
  </si>
  <si>
    <t>ﾄｼﾏｸ</t>
  </si>
  <si>
    <t>131164</t>
  </si>
  <si>
    <t>豊島区</t>
  </si>
  <si>
    <t>ｽｷﾞﾅﾐｸ</t>
  </si>
  <si>
    <t>131156</t>
  </si>
  <si>
    <t>杉並区</t>
  </si>
  <si>
    <t>ﾅｶﾉｸ</t>
  </si>
  <si>
    <t>131148</t>
  </si>
  <si>
    <t>中野区</t>
  </si>
  <si>
    <t>ｼﾌﾞﾔｸ</t>
  </si>
  <si>
    <t>131130</t>
  </si>
  <si>
    <t>渋谷区</t>
  </si>
  <si>
    <t>ｾﾀｶﾞﾔｸ</t>
  </si>
  <si>
    <t>131121</t>
  </si>
  <si>
    <t>世田谷区</t>
  </si>
  <si>
    <t>ｵｵﾀｸ</t>
  </si>
  <si>
    <t>131113</t>
  </si>
  <si>
    <t>大田区</t>
  </si>
  <si>
    <t>ﾒｸﾞﾛｸ</t>
  </si>
  <si>
    <t>131105</t>
  </si>
  <si>
    <t>目黒区</t>
  </si>
  <si>
    <t>ｼﾅｶﾞﾜｸ</t>
  </si>
  <si>
    <t>131091</t>
  </si>
  <si>
    <t>品川区</t>
  </si>
  <si>
    <t>ｺｳﾄｳｸ</t>
  </si>
  <si>
    <t>131083</t>
  </si>
  <si>
    <t>江東区</t>
  </si>
  <si>
    <t>ｽﾐﾀﾞｸ</t>
  </si>
  <si>
    <t>131075</t>
  </si>
  <si>
    <t>墨田区</t>
  </si>
  <si>
    <t>ﾀｲﾄｳｸ</t>
  </si>
  <si>
    <t>131067</t>
  </si>
  <si>
    <t>台東区</t>
  </si>
  <si>
    <t>ﾌﾞﾝｷｮｳｸ</t>
    <phoneticPr fontId="87"/>
  </si>
  <si>
    <t>131059</t>
  </si>
  <si>
    <t>文京区</t>
  </si>
  <si>
    <t>ｼﾝｼﾞｭｸｸ</t>
    <phoneticPr fontId="87"/>
  </si>
  <si>
    <t>131041</t>
  </si>
  <si>
    <t>新宿区</t>
  </si>
  <si>
    <t>ﾐﾅﾄｸ</t>
  </si>
  <si>
    <t>131032</t>
  </si>
  <si>
    <t>港区</t>
  </si>
  <si>
    <t>ﾁｭｳｵｳｸ</t>
  </si>
  <si>
    <t>131024</t>
  </si>
  <si>
    <t>中央区</t>
  </si>
  <si>
    <t>ﾁﾖﾀﾞｸ</t>
  </si>
  <si>
    <t>131016</t>
  </si>
  <si>
    <t>千代田区</t>
  </si>
  <si>
    <t>ﾄｳｷｮｳﾄ</t>
    <phoneticPr fontId="87"/>
  </si>
  <si>
    <t>130001</t>
    <phoneticPr fontId="87"/>
  </si>
  <si>
    <t>東京都</t>
    <phoneticPr fontId="87"/>
  </si>
  <si>
    <t>ｷﾖﾅﾝﾏﾁ</t>
  </si>
  <si>
    <t>ﾁﾊﾞｹﾝ</t>
  </si>
  <si>
    <t>124630</t>
  </si>
  <si>
    <t>鋸南町</t>
  </si>
  <si>
    <t>千葉県</t>
  </si>
  <si>
    <t>ｵﾝｼﾞﾕｸﾏﾁ</t>
  </si>
  <si>
    <t>124435</t>
  </si>
  <si>
    <t>御宿町</t>
  </si>
  <si>
    <t>ｵｵﾀｷﾏﾁ</t>
  </si>
  <si>
    <t>124419</t>
  </si>
  <si>
    <t>大多喜町</t>
  </si>
  <si>
    <t>ﾁｮｳﾅﾝﾏﾁ</t>
  </si>
  <si>
    <t>124273</t>
  </si>
  <si>
    <t>長南町</t>
  </si>
  <si>
    <t>ﾅｶﾞﾗﾏﾁ</t>
  </si>
  <si>
    <t>124265</t>
  </si>
  <si>
    <t>長柄町</t>
  </si>
  <si>
    <t>ｼﾗｺﾏﾁ</t>
  </si>
  <si>
    <t>124249</t>
  </si>
  <si>
    <t>白子町</t>
  </si>
  <si>
    <t>ﾁｮｳｾｲﾑﾗ</t>
  </si>
  <si>
    <t>124231</t>
  </si>
  <si>
    <t>長生村</t>
  </si>
  <si>
    <t>ﾑﾂｻﾞﾜﾏﾁ</t>
  </si>
  <si>
    <t>124222</t>
  </si>
  <si>
    <t>睦沢町</t>
  </si>
  <si>
    <t>ｲﾁﾉﾐﾔﾏﾁ</t>
  </si>
  <si>
    <t>124214</t>
  </si>
  <si>
    <t>一宮町</t>
  </si>
  <si>
    <t>ﾖｺｼﾊﾞﾋｶﾘﾏﾁ</t>
  </si>
  <si>
    <t>124109</t>
  </si>
  <si>
    <t>横芝光町</t>
  </si>
  <si>
    <t>ｼﾊﾞﾔﾏﾏﾁ</t>
  </si>
  <si>
    <t>124095</t>
  </si>
  <si>
    <t>芝山町</t>
  </si>
  <si>
    <t>ｸｼﾞﾕｳｸﾘﾏﾁ</t>
  </si>
  <si>
    <t>124036</t>
  </si>
  <si>
    <t>九十九里町</t>
  </si>
  <si>
    <t>ﾄｳﾉｼｮｳﾏﾁ</t>
  </si>
  <si>
    <t>123498</t>
  </si>
  <si>
    <t>東庄町</t>
  </si>
  <si>
    <t>ﾀｺﾏﾁ</t>
  </si>
  <si>
    <t>123471</t>
  </si>
  <si>
    <t>多古町</t>
  </si>
  <si>
    <t>ｺｳｻﾞｷﾏﾁ</t>
  </si>
  <si>
    <t>123421</t>
  </si>
  <si>
    <t>神崎町</t>
  </si>
  <si>
    <t>ｻｶｴﾏﾁ</t>
  </si>
  <si>
    <t>123293</t>
  </si>
  <si>
    <t>栄町</t>
  </si>
  <si>
    <t>ｼｽｲﾏﾁ</t>
  </si>
  <si>
    <t>123226</t>
  </si>
  <si>
    <t>酒々井町</t>
  </si>
  <si>
    <t>ｵｵｱﾐｼﾗｻﾄｼ</t>
    <phoneticPr fontId="87"/>
  </si>
  <si>
    <t>122394</t>
    <phoneticPr fontId="87"/>
  </si>
  <si>
    <t>大網白里市</t>
    <rPh sb="4" eb="5">
      <t>シ</t>
    </rPh>
    <phoneticPr fontId="87"/>
  </si>
  <si>
    <t>ｲｽﾐｼ</t>
  </si>
  <si>
    <t>122386</t>
  </si>
  <si>
    <t>いすみ市</t>
  </si>
  <si>
    <t>ｻﾝﾑｼ</t>
  </si>
  <si>
    <t>122378</t>
  </si>
  <si>
    <t>山武市</t>
  </si>
  <si>
    <t>ｶﾄﾘｼ</t>
  </si>
  <si>
    <t>122360</t>
  </si>
  <si>
    <t>香取市</t>
  </si>
  <si>
    <t>ｿｳｻｼ</t>
  </si>
  <si>
    <t>122351</t>
  </si>
  <si>
    <t>匝瑳市</t>
  </si>
  <si>
    <t>ﾐﾅﾐﾎﾞｳｿｳｼ</t>
  </si>
  <si>
    <t>122343</t>
  </si>
  <si>
    <t>南房総市</t>
  </si>
  <si>
    <t>ﾄﾐｻﾄｼ</t>
  </si>
  <si>
    <t>122335</t>
  </si>
  <si>
    <t>富里市</t>
  </si>
  <si>
    <t>ｼﾛｲｼ</t>
  </si>
  <si>
    <t>122327</t>
  </si>
  <si>
    <t>白井市</t>
  </si>
  <si>
    <t>ｲﾝｻﾞｲｼ</t>
  </si>
  <si>
    <t>122319</t>
  </si>
  <si>
    <t>印西市</t>
  </si>
  <si>
    <t>ﾔﾁﾏﾀｼ</t>
  </si>
  <si>
    <t>122301</t>
  </si>
  <si>
    <t>八街市</t>
  </si>
  <si>
    <t>ｿﾃﾞｶﾞｳﾗｼ</t>
  </si>
  <si>
    <t>122297</t>
  </si>
  <si>
    <t>袖ケ浦市</t>
  </si>
  <si>
    <t>ﾖﾂｶｲﾄﾞｳｼ</t>
  </si>
  <si>
    <t>122289</t>
  </si>
  <si>
    <t>四街道市</t>
  </si>
  <si>
    <t>ｳﾗﾔｽｼ</t>
  </si>
  <si>
    <t>122271</t>
  </si>
  <si>
    <t>浦安市</t>
  </si>
  <si>
    <t>ﾌｯﾂｼ</t>
    <phoneticPr fontId="87"/>
  </si>
  <si>
    <t>122262</t>
  </si>
  <si>
    <t>富津市</t>
  </si>
  <si>
    <t>ｷﾐﾂｼ</t>
  </si>
  <si>
    <t>122254</t>
  </si>
  <si>
    <t>君津市</t>
  </si>
  <si>
    <t>ｶﾏｶﾞﾔｼ</t>
  </si>
  <si>
    <t>122246</t>
  </si>
  <si>
    <t>鎌ケ谷市</t>
  </si>
  <si>
    <t>ｶﾓｶﾞﾜｼ</t>
  </si>
  <si>
    <t>122238</t>
  </si>
  <si>
    <t>鴨川市</t>
  </si>
  <si>
    <t>ｱﾋﾞｺｼ</t>
  </si>
  <si>
    <t>122220</t>
  </si>
  <si>
    <t>我孫子市</t>
  </si>
  <si>
    <t>ﾔﾁﾖｼ</t>
  </si>
  <si>
    <t>122211</t>
  </si>
  <si>
    <t>八千代市</t>
  </si>
  <si>
    <t>ﾅｶﾞﾚﾔﾏｼ</t>
  </si>
  <si>
    <t>122203</t>
  </si>
  <si>
    <t>流山市</t>
  </si>
  <si>
    <t>ｲﾁﾊﾗｼ</t>
  </si>
  <si>
    <t>122190</t>
  </si>
  <si>
    <t>市原市</t>
  </si>
  <si>
    <t>ｶﾂｳﾗｼ</t>
  </si>
  <si>
    <t>122181</t>
  </si>
  <si>
    <t>勝浦市</t>
  </si>
  <si>
    <t>ｶｼﾜｼ</t>
  </si>
  <si>
    <t>122173</t>
  </si>
  <si>
    <t>柏市</t>
  </si>
  <si>
    <t>ﾅﾗｼﾉｼ</t>
  </si>
  <si>
    <t>122165</t>
  </si>
  <si>
    <t>習志野市</t>
  </si>
  <si>
    <t>ｱｻﾋｼ</t>
  </si>
  <si>
    <t>122157</t>
  </si>
  <si>
    <t>旭市</t>
  </si>
  <si>
    <t>ﾄｳｶﾞﾈｼ</t>
  </si>
  <si>
    <t>122131</t>
  </si>
  <si>
    <t>東金市</t>
  </si>
  <si>
    <t>ｻｸﾗｼ</t>
  </si>
  <si>
    <t>122122</t>
  </si>
  <si>
    <t>佐倉市</t>
  </si>
  <si>
    <t>ﾅﾘﾀｼ</t>
  </si>
  <si>
    <t>122114</t>
  </si>
  <si>
    <t>成田市</t>
  </si>
  <si>
    <t>ﾓﾊﾞﾗｼ</t>
  </si>
  <si>
    <t>122106</t>
  </si>
  <si>
    <t>茂原市</t>
  </si>
  <si>
    <t>ﾉﾀﾞｼ</t>
  </si>
  <si>
    <t>122084</t>
  </si>
  <si>
    <t>野田市</t>
  </si>
  <si>
    <t>ﾏﾂﾄﾞｼ</t>
  </si>
  <si>
    <t>122076</t>
  </si>
  <si>
    <t>松戸市</t>
  </si>
  <si>
    <t>ｷｻﾗﾂﾞｼ</t>
  </si>
  <si>
    <t>122068</t>
  </si>
  <si>
    <t>木更津市</t>
  </si>
  <si>
    <t>ﾀﾃﾔﾏｼ</t>
  </si>
  <si>
    <t>122050</t>
  </si>
  <si>
    <t>館山市</t>
  </si>
  <si>
    <t>ﾌﾅﾊﾞｼｼ</t>
  </si>
  <si>
    <t>122041</t>
  </si>
  <si>
    <t>船橋市</t>
  </si>
  <si>
    <t>ｲﾁｶﾜｼ</t>
  </si>
  <si>
    <t>122033</t>
  </si>
  <si>
    <t>市川市</t>
  </si>
  <si>
    <t>ﾁｮｳｼｼ</t>
  </si>
  <si>
    <t>122025</t>
  </si>
  <si>
    <t>銚子市</t>
  </si>
  <si>
    <t>ﾁﾊﾞｼ</t>
  </si>
  <si>
    <t>121002</t>
  </si>
  <si>
    <t>千葉市</t>
  </si>
  <si>
    <t>ﾁﾊﾞｹﾝ</t>
    <phoneticPr fontId="87"/>
  </si>
  <si>
    <t>120006</t>
    <phoneticPr fontId="87"/>
  </si>
  <si>
    <t>千葉県</t>
    <phoneticPr fontId="87"/>
  </si>
  <si>
    <t>ﾏﾂﾌﾞｼﾏﾁ</t>
  </si>
  <si>
    <t>ｻｲﾀﾏｹﾝ</t>
  </si>
  <si>
    <t>114651</t>
  </si>
  <si>
    <t>松伏町</t>
  </si>
  <si>
    <t>埼玉県</t>
  </si>
  <si>
    <t>ｽｷﾞﾄﾏﾁ</t>
  </si>
  <si>
    <t>114642</t>
  </si>
  <si>
    <t>杉戸町</t>
  </si>
  <si>
    <t>ﾐﾔｼﾛﾏﾁ</t>
  </si>
  <si>
    <t>114421</t>
  </si>
  <si>
    <t>宮代町</t>
  </si>
  <si>
    <t>ﾖﾘｲﾏﾁ</t>
  </si>
  <si>
    <t>114081</t>
  </si>
  <si>
    <t>寄居町</t>
  </si>
  <si>
    <t>ｶﾐｻﾄﾏﾁ</t>
  </si>
  <si>
    <t>113859</t>
  </si>
  <si>
    <t>上里町</t>
  </si>
  <si>
    <t>ｶﾐｶﾜﾏﾁ</t>
  </si>
  <si>
    <t>113832</t>
  </si>
  <si>
    <t>神川町</t>
  </si>
  <si>
    <t>113816</t>
  </si>
  <si>
    <t>ﾋｶﾞｼﾁﾁﾌﾞﾑﾗ</t>
  </si>
  <si>
    <t>113697</t>
  </si>
  <si>
    <t>東秩父村</t>
  </si>
  <si>
    <t>ｵｶﾞﾉﾏﾁ</t>
  </si>
  <si>
    <t>113654</t>
  </si>
  <si>
    <t>小鹿野町</t>
  </si>
  <si>
    <t>ﾅｶﾞﾄﾛﾏﾁ</t>
  </si>
  <si>
    <t>113638</t>
  </si>
  <si>
    <t>長瀞町</t>
  </si>
  <si>
    <t>ﾐﾅﾉﾏﾁ</t>
  </si>
  <si>
    <t>113620</t>
  </si>
  <si>
    <t>皆野町</t>
  </si>
  <si>
    <t>ﾖｺｾﾞﾏﾁ</t>
  </si>
  <si>
    <t>113611</t>
  </si>
  <si>
    <t>横瀬町</t>
  </si>
  <si>
    <t>ﾄｷｶﾞﾜﾏﾁ</t>
  </si>
  <si>
    <t>113492</t>
  </si>
  <si>
    <t>ときがわ町</t>
  </si>
  <si>
    <t>ﾊﾄﾔﾏﾏﾁ</t>
  </si>
  <si>
    <t>113484</t>
  </si>
  <si>
    <t>鳩山町</t>
  </si>
  <si>
    <t>ﾖｼﾐﾏﾁ</t>
  </si>
  <si>
    <t>113476</t>
  </si>
  <si>
    <t>吉見町</t>
  </si>
  <si>
    <t>ｶﾜｼﾞﾏﾏﾁ</t>
  </si>
  <si>
    <t>113468</t>
  </si>
  <si>
    <t>川島町</t>
  </si>
  <si>
    <t>ｵｶﾞﾜﾏﾁ</t>
  </si>
  <si>
    <t>113433</t>
  </si>
  <si>
    <t>小川町</t>
  </si>
  <si>
    <t>ﾗﾝｻﾞﾝﾏﾁ</t>
  </si>
  <si>
    <t>113425</t>
  </si>
  <si>
    <t>嵐山町</t>
  </si>
  <si>
    <t>ﾅﾒｶﾞﾜﾏﾁ</t>
  </si>
  <si>
    <t>113417</t>
  </si>
  <si>
    <t>滑川町</t>
  </si>
  <si>
    <t>ｵｺﾞｾﾏﾁ</t>
  </si>
  <si>
    <t>113271</t>
  </si>
  <si>
    <t>越生町</t>
  </si>
  <si>
    <t>ﾓﾛﾔﾏﾏﾁ</t>
  </si>
  <si>
    <t>113263</t>
  </si>
  <si>
    <t>毛呂山町</t>
  </si>
  <si>
    <t>ﾐﾖｼﾏﾁ</t>
  </si>
  <si>
    <t>113247</t>
  </si>
  <si>
    <t>三芳町</t>
  </si>
  <si>
    <t>ｲﾅﾏﾁ</t>
  </si>
  <si>
    <t>113018</t>
  </si>
  <si>
    <t>伊奈町</t>
  </si>
  <si>
    <t>埼玉県</t>
    <phoneticPr fontId="87"/>
  </si>
  <si>
    <t>ｼﾗｵｶｼ</t>
    <phoneticPr fontId="87"/>
  </si>
  <si>
    <t>ｻｲﾀﾏｹﾝ</t>
    <phoneticPr fontId="87"/>
  </si>
  <si>
    <t>112461</t>
    <phoneticPr fontId="87"/>
  </si>
  <si>
    <t>白岡市</t>
    <rPh sb="0" eb="2">
      <t>シラオカ</t>
    </rPh>
    <rPh sb="2" eb="3">
      <t>シ</t>
    </rPh>
    <phoneticPr fontId="87"/>
  </si>
  <si>
    <t>ﾌｼﾞﾐﾉｼ</t>
  </si>
  <si>
    <t>112453</t>
  </si>
  <si>
    <t>ふじみ野市</t>
  </si>
  <si>
    <t>ﾖｼｶﾜｼ</t>
  </si>
  <si>
    <t>112437</t>
  </si>
  <si>
    <t>吉川市</t>
  </si>
  <si>
    <t>ﾋﾀﾞｶｼ</t>
  </si>
  <si>
    <t>112429</t>
  </si>
  <si>
    <t>日高市</t>
  </si>
  <si>
    <t>ﾂﾙｶﾞｼﾏｼ</t>
  </si>
  <si>
    <t>112411</t>
  </si>
  <si>
    <t>鶴ヶ島市</t>
  </si>
  <si>
    <t>ｻｯﾃｼ</t>
    <phoneticPr fontId="87"/>
  </si>
  <si>
    <t>112402</t>
  </si>
  <si>
    <t>幸手市</t>
  </si>
  <si>
    <t>ｻｶﾄﾞｼ</t>
  </si>
  <si>
    <t>112399</t>
  </si>
  <si>
    <t>坂戸市</t>
  </si>
  <si>
    <t>ﾊｽﾀﾞｼ</t>
  </si>
  <si>
    <t>112381</t>
  </si>
  <si>
    <t>蓮田市</t>
  </si>
  <si>
    <t>ﾐｻﾄｼ</t>
  </si>
  <si>
    <t>112372</t>
  </si>
  <si>
    <t>三郷市</t>
  </si>
  <si>
    <t>ﾌｼﾞﾐｼ</t>
  </si>
  <si>
    <t>112356</t>
  </si>
  <si>
    <t>富士見市</t>
  </si>
  <si>
    <t>ﾔｼｵｼ</t>
  </si>
  <si>
    <t>112348</t>
  </si>
  <si>
    <t>八潮市</t>
  </si>
  <si>
    <t>ｷﾀﾓﾄｼ</t>
  </si>
  <si>
    <t>112330</t>
  </si>
  <si>
    <t>北本市</t>
  </si>
  <si>
    <t>ｸｷｼ</t>
  </si>
  <si>
    <t>112321</t>
  </si>
  <si>
    <t>久喜市</t>
  </si>
  <si>
    <t>ｵｹｶﾞﾜｼ</t>
  </si>
  <si>
    <t>112313</t>
  </si>
  <si>
    <t>桶川市</t>
  </si>
  <si>
    <t>ﾆｲｻﾞｼ</t>
  </si>
  <si>
    <t>112305</t>
  </si>
  <si>
    <t>新座市</t>
  </si>
  <si>
    <t>ﾜｺｳｼ</t>
  </si>
  <si>
    <t>112291</t>
  </si>
  <si>
    <t>和光市</t>
  </si>
  <si>
    <t>ｼｷｼ</t>
  </si>
  <si>
    <t>112283</t>
  </si>
  <si>
    <t>志木市</t>
  </si>
  <si>
    <t>ｱｻｶｼ</t>
  </si>
  <si>
    <t>112275</t>
  </si>
  <si>
    <t>朝霞市</t>
  </si>
  <si>
    <t>ｲﾙﾏｼ</t>
  </si>
  <si>
    <t>112259</t>
  </si>
  <si>
    <t>入間市</t>
  </si>
  <si>
    <t>ﾄﾀﾞｼ</t>
  </si>
  <si>
    <t>112241</t>
  </si>
  <si>
    <t>戸田市</t>
  </si>
  <si>
    <t>ﾜﾗﾋﾞｼ</t>
  </si>
  <si>
    <t>112232</t>
  </si>
  <si>
    <t>蕨市</t>
  </si>
  <si>
    <t>ｺｼｶﾞﾔｼ</t>
  </si>
  <si>
    <t>112224</t>
  </si>
  <si>
    <t>越谷市</t>
  </si>
  <si>
    <t>ｿｳｶｼ</t>
  </si>
  <si>
    <t>112216</t>
  </si>
  <si>
    <t>草加市</t>
  </si>
  <si>
    <t>ｱｹﾞｵｼ</t>
  </si>
  <si>
    <t>112194</t>
  </si>
  <si>
    <t>上尾市</t>
  </si>
  <si>
    <t>ﾌｶﾔｼ</t>
  </si>
  <si>
    <t>112186</t>
  </si>
  <si>
    <t>深谷市</t>
  </si>
  <si>
    <t>ｺｳﾉｽｼ</t>
  </si>
  <si>
    <t>112178</t>
  </si>
  <si>
    <t>鴻巣市</t>
  </si>
  <si>
    <t>ﾊﾆﾕｳｼ</t>
  </si>
  <si>
    <t>112160</t>
  </si>
  <si>
    <t>羽生市</t>
  </si>
  <si>
    <t>ｻﾔﾏｼ</t>
  </si>
  <si>
    <t>112151</t>
  </si>
  <si>
    <t>狭山市</t>
  </si>
  <si>
    <t>ｶｽｶﾍﾞｼ</t>
  </si>
  <si>
    <t>112143</t>
  </si>
  <si>
    <t>春日部市</t>
  </si>
  <si>
    <t>ﾋｶﾞｼﾏﾂﾔﾏｼ</t>
  </si>
  <si>
    <t>112127</t>
  </si>
  <si>
    <t>東松山市</t>
  </si>
  <si>
    <t>ﾎﾝｼﾞﾖｳｼ</t>
  </si>
  <si>
    <t>112119</t>
  </si>
  <si>
    <t>本庄市</t>
  </si>
  <si>
    <t>ｶｿﾞｼ</t>
  </si>
  <si>
    <t>112101</t>
  </si>
  <si>
    <t>加須市</t>
  </si>
  <si>
    <t>ﾊﾝﾉｳｼ</t>
  </si>
  <si>
    <t>112097</t>
  </si>
  <si>
    <t>飯能市</t>
  </si>
  <si>
    <t>ﾄｺﾛｻﾞﾜｼ</t>
  </si>
  <si>
    <t>112089</t>
  </si>
  <si>
    <t>所沢市</t>
  </si>
  <si>
    <t>ﾁﾁﾌﾞｼ</t>
  </si>
  <si>
    <t>112071</t>
  </si>
  <si>
    <t>秩父市</t>
  </si>
  <si>
    <t>ｷﾞﾖｳﾀﾞｼ</t>
  </si>
  <si>
    <t>112062</t>
  </si>
  <si>
    <t>行田市</t>
  </si>
  <si>
    <t>ｶﾜｸﾞﾁｼ</t>
  </si>
  <si>
    <t>112038</t>
  </si>
  <si>
    <t>川口市</t>
  </si>
  <si>
    <t>ｸﾏｶﾞﾔｼ</t>
  </si>
  <si>
    <t>112020</t>
  </si>
  <si>
    <t>熊谷市</t>
  </si>
  <si>
    <t>ｶﾜｺﾞｴｼ</t>
  </si>
  <si>
    <t>112011</t>
  </si>
  <si>
    <t>川越市</t>
  </si>
  <si>
    <t>ｻｲﾀﾏｼ</t>
  </si>
  <si>
    <t>111007</t>
  </si>
  <si>
    <t>さいたま市</t>
  </si>
  <si>
    <t>110001</t>
    <phoneticPr fontId="87"/>
  </si>
  <si>
    <t>ｵｳﾗﾏﾁ</t>
  </si>
  <si>
    <t>ｸﾞﾝﾏｹﾝ</t>
  </si>
  <si>
    <t>105252</t>
  </si>
  <si>
    <t>邑楽町</t>
  </si>
  <si>
    <t>群馬県</t>
  </si>
  <si>
    <t>ｵｵｲｽﾞﾐﾏﾁ</t>
  </si>
  <si>
    <t>105244</t>
  </si>
  <si>
    <t>大泉町</t>
  </si>
  <si>
    <t>ﾁﾖﾀﾞﾏﾁ</t>
  </si>
  <si>
    <t>105236</t>
  </si>
  <si>
    <t>千代田町</t>
  </si>
  <si>
    <t>ﾒｲﾜﾏﾁ</t>
  </si>
  <si>
    <t>105228</t>
  </si>
  <si>
    <t>ｲﾀｸﾗﾏﾁ</t>
  </si>
  <si>
    <t>105210</t>
  </si>
  <si>
    <t>板倉町</t>
  </si>
  <si>
    <t>ﾀﾏﾑﾗﾏﾁ</t>
  </si>
  <si>
    <t>104647</t>
  </si>
  <si>
    <t>玉村町</t>
  </si>
  <si>
    <t>ﾐﾅｶﾐﾏﾁ</t>
  </si>
  <si>
    <t>104493</t>
  </si>
  <si>
    <t>みなかみ町</t>
  </si>
  <si>
    <t>ｼｮｳﾜﾑﾗ</t>
  </si>
  <si>
    <t>104485</t>
  </si>
  <si>
    <t>昭和村</t>
  </si>
  <si>
    <t>ｶﾜﾊﾞﾑﾗ</t>
  </si>
  <si>
    <t>104442</t>
  </si>
  <si>
    <t>川場村</t>
  </si>
  <si>
    <t>ｶﾀｼﾅﾑﾗ</t>
  </si>
  <si>
    <t>104434</t>
  </si>
  <si>
    <t>片品村</t>
  </si>
  <si>
    <t>ﾋｶﾞｼｱｶﾞﾂﾏﾏﾁ</t>
    <phoneticPr fontId="87"/>
  </si>
  <si>
    <t>104299</t>
  </si>
  <si>
    <t>東吾妻町</t>
  </si>
  <si>
    <t>104281</t>
  </si>
  <si>
    <t>ｸｻﾂﾏﾁ</t>
  </si>
  <si>
    <t>104264</t>
  </si>
  <si>
    <t>草津町</t>
  </si>
  <si>
    <t>ﾂﾏｺﾞｲﾑﾗ</t>
  </si>
  <si>
    <t>104256</t>
  </si>
  <si>
    <t>嬬恋村</t>
  </si>
  <si>
    <t>ﾅｶﾞﾉﾊﾗﾏﾁ</t>
  </si>
  <si>
    <t>104248</t>
  </si>
  <si>
    <t>長野原町</t>
  </si>
  <si>
    <t>ﾅｶﾉｼﾞﾖｳﾏﾁ</t>
  </si>
  <si>
    <t>104213</t>
  </si>
  <si>
    <t>中之条町</t>
  </si>
  <si>
    <t>ｶﾝﾗﾏﾁ</t>
  </si>
  <si>
    <t>103845</t>
  </si>
  <si>
    <t>甘楽町</t>
  </si>
  <si>
    <t>ﾅﾝﾓｸﾑﾗ</t>
  </si>
  <si>
    <t>103837</t>
  </si>
  <si>
    <t>ｼﾓﾆﾀﾏﾁ</t>
  </si>
  <si>
    <t>103829</t>
  </si>
  <si>
    <t>下仁田町</t>
  </si>
  <si>
    <t>ｶﾝﾅﾏﾁ</t>
  </si>
  <si>
    <t>103675</t>
  </si>
  <si>
    <t>神流町</t>
  </si>
  <si>
    <t>ｳｴﾉﾑﾗ</t>
  </si>
  <si>
    <t>103667</t>
  </si>
  <si>
    <t>上野村</t>
  </si>
  <si>
    <t>ﾖｼｵｶﾏﾁ</t>
  </si>
  <si>
    <t>103454</t>
  </si>
  <si>
    <t>吉岡町</t>
  </si>
  <si>
    <t>ｼﾝﾄｳﾑﾗ</t>
  </si>
  <si>
    <t>103446</t>
  </si>
  <si>
    <t>榛東村</t>
  </si>
  <si>
    <t>ﾐﾄﾞﾘｼ</t>
  </si>
  <si>
    <t>102121</t>
  </si>
  <si>
    <t>みどり市</t>
  </si>
  <si>
    <t>ｱﾝﾅｶｼ</t>
  </si>
  <si>
    <t>102113</t>
  </si>
  <si>
    <t>安中市</t>
  </si>
  <si>
    <t>ﾄﾐｵｶｼ</t>
  </si>
  <si>
    <t>102105</t>
  </si>
  <si>
    <t>富岡市</t>
  </si>
  <si>
    <t>ﾌｼﾞｵｶｼ</t>
  </si>
  <si>
    <t>102091</t>
  </si>
  <si>
    <t>藤岡市</t>
  </si>
  <si>
    <t>ｼﾌﾞｶﾜｼ</t>
  </si>
  <si>
    <t>102083</t>
  </si>
  <si>
    <t>渋川市</t>
  </si>
  <si>
    <t>ﾀﾃﾊﾞﾔｼｼ</t>
  </si>
  <si>
    <t>102075</t>
  </si>
  <si>
    <t>館林市</t>
  </si>
  <si>
    <t>ﾇﾏﾀｼ</t>
  </si>
  <si>
    <t>102067</t>
  </si>
  <si>
    <t>沼田市</t>
  </si>
  <si>
    <t>ｵｵﾀｼ</t>
  </si>
  <si>
    <t>102059</t>
  </si>
  <si>
    <t>太田市</t>
  </si>
  <si>
    <t>ｲｾｻｷｼ</t>
  </si>
  <si>
    <t>102041</t>
  </si>
  <si>
    <t>伊勢崎市</t>
  </si>
  <si>
    <t>ｷﾘｭｳｼ</t>
  </si>
  <si>
    <t>102032</t>
  </si>
  <si>
    <t>桐生市</t>
  </si>
  <si>
    <t>ﾀｶｻｷｼ</t>
  </si>
  <si>
    <t>102024</t>
  </si>
  <si>
    <t>高崎市</t>
  </si>
  <si>
    <t>ﾏｴﾊﾞｼｼ</t>
  </si>
  <si>
    <t>102016</t>
  </si>
  <si>
    <t>前橋市</t>
  </si>
  <si>
    <t>ｸﾞﾝﾏｹﾝ</t>
    <phoneticPr fontId="87"/>
  </si>
  <si>
    <t>100005</t>
    <phoneticPr fontId="87"/>
  </si>
  <si>
    <t>群馬県</t>
    <phoneticPr fontId="87"/>
  </si>
  <si>
    <t>ﾅｶｶﾞﾜﾏﾁ</t>
  </si>
  <si>
    <t>ﾄﾁｷﾞｹﾝ</t>
  </si>
  <si>
    <t>094111</t>
  </si>
  <si>
    <t>那珂川町</t>
  </si>
  <si>
    <t>栃木県</t>
  </si>
  <si>
    <t>ﾅｽﾏﾁ</t>
  </si>
  <si>
    <t>094072</t>
  </si>
  <si>
    <t>那須町</t>
  </si>
  <si>
    <t>ﾀｶﾈｻﾞﾜﾏﾁ</t>
  </si>
  <si>
    <t>093866</t>
  </si>
  <si>
    <t>高根沢町</t>
  </si>
  <si>
    <t>ｼｵﾔﾏﾁ</t>
  </si>
  <si>
    <t>093840</t>
  </si>
  <si>
    <t>塩谷町</t>
  </si>
  <si>
    <t>ﾉｷﾞﾏﾁ</t>
  </si>
  <si>
    <t>093645</t>
  </si>
  <si>
    <t>野木町</t>
  </si>
  <si>
    <t>ﾐﾌﾞﾏﾁ</t>
  </si>
  <si>
    <t>093611</t>
  </si>
  <si>
    <t>壬生町</t>
  </si>
  <si>
    <t>ﾊｶﾞﾏﾁ</t>
  </si>
  <si>
    <t>093459</t>
  </si>
  <si>
    <t>芳賀町</t>
  </si>
  <si>
    <t>ｲﾁｶｲﾏﾁ</t>
  </si>
  <si>
    <t>093441</t>
  </si>
  <si>
    <t>市貝町</t>
  </si>
  <si>
    <t>ﾓﾃｷﾞﾏﾁ</t>
    <phoneticPr fontId="87"/>
  </si>
  <si>
    <t>093432</t>
  </si>
  <si>
    <t>茂木町</t>
  </si>
  <si>
    <t>ﾏｼｺﾏﾁ</t>
  </si>
  <si>
    <t>093424</t>
  </si>
  <si>
    <t>益子町</t>
  </si>
  <si>
    <t>ｶﾐﾉｶﾜﾏﾁ</t>
  </si>
  <si>
    <t>093017</t>
  </si>
  <si>
    <t>上三川町</t>
  </si>
  <si>
    <t>ｼﾓﾂｹｼ</t>
  </si>
  <si>
    <t>092169</t>
  </si>
  <si>
    <t>下野市</t>
  </si>
  <si>
    <t>ﾅｽｶﾗｽﾔﾏｼ</t>
  </si>
  <si>
    <t>092151</t>
  </si>
  <si>
    <t>那須烏山市</t>
  </si>
  <si>
    <t>092142</t>
  </si>
  <si>
    <t>さくら市</t>
  </si>
  <si>
    <t>ﾅｽｼｵﾊﾞﾗｼ</t>
  </si>
  <si>
    <t>092134</t>
  </si>
  <si>
    <t>那須塩原市</t>
  </si>
  <si>
    <t>ﾔｲﾀｼ</t>
  </si>
  <si>
    <t>092118</t>
  </si>
  <si>
    <t>矢板市</t>
  </si>
  <si>
    <t>ｵｵﾀﾜﾗｼ</t>
  </si>
  <si>
    <t>092100</t>
  </si>
  <si>
    <t>大田原市</t>
  </si>
  <si>
    <t>ﾓｵｶｼ</t>
  </si>
  <si>
    <t>092096</t>
  </si>
  <si>
    <t>真岡市</t>
  </si>
  <si>
    <t>ｵﾔﾏｼ</t>
  </si>
  <si>
    <t>092088</t>
  </si>
  <si>
    <t>小山市</t>
  </si>
  <si>
    <t>ﾆｯｺｳｼ</t>
  </si>
  <si>
    <t>092061</t>
  </si>
  <si>
    <t>日光市</t>
  </si>
  <si>
    <t>ｶﾇﾏｼ</t>
  </si>
  <si>
    <t>092053</t>
  </si>
  <si>
    <t>鹿沼市</t>
  </si>
  <si>
    <t>ｻﾉｼ</t>
  </si>
  <si>
    <t>092045</t>
  </si>
  <si>
    <t>佐野市</t>
  </si>
  <si>
    <t>ﾄﾁｷﾞｼ</t>
  </si>
  <si>
    <t>092037</t>
  </si>
  <si>
    <t>栃木市</t>
  </si>
  <si>
    <t>ｱｼｶｶﾞｼ</t>
  </si>
  <si>
    <t>092029</t>
  </si>
  <si>
    <t>足利市</t>
  </si>
  <si>
    <t>ｳﾂﾉﾐﾔｼ</t>
  </si>
  <si>
    <t>092011</t>
  </si>
  <si>
    <t>宇都宮市</t>
  </si>
  <si>
    <t>ﾄﾁｷﾞｹﾝ</t>
    <phoneticPr fontId="87"/>
  </si>
  <si>
    <t>090000</t>
    <phoneticPr fontId="87"/>
  </si>
  <si>
    <t>栃木県</t>
    <phoneticPr fontId="87"/>
  </si>
  <si>
    <t>ﾄﾈﾏﾁ</t>
  </si>
  <si>
    <t>ｲﾊﾞﾗｷｹﾝ</t>
  </si>
  <si>
    <t>085642</t>
  </si>
  <si>
    <t>利根町</t>
  </si>
  <si>
    <t>茨城県</t>
  </si>
  <si>
    <t>ｻｶｲﾏﾁ</t>
  </si>
  <si>
    <t>085464</t>
  </si>
  <si>
    <t>境町</t>
  </si>
  <si>
    <t>ｺﾞｶﾏﾁ</t>
  </si>
  <si>
    <t>085421</t>
  </si>
  <si>
    <t>五霞町</t>
  </si>
  <si>
    <t>ﾔﾁﾖﾏﾁ</t>
  </si>
  <si>
    <t>085219</t>
  </si>
  <si>
    <t>八千代町</t>
  </si>
  <si>
    <t>ｶﾜﾁﾏﾁ</t>
  </si>
  <si>
    <t>084476</t>
  </si>
  <si>
    <t>河内町</t>
  </si>
  <si>
    <t>ｱﾐﾏﾁ</t>
  </si>
  <si>
    <t>084433</t>
  </si>
  <si>
    <t>阿見町</t>
  </si>
  <si>
    <t>ﾐﾎﾑﾗ</t>
  </si>
  <si>
    <t>084425</t>
  </si>
  <si>
    <t>美浦村</t>
  </si>
  <si>
    <t>ﾀﾞｲｺﾞﾏﾁ</t>
  </si>
  <si>
    <t>083640</t>
  </si>
  <si>
    <t>大子町</t>
  </si>
  <si>
    <t>ﾄｳｶｲﾑﾗ</t>
  </si>
  <si>
    <t>083411</t>
  </si>
  <si>
    <t>東海村</t>
  </si>
  <si>
    <t>ｼﾛｻﾄﾏﾁ</t>
  </si>
  <si>
    <t>083101</t>
  </si>
  <si>
    <t>城里町</t>
  </si>
  <si>
    <t>ｵｵｱﾗｲﾏﾁ</t>
  </si>
  <si>
    <t>083097</t>
  </si>
  <si>
    <t>大洗町</t>
  </si>
  <si>
    <t>ｲﾊﾞﾗｷﾏﾁ</t>
  </si>
  <si>
    <t>083020</t>
  </si>
  <si>
    <t>茨城町</t>
  </si>
  <si>
    <t>ｵﾐﾀﾏｼ</t>
  </si>
  <si>
    <t>082368</t>
  </si>
  <si>
    <t>小美玉市</t>
  </si>
  <si>
    <t>ﾂｸﾊﾞﾐﾗｲｼ</t>
  </si>
  <si>
    <t>082350</t>
  </si>
  <si>
    <t>つくばみらい市</t>
  </si>
  <si>
    <t>ﾎｺﾀｼ</t>
  </si>
  <si>
    <t>082341</t>
  </si>
  <si>
    <t>鉾田市</t>
  </si>
  <si>
    <t>ﾅﾒｶﾞﾀｼ</t>
  </si>
  <si>
    <t>082333</t>
  </si>
  <si>
    <t>行方市</t>
  </si>
  <si>
    <t>ｶﾐｽｼ</t>
  </si>
  <si>
    <t>082325</t>
  </si>
  <si>
    <t>神栖市</t>
  </si>
  <si>
    <t>ｻｸﾗｶﾞﾜｼ</t>
  </si>
  <si>
    <t>082317</t>
  </si>
  <si>
    <t>桜川市</t>
  </si>
  <si>
    <t>ｶｽﾐｶﾞｳﾗｼ</t>
  </si>
  <si>
    <t>082309</t>
  </si>
  <si>
    <t>かすみがうら市</t>
  </si>
  <si>
    <t>ｲﾅｼｷｼ</t>
  </si>
  <si>
    <t>082295</t>
  </si>
  <si>
    <t>稲敷市</t>
  </si>
  <si>
    <t>ﾊﾞﾝﾄﾞｳｼ</t>
  </si>
  <si>
    <t>082287</t>
  </si>
  <si>
    <t>坂東市</t>
  </si>
  <si>
    <t>ﾁｸｾｲｼ</t>
  </si>
  <si>
    <t>082279</t>
  </si>
  <si>
    <t>筑西市</t>
  </si>
  <si>
    <t>ﾅｶｼ</t>
  </si>
  <si>
    <t>082261</t>
  </si>
  <si>
    <t>那珂市</t>
  </si>
  <si>
    <t>ﾋﾀﾁｵｵﾐﾔｼ</t>
  </si>
  <si>
    <t>082252</t>
  </si>
  <si>
    <t>常陸大宮市</t>
  </si>
  <si>
    <t>ﾓﾘﾔｼ</t>
  </si>
  <si>
    <t>082244</t>
  </si>
  <si>
    <t>守谷市</t>
  </si>
  <si>
    <t>ｲﾀｺｼ</t>
  </si>
  <si>
    <t>082236</t>
  </si>
  <si>
    <t>潮来市</t>
  </si>
  <si>
    <t>082228</t>
  </si>
  <si>
    <t>鹿嶋市</t>
  </si>
  <si>
    <t>ﾋﾀﾁﾅｶｼ</t>
  </si>
  <si>
    <t>082210</t>
  </si>
  <si>
    <t>ひたちなか市</t>
  </si>
  <si>
    <t>ﾂｸﾊﾞｼ</t>
  </si>
  <si>
    <t>082201</t>
  </si>
  <si>
    <t>つくば市</t>
  </si>
  <si>
    <t>ｳｼｸｼ</t>
  </si>
  <si>
    <t>082198</t>
  </si>
  <si>
    <t>牛久市</t>
  </si>
  <si>
    <t>ﾄﾘﾃﾞｼ</t>
  </si>
  <si>
    <t>082171</t>
  </si>
  <si>
    <t>取手市</t>
  </si>
  <si>
    <t>ｶｻﾏｼ</t>
  </si>
  <si>
    <t>082163</t>
  </si>
  <si>
    <t>笠間市</t>
  </si>
  <si>
    <t>ｷﾀｲﾊﾞﾗｷｼ</t>
  </si>
  <si>
    <t>082155</t>
  </si>
  <si>
    <t>北茨城市</t>
  </si>
  <si>
    <t>ﾀｶﾊｷﾞｼ</t>
  </si>
  <si>
    <t>082147</t>
  </si>
  <si>
    <t>高萩市</t>
  </si>
  <si>
    <t>ﾋﾀﾁｵｵﾀｼ</t>
  </si>
  <si>
    <t>082121</t>
  </si>
  <si>
    <t>常陸太田市</t>
  </si>
  <si>
    <t>ｼﾞｮｳｿｳｼ</t>
  </si>
  <si>
    <t>082112</t>
  </si>
  <si>
    <t>常総市</t>
  </si>
  <si>
    <t>ｼﾓﾂﾏｼ</t>
  </si>
  <si>
    <t>082104</t>
  </si>
  <si>
    <t>下妻市</t>
  </si>
  <si>
    <t>ﾘｭｳｶﾞｻｷｼ</t>
  </si>
  <si>
    <t>082082</t>
  </si>
  <si>
    <t>龍ケ崎市</t>
  </si>
  <si>
    <t>ﾕｳｷｼ</t>
  </si>
  <si>
    <t>082074</t>
  </si>
  <si>
    <t>結城市</t>
  </si>
  <si>
    <t>ｲｼｵｶｼ</t>
  </si>
  <si>
    <t>082058</t>
  </si>
  <si>
    <t>石岡市</t>
  </si>
  <si>
    <t>082040</t>
  </si>
  <si>
    <t>古河市</t>
  </si>
  <si>
    <t>ﾂﾁｳﾗｼ</t>
  </si>
  <si>
    <t>082031</t>
  </si>
  <si>
    <t>土浦市</t>
  </si>
  <si>
    <t>ﾋﾀﾁｼ</t>
  </si>
  <si>
    <t>082023</t>
  </si>
  <si>
    <t>日立市</t>
  </si>
  <si>
    <t>ﾐﾄｼ</t>
  </si>
  <si>
    <t>082015</t>
  </si>
  <si>
    <t>水戸市</t>
  </si>
  <si>
    <t>ｲﾊﾞﾗｷｹﾝ</t>
    <phoneticPr fontId="87"/>
  </si>
  <si>
    <t>080004</t>
    <phoneticPr fontId="87"/>
  </si>
  <si>
    <t>茨城県</t>
    <phoneticPr fontId="87"/>
  </si>
  <si>
    <t>ｲｲﾀﾃﾑﾗ</t>
  </si>
  <si>
    <t>ﾌｸｼﾏｹﾝ</t>
  </si>
  <si>
    <t>075647</t>
  </si>
  <si>
    <t>飯舘村</t>
  </si>
  <si>
    <t>福島県</t>
  </si>
  <si>
    <t>ｼﾝﾁﾏﾁ</t>
  </si>
  <si>
    <t>075612</t>
  </si>
  <si>
    <t>新地町</t>
  </si>
  <si>
    <t>ｶﾂﾗｵﾑﾗ</t>
  </si>
  <si>
    <t>075485</t>
  </si>
  <si>
    <t>葛尾村</t>
  </si>
  <si>
    <t>ﾅﾐｴﾏﾁ</t>
  </si>
  <si>
    <t>075477</t>
  </si>
  <si>
    <t>浪江町</t>
  </si>
  <si>
    <t>ﾌﾀﾊﾞﾏﾁ</t>
  </si>
  <si>
    <t>075469</t>
  </si>
  <si>
    <t>双葉町</t>
  </si>
  <si>
    <t>ｵｵｸﾏﾏﾁ</t>
  </si>
  <si>
    <t>075451</t>
  </si>
  <si>
    <t>大熊町</t>
  </si>
  <si>
    <t>ｶﾜｳﾁﾑﾗ</t>
  </si>
  <si>
    <t>075442</t>
  </si>
  <si>
    <t>川内村</t>
  </si>
  <si>
    <t>ﾄﾐｵｶﾏﾁ</t>
  </si>
  <si>
    <t>075434</t>
  </si>
  <si>
    <t>富岡町</t>
  </si>
  <si>
    <t>ﾅﾗﾊﾏﾁ</t>
  </si>
  <si>
    <t>075426</t>
  </si>
  <si>
    <t>楢葉町</t>
  </si>
  <si>
    <t>ﾋﾛﾉﾏﾁ</t>
  </si>
  <si>
    <t>075418</t>
  </si>
  <si>
    <t>広野町</t>
  </si>
  <si>
    <t>ｵﾉﾏﾁ</t>
  </si>
  <si>
    <t>075221</t>
  </si>
  <si>
    <t>小野町</t>
  </si>
  <si>
    <t>ﾐﾊﾙﾏﾁ</t>
  </si>
  <si>
    <t>075213</t>
  </si>
  <si>
    <t>三春町</t>
  </si>
  <si>
    <t>ﾌﾙﾄﾞﾉﾏﾁ</t>
  </si>
  <si>
    <t>075051</t>
  </si>
  <si>
    <t>古殿町</t>
  </si>
  <si>
    <t>ｱｻｶﾜﾏﾁ</t>
  </si>
  <si>
    <t>075043</t>
  </si>
  <si>
    <t>浅川町</t>
  </si>
  <si>
    <t>ﾋﾗﾀﾑﾗ</t>
  </si>
  <si>
    <t>075035</t>
  </si>
  <si>
    <t>平田村</t>
  </si>
  <si>
    <t>ﾀﾏｶﾜﾑﾗ</t>
  </si>
  <si>
    <t>075027</t>
  </si>
  <si>
    <t>玉川村</t>
  </si>
  <si>
    <t>ｲｼｶﾜﾏﾁ</t>
  </si>
  <si>
    <t>075019</t>
  </si>
  <si>
    <t>石川町</t>
  </si>
  <si>
    <t>ｻﾒｶﾞﾜﾑﾗ</t>
  </si>
  <si>
    <t>074845</t>
  </si>
  <si>
    <t>鮫川村</t>
  </si>
  <si>
    <t>ﾊﾅﾜﾏﾁ</t>
  </si>
  <si>
    <t>074837</t>
  </si>
  <si>
    <t>塙町</t>
  </si>
  <si>
    <t>ﾔﾏﾂﾘﾏﾁ</t>
  </si>
  <si>
    <t>074829</t>
  </si>
  <si>
    <t>矢祭町</t>
  </si>
  <si>
    <t>ﾀﾅｸﾞﾗﾏﾁ</t>
  </si>
  <si>
    <t>074811</t>
  </si>
  <si>
    <t>棚倉町</t>
  </si>
  <si>
    <t>ﾔﾌﾞｷﾏﾁ</t>
  </si>
  <si>
    <t>074667</t>
  </si>
  <si>
    <t>矢吹町</t>
  </si>
  <si>
    <t>ﾅｶｼﾞﾏﾑﾗ</t>
  </si>
  <si>
    <t>074659</t>
  </si>
  <si>
    <t>中島村</t>
  </si>
  <si>
    <t>ｲｽﾞﾐｻﾞｷﾑﾗ</t>
  </si>
  <si>
    <t>074641</t>
  </si>
  <si>
    <t>泉崎村</t>
  </si>
  <si>
    <t>ﾆｼｺﾞｳﾑﾗ</t>
  </si>
  <si>
    <t>074616</t>
  </si>
  <si>
    <t>西郷村</t>
  </si>
  <si>
    <t>ｱｲﾂﾞﾐｻﾄﾏﾁ</t>
  </si>
  <si>
    <t>074471</t>
  </si>
  <si>
    <t>会津美里町</t>
  </si>
  <si>
    <t>074462</t>
  </si>
  <si>
    <t>ｶﾈﾔﾏﾏﾁ</t>
  </si>
  <si>
    <t>074454</t>
  </si>
  <si>
    <t>金山町</t>
  </si>
  <si>
    <t>ﾐｼﾏﾏﾁ</t>
  </si>
  <si>
    <t>074446</t>
  </si>
  <si>
    <t>三島町</t>
  </si>
  <si>
    <t>ﾔﾅｲﾂﾞﾏﾁ</t>
  </si>
  <si>
    <t>074233</t>
  </si>
  <si>
    <t>柳津町</t>
  </si>
  <si>
    <t>ﾕｶﾞﾜﾑﾗ</t>
  </si>
  <si>
    <t>074225</t>
  </si>
  <si>
    <t>湯川村</t>
  </si>
  <si>
    <t>ｱｲﾂﾞﾊﾞﾝｹﾞﾏﾁ</t>
  </si>
  <si>
    <t>074217</t>
  </si>
  <si>
    <t>会津坂下町</t>
  </si>
  <si>
    <t>ｲﾅﾜｼﾛﾏﾁ</t>
  </si>
  <si>
    <t>074080</t>
  </si>
  <si>
    <t>猪苗代町</t>
  </si>
  <si>
    <t>ﾊﾞﾝﾀﾞｲﾏﾁ</t>
  </si>
  <si>
    <t>074071</t>
  </si>
  <si>
    <t>磐梯町</t>
  </si>
  <si>
    <t>ﾆｼｱｲﾂﾞﾏﾁ</t>
  </si>
  <si>
    <t>074055</t>
  </si>
  <si>
    <t>西会津町</t>
  </si>
  <si>
    <t>ｷﾀｼｵﾊﾞﾗﾑﾗ</t>
  </si>
  <si>
    <t>074021</t>
  </si>
  <si>
    <t>北塩原村</t>
  </si>
  <si>
    <t>ﾐﾅﾐｱｲﾂﾞﾏﾁ</t>
  </si>
  <si>
    <t>073687</t>
  </si>
  <si>
    <t>南会津町</t>
  </si>
  <si>
    <t>ﾀﾀﾞﾐﾏﾁ</t>
  </si>
  <si>
    <t>073679</t>
  </si>
  <si>
    <t>只見町</t>
  </si>
  <si>
    <t>ﾋﾉｴﾏﾀﾑﾗ</t>
  </si>
  <si>
    <t>073644</t>
  </si>
  <si>
    <t>檜枝岐村</t>
  </si>
  <si>
    <t>ｼﾓｺﾞｳﾏﾁ</t>
  </si>
  <si>
    <t>073628</t>
  </si>
  <si>
    <t>下郷町</t>
  </si>
  <si>
    <t>ﾃﾝｴｲﾑﾗ</t>
  </si>
  <si>
    <t>073440</t>
  </si>
  <si>
    <t>天栄村</t>
  </si>
  <si>
    <t>ｶｶﾞﾐｲｼﾏﾁ</t>
  </si>
  <si>
    <t>073423</t>
  </si>
  <si>
    <t>鏡石町</t>
  </si>
  <si>
    <t>ｵｵﾀﾏﾑﾗ</t>
  </si>
  <si>
    <t>073229</t>
  </si>
  <si>
    <t>大玉村</t>
  </si>
  <si>
    <t>ｶﾜﾏﾀﾏﾁ</t>
  </si>
  <si>
    <t>073083</t>
  </si>
  <si>
    <t>川俣町</t>
  </si>
  <si>
    <t>ｸﾆﾐﾏﾁ</t>
  </si>
  <si>
    <t>073032</t>
  </si>
  <si>
    <t>国見町</t>
  </si>
  <si>
    <t>ｺｵﾘﾏﾁ</t>
  </si>
  <si>
    <t>073016</t>
  </si>
  <si>
    <t>桑折町</t>
  </si>
  <si>
    <t>ﾓﾄﾐﾔｼ</t>
  </si>
  <si>
    <t>072141</t>
  </si>
  <si>
    <t>本宮市</t>
  </si>
  <si>
    <t>ﾀﾞﾃｼ</t>
  </si>
  <si>
    <t>072133</t>
  </si>
  <si>
    <t>伊達市</t>
  </si>
  <si>
    <t>ﾐﾅﾐｿｳﾏｼ</t>
  </si>
  <si>
    <t>072125</t>
  </si>
  <si>
    <t>南相馬市</t>
  </si>
  <si>
    <t>ﾀﾑﾗｼ</t>
  </si>
  <si>
    <t>072117</t>
  </si>
  <si>
    <t>田村市</t>
  </si>
  <si>
    <t>ﾆﾎﾝﾏﾂｼ</t>
  </si>
  <si>
    <t>072109</t>
  </si>
  <si>
    <t>二本松市</t>
  </si>
  <si>
    <t>ｿｳﾏｼ</t>
  </si>
  <si>
    <t>072095</t>
  </si>
  <si>
    <t>相馬市</t>
  </si>
  <si>
    <t>ｷﾀｶﾀｼ</t>
  </si>
  <si>
    <t>072087</t>
  </si>
  <si>
    <t>喜多方市</t>
  </si>
  <si>
    <t>ｽｶｶﾞﾜｼ</t>
  </si>
  <si>
    <t>072079</t>
  </si>
  <si>
    <t>須賀川市</t>
  </si>
  <si>
    <t>ｼﾗｶﾜｼ</t>
  </si>
  <si>
    <t>072052</t>
  </si>
  <si>
    <t>白河市</t>
  </si>
  <si>
    <t>ｲﾜｷｼ</t>
  </si>
  <si>
    <t>072044</t>
  </si>
  <si>
    <t>いわき市</t>
  </si>
  <si>
    <t>ｺｵﾘﾔﾏｼ</t>
  </si>
  <si>
    <t>072036</t>
  </si>
  <si>
    <t>郡山市</t>
  </si>
  <si>
    <t>ｱｲﾂﾞﾜｶﾏﾂｼ</t>
  </si>
  <si>
    <t>072028</t>
  </si>
  <si>
    <t>会津若松市</t>
  </si>
  <si>
    <t>ﾌｸｼﾏｼ</t>
  </si>
  <si>
    <t>072010</t>
  </si>
  <si>
    <t>福島市</t>
  </si>
  <si>
    <t>ﾌｸｼﾏｹﾝ</t>
    <phoneticPr fontId="87"/>
  </si>
  <si>
    <t>070009</t>
    <phoneticPr fontId="87"/>
  </si>
  <si>
    <t>福島県</t>
    <phoneticPr fontId="87"/>
  </si>
  <si>
    <t>ﾕｻﾞﾏﾁ</t>
  </si>
  <si>
    <t>ﾔﾏｶﾞﾀｹﾝ</t>
  </si>
  <si>
    <t>064611</t>
  </si>
  <si>
    <t>遊佐町</t>
  </si>
  <si>
    <t>山形県</t>
  </si>
  <si>
    <t>ｼﾖｳﾅｲﾏﾁ</t>
  </si>
  <si>
    <t>064289</t>
  </si>
  <si>
    <t>庄内町</t>
  </si>
  <si>
    <t>ﾐｶﾜﾏﾁ</t>
  </si>
  <si>
    <t>064262</t>
  </si>
  <si>
    <t>三川町</t>
  </si>
  <si>
    <t>ｲｲﾃﾞﾏﾁ</t>
  </si>
  <si>
    <t>064033</t>
  </si>
  <si>
    <t>飯豊町</t>
  </si>
  <si>
    <t>ｼﾗﾀｶﾏﾁ</t>
  </si>
  <si>
    <t>064025</t>
  </si>
  <si>
    <t>白鷹町</t>
  </si>
  <si>
    <t>064017</t>
  </si>
  <si>
    <t>ｶﾜﾆｼﾏﾁ</t>
  </si>
  <si>
    <t>063827</t>
  </si>
  <si>
    <t>ﾀｶﾊﾀﾏﾁ</t>
  </si>
  <si>
    <t>063819</t>
  </si>
  <si>
    <t>高畠町</t>
  </si>
  <si>
    <t>ﾄｻﾞﾜﾑﾗ</t>
  </si>
  <si>
    <t>063673</t>
  </si>
  <si>
    <t>戸沢村</t>
  </si>
  <si>
    <t>ｻｹｶﾞﾜﾑﾗ</t>
  </si>
  <si>
    <t>063665</t>
  </si>
  <si>
    <t>鮭川村</t>
  </si>
  <si>
    <t>ｵｵｸﾗﾑﾗ</t>
  </si>
  <si>
    <t>063657</t>
  </si>
  <si>
    <t>大蔵村</t>
  </si>
  <si>
    <t>ﾏﾑﾛｶﾞﾜﾏﾁ</t>
  </si>
  <si>
    <t>063649</t>
  </si>
  <si>
    <t>真室川町</t>
  </si>
  <si>
    <t>ﾌﾅｶﾞﾀﾏﾁ</t>
  </si>
  <si>
    <t>063631</t>
  </si>
  <si>
    <t>舟形町</t>
  </si>
  <si>
    <t>ﾓｶﾞﾐﾏﾁ</t>
  </si>
  <si>
    <t>063622</t>
  </si>
  <si>
    <t>最上町</t>
  </si>
  <si>
    <t>063614</t>
  </si>
  <si>
    <t>ｵｵｲｼﾀﾞﾏﾁ</t>
  </si>
  <si>
    <t>063410</t>
  </si>
  <si>
    <t>大石田町</t>
  </si>
  <si>
    <t>ｵｵｴﾏﾁ</t>
  </si>
  <si>
    <t>063240</t>
  </si>
  <si>
    <t>大江町</t>
  </si>
  <si>
    <t>063231</t>
  </si>
  <si>
    <t>ﾆｼｶﾜﾏﾁ</t>
  </si>
  <si>
    <t>063223</t>
  </si>
  <si>
    <t>西川町</t>
  </si>
  <si>
    <t>ｶﾎｸﾁｮｳ</t>
  </si>
  <si>
    <t>063215</t>
  </si>
  <si>
    <t>河北町</t>
  </si>
  <si>
    <t>ﾅｶﾔﾏﾏﾁ</t>
  </si>
  <si>
    <t>063029</t>
  </si>
  <si>
    <t>中山町</t>
  </si>
  <si>
    <t>ﾔﾏﾉﾍﾞﾏﾁ</t>
  </si>
  <si>
    <t>063011</t>
  </si>
  <si>
    <t>山辺町</t>
  </si>
  <si>
    <t>ﾅﾝﾖｳｼ</t>
  </si>
  <si>
    <t>062138</t>
  </si>
  <si>
    <t>南陽市</t>
  </si>
  <si>
    <t>ｵﾊﾞﾅｻﾞﾜｼ</t>
  </si>
  <si>
    <t>062120</t>
  </si>
  <si>
    <t>尾花沢市</t>
  </si>
  <si>
    <t>ﾋｶﾞｼﾈｼ</t>
  </si>
  <si>
    <t>062111</t>
  </si>
  <si>
    <t>東根市</t>
  </si>
  <si>
    <t>ﾃﾝﾄﾞｳｼ</t>
  </si>
  <si>
    <t>062103</t>
  </si>
  <si>
    <t>天童市</t>
  </si>
  <si>
    <t>ﾅｶﾞｲｼ</t>
  </si>
  <si>
    <t>062090</t>
  </si>
  <si>
    <t>長井市</t>
  </si>
  <si>
    <t>ﾑﾗﾔﾏｼ</t>
  </si>
  <si>
    <t>062081</t>
  </si>
  <si>
    <t>村山市</t>
  </si>
  <si>
    <t>ｶﾐﾉﾔﾏｼ</t>
  </si>
  <si>
    <t>062073</t>
  </si>
  <si>
    <t>上山市</t>
  </si>
  <si>
    <t>ｻｶﾞｴｼ</t>
  </si>
  <si>
    <t>062065</t>
  </si>
  <si>
    <t>寒河江市</t>
  </si>
  <si>
    <t>ｼﾝｼﾞｮｳｼ</t>
  </si>
  <si>
    <t>062057</t>
  </si>
  <si>
    <t>新庄市</t>
  </si>
  <si>
    <t>ｻｶﾀｼ</t>
  </si>
  <si>
    <t>062049</t>
  </si>
  <si>
    <t>酒田市</t>
  </si>
  <si>
    <t>ﾂﾙｵｶｼ</t>
  </si>
  <si>
    <t>062031</t>
  </si>
  <si>
    <t>鶴岡市</t>
  </si>
  <si>
    <t>ﾖﾈｻﾞﾜｼ</t>
  </si>
  <si>
    <t>062022</t>
  </si>
  <si>
    <t>米沢市</t>
  </si>
  <si>
    <t>062014</t>
  </si>
  <si>
    <t>山形市</t>
  </si>
  <si>
    <t>ﾔﾏｶﾞﾀｹﾝ</t>
    <phoneticPr fontId="87"/>
  </si>
  <si>
    <t>060003</t>
    <phoneticPr fontId="87"/>
  </si>
  <si>
    <t>山形県</t>
    <phoneticPr fontId="87"/>
  </si>
  <si>
    <t>ﾋｶﾞｼﾅﾙｾﾑﾗ</t>
  </si>
  <si>
    <t>ｱｷﾀｹﾝ</t>
  </si>
  <si>
    <t>054640</t>
  </si>
  <si>
    <t>東成瀬村</t>
  </si>
  <si>
    <t>秋田県</t>
  </si>
  <si>
    <t>ｳｺﾞﾏﾁ</t>
  </si>
  <si>
    <t>054631</t>
  </si>
  <si>
    <t>羽後町</t>
  </si>
  <si>
    <t>054348</t>
  </si>
  <si>
    <t>ｵｵｶﾞﾀﾑﾗ</t>
  </si>
  <si>
    <t>053686</t>
  </si>
  <si>
    <t>大潟村</t>
  </si>
  <si>
    <t>ｲｶﾜﾏﾁ</t>
  </si>
  <si>
    <t>053660</t>
  </si>
  <si>
    <t>井川町</t>
  </si>
  <si>
    <t>ﾊﾁﾛｳｶﾞﾀﾏﾁ</t>
  </si>
  <si>
    <t>053635</t>
  </si>
  <si>
    <t>八郎潟町</t>
  </si>
  <si>
    <t>ｺﾞｼﾞｮｳﾒﾏﾁ</t>
  </si>
  <si>
    <t>053619</t>
  </si>
  <si>
    <t>五城目町</t>
  </si>
  <si>
    <t>ﾊｯﾎﾟｳﾁｮｳ</t>
  </si>
  <si>
    <t>053490</t>
  </si>
  <si>
    <t>八峰町</t>
  </si>
  <si>
    <t>ﾐﾀﾈﾁｮｳ</t>
  </si>
  <si>
    <t>053481</t>
  </si>
  <si>
    <t>三種町</t>
  </si>
  <si>
    <t>ﾌｼﾞｻﾄﾏﾁ</t>
  </si>
  <si>
    <t>053465</t>
  </si>
  <si>
    <t>藤里町</t>
  </si>
  <si>
    <t>ｶﾐｺｱﾆﾑﾗ</t>
  </si>
  <si>
    <t>053279</t>
  </si>
  <si>
    <t>上小阿仁村</t>
  </si>
  <si>
    <t>ｺｻｶﾏﾁ</t>
  </si>
  <si>
    <t>053031</t>
  </si>
  <si>
    <t>小坂町</t>
  </si>
  <si>
    <t>ｾﾝﾎﾞｸｼ</t>
  </si>
  <si>
    <t>052159</t>
  </si>
  <si>
    <t>仙北市</t>
  </si>
  <si>
    <t>ﾆｶﾎｼ</t>
  </si>
  <si>
    <t>052141</t>
  </si>
  <si>
    <t>にかほ市</t>
  </si>
  <si>
    <t>ｷﾀｱｷﾀｼ</t>
  </si>
  <si>
    <t>052132</t>
  </si>
  <si>
    <t>北秋田市</t>
  </si>
  <si>
    <t>ﾀﾞｲｾﾝｼ</t>
  </si>
  <si>
    <t>052124</t>
  </si>
  <si>
    <t>大仙市</t>
  </si>
  <si>
    <t>ｶﾀｶﾞﾐｼ</t>
  </si>
  <si>
    <t>052116</t>
  </si>
  <si>
    <t>潟上市</t>
  </si>
  <si>
    <t>ﾕﾘﾎﾝｼﾞｮｳｼ</t>
  </si>
  <si>
    <t>052108</t>
  </si>
  <si>
    <t>由利本荘市</t>
  </si>
  <si>
    <t>ｶﾂﾞﾉｼ</t>
  </si>
  <si>
    <t>052094</t>
  </si>
  <si>
    <t>鹿角市</t>
  </si>
  <si>
    <t>ﾕｻﾞﾜｼ</t>
  </si>
  <si>
    <t>052078</t>
  </si>
  <si>
    <t>湯沢市</t>
  </si>
  <si>
    <t>ｵｶﾞｼ</t>
  </si>
  <si>
    <t>052060</t>
  </si>
  <si>
    <t>男鹿市</t>
  </si>
  <si>
    <t>ｵｵﾀﾞﾃｼ</t>
  </si>
  <si>
    <t>052043</t>
  </si>
  <si>
    <t>大館市</t>
  </si>
  <si>
    <t>ﾖｺﾃｼ</t>
  </si>
  <si>
    <t>052035</t>
  </si>
  <si>
    <t>横手市</t>
  </si>
  <si>
    <t>ﾉｼﾛｼ</t>
  </si>
  <si>
    <t>052027</t>
  </si>
  <si>
    <t>能代市</t>
  </si>
  <si>
    <t>ｱｷﾀｼ</t>
  </si>
  <si>
    <t>052019</t>
  </si>
  <si>
    <t>秋田市</t>
  </si>
  <si>
    <t>ｱｷﾀｹﾝ</t>
    <phoneticPr fontId="87"/>
  </si>
  <si>
    <t>050008</t>
    <phoneticPr fontId="87"/>
  </si>
  <si>
    <t>秋田県</t>
    <phoneticPr fontId="87"/>
  </si>
  <si>
    <t>ﾐﾅﾐｻﾝﾘｸﾁｮｳ</t>
  </si>
  <si>
    <t>ﾐﾔｷﾞｹﾝ</t>
  </si>
  <si>
    <t>046060</t>
  </si>
  <si>
    <t>南三陸町</t>
  </si>
  <si>
    <t>宮城県</t>
  </si>
  <si>
    <t>ｵﾅｶﾞﾜﾁｮｳ</t>
  </si>
  <si>
    <t>045811</t>
  </si>
  <si>
    <t>女川町</t>
  </si>
  <si>
    <t>045055</t>
  </si>
  <si>
    <t>ﾜｸﾔﾁｮｳ</t>
  </si>
  <si>
    <t>045012</t>
  </si>
  <si>
    <t>涌谷町</t>
  </si>
  <si>
    <t>ｶﾐﾏﾁ</t>
  </si>
  <si>
    <t>044458</t>
  </si>
  <si>
    <t>加美町</t>
  </si>
  <si>
    <t>ｼｶﾏﾁｮｳ</t>
  </si>
  <si>
    <t>044440</t>
  </si>
  <si>
    <t>色麻町</t>
  </si>
  <si>
    <t>ｵｵﾋﾗﾑﾗ</t>
  </si>
  <si>
    <t>044245</t>
  </si>
  <si>
    <t>大衡村</t>
  </si>
  <si>
    <t>ｵｵｻﾄﾁｮｳ</t>
  </si>
  <si>
    <t>044229</t>
  </si>
  <si>
    <t>大郷町</t>
  </si>
  <si>
    <t>ﾀｲﾜﾁｮｳ</t>
  </si>
  <si>
    <t>044211</t>
  </si>
  <si>
    <t>大和町</t>
  </si>
  <si>
    <t>ﾘﾌﾁｮｳ</t>
  </si>
  <si>
    <t>044067</t>
  </si>
  <si>
    <t>利府町</t>
  </si>
  <si>
    <t>ｼﾁｶﾞﾊﾏﾏﾁ</t>
  </si>
  <si>
    <t>044041</t>
  </si>
  <si>
    <t>七ヶ浜町</t>
  </si>
  <si>
    <t>ﾏﾂｼﾏﾏﾁ</t>
  </si>
  <si>
    <t>044016</t>
  </si>
  <si>
    <t>松島町</t>
  </si>
  <si>
    <t>ﾔﾏﾓﾄﾁｮｳ</t>
  </si>
  <si>
    <t>043621</t>
  </si>
  <si>
    <t>山元町</t>
  </si>
  <si>
    <t>ﾜﾀﾘﾁｮｳ</t>
  </si>
  <si>
    <t>043613</t>
  </si>
  <si>
    <t>亘理町</t>
  </si>
  <si>
    <t>ﾏﾙﾓﾘﾏﾁ</t>
  </si>
  <si>
    <t>043419</t>
  </si>
  <si>
    <t>丸森町</t>
  </si>
  <si>
    <t>043249</t>
  </si>
  <si>
    <t>ｼﾊﾞﾀﾏﾁ</t>
  </si>
  <si>
    <t>043231</t>
  </si>
  <si>
    <t>柴田町</t>
  </si>
  <si>
    <t>ﾑﾗﾀﾏﾁ</t>
  </si>
  <si>
    <t>043222</t>
  </si>
  <si>
    <t>村田町</t>
  </si>
  <si>
    <t>ｵｵｶﾞﾜﾗﾏﾁ</t>
  </si>
  <si>
    <t>043214</t>
  </si>
  <si>
    <t>大河原町</t>
  </si>
  <si>
    <t>ｼﾁｶｼｭｸﾏﾁ</t>
  </si>
  <si>
    <t>043028</t>
  </si>
  <si>
    <t>七ヶ宿町</t>
  </si>
  <si>
    <t>ｻﾞｵｳﾏﾁ</t>
  </si>
  <si>
    <t>043010</t>
  </si>
  <si>
    <t>蔵王町</t>
  </si>
  <si>
    <t>ﾄﾐﾔｼ</t>
    <phoneticPr fontId="87"/>
  </si>
  <si>
    <t>042161</t>
    <phoneticPr fontId="87"/>
  </si>
  <si>
    <t>富谷市</t>
    <rPh sb="2" eb="3">
      <t>シ</t>
    </rPh>
    <phoneticPr fontId="87"/>
  </si>
  <si>
    <t>ｵｵｻｷｼ</t>
  </si>
  <si>
    <t>042153</t>
  </si>
  <si>
    <t>大崎市</t>
  </si>
  <si>
    <t>ﾋｶﾞｼﾏﾂｼﾏｼ</t>
  </si>
  <si>
    <t>042145</t>
  </si>
  <si>
    <t>東松島市</t>
  </si>
  <si>
    <t>ｸﾘﾊﾗｼ</t>
  </si>
  <si>
    <t>042137</t>
  </si>
  <si>
    <t>栗原市</t>
  </si>
  <si>
    <t>ﾄﾒｼ</t>
  </si>
  <si>
    <t>042129</t>
  </si>
  <si>
    <t>登米市</t>
  </si>
  <si>
    <t>ｲﾜﾇﾏｼ</t>
  </si>
  <si>
    <t>042111</t>
  </si>
  <si>
    <t>岩沼市</t>
  </si>
  <si>
    <t>ﾀｶﾞｼﾞｮｳｼ</t>
  </si>
  <si>
    <t>042099</t>
  </si>
  <si>
    <t>多賀城市</t>
  </si>
  <si>
    <t>ｶｸﾀﾞｼ</t>
  </si>
  <si>
    <t>042081</t>
  </si>
  <si>
    <t>角田市</t>
  </si>
  <si>
    <t>ﾅﾄﾘｼ</t>
  </si>
  <si>
    <t>042072</t>
  </si>
  <si>
    <t>名取市</t>
  </si>
  <si>
    <t>ｼﾛｲｼｼ</t>
  </si>
  <si>
    <t>042064</t>
  </si>
  <si>
    <t>白石市</t>
  </si>
  <si>
    <t>ｹｾﾝﾇﾏｼ</t>
  </si>
  <si>
    <t>042056</t>
  </si>
  <si>
    <t>気仙沼市</t>
  </si>
  <si>
    <t>ｼｵｶﾞﾏｼ</t>
  </si>
  <si>
    <t>042030</t>
  </si>
  <si>
    <t>塩竈市</t>
  </si>
  <si>
    <t>ｲｼﾉﾏｷｼ</t>
  </si>
  <si>
    <t>042021</t>
  </si>
  <si>
    <t>石巻市</t>
  </si>
  <si>
    <t>ｾﾝﾀﾞｲｼ</t>
  </si>
  <si>
    <t>041009</t>
  </si>
  <si>
    <t>仙台市</t>
  </si>
  <si>
    <t>ﾐﾔｷﾞｹﾝ</t>
    <phoneticPr fontId="87"/>
  </si>
  <si>
    <t>040002</t>
    <phoneticPr fontId="87"/>
  </si>
  <si>
    <t>宮城県</t>
    <phoneticPr fontId="87"/>
  </si>
  <si>
    <t>ｲﾁﾉﾍﾏﾁ</t>
  </si>
  <si>
    <t>ｲﾜﾃｹﾝ</t>
  </si>
  <si>
    <t>035246</t>
  </si>
  <si>
    <t>一戸町</t>
  </si>
  <si>
    <t>岩手県</t>
  </si>
  <si>
    <t>ﾋﾛﾉﾁｮｳ</t>
  </si>
  <si>
    <t>035076</t>
  </si>
  <si>
    <t>洋野町</t>
  </si>
  <si>
    <t>ｸﾉﾍﾑﾗ</t>
  </si>
  <si>
    <t>035068</t>
  </si>
  <si>
    <t>九戸村</t>
  </si>
  <si>
    <t>ﾉﾀﾞﾑﾗ</t>
  </si>
  <si>
    <t>035033</t>
  </si>
  <si>
    <t>野田村</t>
  </si>
  <si>
    <t>ｶﾙﾏｲﾏﾁ</t>
  </si>
  <si>
    <t>035017</t>
  </si>
  <si>
    <t>軽米町</t>
  </si>
  <si>
    <t>ﾌﾀﾞｲﾑﾗ</t>
  </si>
  <si>
    <t>034851</t>
  </si>
  <si>
    <t>普代村</t>
  </si>
  <si>
    <t>ﾀﾉﾊﾀﾑﾗ</t>
  </si>
  <si>
    <t>034843</t>
  </si>
  <si>
    <t>田野畑村</t>
  </si>
  <si>
    <t>ｲﾜｲｽﾞﾐﾁｮｳ</t>
  </si>
  <si>
    <t>034835</t>
  </si>
  <si>
    <t>岩泉町</t>
  </si>
  <si>
    <t>ﾔﾏﾀﾞﾏﾁ</t>
  </si>
  <si>
    <t>034827</t>
  </si>
  <si>
    <t>山田町</t>
  </si>
  <si>
    <t>ｵｵﾂﾁﾁｮｳ</t>
  </si>
  <si>
    <t>034614</t>
  </si>
  <si>
    <t>大槌町</t>
  </si>
  <si>
    <t>ｽﾐﾀﾁｮｳ</t>
  </si>
  <si>
    <t>034410</t>
  </si>
  <si>
    <t>住田町</t>
  </si>
  <si>
    <t>ﾋﾗｲｽﾞﾐﾁｮｳ</t>
  </si>
  <si>
    <t>034029</t>
  </si>
  <si>
    <t>平泉町</t>
  </si>
  <si>
    <t>ｶﾈｶﾞｻｷﾁｮｳ</t>
  </si>
  <si>
    <t>033812</t>
  </si>
  <si>
    <t>金ケ崎町</t>
  </si>
  <si>
    <t>ﾆｼﾜｶﾞﾏﾁ</t>
  </si>
  <si>
    <t>033669</t>
  </si>
  <si>
    <t>西和賀町</t>
  </si>
  <si>
    <t>ﾔﾊﾊﾞﾁｮｳ</t>
  </si>
  <si>
    <t>033227</t>
  </si>
  <si>
    <t>矢巾町</t>
  </si>
  <si>
    <t>ｼﾜﾁｮｳ</t>
  </si>
  <si>
    <t>033219</t>
  </si>
  <si>
    <t>紫波町</t>
  </si>
  <si>
    <t>ｲﾜﾃﾏﾁ</t>
  </si>
  <si>
    <t>033031</t>
  </si>
  <si>
    <t>岩手町</t>
  </si>
  <si>
    <t>ｸｽﾞﾏｷﾏﾁ</t>
  </si>
  <si>
    <t>033022</t>
  </si>
  <si>
    <t>葛巻町</t>
  </si>
  <si>
    <t>ｼｽﾞｸｲｼﾁｮｳ</t>
  </si>
  <si>
    <t>033014</t>
  </si>
  <si>
    <t>雫石町</t>
  </si>
  <si>
    <t>ﾀｷｻﾞﾜｼ</t>
    <phoneticPr fontId="87"/>
  </si>
  <si>
    <t>032166</t>
    <phoneticPr fontId="87"/>
  </si>
  <si>
    <t>滝沢市</t>
    <rPh sb="2" eb="3">
      <t>シ</t>
    </rPh>
    <phoneticPr fontId="87"/>
  </si>
  <si>
    <t>ｵｳｼｭｳｼ</t>
  </si>
  <si>
    <t>032158</t>
  </si>
  <si>
    <t>奥州市</t>
  </si>
  <si>
    <t>ﾊﾁﾏﾝﾀｲｼ</t>
  </si>
  <si>
    <t>032140</t>
  </si>
  <si>
    <t>八幡平市</t>
  </si>
  <si>
    <t>ﾆﾉﾍｼ</t>
  </si>
  <si>
    <t>032131</t>
  </si>
  <si>
    <t>二戸市</t>
  </si>
  <si>
    <t>ｶﾏｲｼｼ</t>
  </si>
  <si>
    <t>032115</t>
  </si>
  <si>
    <t>釜石市</t>
  </si>
  <si>
    <t>ﾘｸｾﾞﾝﾀｶﾀｼ</t>
  </si>
  <si>
    <t>032107</t>
  </si>
  <si>
    <t>陸前高田市</t>
  </si>
  <si>
    <t>ｲﾁﾉｾｷｼ</t>
  </si>
  <si>
    <t>032093</t>
  </si>
  <si>
    <t>一関市</t>
  </si>
  <si>
    <t>ﾄｵﾉｼ</t>
  </si>
  <si>
    <t>032085</t>
  </si>
  <si>
    <t>遠野市</t>
  </si>
  <si>
    <t>ｸｼﾞｼ</t>
  </si>
  <si>
    <t>032077</t>
  </si>
  <si>
    <t>久慈市</t>
  </si>
  <si>
    <t>ｷﾀｶﾐｼ</t>
  </si>
  <si>
    <t>032069</t>
  </si>
  <si>
    <t>北上市</t>
  </si>
  <si>
    <t>ﾊﾅﾏｷｼ</t>
  </si>
  <si>
    <t>032051</t>
  </si>
  <si>
    <t>花巻市</t>
  </si>
  <si>
    <t>ｵｵﾌﾅﾄｼ</t>
  </si>
  <si>
    <t>032034</t>
  </si>
  <si>
    <t>大船渡市</t>
  </si>
  <si>
    <t>ﾐﾔｺｼ</t>
  </si>
  <si>
    <t>032026</t>
  </si>
  <si>
    <t>宮古市</t>
  </si>
  <si>
    <t>ﾓﾘｵｶｼ</t>
  </si>
  <si>
    <t>032018</t>
  </si>
  <si>
    <t>盛岡市</t>
  </si>
  <si>
    <t>ｲﾜﾃｹﾝ</t>
    <phoneticPr fontId="87"/>
  </si>
  <si>
    <t>030007</t>
    <phoneticPr fontId="87"/>
  </si>
  <si>
    <t>岩手県</t>
    <phoneticPr fontId="87"/>
  </si>
  <si>
    <t>ｼﾝｺﾞｳﾑﾗ</t>
  </si>
  <si>
    <t>ｱｵﾓﾘｹﾝ</t>
  </si>
  <si>
    <t>024503</t>
  </si>
  <si>
    <t>新郷村</t>
  </si>
  <si>
    <t>青森県</t>
  </si>
  <si>
    <t>ﾊｼｶﾐﾁｮｳ</t>
  </si>
  <si>
    <t>024465</t>
  </si>
  <si>
    <t>階上町</t>
  </si>
  <si>
    <t>024457</t>
  </si>
  <si>
    <t>ﾀｯｺﾏﾁ</t>
  </si>
  <si>
    <t>024431</t>
  </si>
  <si>
    <t>田子町</t>
  </si>
  <si>
    <t>ｺﾞﾉﾍﾏﾁ</t>
  </si>
  <si>
    <t>024422</t>
  </si>
  <si>
    <t>五戸町</t>
  </si>
  <si>
    <t>ｻﾝﾉﾍﾏﾁ</t>
  </si>
  <si>
    <t>024414</t>
  </si>
  <si>
    <t>三戸町</t>
  </si>
  <si>
    <t>ｻｲﾑﾗ</t>
  </si>
  <si>
    <t>024261</t>
  </si>
  <si>
    <t>佐井村</t>
  </si>
  <si>
    <t>ｶｻﾞﾏｳﾗﾑﾗ</t>
  </si>
  <si>
    <t>024252</t>
  </si>
  <si>
    <t>風間浦村</t>
  </si>
  <si>
    <t>ﾋｶﾞｼﾄﾞｵﾘﾑﾗ</t>
  </si>
  <si>
    <t>024244</t>
  </si>
  <si>
    <t>東通村</t>
  </si>
  <si>
    <t>ｵｵﾏﾏﾁ</t>
  </si>
  <si>
    <t>024236</t>
  </si>
  <si>
    <t>大間町</t>
  </si>
  <si>
    <t>ｵｲﾗｾﾁｮｳ</t>
  </si>
  <si>
    <t>024121</t>
  </si>
  <si>
    <t>おいらせ町</t>
  </si>
  <si>
    <t>ﾛｯｶｼｮﾑﾗ</t>
  </si>
  <si>
    <t>024112</t>
  </si>
  <si>
    <t>六ヶ所村</t>
  </si>
  <si>
    <t>ﾄｳﾎｸﾏﾁ</t>
  </si>
  <si>
    <t>024082</t>
  </si>
  <si>
    <t>東北町</t>
  </si>
  <si>
    <t>ﾖｺﾊﾏﾏﾁ</t>
  </si>
  <si>
    <t>024066</t>
  </si>
  <si>
    <t>横浜町</t>
  </si>
  <si>
    <t>ﾛｸﾉﾍﾏﾁ</t>
  </si>
  <si>
    <t>024058</t>
  </si>
  <si>
    <t>六戸町</t>
  </si>
  <si>
    <t>ｼﾁﾉﾍﾏﾁ</t>
  </si>
  <si>
    <t>024023</t>
  </si>
  <si>
    <t>七戸町</t>
  </si>
  <si>
    <t>ﾉﾍｼﾞﾏﾁ</t>
  </si>
  <si>
    <t>024015</t>
  </si>
  <si>
    <t>野辺地町</t>
  </si>
  <si>
    <t>ﾅｶﾄﾞﾏﾘﾏﾁ</t>
  </si>
  <si>
    <t>023876</t>
  </si>
  <si>
    <t>中泊町</t>
  </si>
  <si>
    <t>ﾂﾙﾀﾏﾁ</t>
  </si>
  <si>
    <t>023841</t>
  </si>
  <si>
    <t>鶴田町</t>
  </si>
  <si>
    <t>ｲﾀﾔﾅｷﾞﾏﾁ</t>
  </si>
  <si>
    <t>023817</t>
  </si>
  <si>
    <t>板柳町</t>
  </si>
  <si>
    <t>ｲﾅｶﾀﾞﾃﾑﾗ</t>
  </si>
  <si>
    <t>023671</t>
  </si>
  <si>
    <t>田舎館村</t>
  </si>
  <si>
    <t>ｵｵﾜﾆﾏﾁ</t>
  </si>
  <si>
    <t>023621</t>
  </si>
  <si>
    <t>大鰐町</t>
  </si>
  <si>
    <t>ﾌｼﾞｻｷﾏﾁ</t>
  </si>
  <si>
    <t>023612</t>
  </si>
  <si>
    <t>藤崎町</t>
  </si>
  <si>
    <t>ﾆｼﾒﾔﾑﾗ</t>
  </si>
  <si>
    <t>023434</t>
  </si>
  <si>
    <t>西目屋村</t>
  </si>
  <si>
    <t>ﾌｶｳﾗﾏﾁ</t>
  </si>
  <si>
    <t>023230</t>
  </si>
  <si>
    <t>深浦町</t>
  </si>
  <si>
    <t>ｱｼﾞｶﾞｻﾜﾏﾁ</t>
  </si>
  <si>
    <t>023213</t>
  </si>
  <si>
    <t>鰺ヶ沢町</t>
  </si>
  <si>
    <t>ｿﾄｶﾞﾊﾏﾏﾁ</t>
  </si>
  <si>
    <t>023078</t>
  </si>
  <si>
    <t>外ヶ浜町</t>
  </si>
  <si>
    <t>ﾖﾓｷﾞﾀﾑﾗ</t>
  </si>
  <si>
    <t>023043</t>
  </si>
  <si>
    <t>蓬田村</t>
  </si>
  <si>
    <t>ｲﾏﾍﾞﾂﾏﾁ</t>
  </si>
  <si>
    <t>023035</t>
  </si>
  <si>
    <t>今別町</t>
  </si>
  <si>
    <t>ﾋﾗﾅｲﾏﾁ</t>
  </si>
  <si>
    <t>023019</t>
  </si>
  <si>
    <t>平内町</t>
  </si>
  <si>
    <t>ﾋﾗｶﾜｼ</t>
  </si>
  <si>
    <t>022101</t>
  </si>
  <si>
    <t>平川市</t>
  </si>
  <si>
    <t>ﾂｶﾞﾙｼ</t>
  </si>
  <si>
    <t>022098</t>
  </si>
  <si>
    <t>つがる市</t>
  </si>
  <si>
    <t>ﾑﾂｼ</t>
  </si>
  <si>
    <t>022080</t>
  </si>
  <si>
    <t>むつ市</t>
  </si>
  <si>
    <t>ﾐｻﾜｼ</t>
  </si>
  <si>
    <t>022071</t>
  </si>
  <si>
    <t>三沢市</t>
  </si>
  <si>
    <t>ﾄﾜﾀﾞｼ</t>
  </si>
  <si>
    <t>022063</t>
  </si>
  <si>
    <t>十和田市</t>
  </si>
  <si>
    <t>ｺﾞｼｮｶﾞﾜﾗｼ</t>
  </si>
  <si>
    <t>022055</t>
  </si>
  <si>
    <t>五所川原市</t>
  </si>
  <si>
    <t>ｸﾛｲｼｼ</t>
  </si>
  <si>
    <t>022047</t>
  </si>
  <si>
    <t>黒石市</t>
  </si>
  <si>
    <t>ﾊﾁﾉﾍｼ</t>
  </si>
  <si>
    <t>022039</t>
  </si>
  <si>
    <t>八戸市</t>
  </si>
  <si>
    <t>ﾋﾛｻｷｼ</t>
  </si>
  <si>
    <t>022021</t>
  </si>
  <si>
    <t>弘前市</t>
  </si>
  <si>
    <t>ｱｵﾓﾘｼ</t>
  </si>
  <si>
    <t>022012</t>
  </si>
  <si>
    <t>青森市</t>
  </si>
  <si>
    <t>ｱｵﾓﾘｹﾝ</t>
    <phoneticPr fontId="87"/>
  </si>
  <si>
    <t>020001</t>
    <phoneticPr fontId="87"/>
  </si>
  <si>
    <t>青森県</t>
    <phoneticPr fontId="87"/>
  </si>
  <si>
    <t>ｼﾍﾞﾄﾛﾑﾗ</t>
    <phoneticPr fontId="87"/>
  </si>
  <si>
    <t>ﾎｯｶｲﾄﾞｳ</t>
  </si>
  <si>
    <t>017001</t>
    <phoneticPr fontId="87"/>
  </si>
  <si>
    <t>蘂取村</t>
    <phoneticPr fontId="87"/>
  </si>
  <si>
    <t>北海道</t>
  </si>
  <si>
    <t>ｼｬﾅﾑﾗ</t>
    <phoneticPr fontId="87"/>
  </si>
  <si>
    <t>016993</t>
    <phoneticPr fontId="87"/>
  </si>
  <si>
    <t>紗那村</t>
    <phoneticPr fontId="87"/>
  </si>
  <si>
    <t>ﾙﾍﾞﾂﾑﾗ</t>
    <phoneticPr fontId="87"/>
  </si>
  <si>
    <t>016985</t>
    <phoneticPr fontId="87"/>
  </si>
  <si>
    <t>留別村</t>
    <phoneticPr fontId="87"/>
  </si>
  <si>
    <t>ﾙﾔﾍﾞﾂﾑﾗ</t>
    <phoneticPr fontId="87"/>
  </si>
  <si>
    <t>016977</t>
    <phoneticPr fontId="87"/>
  </si>
  <si>
    <t>留夜別村</t>
    <phoneticPr fontId="87"/>
  </si>
  <si>
    <t>ﾄﾏﾘﾑﾗ</t>
    <phoneticPr fontId="87"/>
  </si>
  <si>
    <t>016969</t>
    <phoneticPr fontId="87"/>
  </si>
  <si>
    <t>泊村</t>
    <rPh sb="0" eb="2">
      <t>トマリムラ</t>
    </rPh>
    <phoneticPr fontId="87"/>
  </si>
  <si>
    <t>ｼｺﾀﾝﾑﾗ</t>
    <phoneticPr fontId="87"/>
  </si>
  <si>
    <t>016951</t>
    <phoneticPr fontId="87"/>
  </si>
  <si>
    <t>色丹村</t>
    <rPh sb="0" eb="3">
      <t>シコタンムラ</t>
    </rPh>
    <phoneticPr fontId="87"/>
  </si>
  <si>
    <t>ﾗｳｽﾁｮｳ</t>
  </si>
  <si>
    <t>016942</t>
  </si>
  <si>
    <t>羅臼町</t>
  </si>
  <si>
    <t>ｼﾍﾞﾂﾁｮｳ</t>
  </si>
  <si>
    <t>016934</t>
  </si>
  <si>
    <t>標津町</t>
  </si>
  <si>
    <t>ﾅｶｼﾍﾞﾂﾁｮｳ</t>
  </si>
  <si>
    <t>016926</t>
  </si>
  <si>
    <t>中標津町</t>
  </si>
  <si>
    <t>ﾍﾞﾂｶｲﾁｮｳ</t>
  </si>
  <si>
    <t>016918</t>
  </si>
  <si>
    <t>別海町</t>
    <phoneticPr fontId="87"/>
  </si>
  <si>
    <t>ｼﾗﾇｶﾁｮｳ</t>
  </si>
  <si>
    <t>016683</t>
  </si>
  <si>
    <t>白糠町</t>
  </si>
  <si>
    <t>ﾂﾙｲﾑﾗ</t>
  </si>
  <si>
    <t>016675</t>
  </si>
  <si>
    <t>鶴居村</t>
  </si>
  <si>
    <t>ﾃｼｶｶﾞﾁｮｳ</t>
  </si>
  <si>
    <t>016659</t>
  </si>
  <si>
    <t>弟子屈町</t>
  </si>
  <si>
    <t>ｼﾍﾞﾁｬﾁｮｳ</t>
  </si>
  <si>
    <t>016641</t>
  </si>
  <si>
    <t>標茶町</t>
  </si>
  <si>
    <t>ﾊﾏﾅｶﾁｮｳ</t>
  </si>
  <si>
    <t>016632</t>
  </si>
  <si>
    <t>浜中町</t>
  </si>
  <si>
    <t>ｱｯｹｼﾁｮｳ</t>
  </si>
  <si>
    <t>016624</t>
  </si>
  <si>
    <t>厚岸町</t>
  </si>
  <si>
    <t>ｸｼﾛﾁｮｳ</t>
  </si>
  <si>
    <t>016616</t>
  </si>
  <si>
    <t>釧路町</t>
  </si>
  <si>
    <t>ｳﾗﾎﾛﾁｮｳ</t>
  </si>
  <si>
    <t>016497</t>
  </si>
  <si>
    <t>浦幌町</t>
  </si>
  <si>
    <t>ﾘｸﾍﾞﾂﾁｮｳ</t>
  </si>
  <si>
    <t>016489</t>
  </si>
  <si>
    <t>陸別町</t>
  </si>
  <si>
    <t>ｱｼｮﾛﾁｮｳ</t>
  </si>
  <si>
    <t>016471</t>
  </si>
  <si>
    <t>足寄町</t>
  </si>
  <si>
    <t>ﾎﾝﾍﾞﾂﾁｮｳ</t>
  </si>
  <si>
    <t>016462</t>
  </si>
  <si>
    <t>本別町</t>
  </si>
  <si>
    <t>ﾄﾖｺﾛﾁｮｳ</t>
  </si>
  <si>
    <t>016454</t>
  </si>
  <si>
    <t>豊頃町</t>
  </si>
  <si>
    <t>016446</t>
  </si>
  <si>
    <t>ﾏｸﾍﾞﾂﾁｮｳ</t>
  </si>
  <si>
    <t>016438</t>
  </si>
  <si>
    <t>幕別町</t>
  </si>
  <si>
    <t>ﾋﾛｵﾁｮｳ</t>
  </si>
  <si>
    <t>016420</t>
  </si>
  <si>
    <t>広尾町</t>
  </si>
  <si>
    <t>016411</t>
  </si>
  <si>
    <t>大樹町</t>
  </si>
  <si>
    <t>ｻﾗﾍﾞﾂﾑﾗ</t>
  </si>
  <si>
    <t>016390</t>
  </si>
  <si>
    <t>更別村</t>
  </si>
  <si>
    <t>ﾅｶｻﾂﾅｲﾑﾗ</t>
  </si>
  <si>
    <t>016381</t>
  </si>
  <si>
    <t>中札内村</t>
  </si>
  <si>
    <t>ﾒﾑﾛﾁｮｳ</t>
  </si>
  <si>
    <t>016373</t>
  </si>
  <si>
    <t>芽室町</t>
  </si>
  <si>
    <t>016365</t>
  </si>
  <si>
    <t>ｼﾝﾄｸﾁｮｳ</t>
  </si>
  <si>
    <t>016357</t>
  </si>
  <si>
    <t>新得町</t>
  </si>
  <si>
    <t>ｼｶｵｲﾁｮｳ</t>
  </si>
  <si>
    <t>016349</t>
  </si>
  <si>
    <t>鹿追町</t>
  </si>
  <si>
    <t>ｶﾐｼﾎﾛﾁｮｳ</t>
  </si>
  <si>
    <t>016331</t>
  </si>
  <si>
    <t>上士幌町</t>
  </si>
  <si>
    <t>ｼﾎﾛﾁｮｳ</t>
  </si>
  <si>
    <t>016322</t>
  </si>
  <si>
    <t>士幌町</t>
  </si>
  <si>
    <t>施行時特例市</t>
    <rPh sb="0" eb="3">
      <t>セコウジ</t>
    </rPh>
    <rPh sb="3" eb="6">
      <t>トクレイシ</t>
    </rPh>
    <phoneticPr fontId="1"/>
  </si>
  <si>
    <t>ｵﾄﾌｹﾁｮｳ</t>
  </si>
  <si>
    <t>016314</t>
  </si>
  <si>
    <t>音更町</t>
  </si>
  <si>
    <t>ｼﾝﾋﾀﾞｶﾁｮｳ</t>
  </si>
  <si>
    <t>016101</t>
  </si>
  <si>
    <t>新ひだか町</t>
  </si>
  <si>
    <t>ｴﾘﾓﾁｮｳ</t>
  </si>
  <si>
    <t>016098</t>
  </si>
  <si>
    <t>えりも町</t>
  </si>
  <si>
    <t>ｻﾏﾆﾁｮｳ</t>
  </si>
  <si>
    <t>016080</t>
  </si>
  <si>
    <t>様似町</t>
  </si>
  <si>
    <t>ｳﾗｶﾜﾁｮｳ</t>
  </si>
  <si>
    <t>016071</t>
  </si>
  <si>
    <t>浦河町</t>
  </si>
  <si>
    <t>ﾆｲｶｯﾌﾟﾁｮｳ</t>
  </si>
  <si>
    <t>016047</t>
  </si>
  <si>
    <t>新冠町</t>
  </si>
  <si>
    <t>ﾋﾞﾗﾄﾘﾁｮｳ</t>
  </si>
  <si>
    <t>016021</t>
  </si>
  <si>
    <t>平取町</t>
  </si>
  <si>
    <t>016012</t>
  </si>
  <si>
    <t>ﾑｶﾜﾁｮｳ</t>
  </si>
  <si>
    <t>015865</t>
  </si>
  <si>
    <t>むかわ町</t>
  </si>
  <si>
    <t>ｱﾋﾞﾗﾁｮｳ</t>
  </si>
  <si>
    <t>015857</t>
  </si>
  <si>
    <t>安平町</t>
  </si>
  <si>
    <t>ﾄｳﾔｺﾁｮｳ</t>
  </si>
  <si>
    <t>015849</t>
  </si>
  <si>
    <t>洞爺湖町</t>
  </si>
  <si>
    <t>ｱﾂﾏﾁｮｳ</t>
  </si>
  <si>
    <t>015814</t>
  </si>
  <si>
    <t>厚真町</t>
  </si>
  <si>
    <t>ｼﾗｵｲﾁｮｳ</t>
  </si>
  <si>
    <t>015784</t>
  </si>
  <si>
    <t>白老町</t>
  </si>
  <si>
    <t>ｿｳﾍﾞﾂﾁｮｳ</t>
  </si>
  <si>
    <t>015750</t>
  </si>
  <si>
    <t>壮瞥町</t>
  </si>
  <si>
    <t>ﾄﾖｳﾗﾁｮｳ</t>
  </si>
  <si>
    <t>015717</t>
  </si>
  <si>
    <t>豊浦町</t>
  </si>
  <si>
    <t>ｵｵｿﾞﾗﾁｮｳ</t>
  </si>
  <si>
    <t>015644</t>
  </si>
  <si>
    <t>大空町</t>
  </si>
  <si>
    <t>ｵｳﾑﾁｮｳ</t>
  </si>
  <si>
    <t>015636</t>
  </si>
  <si>
    <t>雄武町</t>
  </si>
  <si>
    <t>ﾆｼｵｺｯﾍﾟﾑﾗ</t>
  </si>
  <si>
    <t>015628</t>
  </si>
  <si>
    <t>西興部村</t>
  </si>
  <si>
    <t>ｵｺｯﾍﾟﾁｮｳ</t>
  </si>
  <si>
    <t>015610</t>
  </si>
  <si>
    <t>興部町</t>
  </si>
  <si>
    <t>ﾀｷﾉｳｴﾁｮｳ</t>
  </si>
  <si>
    <t>015601</t>
  </si>
  <si>
    <t>滝上町</t>
  </si>
  <si>
    <t>ﾕｳﾍﾞﾂﾁｮｳ</t>
  </si>
  <si>
    <t>015598</t>
  </si>
  <si>
    <t>湧別町</t>
  </si>
  <si>
    <t>ｴﾝｶﾞﾙﾁｮｳ</t>
  </si>
  <si>
    <t>015555</t>
  </si>
  <si>
    <t>遠軽町</t>
  </si>
  <si>
    <t>ｻﾛﾏﾁｮｳ</t>
  </si>
  <si>
    <t>015521</t>
  </si>
  <si>
    <t>佐呂間町</t>
  </si>
  <si>
    <t>一宮市</t>
    <phoneticPr fontId="1"/>
  </si>
  <si>
    <t>中核市</t>
    <rPh sb="0" eb="3">
      <t>チュウカクシ</t>
    </rPh>
    <phoneticPr fontId="1"/>
  </si>
  <si>
    <t>ｵｹﾄﾁｮｳ</t>
  </si>
  <si>
    <t>015504</t>
  </si>
  <si>
    <t>置戸町</t>
  </si>
  <si>
    <t>松本市</t>
    <phoneticPr fontId="1"/>
  </si>
  <si>
    <t>ｸﾝﾈｯﾌﾟﾁｮｳ</t>
  </si>
  <si>
    <t>015491</t>
  </si>
  <si>
    <t>訓子府町</t>
  </si>
  <si>
    <t>ｺｼﾐｽﾞﾁｮｳ</t>
  </si>
  <si>
    <t>015474</t>
  </si>
  <si>
    <t>小清水町</t>
  </si>
  <si>
    <t>ｷﾖｻﾄﾁｮｳ</t>
  </si>
  <si>
    <t>015466</t>
  </si>
  <si>
    <t>清里町</t>
  </si>
  <si>
    <t>ｼｬﾘﾁｮｳ</t>
  </si>
  <si>
    <t>015458</t>
  </si>
  <si>
    <t>斜里町</t>
  </si>
  <si>
    <t>ﾂﾍﾞﾂﾁｮｳ</t>
  </si>
  <si>
    <t>015440</t>
  </si>
  <si>
    <t>津別町</t>
  </si>
  <si>
    <t>ﾋﾞﾎﾛﾁｮｳ</t>
  </si>
  <si>
    <t>015431</t>
  </si>
  <si>
    <t>美幌町</t>
  </si>
  <si>
    <t>ﾎﾛﾉﾍﾞﾁｮｳ</t>
  </si>
  <si>
    <t>015202</t>
  </si>
  <si>
    <t>幌延町</t>
  </si>
  <si>
    <t>ﾘｼﾘﾌｼﾞﾁｮｳ</t>
  </si>
  <si>
    <t>015199</t>
  </si>
  <si>
    <t>利尻富士町</t>
  </si>
  <si>
    <t>ﾘｼﾘﾁｮｳ</t>
  </si>
  <si>
    <t>015181</t>
  </si>
  <si>
    <t>利尻町</t>
  </si>
  <si>
    <t>ﾚﾌﾞﾝﾁｮｳ</t>
  </si>
  <si>
    <t>015172</t>
  </si>
  <si>
    <t>礼文町</t>
  </si>
  <si>
    <t>ﾄﾖﾄﾐﾁｮｳ</t>
  </si>
  <si>
    <t>015164</t>
  </si>
  <si>
    <t>豊富町</t>
  </si>
  <si>
    <t>ｴｻｼﾁｮｳ</t>
  </si>
  <si>
    <t>015148</t>
  </si>
  <si>
    <t>枝幸町</t>
  </si>
  <si>
    <t>ﾅｶﾄﾝﾍﾞﾂﾁｮｳ</t>
  </si>
  <si>
    <t>015130</t>
  </si>
  <si>
    <t>中頓別町</t>
  </si>
  <si>
    <t>ﾊﾏﾄﾝﾍﾞﾂﾁｮｳ</t>
  </si>
  <si>
    <t>015121</t>
  </si>
  <si>
    <t>浜頓別町</t>
  </si>
  <si>
    <t>ｻﾙﾌﾂﾑﾗ</t>
  </si>
  <si>
    <t>015113</t>
  </si>
  <si>
    <t>猿払村</t>
  </si>
  <si>
    <t>ﾃｼｵﾁｮｳ</t>
  </si>
  <si>
    <t>014877</t>
  </si>
  <si>
    <t>天塩町</t>
  </si>
  <si>
    <t>ｴﾝﾍﾞﾂﾁｮｳ</t>
  </si>
  <si>
    <t>014869</t>
  </si>
  <si>
    <t>遠別町</t>
  </si>
  <si>
    <t>ｼｮｻﾝﾍﾞﾂﾑﾗ</t>
  </si>
  <si>
    <t>014851</t>
  </si>
  <si>
    <t>初山別村</t>
  </si>
  <si>
    <t>ﾊﾎﾞﾛﾁｮｳ</t>
  </si>
  <si>
    <t>014842</t>
  </si>
  <si>
    <t>羽幌町</t>
  </si>
  <si>
    <t>ﾄﾏﾏｴﾁｮｳ</t>
  </si>
  <si>
    <t>014834</t>
  </si>
  <si>
    <t>苫前町</t>
  </si>
  <si>
    <t>ｵﾋﾞﾗﾁｮｳ</t>
  </si>
  <si>
    <t>014826</t>
  </si>
  <si>
    <t>小平町</t>
  </si>
  <si>
    <t>ﾏｼｹﾁｮｳ</t>
  </si>
  <si>
    <t>014818</t>
  </si>
  <si>
    <t>増毛町</t>
  </si>
  <si>
    <t>ﾎﾛｶﾅｲﾁｮｳ</t>
  </si>
  <si>
    <t>014729</t>
  </si>
  <si>
    <t>幌加内町</t>
  </si>
  <si>
    <t>ﾅｶｶﾞﾜﾁｮｳ</t>
  </si>
  <si>
    <t>014711</t>
  </si>
  <si>
    <t>中川町</t>
  </si>
  <si>
    <t>ｵﾄｲﾈｯﾌﾟﾑﾗ</t>
  </si>
  <si>
    <t>014702</t>
  </si>
  <si>
    <t>音威子府村</t>
  </si>
  <si>
    <t>ﾋﾞﾌｶﾁｮｳ</t>
  </si>
  <si>
    <t>014699</t>
  </si>
  <si>
    <t>美深町</t>
  </si>
  <si>
    <t>ｼﾓｶﾜﾁｮｳ</t>
  </si>
  <si>
    <t>014681</t>
  </si>
  <si>
    <t>下川町</t>
  </si>
  <si>
    <t>ｹﾝﾌﾞﾁﾁｮｳ</t>
  </si>
  <si>
    <t>014656</t>
  </si>
  <si>
    <t>剣淵町</t>
  </si>
  <si>
    <t>ﾜｯｻﾑﾁｮｳ</t>
  </si>
  <si>
    <t>014648</t>
  </si>
  <si>
    <t>和寒町</t>
  </si>
  <si>
    <t>ｼﾑｶｯﾌﾟﾑﾗ</t>
  </si>
  <si>
    <t>014630</t>
  </si>
  <si>
    <t>占冠村</t>
  </si>
  <si>
    <t>ﾐﾅﾐﾌﾗﾉﾁｮｳ</t>
  </si>
  <si>
    <t>014621</t>
  </si>
  <si>
    <t>南富良野町</t>
  </si>
  <si>
    <t>函館市</t>
  </si>
  <si>
    <t>ﾅｶﾌﾗﾉﾁｮｳ</t>
  </si>
  <si>
    <t>014613</t>
  </si>
  <si>
    <t>中富良野町</t>
  </si>
  <si>
    <t>ｶﾐﾌﾗﾉﾁｮｳ</t>
  </si>
  <si>
    <t>014605</t>
  </si>
  <si>
    <t>上富良野町</t>
  </si>
  <si>
    <t>ﾋﾞｴｲﾁｮｳ</t>
  </si>
  <si>
    <t>014591</t>
  </si>
  <si>
    <t>美瑛町</t>
  </si>
  <si>
    <t>ﾋｶﾞｼｶﾜﾁｮｳ</t>
  </si>
  <si>
    <t>014583</t>
  </si>
  <si>
    <t>東川町</t>
  </si>
  <si>
    <t>014575</t>
  </si>
  <si>
    <t>上川町</t>
  </si>
  <si>
    <t>ｱｲﾍﾞﾂﾁｮｳ</t>
  </si>
  <si>
    <t>014567</t>
  </si>
  <si>
    <t>愛別町</t>
  </si>
  <si>
    <t>ﾋﾟｯﾌﾟﾁｮｳ</t>
  </si>
  <si>
    <t>014559</t>
  </si>
  <si>
    <t>比布町</t>
  </si>
  <si>
    <t>ﾄｳﾏﾁｮｳ</t>
  </si>
  <si>
    <t>014541</t>
  </si>
  <si>
    <t>当麻町</t>
  </si>
  <si>
    <t>ﾋｶﾞｼｶｸﾞﾗﾁｮｳ</t>
  </si>
  <si>
    <t>014532</t>
  </si>
  <si>
    <t>東神楽町</t>
  </si>
  <si>
    <t>ﾀｶｽﾁｮｳ</t>
  </si>
  <si>
    <t>014524</t>
  </si>
  <si>
    <t>鷹栖町</t>
  </si>
  <si>
    <t>ﾇﾏﾀﾁｮｳ</t>
  </si>
  <si>
    <t>014389</t>
  </si>
  <si>
    <t>沼田町</t>
  </si>
  <si>
    <t>旭川市</t>
  </si>
  <si>
    <t>ﾎｸﾘｭｳﾁｮｳ</t>
  </si>
  <si>
    <t>014371</t>
  </si>
  <si>
    <t>北竜町</t>
  </si>
  <si>
    <t>ｳﾘｭｳﾁｮｳ</t>
  </si>
  <si>
    <t>014362</t>
  </si>
  <si>
    <t>雨竜町</t>
  </si>
  <si>
    <t>ﾁｯﾌﾟﾍﾞﾂﾁｮｳ</t>
  </si>
  <si>
    <t>014346</t>
  </si>
  <si>
    <t>秩父別町</t>
  </si>
  <si>
    <t>ﾓｾｳｼﾁｮｳ</t>
  </si>
  <si>
    <t>014338</t>
  </si>
  <si>
    <t>妹背牛町</t>
  </si>
  <si>
    <t>ｼﾝﾄﾂｶﾜﾁｮｳ</t>
  </si>
  <si>
    <t>014320</t>
  </si>
  <si>
    <t>新十津川町</t>
  </si>
  <si>
    <t>ｳﾗｳｽﾁｮｳ</t>
  </si>
  <si>
    <t>014311</t>
  </si>
  <si>
    <t>浦臼町</t>
  </si>
  <si>
    <t>ﾂｷｶﾞﾀﾁｮｳ</t>
  </si>
  <si>
    <t>014303</t>
  </si>
  <si>
    <t>月形町</t>
  </si>
  <si>
    <t>ｸﾘﾔﾏﾁｮｳ</t>
  </si>
  <si>
    <t>014290</t>
  </si>
  <si>
    <t>栗山町</t>
  </si>
  <si>
    <t>ﾅｶﾞﾇﾏﾁｮｳ</t>
  </si>
  <si>
    <t>014281</t>
  </si>
  <si>
    <t>長沼町</t>
  </si>
  <si>
    <t>ﾕﾆﾁｮｳ</t>
  </si>
  <si>
    <t>014273</t>
  </si>
  <si>
    <t>由仁町</t>
  </si>
  <si>
    <t>ｶﾐｽﾅｶﾞﾜﾁｮｳ</t>
  </si>
  <si>
    <t>014257</t>
  </si>
  <si>
    <t>上砂川町</t>
  </si>
  <si>
    <t>ﾅｲｴﾁｮｳ</t>
  </si>
  <si>
    <t>014249</t>
  </si>
  <si>
    <t>奈井江町</t>
  </si>
  <si>
    <t>ﾅﾝﾎﾟﾛﾁｮｳ</t>
  </si>
  <si>
    <t>014231</t>
  </si>
  <si>
    <t>南幌町</t>
  </si>
  <si>
    <t>ｱｶｲｶﾞﾜﾑﾗ</t>
  </si>
  <si>
    <t>014095</t>
  </si>
  <si>
    <t>赤井川村</t>
  </si>
  <si>
    <t>ﾖｲﾁﾁｮｳ</t>
  </si>
  <si>
    <t>014087</t>
  </si>
  <si>
    <t>余市町</t>
  </si>
  <si>
    <t>ﾆｷﾁｮｳ</t>
  </si>
  <si>
    <t>014079</t>
  </si>
  <si>
    <t>仁木町</t>
  </si>
  <si>
    <t>ﾌﾙﾋﾞﾗﾁｮｳ</t>
  </si>
  <si>
    <t>014061</t>
  </si>
  <si>
    <t>古平町</t>
  </si>
  <si>
    <t>ｼｬｺﾀﾝﾁｮｳ</t>
  </si>
  <si>
    <t>014052</t>
  </si>
  <si>
    <t>積丹町</t>
  </si>
  <si>
    <t>宇都宮市</t>
    <phoneticPr fontId="1"/>
  </si>
  <si>
    <t>ｶﾓｴﾅｲﾑﾗ</t>
  </si>
  <si>
    <t>014044</t>
  </si>
  <si>
    <t>神恵内村</t>
  </si>
  <si>
    <t>指定都市</t>
    <rPh sb="0" eb="2">
      <t>シテイ</t>
    </rPh>
    <rPh sb="2" eb="4">
      <t>トシ</t>
    </rPh>
    <phoneticPr fontId="1"/>
  </si>
  <si>
    <t>ﾄﾏﾘﾑﾗ</t>
  </si>
  <si>
    <t>014036</t>
  </si>
  <si>
    <t>泊村</t>
  </si>
  <si>
    <t>ｲﾜﾅｲﾁｮｳ</t>
  </si>
  <si>
    <t>014028</t>
  </si>
  <si>
    <t>岩内町</t>
  </si>
  <si>
    <t>ｷｮｳﾜﾁｮｳ</t>
  </si>
  <si>
    <t>014010</t>
  </si>
  <si>
    <t>共和町</t>
  </si>
  <si>
    <t>ｸｯﾁｬﾝﾁｮｳ</t>
  </si>
  <si>
    <t>014001</t>
  </si>
  <si>
    <t>倶知安町</t>
  </si>
  <si>
    <t>ｷｮｳｺﾞｸﾁｮｳ</t>
  </si>
  <si>
    <t>013994</t>
  </si>
  <si>
    <t>京極町</t>
  </si>
  <si>
    <t>ｷﾓﾍﾞﾂﾁｮｳ</t>
  </si>
  <si>
    <t>013986</t>
  </si>
  <si>
    <t>喜茂別町</t>
  </si>
  <si>
    <t>ﾙｽﾂﾑﾗ</t>
  </si>
  <si>
    <t>013978</t>
  </si>
  <si>
    <t>留寿都村</t>
  </si>
  <si>
    <t>ﾏｯｶﾘﾑﾗ</t>
  </si>
  <si>
    <t>013960</t>
  </si>
  <si>
    <t>真狩村</t>
  </si>
  <si>
    <t>ﾆｾｺﾁｮｳ</t>
  </si>
  <si>
    <t>013951</t>
  </si>
  <si>
    <t>ニセコ町</t>
  </si>
  <si>
    <t>ﾗﾝｺｼﾁｮｳ</t>
  </si>
  <si>
    <t>013943</t>
  </si>
  <si>
    <t>蘭越町</t>
  </si>
  <si>
    <t>ｸﾛﾏﾂﾅｲﾁｮｳ</t>
  </si>
  <si>
    <t>013935</t>
  </si>
  <si>
    <t>黒松内町</t>
  </si>
  <si>
    <t>ｽｯﾂﾁｮｳ</t>
  </si>
  <si>
    <t>013927</t>
  </si>
  <si>
    <t>寿都町</t>
  </si>
  <si>
    <t>ｼﾏﾏｷﾑﾗ</t>
  </si>
  <si>
    <t>013919</t>
  </si>
  <si>
    <t>島牧村</t>
  </si>
  <si>
    <t>札幌市</t>
  </si>
  <si>
    <t>ｾﾀﾅﾁｮｳ</t>
    <phoneticPr fontId="87"/>
  </si>
  <si>
    <t>013714</t>
  </si>
  <si>
    <t>せたな町</t>
  </si>
  <si>
    <t>ｲﾏｶﾈﾁｮｳ</t>
    <phoneticPr fontId="87"/>
  </si>
  <si>
    <t>013706</t>
  </si>
  <si>
    <t>今金町</t>
  </si>
  <si>
    <t>ｵｸｼﾘﾁｮｳ</t>
  </si>
  <si>
    <t>013676</t>
  </si>
  <si>
    <t>奥尻町</t>
  </si>
  <si>
    <t>ｵﾄﾍﾞﾁｮｳ</t>
  </si>
  <si>
    <t>013641</t>
  </si>
  <si>
    <t>乙部町</t>
  </si>
  <si>
    <t>ｱｯｻﾌﾞﾁｮｳ</t>
  </si>
  <si>
    <t>013633</t>
  </si>
  <si>
    <t>厚沢部町</t>
  </si>
  <si>
    <t>ｶﾐﾉｸﾆﾁｮｳ</t>
  </si>
  <si>
    <t>013625</t>
  </si>
  <si>
    <t>上ノ国町</t>
  </si>
  <si>
    <t>013617</t>
  </si>
  <si>
    <t>江差町</t>
  </si>
  <si>
    <t>都道府県</t>
    <rPh sb="0" eb="4">
      <t>トドウフケン</t>
    </rPh>
    <phoneticPr fontId="1"/>
  </si>
  <si>
    <t>ｵｼｬﾏﾝﾍﾞﾁｮｳ</t>
  </si>
  <si>
    <t>013471</t>
  </si>
  <si>
    <t>長万部町</t>
  </si>
  <si>
    <t>ﾔｸﾓﾁｮｳ</t>
  </si>
  <si>
    <t>013463</t>
  </si>
  <si>
    <t>八雲町</t>
  </si>
  <si>
    <t>013455</t>
  </si>
  <si>
    <t>ｼｶﾍﾞﾁｮｳ</t>
  </si>
  <si>
    <t>013439</t>
  </si>
  <si>
    <t>鹿部町</t>
  </si>
  <si>
    <t>ﾅﾅｴﾁｮｳ</t>
  </si>
  <si>
    <t>013374</t>
  </si>
  <si>
    <t>七飯町</t>
  </si>
  <si>
    <t>ｷｺﾅｲﾁｮｳ</t>
  </si>
  <si>
    <t>013340</t>
  </si>
  <si>
    <t>木古内町</t>
  </si>
  <si>
    <t>ｼﾘｳﾁﾁｮｳ</t>
  </si>
  <si>
    <t>013331</t>
  </si>
  <si>
    <t>知内町</t>
  </si>
  <si>
    <t>ﾌｸｼﾏﾁｮｳ</t>
  </si>
  <si>
    <t>013323</t>
  </si>
  <si>
    <t>福島町</t>
  </si>
  <si>
    <t>ﾏﾂﾏｴﾁｮｳ</t>
  </si>
  <si>
    <t>013315</t>
  </si>
  <si>
    <t>ｼﾝｼﾉﾂﾑﾗ</t>
  </si>
  <si>
    <t>013048</t>
  </si>
  <si>
    <t>新篠津村</t>
  </si>
  <si>
    <t>ﾄｳﾍﾞﾂﾁｮｳ</t>
  </si>
  <si>
    <t>013030</t>
  </si>
  <si>
    <t>当別町</t>
  </si>
  <si>
    <t>012360</t>
  </si>
  <si>
    <t>北斗市</t>
  </si>
  <si>
    <t>ｲｼｶﾘｼ</t>
  </si>
  <si>
    <t>012351</t>
  </si>
  <si>
    <t>石狩市</t>
  </si>
  <si>
    <t>ｷﾀﾋﾛｼﾏｼ</t>
  </si>
  <si>
    <t>012343</t>
  </si>
  <si>
    <t>北広島市</t>
  </si>
  <si>
    <t>012335</t>
  </si>
  <si>
    <t>ｴﾆﾜｼ</t>
  </si>
  <si>
    <t>012319</t>
  </si>
  <si>
    <t>恵庭市</t>
  </si>
  <si>
    <t>ﾉﾎﾞﾘﾍﾞﾂｼ</t>
  </si>
  <si>
    <t>012301</t>
  </si>
  <si>
    <t>登別市</t>
  </si>
  <si>
    <t>ﾌﾗﾉｼ</t>
  </si>
  <si>
    <t>012297</t>
  </si>
  <si>
    <t>富良野市</t>
  </si>
  <si>
    <t>ﾌｶｶﾞﾜｼ</t>
  </si>
  <si>
    <t>012289</t>
  </si>
  <si>
    <t>深川市</t>
  </si>
  <si>
    <t>ｳﾀｼﾅｲｼ</t>
  </si>
  <si>
    <t>012271</t>
  </si>
  <si>
    <t>歌志内市</t>
  </si>
  <si>
    <t>ｽﾅｶﾞﾜｼ</t>
  </si>
  <si>
    <t>012262</t>
  </si>
  <si>
    <t>砂川市</t>
  </si>
  <si>
    <t>ﾀｷｶﾜｼ</t>
  </si>
  <si>
    <t>012254</t>
  </si>
  <si>
    <t>滝川市</t>
  </si>
  <si>
    <t>ﾁﾄｾｼ</t>
  </si>
  <si>
    <t>012246</t>
  </si>
  <si>
    <t>千歳市</t>
  </si>
  <si>
    <t>ﾈﾑﾛｼ</t>
  </si>
  <si>
    <t>012238</t>
  </si>
  <si>
    <t>根室市</t>
  </si>
  <si>
    <t>ﾐｶｻｼ</t>
  </si>
  <si>
    <t>012220</t>
  </si>
  <si>
    <t>三笠市</t>
  </si>
  <si>
    <t>ﾅﾖﾛｼ</t>
  </si>
  <si>
    <t>012211</t>
  </si>
  <si>
    <t>名寄市</t>
  </si>
  <si>
    <t>ｼﾍﾞﾂｼ</t>
  </si>
  <si>
    <t>012203</t>
  </si>
  <si>
    <t>士別市</t>
  </si>
  <si>
    <t>ﾓﾝﾍﾞﾂｼ</t>
  </si>
  <si>
    <t>012190</t>
  </si>
  <si>
    <t>紋別市</t>
  </si>
  <si>
    <t>ｱｶﾋﾞﾗｼ</t>
  </si>
  <si>
    <t>012181</t>
  </si>
  <si>
    <t>赤平市</t>
  </si>
  <si>
    <t>ｴﾍﾞﾂｼ</t>
  </si>
  <si>
    <t>012173</t>
  </si>
  <si>
    <t>江別市</t>
  </si>
  <si>
    <t>ｱｼﾍﾞﾂｼ</t>
  </si>
  <si>
    <t>012165</t>
  </si>
  <si>
    <t>芦別市</t>
  </si>
  <si>
    <t>ﾋﾞﾊﾞｲｼ</t>
  </si>
  <si>
    <t>012157</t>
  </si>
  <si>
    <t>美唄市</t>
  </si>
  <si>
    <t>北海道</t>
    <phoneticPr fontId="87"/>
  </si>
  <si>
    <t>ﾜｯｶﾅｲｼ</t>
  </si>
  <si>
    <t>012149</t>
  </si>
  <si>
    <t>稚内市</t>
  </si>
  <si>
    <t>ﾄﾏｺﾏｲｼ</t>
  </si>
  <si>
    <t>012131</t>
  </si>
  <si>
    <t>苫小牧市</t>
  </si>
  <si>
    <t>ﾙﾓｲｼ</t>
  </si>
  <si>
    <t>012122</t>
  </si>
  <si>
    <t>留萌市</t>
  </si>
  <si>
    <t>ｱﾊﾞｼﾘｼ</t>
  </si>
  <si>
    <t>012114</t>
  </si>
  <si>
    <t>網走市</t>
  </si>
  <si>
    <t>ｲﾜﾐｻﾞﾜｼ</t>
  </si>
  <si>
    <t>012106</t>
  </si>
  <si>
    <t>岩見沢市</t>
  </si>
  <si>
    <t>ﾕｳﾊﾞﾘｼ</t>
  </si>
  <si>
    <t>012092</t>
  </si>
  <si>
    <t>夕張市</t>
  </si>
  <si>
    <t>ｷﾀﾐｼ</t>
  </si>
  <si>
    <t>012084</t>
  </si>
  <si>
    <t>北見市</t>
  </si>
  <si>
    <t>ｵﾋﾞﾋﾛｼ</t>
  </si>
  <si>
    <t>012076</t>
  </si>
  <si>
    <t>帯広市</t>
  </si>
  <si>
    <t>ｸｼﾛｼ</t>
  </si>
  <si>
    <t>012068</t>
  </si>
  <si>
    <t>釧路市</t>
  </si>
  <si>
    <t>ﾑﾛﾗﾝｼ</t>
  </si>
  <si>
    <t>012050</t>
  </si>
  <si>
    <t>室蘭市</t>
  </si>
  <si>
    <t>ｱｻﾋｶﾜｼ</t>
  </si>
  <si>
    <t>012041</t>
  </si>
  <si>
    <t>ｵﾀﾙｼ</t>
  </si>
  <si>
    <t>012033</t>
  </si>
  <si>
    <t>小樽市</t>
  </si>
  <si>
    <t>ﾊｺﾀﾞﾃｼ</t>
  </si>
  <si>
    <t>012025</t>
  </si>
  <si>
    <t>ｻｯﾎﾟﾛｼ</t>
  </si>
  <si>
    <t>011002</t>
  </si>
  <si>
    <t>010006</t>
    <phoneticPr fontId="87"/>
  </si>
  <si>
    <t>市区町村名
（ｶﾅ）</t>
    <rPh sb="0" eb="2">
      <t>シク</t>
    </rPh>
    <rPh sb="2" eb="4">
      <t>チョウソン</t>
    </rPh>
    <rPh sb="4" eb="5">
      <t>メイ</t>
    </rPh>
    <phoneticPr fontId="87"/>
  </si>
  <si>
    <t>都道府県名
（ｶﾅ）</t>
    <rPh sb="0" eb="4">
      <t>トドウフケン</t>
    </rPh>
    <rPh sb="4" eb="5">
      <t>メイ</t>
    </rPh>
    <phoneticPr fontId="87"/>
  </si>
  <si>
    <t>団体コード</t>
    <rPh sb="0" eb="2">
      <t>ダンタイ</t>
    </rPh>
    <phoneticPr fontId="87"/>
  </si>
  <si>
    <t>都道府県＋市区町村</t>
    <rPh sb="0" eb="4">
      <t>トドウフケン</t>
    </rPh>
    <rPh sb="5" eb="9">
      <t>シクチョウソン</t>
    </rPh>
    <phoneticPr fontId="1"/>
  </si>
  <si>
    <t>市区町村名
（漢字）</t>
    <rPh sb="0" eb="2">
      <t>シク</t>
    </rPh>
    <rPh sb="2" eb="4">
      <t>チョウソン</t>
    </rPh>
    <rPh sb="4" eb="5">
      <t>メイ</t>
    </rPh>
    <rPh sb="7" eb="9">
      <t>カンジ</t>
    </rPh>
    <phoneticPr fontId="87"/>
  </si>
  <si>
    <t>都道府県名
（漢字）</t>
    <rPh sb="0" eb="4">
      <t>トドウフケン</t>
    </rPh>
    <rPh sb="4" eb="5">
      <t>メイ</t>
    </rPh>
    <rPh sb="7" eb="9">
      <t>カンジ</t>
    </rPh>
    <phoneticPr fontId="87"/>
  </si>
  <si>
    <t>都道府県平均</t>
    <rPh sb="0" eb="4">
      <t>トドウフケン</t>
    </rPh>
    <rPh sb="4" eb="6">
      <t>ヘイキン</t>
    </rPh>
    <phoneticPr fontId="87"/>
  </si>
  <si>
    <t>ラスパイレス指数</t>
    <rPh sb="6" eb="8">
      <t>シスウ</t>
    </rPh>
    <phoneticPr fontId="92"/>
  </si>
  <si>
    <t>将来負担比率</t>
    <rPh sb="0" eb="2">
      <t>ショウライ</t>
    </rPh>
    <rPh sb="2" eb="4">
      <t>フタン</t>
    </rPh>
    <rPh sb="4" eb="6">
      <t>ヒリツ</t>
    </rPh>
    <phoneticPr fontId="92"/>
  </si>
  <si>
    <t>実質公債費比率</t>
    <rPh sb="0" eb="2">
      <t>ジッシツ</t>
    </rPh>
    <rPh sb="2" eb="5">
      <t>コウサイヒ</t>
    </rPh>
    <rPh sb="5" eb="7">
      <t>ヒリツ</t>
    </rPh>
    <phoneticPr fontId="92"/>
  </si>
  <si>
    <t>経常収支比率</t>
    <rPh sb="0" eb="2">
      <t>ケイジョウ</t>
    </rPh>
    <rPh sb="2" eb="4">
      <t>シュウシ</t>
    </rPh>
    <rPh sb="4" eb="6">
      <t>ヒリツ</t>
    </rPh>
    <phoneticPr fontId="92"/>
  </si>
  <si>
    <t>財政力指数</t>
    <rPh sb="0" eb="3">
      <t>ザイセイリョク</t>
    </rPh>
    <rPh sb="3" eb="5">
      <t>シスウ</t>
    </rPh>
    <phoneticPr fontId="92"/>
  </si>
  <si>
    <t>都道府県名</t>
    <rPh sb="0" eb="4">
      <t>トドウフケン</t>
    </rPh>
    <rPh sb="4" eb="5">
      <t>メイ</t>
    </rPh>
    <phoneticPr fontId="92"/>
  </si>
  <si>
    <t>全国市町村平均</t>
    <rPh sb="0" eb="2">
      <t>ゼンコク</t>
    </rPh>
    <rPh sb="2" eb="5">
      <t>シチョウソン</t>
    </rPh>
    <rPh sb="5" eb="7">
      <t>ヘイキン</t>
    </rPh>
    <phoneticPr fontId="87"/>
  </si>
  <si>
    <t>-</t>
  </si>
  <si>
    <t>五ケ瀬町</t>
  </si>
  <si>
    <t>那珂川市</t>
  </si>
  <si>
    <t>402311</t>
  </si>
  <si>
    <t>丹波篠山市</t>
  </si>
  <si>
    <t>駒ケ根市</t>
  </si>
  <si>
    <t>大網白里市</t>
  </si>
  <si>
    <t>122394</t>
  </si>
  <si>
    <t>白岡市</t>
  </si>
  <si>
    <t>112461</t>
  </si>
  <si>
    <t>鶴ケ島市</t>
  </si>
  <si>
    <t>七ケ浜町</t>
  </si>
  <si>
    <t>七ケ宿町</t>
  </si>
  <si>
    <t>富谷市</t>
  </si>
  <si>
    <t>042161</t>
  </si>
  <si>
    <t>滝沢市</t>
  </si>
  <si>
    <t>032166</t>
  </si>
  <si>
    <t>六ケ所村</t>
  </si>
  <si>
    <t>鰺ケ沢町</t>
  </si>
  <si>
    <t>別海町</t>
  </si>
  <si>
    <t>ラスパイレス指数</t>
    <rPh sb="6" eb="8">
      <t>シスウ</t>
    </rPh>
    <phoneticPr fontId="87"/>
  </si>
  <si>
    <t>将来負担比率</t>
    <rPh sb="0" eb="2">
      <t>ショウライ</t>
    </rPh>
    <rPh sb="2" eb="4">
      <t>フタン</t>
    </rPh>
    <rPh sb="4" eb="6">
      <t>ヒリツ</t>
    </rPh>
    <phoneticPr fontId="87"/>
  </si>
  <si>
    <t>実質公債費比率</t>
    <rPh sb="0" eb="2">
      <t>ジッシツ</t>
    </rPh>
    <rPh sb="2" eb="5">
      <t>コウサイヒ</t>
    </rPh>
    <rPh sb="5" eb="7">
      <t>ヒリツ</t>
    </rPh>
    <phoneticPr fontId="87"/>
  </si>
  <si>
    <t>経常収支比率</t>
    <rPh sb="0" eb="2">
      <t>ケイジョウ</t>
    </rPh>
    <rPh sb="2" eb="4">
      <t>シュウシ</t>
    </rPh>
    <rPh sb="4" eb="6">
      <t>ヒリツ</t>
    </rPh>
    <phoneticPr fontId="87"/>
  </si>
  <si>
    <t>財政力指数</t>
    <rPh sb="0" eb="3">
      <t>ザイセイリョク</t>
    </rPh>
    <rPh sb="3" eb="5">
      <t>シスウ</t>
    </rPh>
    <phoneticPr fontId="87"/>
  </si>
  <si>
    <t>団体名</t>
    <rPh sb="0" eb="3">
      <t>ダンタイメイ</t>
    </rPh>
    <phoneticPr fontId="87"/>
  </si>
  <si>
    <t>都道府県名</t>
    <phoneticPr fontId="87"/>
  </si>
  <si>
    <t>オンサイト自家消費型家庭用</t>
    <rPh sb="5" eb="7">
      <t>ジカ</t>
    </rPh>
    <rPh sb="7" eb="10">
      <t>ショウヒガタ</t>
    </rPh>
    <rPh sb="10" eb="13">
      <t>カテイヨウ</t>
    </rPh>
    <phoneticPr fontId="1"/>
  </si>
  <si>
    <t>民生電力 又は 民生電力以外</t>
    <rPh sb="0" eb="2">
      <t>ミンセイ</t>
    </rPh>
    <rPh sb="2" eb="4">
      <t>デンリョク</t>
    </rPh>
    <rPh sb="5" eb="6">
      <t>マタ</t>
    </rPh>
    <rPh sb="8" eb="10">
      <t>ミンセイ</t>
    </rPh>
    <rPh sb="10" eb="12">
      <t>デンリョク</t>
    </rPh>
    <rPh sb="12" eb="14">
      <t>イガイ</t>
    </rPh>
    <phoneticPr fontId="1"/>
  </si>
  <si>
    <t>事業種別×設備区分</t>
    <rPh sb="5" eb="7">
      <t>セツビ</t>
    </rPh>
    <rPh sb="7" eb="9">
      <t>クブン</t>
    </rPh>
    <phoneticPr fontId="1"/>
  </si>
  <si>
    <t>交付率0.51</t>
    <rPh sb="0" eb="3">
      <t>コウフリツ</t>
    </rPh>
    <phoneticPr fontId="1"/>
  </si>
  <si>
    <t>設備区分×設備種別</t>
    <rPh sb="5" eb="7">
      <t>セツビ</t>
    </rPh>
    <rPh sb="7" eb="9">
      <t>シュベツ</t>
    </rPh>
    <phoneticPr fontId="1"/>
  </si>
  <si>
    <t>①交付金あり　直接</t>
    <rPh sb="7" eb="9">
      <t>チョクセツ</t>
    </rPh>
    <phoneticPr fontId="1"/>
  </si>
  <si>
    <t>ア_再エネ設備整備</t>
    <phoneticPr fontId="1"/>
  </si>
  <si>
    <t>(ア)太陽光発電設備</t>
    <phoneticPr fontId="1"/>
  </si>
  <si>
    <t>(イ)その他再生可能エネルギー発電設備</t>
    <phoneticPr fontId="1"/>
  </si>
  <si>
    <t>(ウ)熱利用設備</t>
    <phoneticPr fontId="1"/>
  </si>
  <si>
    <t>(エ)蓄電池</t>
    <phoneticPr fontId="1"/>
  </si>
  <si>
    <t>(オ)その他基盤インフラ設備</t>
    <phoneticPr fontId="1"/>
  </si>
  <si>
    <t>(カ)車載型蓄電池等</t>
    <phoneticPr fontId="1"/>
  </si>
  <si>
    <t>(キ)充放電設備</t>
    <phoneticPr fontId="1"/>
  </si>
  <si>
    <t>(ク)水素等関連設備</t>
    <phoneticPr fontId="1"/>
  </si>
  <si>
    <t>(ケ)ZEB</t>
    <phoneticPr fontId="1"/>
  </si>
  <si>
    <t>(コ)ZEH</t>
    <phoneticPr fontId="1"/>
  </si>
  <si>
    <t>(サ)ZEH-M</t>
    <phoneticPr fontId="1"/>
  </si>
  <si>
    <t>(シ)ZEH等を上回る、自治体独自の断熱性能の基準を満たす高性能住宅</t>
    <rPh sb="6" eb="7">
      <t>トウ</t>
    </rPh>
    <phoneticPr fontId="1"/>
  </si>
  <si>
    <t>(ス)既存住宅断熱改修</t>
    <phoneticPr fontId="1"/>
  </si>
  <si>
    <t>(セ)EVカーシェア</t>
    <phoneticPr fontId="1"/>
  </si>
  <si>
    <t>(ソ)EVバス</t>
    <phoneticPr fontId="1"/>
  </si>
  <si>
    <t>(タ)EV清掃車</t>
    <phoneticPr fontId="1"/>
  </si>
  <si>
    <t>(チ)グリーンスローモビリティ</t>
    <phoneticPr fontId="1"/>
  </si>
  <si>
    <t>(ツ)水素等利活用設備</t>
    <phoneticPr fontId="1"/>
  </si>
  <si>
    <t>(テ)高効率換気空調設備、高効率照明機器、高効率給湯器、高効率融雪設備、コージェネレーション等</t>
    <phoneticPr fontId="1"/>
  </si>
  <si>
    <t>(ト)効果促進事業</t>
    <phoneticPr fontId="1"/>
  </si>
  <si>
    <t>(ナ)その他事業を実現する上で必要と認められる設備</t>
    <phoneticPr fontId="1"/>
  </si>
  <si>
    <t>(ニ)執行事務費</t>
    <phoneticPr fontId="1"/>
  </si>
  <si>
    <t>①交付金あり　間接</t>
    <rPh sb="7" eb="9">
      <t>カンセツ</t>
    </rPh>
    <phoneticPr fontId="1"/>
  </si>
  <si>
    <t>イ_基盤インフラ整備</t>
    <phoneticPr fontId="1"/>
  </si>
  <si>
    <t>名前の定義⇒</t>
    <rPh sb="0" eb="2">
      <t>ナマエ</t>
    </rPh>
    <rPh sb="3" eb="5">
      <t>テイギ</t>
    </rPh>
    <phoneticPr fontId="1"/>
  </si>
  <si>
    <t>太陽光発電設備</t>
    <phoneticPr fontId="1"/>
  </si>
  <si>
    <t>その他再生可能エネルギー発電設備</t>
    <phoneticPr fontId="1"/>
  </si>
  <si>
    <t>熱利用設備</t>
    <phoneticPr fontId="1"/>
  </si>
  <si>
    <t>蓄電池</t>
    <phoneticPr fontId="1"/>
  </si>
  <si>
    <t>その他基盤インフラ設備</t>
    <phoneticPr fontId="1"/>
  </si>
  <si>
    <t>車載型蓄電池等</t>
    <phoneticPr fontId="1"/>
  </si>
  <si>
    <t>充放電設備</t>
    <phoneticPr fontId="1"/>
  </si>
  <si>
    <t>水素等関連設備</t>
    <phoneticPr fontId="1"/>
  </si>
  <si>
    <t>ZEB</t>
    <phoneticPr fontId="1"/>
  </si>
  <si>
    <t>ZEH</t>
    <phoneticPr fontId="1"/>
  </si>
  <si>
    <t>ZEH_M</t>
    <phoneticPr fontId="1"/>
  </si>
  <si>
    <t>ZEH等を上回る自治体独自の断熱性能の基準を満たす高性能住宅</t>
    <phoneticPr fontId="1"/>
  </si>
  <si>
    <t>既存住宅断熱改修</t>
    <phoneticPr fontId="1"/>
  </si>
  <si>
    <t>EVカーシェア</t>
    <phoneticPr fontId="1"/>
  </si>
  <si>
    <t>EVバス</t>
    <phoneticPr fontId="1"/>
  </si>
  <si>
    <t>EV清掃車</t>
    <phoneticPr fontId="1"/>
  </si>
  <si>
    <t>グリーンスローモビリティ</t>
    <phoneticPr fontId="1"/>
  </si>
  <si>
    <t>水素等利活用設備</t>
    <phoneticPr fontId="1"/>
  </si>
  <si>
    <t>高効率設備等</t>
    <phoneticPr fontId="1"/>
  </si>
  <si>
    <t>効果促進事業</t>
    <phoneticPr fontId="1"/>
  </si>
  <si>
    <t>その他事業を実現する上で必要と認められる設備</t>
    <phoneticPr fontId="1"/>
  </si>
  <si>
    <t>執行事務費</t>
    <phoneticPr fontId="1"/>
  </si>
  <si>
    <t>①交付金あり　公共施設（PPA）</t>
    <rPh sb="7" eb="11">
      <t>コウキョウシセツ</t>
    </rPh>
    <phoneticPr fontId="1"/>
  </si>
  <si>
    <t>ウ_省CO2等設備整備</t>
    <phoneticPr fontId="1"/>
  </si>
  <si>
    <t>オンサイト自家消費型業務用</t>
    <rPh sb="5" eb="7">
      <t>ジカ</t>
    </rPh>
    <rPh sb="7" eb="10">
      <t>ショウヒガタ</t>
    </rPh>
    <rPh sb="10" eb="13">
      <t>ギョウムヨウ</t>
    </rPh>
    <phoneticPr fontId="1"/>
  </si>
  <si>
    <t>風力発電オンサイト自家消費型業務用</t>
    <rPh sb="0" eb="2">
      <t>フウリョク</t>
    </rPh>
    <rPh sb="2" eb="4">
      <t>ハツデン</t>
    </rPh>
    <rPh sb="9" eb="11">
      <t>ジカ</t>
    </rPh>
    <rPh sb="11" eb="14">
      <t>ショウヒガタ</t>
    </rPh>
    <rPh sb="14" eb="17">
      <t>ギョウムヨウ</t>
    </rPh>
    <phoneticPr fontId="1"/>
  </si>
  <si>
    <t>太陽熱</t>
    <rPh sb="0" eb="3">
      <t>タイヨウネツ</t>
    </rPh>
    <phoneticPr fontId="1"/>
  </si>
  <si>
    <t>太陽光発電併設家庭用</t>
    <rPh sb="0" eb="3">
      <t>タイヨウコウ</t>
    </rPh>
    <rPh sb="3" eb="5">
      <t>ハツデン</t>
    </rPh>
    <rPh sb="5" eb="7">
      <t>ヘイセツ</t>
    </rPh>
    <rPh sb="7" eb="10">
      <t>カテイヨウ</t>
    </rPh>
    <phoneticPr fontId="1"/>
  </si>
  <si>
    <t>自営線</t>
    <rPh sb="0" eb="3">
      <t>ジエイセン</t>
    </rPh>
    <phoneticPr fontId="1"/>
  </si>
  <si>
    <t>EV</t>
    <phoneticPr fontId="1"/>
  </si>
  <si>
    <t>充放電設備</t>
    <rPh sb="0" eb="3">
      <t>ジュウホウデン</t>
    </rPh>
    <rPh sb="3" eb="5">
      <t>セツビ</t>
    </rPh>
    <phoneticPr fontId="1"/>
  </si>
  <si>
    <t>水素製造・使用一体等設備</t>
    <rPh sb="0" eb="2">
      <t>スイソ</t>
    </rPh>
    <rPh sb="2" eb="4">
      <t>セイゾウ</t>
    </rPh>
    <rPh sb="5" eb="7">
      <t>シヨウ</t>
    </rPh>
    <rPh sb="7" eb="9">
      <t>イッタイ</t>
    </rPh>
    <rPh sb="9" eb="10">
      <t>トウ</t>
    </rPh>
    <rPh sb="10" eb="12">
      <t>セツビ</t>
    </rPh>
    <phoneticPr fontId="1"/>
  </si>
  <si>
    <t>地方公共団体等新改築ZEB</t>
    <rPh sb="0" eb="2">
      <t>チホウ</t>
    </rPh>
    <rPh sb="2" eb="4">
      <t>コウキョウ</t>
    </rPh>
    <rPh sb="4" eb="6">
      <t>ダンタイ</t>
    </rPh>
    <rPh sb="6" eb="7">
      <t>トウ</t>
    </rPh>
    <rPh sb="7" eb="10">
      <t>シンカイチク</t>
    </rPh>
    <phoneticPr fontId="1"/>
  </si>
  <si>
    <t>ZEH-M（低層）</t>
    <phoneticPr fontId="1"/>
  </si>
  <si>
    <t>ZEHを上回る基準</t>
    <rPh sb="4" eb="6">
      <t>ウワマワ</t>
    </rPh>
    <rPh sb="7" eb="9">
      <t>キジュン</t>
    </rPh>
    <phoneticPr fontId="1"/>
  </si>
  <si>
    <t>戸建</t>
    <rPh sb="0" eb="2">
      <t>コダ</t>
    </rPh>
    <phoneticPr fontId="1"/>
  </si>
  <si>
    <t>EV・PHEVカーシェア</t>
    <phoneticPr fontId="1"/>
  </si>
  <si>
    <t>EVバス（白ナンバー）</t>
    <rPh sb="5" eb="6">
      <t>シロ</t>
    </rPh>
    <phoneticPr fontId="1"/>
  </si>
  <si>
    <t>EV清掃車</t>
    <rPh sb="2" eb="5">
      <t>セイソウシャ</t>
    </rPh>
    <phoneticPr fontId="1"/>
  </si>
  <si>
    <t>水素等利活用設備</t>
    <rPh sb="0" eb="2">
      <t>スイソ</t>
    </rPh>
    <rPh sb="2" eb="3">
      <t>トウ</t>
    </rPh>
    <rPh sb="3" eb="6">
      <t>リカツヨウ</t>
    </rPh>
    <rPh sb="6" eb="8">
      <t>セツビ</t>
    </rPh>
    <phoneticPr fontId="1"/>
  </si>
  <si>
    <t>業務用高効率空調機器</t>
    <rPh sb="0" eb="3">
      <t>ギョウムヨウ</t>
    </rPh>
    <rPh sb="3" eb="6">
      <t>コウコウリツ</t>
    </rPh>
    <rPh sb="6" eb="8">
      <t>クウチョウ</t>
    </rPh>
    <rPh sb="8" eb="10">
      <t>キキ</t>
    </rPh>
    <phoneticPr fontId="1"/>
  </si>
  <si>
    <t>（事業概要に具体的に記載）</t>
    <rPh sb="1" eb="5">
      <t>ジギョウガイヨウ</t>
    </rPh>
    <rPh sb="6" eb="9">
      <t>グタイテキ</t>
    </rPh>
    <rPh sb="10" eb="12">
      <t>キサイ</t>
    </rPh>
    <phoneticPr fontId="1"/>
  </si>
  <si>
    <t>①交付金あり　民間（PPA）</t>
    <rPh sb="7" eb="9">
      <t>ミンカン</t>
    </rPh>
    <phoneticPr fontId="1"/>
  </si>
  <si>
    <t>エ_効果促進事業</t>
    <phoneticPr fontId="1"/>
  </si>
  <si>
    <t>風力発電オンサイト自家消費型家庭用</t>
    <rPh sb="0" eb="2">
      <t>フウリョク</t>
    </rPh>
    <rPh sb="2" eb="4">
      <t>ハツデン</t>
    </rPh>
    <rPh sb="9" eb="11">
      <t>ジカ</t>
    </rPh>
    <rPh sb="11" eb="14">
      <t>ショウヒガタ</t>
    </rPh>
    <rPh sb="14" eb="16">
      <t>カテイ</t>
    </rPh>
    <rPh sb="16" eb="17">
      <t>ヨウ</t>
    </rPh>
    <phoneticPr fontId="1"/>
  </si>
  <si>
    <t>バイオマス熱</t>
    <rPh sb="5" eb="6">
      <t>ネツ</t>
    </rPh>
    <phoneticPr fontId="1"/>
  </si>
  <si>
    <t>太陽光発電併設業務用</t>
    <rPh sb="0" eb="3">
      <t>タイヨウコウ</t>
    </rPh>
    <rPh sb="3" eb="5">
      <t>ハツデン</t>
    </rPh>
    <rPh sb="5" eb="7">
      <t>ヘイセツ</t>
    </rPh>
    <rPh sb="7" eb="9">
      <t>ギョウム</t>
    </rPh>
    <rPh sb="9" eb="10">
      <t>ヨウ</t>
    </rPh>
    <phoneticPr fontId="1"/>
  </si>
  <si>
    <t>蓄熱設備</t>
    <rPh sb="0" eb="2">
      <t>チクネツ</t>
    </rPh>
    <rPh sb="2" eb="4">
      <t>セツビ</t>
    </rPh>
    <phoneticPr fontId="1"/>
  </si>
  <si>
    <t>PHEV</t>
    <phoneticPr fontId="1"/>
  </si>
  <si>
    <t>充電設備</t>
    <rPh sb="0" eb="2">
      <t>ジュウデン</t>
    </rPh>
    <rPh sb="2" eb="4">
      <t>セツビ</t>
    </rPh>
    <phoneticPr fontId="1"/>
  </si>
  <si>
    <t>水素製造等設備（使用なし）</t>
    <rPh sb="0" eb="2">
      <t>スイソ</t>
    </rPh>
    <rPh sb="2" eb="4">
      <t>セイゾウ</t>
    </rPh>
    <rPh sb="4" eb="5">
      <t>トウ</t>
    </rPh>
    <rPh sb="5" eb="7">
      <t>セツビ</t>
    </rPh>
    <rPh sb="8" eb="10">
      <t>シヨウ</t>
    </rPh>
    <phoneticPr fontId="1"/>
  </si>
  <si>
    <t>地方公共団体等改修ZEB</t>
    <rPh sb="0" eb="2">
      <t>チホウ</t>
    </rPh>
    <rPh sb="2" eb="4">
      <t>コウキョウ</t>
    </rPh>
    <rPh sb="4" eb="6">
      <t>ダンタイ</t>
    </rPh>
    <rPh sb="6" eb="7">
      <t>トウ</t>
    </rPh>
    <rPh sb="7" eb="9">
      <t>カイシュウ</t>
    </rPh>
    <phoneticPr fontId="1"/>
  </si>
  <si>
    <t>ZEH（CLT）</t>
    <phoneticPr fontId="1"/>
  </si>
  <si>
    <t>ZEH-M（中高層）</t>
    <rPh sb="6" eb="9">
      <t>チュウコウソウ</t>
    </rPh>
    <phoneticPr fontId="1"/>
  </si>
  <si>
    <t>ZEH+を上回る基準</t>
    <rPh sb="5" eb="7">
      <t>ウワマワ</t>
    </rPh>
    <rPh sb="8" eb="10">
      <t>キジュン</t>
    </rPh>
    <phoneticPr fontId="1"/>
  </si>
  <si>
    <t>集合</t>
    <rPh sb="0" eb="2">
      <t>シュウゴウ</t>
    </rPh>
    <phoneticPr fontId="1"/>
  </si>
  <si>
    <t>業務用高効率換気設備（空調を除く）</t>
    <rPh sb="3" eb="6">
      <t>コウコウリツ</t>
    </rPh>
    <rPh sb="6" eb="8">
      <t>カンキ</t>
    </rPh>
    <rPh sb="8" eb="10">
      <t>セツビ</t>
    </rPh>
    <rPh sb="11" eb="13">
      <t>クウチョウ</t>
    </rPh>
    <rPh sb="14" eb="15">
      <t>ノゾ</t>
    </rPh>
    <phoneticPr fontId="1"/>
  </si>
  <si>
    <t>②交付金なし</t>
    <rPh sb="3" eb="4">
      <t>キン</t>
    </rPh>
    <phoneticPr fontId="1"/>
  </si>
  <si>
    <t>オ_その他</t>
    <phoneticPr fontId="1"/>
  </si>
  <si>
    <t>自営線型</t>
    <rPh sb="0" eb="3">
      <t>ジエイセン</t>
    </rPh>
    <rPh sb="3" eb="4">
      <t>ガタ</t>
    </rPh>
    <phoneticPr fontId="1"/>
  </si>
  <si>
    <t>風力発電自営線型</t>
    <rPh sb="0" eb="2">
      <t>フウリョク</t>
    </rPh>
    <rPh sb="2" eb="4">
      <t>ハツデン</t>
    </rPh>
    <rPh sb="4" eb="6">
      <t>ジエイ</t>
    </rPh>
    <rPh sb="6" eb="7">
      <t>セン</t>
    </rPh>
    <rPh sb="7" eb="8">
      <t>ガタ</t>
    </rPh>
    <phoneticPr fontId="1"/>
  </si>
  <si>
    <t>地下水熱</t>
    <rPh sb="0" eb="3">
      <t>チカスイ</t>
    </rPh>
    <rPh sb="3" eb="4">
      <t>ネツ</t>
    </rPh>
    <phoneticPr fontId="1"/>
  </si>
  <si>
    <t>風力発電併設家庭用</t>
    <rPh sb="0" eb="2">
      <t>フウリョク</t>
    </rPh>
    <rPh sb="2" eb="4">
      <t>ハツデン</t>
    </rPh>
    <rPh sb="4" eb="6">
      <t>ヘイセツ</t>
    </rPh>
    <phoneticPr fontId="1"/>
  </si>
  <si>
    <t>熱導管</t>
    <rPh sb="0" eb="1">
      <t>ネツ</t>
    </rPh>
    <rPh sb="1" eb="3">
      <t>ドウカン</t>
    </rPh>
    <phoneticPr fontId="1"/>
  </si>
  <si>
    <t>FCV</t>
    <phoneticPr fontId="1"/>
  </si>
  <si>
    <t>外部給電器</t>
    <rPh sb="0" eb="2">
      <t>ガイブ</t>
    </rPh>
    <rPh sb="2" eb="5">
      <t>キュウデンキ</t>
    </rPh>
    <phoneticPr fontId="1"/>
  </si>
  <si>
    <t>水素貯蔵又は運搬</t>
    <rPh sb="0" eb="2">
      <t>スイソ</t>
    </rPh>
    <rPh sb="2" eb="4">
      <t>チョゾウ</t>
    </rPh>
    <rPh sb="4" eb="5">
      <t>マタ</t>
    </rPh>
    <rPh sb="6" eb="8">
      <t>ウンパン</t>
    </rPh>
    <phoneticPr fontId="1"/>
  </si>
  <si>
    <t>民間ビル新改築ZEB</t>
    <rPh sb="4" eb="7">
      <t>シンカイチク</t>
    </rPh>
    <phoneticPr fontId="1"/>
  </si>
  <si>
    <t>ZEH+</t>
    <phoneticPr fontId="1"/>
  </si>
  <si>
    <t>ZEH-M（低層CLT）</t>
    <rPh sb="6" eb="8">
      <t>テイソウ</t>
    </rPh>
    <phoneticPr fontId="1"/>
  </si>
  <si>
    <t>業務用高効率照明機器（調光型LED）</t>
    <rPh sb="3" eb="6">
      <t>コウコウリツ</t>
    </rPh>
    <rPh sb="6" eb="8">
      <t>ショウメイ</t>
    </rPh>
    <rPh sb="8" eb="10">
      <t>キキ</t>
    </rPh>
    <rPh sb="11" eb="14">
      <t>チョウコウガタ</t>
    </rPh>
    <phoneticPr fontId="1"/>
  </si>
  <si>
    <t>定額</t>
    <rPh sb="0" eb="2">
      <t>テイガク</t>
    </rPh>
    <phoneticPr fontId="1"/>
  </si>
  <si>
    <t>系統接続型</t>
    <rPh sb="0" eb="2">
      <t>ケイトウ</t>
    </rPh>
    <rPh sb="2" eb="4">
      <t>セツゾク</t>
    </rPh>
    <rPh sb="4" eb="5">
      <t>ガタ</t>
    </rPh>
    <phoneticPr fontId="1"/>
  </si>
  <si>
    <t>風力発電系統接続型</t>
    <rPh sb="0" eb="2">
      <t>フウリョク</t>
    </rPh>
    <rPh sb="2" eb="4">
      <t>ハツデン</t>
    </rPh>
    <rPh sb="8" eb="9">
      <t>ガタ</t>
    </rPh>
    <phoneticPr fontId="1"/>
  </si>
  <si>
    <t>下水熱</t>
    <rPh sb="0" eb="2">
      <t>ゲスイ</t>
    </rPh>
    <rPh sb="2" eb="3">
      <t>ネツ</t>
    </rPh>
    <phoneticPr fontId="1"/>
  </si>
  <si>
    <t>風力発電併設業務用</t>
    <rPh sb="0" eb="2">
      <t>フウリョク</t>
    </rPh>
    <rPh sb="2" eb="4">
      <t>ハツデン</t>
    </rPh>
    <rPh sb="4" eb="6">
      <t>ヘイセツ</t>
    </rPh>
    <rPh sb="6" eb="8">
      <t>ギョウム</t>
    </rPh>
    <rPh sb="8" eb="9">
      <t>ヨウ</t>
    </rPh>
    <phoneticPr fontId="1"/>
  </si>
  <si>
    <t>エネマネ</t>
    <phoneticPr fontId="1"/>
  </si>
  <si>
    <t>その他：事業概要に具体的に記載</t>
    <rPh sb="2" eb="3">
      <t>タ</t>
    </rPh>
    <rPh sb="4" eb="8">
      <t>ジギョウガイヨウ</t>
    </rPh>
    <rPh sb="9" eb="12">
      <t>グタイテキ</t>
    </rPh>
    <rPh sb="13" eb="15">
      <t>キサイ</t>
    </rPh>
    <phoneticPr fontId="1"/>
  </si>
  <si>
    <t>民間ビル改修ZEB</t>
    <rPh sb="4" eb="6">
      <t>カイシュウ</t>
    </rPh>
    <phoneticPr fontId="1"/>
  </si>
  <si>
    <t>ZEH+（CLT）</t>
    <phoneticPr fontId="1"/>
  </si>
  <si>
    <t>ZEH-M（中高層CLT）</t>
    <phoneticPr fontId="1"/>
  </si>
  <si>
    <t>業務用高効率照明機器（従来型LED）</t>
    <rPh sb="3" eb="6">
      <t>コウコウリツ</t>
    </rPh>
    <rPh sb="6" eb="8">
      <t>ショウメイ</t>
    </rPh>
    <rPh sb="8" eb="10">
      <t>キキ</t>
    </rPh>
    <rPh sb="11" eb="13">
      <t>ジュウライ</t>
    </rPh>
    <rPh sb="13" eb="14">
      <t>ガタ</t>
    </rPh>
    <phoneticPr fontId="1"/>
  </si>
  <si>
    <t>地熱発電オンサイト自家消費型業務用</t>
    <rPh sb="0" eb="2">
      <t>チネツ</t>
    </rPh>
    <rPh sb="2" eb="4">
      <t>ハツデン</t>
    </rPh>
    <rPh sb="9" eb="11">
      <t>ジカ</t>
    </rPh>
    <rPh sb="11" eb="14">
      <t>ショウヒガタ</t>
    </rPh>
    <rPh sb="14" eb="17">
      <t>ギョウムヨウ</t>
    </rPh>
    <phoneticPr fontId="1"/>
  </si>
  <si>
    <t>河川熱</t>
    <rPh sb="0" eb="2">
      <t>カセン</t>
    </rPh>
    <rPh sb="2" eb="3">
      <t>ネツ</t>
    </rPh>
    <phoneticPr fontId="1"/>
  </si>
  <si>
    <t>業務用高効率給湯機器</t>
    <rPh sb="3" eb="6">
      <t>コウコウリツ</t>
    </rPh>
    <rPh sb="6" eb="8">
      <t>キュウトウ</t>
    </rPh>
    <rPh sb="8" eb="10">
      <t>キキ</t>
    </rPh>
    <phoneticPr fontId="1"/>
  </si>
  <si>
    <t>地熱発電オンサイト自家消費型家庭用</t>
    <rPh sb="0" eb="2">
      <t>チネツ</t>
    </rPh>
    <rPh sb="2" eb="4">
      <t>ハツデン</t>
    </rPh>
    <rPh sb="9" eb="11">
      <t>ジカ</t>
    </rPh>
    <rPh sb="11" eb="14">
      <t>ショウヒガタ</t>
    </rPh>
    <rPh sb="14" eb="17">
      <t>カテイヨウ</t>
    </rPh>
    <phoneticPr fontId="1"/>
  </si>
  <si>
    <t>地中熱</t>
    <rPh sb="0" eb="2">
      <t>チチュウ</t>
    </rPh>
    <rPh sb="2" eb="3">
      <t>ネツ</t>
    </rPh>
    <phoneticPr fontId="1"/>
  </si>
  <si>
    <t>業務用高効率融雪設備</t>
    <rPh sb="3" eb="6">
      <t>コウコウリツ</t>
    </rPh>
    <rPh sb="6" eb="8">
      <t>ユウセツ</t>
    </rPh>
    <rPh sb="8" eb="10">
      <t>セツビ</t>
    </rPh>
    <phoneticPr fontId="1"/>
  </si>
  <si>
    <t>地熱発電自営線型</t>
    <rPh sb="0" eb="2">
      <t>チネツ</t>
    </rPh>
    <rPh sb="2" eb="4">
      <t>ハツデン</t>
    </rPh>
    <rPh sb="4" eb="6">
      <t>ジエイ</t>
    </rPh>
    <rPh sb="6" eb="7">
      <t>セン</t>
    </rPh>
    <rPh sb="7" eb="8">
      <t>ガタ</t>
    </rPh>
    <phoneticPr fontId="1"/>
  </si>
  <si>
    <t>雪氷熱</t>
    <rPh sb="0" eb="2">
      <t>セッピョウ</t>
    </rPh>
    <rPh sb="2" eb="3">
      <t>ネツ</t>
    </rPh>
    <phoneticPr fontId="1"/>
  </si>
  <si>
    <t>業務用コージェネレーションシステム</t>
    <phoneticPr fontId="1"/>
  </si>
  <si>
    <t>地熱発電系統接続型</t>
    <rPh sb="0" eb="2">
      <t>チネツ</t>
    </rPh>
    <rPh sb="2" eb="4">
      <t>ハツデン</t>
    </rPh>
    <rPh sb="8" eb="9">
      <t>ガタ</t>
    </rPh>
    <phoneticPr fontId="1"/>
  </si>
  <si>
    <t>家庭用高効率空調機器</t>
    <rPh sb="3" eb="6">
      <t>コウコウリツ</t>
    </rPh>
    <rPh sb="6" eb="8">
      <t>クウチョウ</t>
    </rPh>
    <rPh sb="8" eb="10">
      <t>キキ</t>
    </rPh>
    <phoneticPr fontId="1"/>
  </si>
  <si>
    <t>(サ)ZEH_M</t>
    <phoneticPr fontId="1"/>
  </si>
  <si>
    <t>中小水力発電オンサイト自家消費型業務用</t>
    <rPh sb="0" eb="2">
      <t>チュウショウ</t>
    </rPh>
    <rPh sb="2" eb="4">
      <t>スイリョク</t>
    </rPh>
    <rPh sb="4" eb="6">
      <t>ハツデン</t>
    </rPh>
    <rPh sb="11" eb="13">
      <t>ジカ</t>
    </rPh>
    <rPh sb="13" eb="16">
      <t>ショウヒガタ</t>
    </rPh>
    <rPh sb="16" eb="19">
      <t>ギョウムヨウ</t>
    </rPh>
    <phoneticPr fontId="1"/>
  </si>
  <si>
    <t>家庭用高効率換気設備（空調を除く）</t>
    <rPh sb="3" eb="6">
      <t>コウコウリツ</t>
    </rPh>
    <rPh sb="6" eb="8">
      <t>カンキ</t>
    </rPh>
    <rPh sb="8" eb="10">
      <t>セツビ</t>
    </rPh>
    <rPh sb="11" eb="13">
      <t>クウチョウ</t>
    </rPh>
    <rPh sb="14" eb="15">
      <t>ノゾ</t>
    </rPh>
    <phoneticPr fontId="1"/>
  </si>
  <si>
    <t>(シ)ZEH等を上回る自治体独自の断熱性能の基準を満たす高性能住宅</t>
    <rPh sb="6" eb="7">
      <t>トウ</t>
    </rPh>
    <phoneticPr fontId="1"/>
  </si>
  <si>
    <t>中小水力発電オンサイト自家消費型家庭用</t>
    <rPh sb="0" eb="2">
      <t>チュウショウ</t>
    </rPh>
    <rPh sb="2" eb="4">
      <t>スイリョク</t>
    </rPh>
    <rPh sb="4" eb="6">
      <t>ハツデン</t>
    </rPh>
    <rPh sb="11" eb="13">
      <t>ジカ</t>
    </rPh>
    <rPh sb="13" eb="16">
      <t>ショウヒガタ</t>
    </rPh>
    <rPh sb="16" eb="19">
      <t>カテイヨウ</t>
    </rPh>
    <phoneticPr fontId="1"/>
  </si>
  <si>
    <t>家庭用高効率照明機器（調光型LED）</t>
    <rPh sb="3" eb="6">
      <t>コウコウリツ</t>
    </rPh>
    <rPh sb="6" eb="8">
      <t>ショウメイ</t>
    </rPh>
    <rPh sb="8" eb="10">
      <t>キキ</t>
    </rPh>
    <rPh sb="11" eb="14">
      <t>チョウコウガタ</t>
    </rPh>
    <phoneticPr fontId="1"/>
  </si>
  <si>
    <t>中小水力発電自営線型</t>
    <rPh sb="0" eb="2">
      <t>チュウショウ</t>
    </rPh>
    <rPh sb="2" eb="4">
      <t>スイリョク</t>
    </rPh>
    <rPh sb="4" eb="6">
      <t>ハツデン</t>
    </rPh>
    <rPh sb="6" eb="8">
      <t>ジエイ</t>
    </rPh>
    <rPh sb="8" eb="9">
      <t>セン</t>
    </rPh>
    <rPh sb="9" eb="10">
      <t>ガタ</t>
    </rPh>
    <phoneticPr fontId="1"/>
  </si>
  <si>
    <t>家庭用高効率給湯機器</t>
    <rPh sb="3" eb="6">
      <t>コウコウリツ</t>
    </rPh>
    <rPh sb="6" eb="8">
      <t>キュウトウ</t>
    </rPh>
    <rPh sb="8" eb="10">
      <t>キキ</t>
    </rPh>
    <phoneticPr fontId="1"/>
  </si>
  <si>
    <t>中小水力発電系統接続型</t>
    <rPh sb="0" eb="2">
      <t>チュウショウ</t>
    </rPh>
    <rPh sb="2" eb="4">
      <t>スイリョク</t>
    </rPh>
    <rPh sb="4" eb="6">
      <t>ハツデン</t>
    </rPh>
    <rPh sb="10" eb="11">
      <t>ガタ</t>
    </rPh>
    <phoneticPr fontId="1"/>
  </si>
  <si>
    <t>家庭用コージェネレーションシステム</t>
  </si>
  <si>
    <t>バイオマス発電オンサイト自家消費型業務用</t>
    <rPh sb="5" eb="7">
      <t>ハツデン</t>
    </rPh>
    <rPh sb="12" eb="14">
      <t>ジカ</t>
    </rPh>
    <rPh sb="14" eb="17">
      <t>ショウヒガタ</t>
    </rPh>
    <rPh sb="17" eb="20">
      <t>ギョウムヨウ</t>
    </rPh>
    <phoneticPr fontId="1"/>
  </si>
  <si>
    <t>バイオマス発電オンサイト自家消費型家庭用</t>
    <rPh sb="5" eb="7">
      <t>ハツデン</t>
    </rPh>
    <rPh sb="12" eb="14">
      <t>ジカ</t>
    </rPh>
    <rPh sb="14" eb="17">
      <t>ショウヒガタ</t>
    </rPh>
    <rPh sb="17" eb="20">
      <t>カテイヨウ</t>
    </rPh>
    <phoneticPr fontId="1"/>
  </si>
  <si>
    <t>バイオマス発電自営線型</t>
    <rPh sb="5" eb="7">
      <t>ハツデン</t>
    </rPh>
    <rPh sb="7" eb="9">
      <t>ジエイ</t>
    </rPh>
    <rPh sb="9" eb="10">
      <t>セン</t>
    </rPh>
    <rPh sb="10" eb="11">
      <t>ガタ</t>
    </rPh>
    <phoneticPr fontId="1"/>
  </si>
  <si>
    <t>バイオマス発電系統接続型</t>
    <rPh sb="5" eb="7">
      <t>ハツデン</t>
    </rPh>
    <rPh sb="11" eb="12">
      <t>ガタ</t>
    </rPh>
    <phoneticPr fontId="1"/>
  </si>
  <si>
    <t>(テ)高効率設備等</t>
    <phoneticPr fontId="1"/>
  </si>
  <si>
    <t>ZEH-M（中高層CLT）</t>
    <rPh sb="7" eb="8">
      <t>タカ</t>
    </rPh>
    <phoneticPr fontId="1"/>
  </si>
  <si>
    <t>-</t>
    <phoneticPr fontId="1"/>
  </si>
  <si>
    <t>・3.4活用想定補助金(事業別)</t>
    <rPh sb="4" eb="6">
      <t>カツヨウ</t>
    </rPh>
    <rPh sb="6" eb="8">
      <t>ソウテイ</t>
    </rPh>
    <rPh sb="8" eb="11">
      <t>ホジョキン</t>
    </rPh>
    <rPh sb="12" eb="14">
      <t>ジギョウ</t>
    </rPh>
    <rPh sb="14" eb="15">
      <t>ベツ</t>
    </rPh>
    <phoneticPr fontId="1"/>
  </si>
  <si>
    <t>・3.4活用想定補助金（年度別）（本シート）</t>
    <rPh sb="17" eb="18">
      <t>ホン</t>
    </rPh>
    <phoneticPr fontId="1"/>
  </si>
  <si>
    <t>・3.4活用想定補助金（年度別）（本シート）</t>
    <rPh sb="4" eb="6">
      <t>カツヨウ</t>
    </rPh>
    <rPh sb="6" eb="8">
      <t>ソウテイ</t>
    </rPh>
    <rPh sb="8" eb="11">
      <t>ホジョキン</t>
    </rPh>
    <rPh sb="12" eb="14">
      <t>ネンド</t>
    </rPh>
    <rPh sb="14" eb="15">
      <t>ベツ</t>
    </rPh>
    <phoneticPr fontId="1"/>
  </si>
  <si>
    <t>CO2削減効果(累計)合計（t-CO2）</t>
    <rPh sb="3" eb="5">
      <t>サクゲン</t>
    </rPh>
    <rPh sb="5" eb="7">
      <t>コウカ</t>
    </rPh>
    <rPh sb="8" eb="10">
      <t>ルイケイ</t>
    </rPh>
    <rPh sb="11" eb="13">
      <t>ゴウケイ</t>
    </rPh>
    <phoneticPr fontId="1"/>
  </si>
  <si>
    <t>交付金対象事業全体</t>
    <rPh sb="0" eb="3">
      <t>コウフキン</t>
    </rPh>
    <rPh sb="3" eb="5">
      <t>タイショウ</t>
    </rPh>
    <rPh sb="5" eb="7">
      <t>ジギョウ</t>
    </rPh>
    <rPh sb="7" eb="9">
      <t>ゼンタイ</t>
    </rPh>
    <phoneticPr fontId="1"/>
  </si>
  <si>
    <t>民生部門電力の取組</t>
    <rPh sb="0" eb="2">
      <t>ミンセイ</t>
    </rPh>
    <rPh sb="2" eb="4">
      <t>ブモン</t>
    </rPh>
    <rPh sb="4" eb="6">
      <t>デンリョク</t>
    </rPh>
    <rPh sb="7" eb="9">
      <t>トリクミ</t>
    </rPh>
    <phoneticPr fontId="1"/>
  </si>
  <si>
    <t>民生部門電力以外の取組</t>
    <rPh sb="0" eb="2">
      <t>ミンセイ</t>
    </rPh>
    <rPh sb="2" eb="4">
      <t>ブモン</t>
    </rPh>
    <rPh sb="4" eb="6">
      <t>デンリョク</t>
    </rPh>
    <rPh sb="6" eb="8">
      <t>イガイ</t>
    </rPh>
    <rPh sb="9" eb="11">
      <t>トリクミ</t>
    </rPh>
    <phoneticPr fontId="1"/>
  </si>
  <si>
    <t>×</t>
    <phoneticPr fontId="1"/>
  </si>
  <si>
    <t>(A)電力単価
(税込)(円)*</t>
    <rPh sb="3" eb="5">
      <t>デンリョク</t>
    </rPh>
    <rPh sb="5" eb="7">
      <t>タンカ</t>
    </rPh>
    <rPh sb="13" eb="14">
      <t>エン</t>
    </rPh>
    <phoneticPr fontId="1"/>
  </si>
  <si>
    <t>再エネ等の供給量(kWh/年)</t>
    <rPh sb="0" eb="1">
      <t>サイ</t>
    </rPh>
    <rPh sb="3" eb="4">
      <t>トウ</t>
    </rPh>
    <rPh sb="5" eb="7">
      <t>キョウキュウ</t>
    </rPh>
    <rPh sb="7" eb="8">
      <t>リョウ</t>
    </rPh>
    <rPh sb="13" eb="14">
      <t>ネン</t>
    </rPh>
    <phoneticPr fontId="1"/>
  </si>
  <si>
    <t>(B)域内再エネ導入量に占める割合(％)</t>
    <rPh sb="3" eb="5">
      <t>イキナイ</t>
    </rPh>
    <rPh sb="5" eb="6">
      <t>サイ</t>
    </rPh>
    <rPh sb="8" eb="10">
      <t>ドウニュウ</t>
    </rPh>
    <rPh sb="10" eb="11">
      <t>リョウ</t>
    </rPh>
    <rPh sb="12" eb="13">
      <t>シ</t>
    </rPh>
    <rPh sb="15" eb="17">
      <t>ワリアイ</t>
    </rPh>
    <phoneticPr fontId="1"/>
  </si>
  <si>
    <t>(A)×(B)
電力単価加重
平均（円/kWh）</t>
    <phoneticPr fontId="1"/>
  </si>
  <si>
    <t>相対契約
（域内発電）</t>
    <rPh sb="0" eb="4">
      <t>アイタイケイヤク</t>
    </rPh>
    <rPh sb="6" eb="8">
      <t>イキナイ</t>
    </rPh>
    <rPh sb="8" eb="10">
      <t>ハツデン</t>
    </rPh>
    <phoneticPr fontId="1"/>
  </si>
  <si>
    <t>電力メニュー
（域内発電）</t>
    <rPh sb="0" eb="2">
      <t>デンリョク</t>
    </rPh>
    <phoneticPr fontId="1"/>
  </si>
  <si>
    <t>証書
（域内発電）</t>
    <rPh sb="0" eb="2">
      <t>ショウショ</t>
    </rPh>
    <phoneticPr fontId="1"/>
  </si>
  <si>
    <t>削減量
(kWh/年)</t>
    <rPh sb="0" eb="3">
      <t>サクゲンリョウ</t>
    </rPh>
    <rPh sb="9" eb="10">
      <t>ネン</t>
    </rPh>
    <phoneticPr fontId="1"/>
  </si>
  <si>
    <t>(ア)削減量全体に占める割合(％)</t>
    <rPh sb="3" eb="6">
      <t>サクゲンリョウ</t>
    </rPh>
    <rPh sb="6" eb="8">
      <t>ゼンタイ</t>
    </rPh>
    <rPh sb="9" eb="10">
      <t>シ</t>
    </rPh>
    <rPh sb="12" eb="14">
      <t>ワリアイ</t>
    </rPh>
    <phoneticPr fontId="1"/>
  </si>
  <si>
    <t>(イ)電力単価
(税込)(円)*</t>
    <rPh sb="3" eb="5">
      <t>デンリョク</t>
    </rPh>
    <rPh sb="5" eb="7">
      <t>タンカ</t>
    </rPh>
    <rPh sb="13" eb="14">
      <t>エン</t>
    </rPh>
    <phoneticPr fontId="1"/>
  </si>
  <si>
    <t>（ア×イ）
電力単価
加重平均（円）</t>
    <rPh sb="6" eb="10">
      <t>デンリョクタンカ</t>
    </rPh>
    <rPh sb="11" eb="13">
      <t>カジュウ</t>
    </rPh>
    <rPh sb="13" eb="15">
      <t>ヘイキン</t>
    </rPh>
    <rPh sb="16" eb="17">
      <t>エン</t>
    </rPh>
    <phoneticPr fontId="1"/>
  </si>
  <si>
    <t>自家消費等
（域内・域外発電）</t>
    <rPh sb="0" eb="4">
      <t>ジカショウヒ</t>
    </rPh>
    <rPh sb="4" eb="5">
      <t>ナド</t>
    </rPh>
    <rPh sb="7" eb="9">
      <t>イキナイ</t>
    </rPh>
    <rPh sb="10" eb="12">
      <t>イキガイ</t>
    </rPh>
    <rPh sb="12" eb="14">
      <t>ハツデン</t>
    </rPh>
    <phoneticPr fontId="1"/>
  </si>
  <si>
    <t>共通KPIである「脱炭素先行地域における域外へのエネルギー代金流出抑制額」が自動で計算されます。</t>
    <rPh sb="0" eb="2">
      <t>キョウツウ</t>
    </rPh>
    <rPh sb="9" eb="12">
      <t>ダツタンソ</t>
    </rPh>
    <rPh sb="12" eb="16">
      <t>センコウチイキ</t>
    </rPh>
    <rPh sb="20" eb="22">
      <t>イキガイ</t>
    </rPh>
    <rPh sb="29" eb="31">
      <t>ダイキン</t>
    </rPh>
    <rPh sb="31" eb="36">
      <t>リュウシュツヨクセイガク</t>
    </rPh>
    <rPh sb="38" eb="40">
      <t>ジドウ</t>
    </rPh>
    <rPh sb="41" eb="43">
      <t>ケイサン</t>
    </rPh>
    <phoneticPr fontId="1"/>
  </si>
  <si>
    <t>「4.1(2)新規再エネ導入予定（設備情報）」「4.2電力供給状況(民生部門)」「4.2電力削減量」シートの入力後に、本シートの枠線内をコピーして様式１に貼り付けてください。</t>
    <rPh sb="54" eb="57">
      <t>ニュウリョクゴ</t>
    </rPh>
    <rPh sb="59" eb="60">
      <t>ホン</t>
    </rPh>
    <rPh sb="64" eb="67">
      <t>ワクセンナイ</t>
    </rPh>
    <rPh sb="73" eb="75">
      <t>ヨウシキ</t>
    </rPh>
    <rPh sb="77" eb="78">
      <t>ハ</t>
    </rPh>
    <rPh sb="79" eb="80">
      <t>ツ</t>
    </rPh>
    <phoneticPr fontId="1"/>
  </si>
  <si>
    <t>提案全体のタイトル</t>
    <rPh sb="0" eb="4">
      <t>テイアンゼンタイ</t>
    </rPh>
    <phoneticPr fontId="1"/>
  </si>
  <si>
    <t>第６回　脱炭素先行地域計画提案書（様式１）</t>
    <rPh sb="0" eb="1">
      <t>ダイ</t>
    </rPh>
    <rPh sb="2" eb="3">
      <t>カイ</t>
    </rPh>
    <rPh sb="4" eb="7">
      <t>ダツタンソ</t>
    </rPh>
    <rPh sb="7" eb="11">
      <t>センコウチイキ</t>
    </rPh>
    <rPh sb="11" eb="16">
      <t>ケイカクテイアンショ</t>
    </rPh>
    <rPh sb="17" eb="19">
      <t>ヨウシキ</t>
    </rPh>
    <phoneticPr fontId="1"/>
  </si>
  <si>
    <t>※「地域脱炭素移行・再エネ推進交付金」の費用効率性を算出</t>
    <rPh sb="7" eb="9">
      <t>イコウ</t>
    </rPh>
    <rPh sb="10" eb="11">
      <t>サイ</t>
    </rPh>
    <rPh sb="20" eb="22">
      <t>ヒヨウ</t>
    </rPh>
    <rPh sb="22" eb="25">
      <t>コウリツセイ</t>
    </rPh>
    <rPh sb="26" eb="28">
      <t>サンシュツ</t>
    </rPh>
    <phoneticPr fontId="1"/>
  </si>
  <si>
    <t>・3.4 費用効率性</t>
    <phoneticPr fontId="1"/>
  </si>
  <si>
    <t>事業費に係る
費用効率性（円/t-CO2）</t>
    <rPh sb="0" eb="3">
      <t>ジギョウヒ</t>
    </rPh>
    <rPh sb="4" eb="5">
      <t>カカ</t>
    </rPh>
    <rPh sb="7" eb="9">
      <t>ヒヨウ</t>
    </rPh>
    <rPh sb="9" eb="12">
      <t>コウリツセイ</t>
    </rPh>
    <rPh sb="13" eb="14">
      <t>エン</t>
    </rPh>
    <phoneticPr fontId="1"/>
  </si>
  <si>
    <t>地域脱炭素移行・再エネ推進交付金に係る費用効率性
（円/t-CO2）</t>
    <rPh sb="0" eb="2">
      <t>チイキ</t>
    </rPh>
    <rPh sb="2" eb="3">
      <t>ダツ</t>
    </rPh>
    <rPh sb="3" eb="5">
      <t>タンソ</t>
    </rPh>
    <rPh sb="5" eb="7">
      <t>イコウ</t>
    </rPh>
    <rPh sb="8" eb="9">
      <t>サイ</t>
    </rPh>
    <rPh sb="11" eb="13">
      <t>スイシン</t>
    </rPh>
    <rPh sb="13" eb="16">
      <t>コウフキン</t>
    </rPh>
    <rPh sb="17" eb="18">
      <t>カカ</t>
    </rPh>
    <rPh sb="19" eb="21">
      <t>ヒヨウ</t>
    </rPh>
    <rPh sb="21" eb="23">
      <t>コウリツ</t>
    </rPh>
    <rPh sb="23" eb="24">
      <t>セイ</t>
    </rPh>
    <rPh sb="26" eb="27">
      <t>エン</t>
    </rPh>
    <phoneticPr fontId="1"/>
  </si>
  <si>
    <t>費用・削減効果・費用効率性</t>
    <phoneticPr fontId="1"/>
  </si>
  <si>
    <t>交付金申請額（円）</t>
    <rPh sb="0" eb="3">
      <t>コウフキン</t>
    </rPh>
    <rPh sb="3" eb="5">
      <t>シンセイ</t>
    </rPh>
    <rPh sb="5" eb="6">
      <t>ガク</t>
    </rPh>
    <rPh sb="7" eb="8">
      <t>エン</t>
    </rPh>
    <phoneticPr fontId="1"/>
  </si>
  <si>
    <t>所管府省庁</t>
    <phoneticPr fontId="1"/>
  </si>
  <si>
    <t>活用を想定している国の事業
（交付金、補助金等）の名称</t>
    <phoneticPr fontId="1"/>
  </si>
  <si>
    <t>必要額合計
（千円）</t>
    <rPh sb="0" eb="5">
      <t>ヒツヨウガクゴウケイ</t>
    </rPh>
    <rPh sb="7" eb="9">
      <t>センエン</t>
    </rPh>
    <phoneticPr fontId="1"/>
  </si>
  <si>
    <t>地域脱炭素移行・再エネ推進交付金</t>
    <phoneticPr fontId="1"/>
  </si>
  <si>
    <t>環境省</t>
    <phoneticPr fontId="1"/>
  </si>
  <si>
    <t>該当する取組No</t>
    <rPh sb="0" eb="2">
      <t>ガイトウ</t>
    </rPh>
    <rPh sb="4" eb="6">
      <t>トリクミ</t>
    </rPh>
    <phoneticPr fontId="1"/>
  </si>
  <si>
    <t>貼り付け前に確認ください</t>
    <rPh sb="0" eb="1">
      <t>ハ</t>
    </rPh>
    <rPh sb="2" eb="3">
      <t>ツ</t>
    </rPh>
    <rPh sb="4" eb="5">
      <t>マエ</t>
    </rPh>
    <rPh sb="6" eb="8">
      <t>カクニン</t>
    </rPh>
    <phoneticPr fontId="1"/>
  </si>
  <si>
    <t>事業費（千円）</t>
    <rPh sb="4" eb="5">
      <t>セン</t>
    </rPh>
    <rPh sb="5" eb="6">
      <t>エン</t>
    </rPh>
    <phoneticPr fontId="1"/>
  </si>
  <si>
    <t>地域脱炭素移行・再エネ推進交付申請額合計（千円）</t>
    <rPh sb="15" eb="17">
      <t>シンセイ</t>
    </rPh>
    <rPh sb="21" eb="22">
      <t>セン</t>
    </rPh>
    <rPh sb="22" eb="23">
      <t>エン</t>
    </rPh>
    <phoneticPr fontId="1"/>
  </si>
  <si>
    <t>低圧</t>
  </si>
  <si>
    <t>高圧</t>
  </si>
  <si>
    <t>契約電力</t>
    <phoneticPr fontId="1"/>
  </si>
  <si>
    <t>主たる提案者(都道府県)</t>
    <rPh sb="0" eb="1">
      <t>シュ</t>
    </rPh>
    <rPh sb="3" eb="6">
      <t>テイアンシャ</t>
    </rPh>
    <rPh sb="7" eb="11">
      <t>トドウフケン</t>
    </rPh>
    <phoneticPr fontId="1"/>
  </si>
  <si>
    <t>主たる提案者(市区町村)</t>
    <rPh sb="0" eb="1">
      <t>シュ</t>
    </rPh>
    <rPh sb="3" eb="6">
      <t>テイアンシャ</t>
    </rPh>
    <rPh sb="7" eb="9">
      <t>シク</t>
    </rPh>
    <rPh sb="9" eb="11">
      <t>チョウソン</t>
    </rPh>
    <phoneticPr fontId="1"/>
  </si>
  <si>
    <t>エネルギー代金流出抑制額（最終年度）（円）</t>
    <rPh sb="5" eb="7">
      <t>ダイキン</t>
    </rPh>
    <rPh sb="7" eb="9">
      <t>リュウシュツ</t>
    </rPh>
    <rPh sb="9" eb="11">
      <t>ヨクセイ</t>
    </rPh>
    <rPh sb="11" eb="12">
      <t>ガク</t>
    </rPh>
    <rPh sb="13" eb="15">
      <t>サイシュウ</t>
    </rPh>
    <rPh sb="15" eb="17">
      <t>ネンド</t>
    </rPh>
    <rPh sb="19" eb="20">
      <t>エン</t>
    </rPh>
    <phoneticPr fontId="1"/>
  </si>
  <si>
    <t xml:space="preserve">①新規再エネ導入量（kWh/年） </t>
    <rPh sb="1" eb="3">
      <t>シンキ</t>
    </rPh>
    <rPh sb="3" eb="4">
      <t>サイ</t>
    </rPh>
    <rPh sb="6" eb="8">
      <t>ドウニュウ</t>
    </rPh>
    <rPh sb="8" eb="9">
      <t>リョウ</t>
    </rPh>
    <rPh sb="14" eb="15">
      <t>ネン</t>
    </rPh>
    <phoneticPr fontId="1"/>
  </si>
  <si>
    <t xml:space="preserve">②電力単価（円/kWh） </t>
    <rPh sb="1" eb="3">
      <t>デンリョク</t>
    </rPh>
    <rPh sb="3" eb="5">
      <t>タンカ</t>
    </rPh>
    <rPh sb="6" eb="7">
      <t>エン</t>
    </rPh>
    <phoneticPr fontId="1"/>
  </si>
  <si>
    <t xml:space="preserve">③省エネによる電力削減量（kWh/年） </t>
    <rPh sb="1" eb="2">
      <t>ショウ</t>
    </rPh>
    <rPh sb="7" eb="9">
      <t>デンリョク</t>
    </rPh>
    <rPh sb="9" eb="11">
      <t>サクゲン</t>
    </rPh>
    <rPh sb="11" eb="12">
      <t>リョウ</t>
    </rPh>
    <rPh sb="17" eb="18">
      <t>ネン</t>
    </rPh>
    <phoneticPr fontId="1"/>
  </si>
  <si>
    <t>④電力単価（円/kWh）</t>
    <rPh sb="1" eb="3">
      <t>デンリョク</t>
    </rPh>
    <rPh sb="3" eb="5">
      <t>タンカ</t>
    </rPh>
    <rPh sb="6" eb="7">
      <t>エン</t>
    </rPh>
    <phoneticPr fontId="1"/>
  </si>
  <si>
    <t>1.3 共通KPI（脱炭素先行地域における域外へのエネルギー代金流出抑制額）</t>
    <rPh sb="4" eb="6">
      <t>キョウツウ</t>
    </rPh>
    <rPh sb="10" eb="11">
      <t>ダツ</t>
    </rPh>
    <rPh sb="11" eb="13">
      <t>タンソ</t>
    </rPh>
    <rPh sb="13" eb="15">
      <t>センコウ</t>
    </rPh>
    <rPh sb="15" eb="17">
      <t>チイキ</t>
    </rPh>
    <rPh sb="21" eb="23">
      <t>イキガイ</t>
    </rPh>
    <rPh sb="30" eb="32">
      <t>ダイキン</t>
    </rPh>
    <rPh sb="32" eb="34">
      <t>リュウシュツ</t>
    </rPh>
    <rPh sb="34" eb="36">
      <t>ヨクセイ</t>
    </rPh>
    <rPh sb="36" eb="37">
      <t>ガク</t>
    </rPh>
    <phoneticPr fontId="1"/>
  </si>
  <si>
    <t>（ａ）【再エネ】エネルギー代金
流出抑制額（円）</t>
    <phoneticPr fontId="1"/>
  </si>
  <si>
    <t>（ａ）【再エネ】エネルギー代金流出
抑制額（円）</t>
    <phoneticPr fontId="1"/>
  </si>
  <si>
    <t>（ａ）【再エネ】エネルギー代金流出抑制額（円）</t>
    <rPh sb="4" eb="5">
      <t>サイ</t>
    </rPh>
    <rPh sb="13" eb="15">
      <t>ダイキン</t>
    </rPh>
    <rPh sb="15" eb="17">
      <t>リュウシュツ</t>
    </rPh>
    <rPh sb="17" eb="19">
      <t>ヨクセイ</t>
    </rPh>
    <rPh sb="19" eb="20">
      <t>ガク</t>
    </rPh>
    <rPh sb="21" eb="22">
      <t>エン</t>
    </rPh>
    <phoneticPr fontId="1"/>
  </si>
  <si>
    <t>（ｂ）【省エネ】エネルギー代金流出抑制額（円）</t>
    <rPh sb="4" eb="5">
      <t>ショウ</t>
    </rPh>
    <rPh sb="13" eb="15">
      <t>ダイキン</t>
    </rPh>
    <rPh sb="15" eb="17">
      <t>リュウシュツ</t>
    </rPh>
    <rPh sb="17" eb="19">
      <t>ヨクセイ</t>
    </rPh>
    <rPh sb="19" eb="20">
      <t>ガク</t>
    </rPh>
    <rPh sb="21" eb="22">
      <t>エン</t>
    </rPh>
    <phoneticPr fontId="1"/>
  </si>
  <si>
    <t>（ｂ）【省エネ】エネルギー代金流出
抑制額（円）</t>
    <phoneticPr fontId="1"/>
  </si>
  <si>
    <t>脱炭素先行地域における域外へのエネルギー代金流出抑制額</t>
    <phoneticPr fontId="1"/>
  </si>
  <si>
    <t>（ｂ）【省エネ】エネルギー代金
流出抑制額（円）</t>
    <phoneticPr fontId="1"/>
  </si>
  <si>
    <t xml:space="preserve">③省エネによる電力削減量
（kWh/年） </t>
    <rPh sb="1" eb="2">
      <t>ショウ</t>
    </rPh>
    <rPh sb="7" eb="9">
      <t>デンリョク</t>
    </rPh>
    <rPh sb="9" eb="11">
      <t>サクゲン</t>
    </rPh>
    <rPh sb="11" eb="12">
      <t>リョウ</t>
    </rPh>
    <rPh sb="18" eb="19">
      <t>ネン</t>
    </rPh>
    <phoneticPr fontId="1"/>
  </si>
  <si>
    <t>再エネ導入量
（kW）</t>
    <rPh sb="0" eb="1">
      <t>サイ</t>
    </rPh>
    <rPh sb="3" eb="6">
      <t>ドウニュウリョウ</t>
    </rPh>
    <phoneticPr fontId="1"/>
  </si>
  <si>
    <t>CO2削減効果
（年間）
（t-CO2/年）</t>
    <rPh sb="3" eb="5">
      <t>サクゲン</t>
    </rPh>
    <rPh sb="5" eb="7">
      <t>コウカ</t>
    </rPh>
    <rPh sb="9" eb="11">
      <t>ネンカン</t>
    </rPh>
    <rPh sb="20" eb="21">
      <t>ネン</t>
    </rPh>
    <phoneticPr fontId="1"/>
  </si>
  <si>
    <t>CO2削減効果
（累計）
（t-CO2）</t>
    <rPh sb="3" eb="5">
      <t>サクゲン</t>
    </rPh>
    <rPh sb="5" eb="7">
      <t>コウカ</t>
    </rPh>
    <rPh sb="9" eb="11">
      <t>ルイケイ</t>
    </rPh>
    <phoneticPr fontId="1"/>
  </si>
  <si>
    <t>域内
自家消費等</t>
    <rPh sb="0" eb="2">
      <t>イキナイ</t>
    </rPh>
    <rPh sb="3" eb="7">
      <t>ジカショウヒ</t>
    </rPh>
    <rPh sb="7" eb="8">
      <t>ナド</t>
    </rPh>
    <phoneticPr fontId="1"/>
  </si>
  <si>
    <t>域外
自家消費等</t>
    <rPh sb="0" eb="2">
      <t>イキガイ</t>
    </rPh>
    <rPh sb="3" eb="7">
      <t>ジカショウヒ</t>
    </rPh>
    <rPh sb="7" eb="8">
      <t>ナド</t>
    </rPh>
    <phoneticPr fontId="1"/>
  </si>
  <si>
    <t>域内
相対契約</t>
    <rPh sb="0" eb="2">
      <t>イキナイ</t>
    </rPh>
    <rPh sb="3" eb="7">
      <t>アイタイケイヤク</t>
    </rPh>
    <phoneticPr fontId="1"/>
  </si>
  <si>
    <t>域外
相対契約</t>
    <rPh sb="0" eb="2">
      <t>イキガイ</t>
    </rPh>
    <rPh sb="3" eb="7">
      <t>アイタイケイヤク</t>
    </rPh>
    <phoneticPr fontId="1"/>
  </si>
  <si>
    <t>域内
再エネメニュー</t>
    <rPh sb="0" eb="2">
      <t>イキナイ</t>
    </rPh>
    <rPh sb="3" eb="4">
      <t>サイ</t>
    </rPh>
    <phoneticPr fontId="1"/>
  </si>
  <si>
    <t>域外
再エネメニュー</t>
    <rPh sb="0" eb="2">
      <t>イキガイ</t>
    </rPh>
    <rPh sb="3" eb="4">
      <t>サイ</t>
    </rPh>
    <phoneticPr fontId="1"/>
  </si>
  <si>
    <t>域内
証書</t>
    <rPh sb="0" eb="2">
      <t>イキナイ</t>
    </rPh>
    <rPh sb="3" eb="5">
      <t>ショウショ</t>
    </rPh>
    <phoneticPr fontId="1"/>
  </si>
  <si>
    <t>域外
証書</t>
    <rPh sb="0" eb="2">
      <t>イキガイ</t>
    </rPh>
    <rPh sb="3" eb="5">
      <t>ショウショ</t>
    </rPh>
    <phoneticPr fontId="1"/>
  </si>
  <si>
    <t>高圧</t>
    <phoneticPr fontId="1"/>
  </si>
  <si>
    <t>特別高圧</t>
    <rPh sb="0" eb="4">
      <t>トクベツコウアツ</t>
    </rPh>
    <phoneticPr fontId="1"/>
  </si>
  <si>
    <t>地域脱炭素移行・再エネ推進交付金の合計額と、他シートに記載の合計額と乖離が無いか確認ください。乖離理由として以下が考えられます。</t>
    <rPh sb="17" eb="20">
      <t>ゴウケイガク</t>
    </rPh>
    <rPh sb="22" eb="23">
      <t>ホカ</t>
    </rPh>
    <rPh sb="27" eb="29">
      <t>キサイ</t>
    </rPh>
    <rPh sb="30" eb="32">
      <t>ゴウケイ</t>
    </rPh>
    <rPh sb="32" eb="33">
      <t>ガク</t>
    </rPh>
    <rPh sb="34" eb="36">
      <t>カイリ</t>
    </rPh>
    <rPh sb="37" eb="38">
      <t>ナ</t>
    </rPh>
    <rPh sb="40" eb="42">
      <t>カクニン</t>
    </rPh>
    <phoneticPr fontId="1"/>
  </si>
  <si>
    <t>①数字記載誤りによる乖離</t>
    <phoneticPr fontId="1"/>
  </si>
  <si>
    <t>②四捨五入による乖離※</t>
    <phoneticPr fontId="1"/>
  </si>
  <si>
    <t>※四捨五入が原因で数千円程度乖離がある場合は問題ありません。</t>
    <phoneticPr fontId="1"/>
  </si>
  <si>
    <t>右の表の判定が「要確認」と</t>
    <rPh sb="0" eb="1">
      <t>ミギ</t>
    </rPh>
    <rPh sb="2" eb="3">
      <t>ヒョウ</t>
    </rPh>
    <rPh sb="4" eb="6">
      <t>ハンテイ</t>
    </rPh>
    <rPh sb="8" eb="11">
      <t>ヨウカクニン</t>
    </rPh>
    <phoneticPr fontId="1"/>
  </si>
  <si>
    <t>なっている場合は、上記表を</t>
    <rPh sb="9" eb="12">
      <t>ジョウキヒョウ</t>
    </rPh>
    <phoneticPr fontId="1"/>
  </si>
  <si>
    <t>様式１に貼り付ける前に、</t>
    <phoneticPr fontId="1"/>
  </si>
  <si>
    <t>各シートの記載に誤りが</t>
    <phoneticPr fontId="1"/>
  </si>
  <si>
    <t>ないかの確認をしてください</t>
    <phoneticPr fontId="1"/>
  </si>
  <si>
    <t>特定地域脱炭素移行加速化交付金【GX】の合計額と、他シートに記載の合計額と乖離が無いか確認ください。乖離理由として以下が考えられます。</t>
    <rPh sb="20" eb="23">
      <t>ゴウケイガク</t>
    </rPh>
    <rPh sb="25" eb="26">
      <t>ホカ</t>
    </rPh>
    <rPh sb="30" eb="32">
      <t>キサイ</t>
    </rPh>
    <rPh sb="33" eb="35">
      <t>ゴウケイ</t>
    </rPh>
    <rPh sb="35" eb="36">
      <t>ガク</t>
    </rPh>
    <rPh sb="37" eb="39">
      <t>カイリ</t>
    </rPh>
    <rPh sb="40" eb="41">
      <t>ナ</t>
    </rPh>
    <rPh sb="43" eb="45">
      <t>カクニン</t>
    </rPh>
    <phoneticPr fontId="1"/>
  </si>
  <si>
    <t>自家消費</t>
    <rPh sb="0" eb="4">
      <t>ジカショウヒ</t>
    </rPh>
    <phoneticPr fontId="1"/>
  </si>
  <si>
    <t>全都道府県の主要財政指標（令和５年度）</t>
    <rPh sb="0" eb="1">
      <t>ゼン</t>
    </rPh>
    <rPh sb="1" eb="5">
      <t>トドウフケン</t>
    </rPh>
    <rPh sb="6" eb="8">
      <t>シュヨウ</t>
    </rPh>
    <rPh sb="8" eb="10">
      <t>ザイセイ</t>
    </rPh>
    <rPh sb="10" eb="12">
      <t>シヒョウ</t>
    </rPh>
    <rPh sb="13" eb="15">
      <t>レイワ</t>
    </rPh>
    <rPh sb="16" eb="18">
      <t>ネンド</t>
    </rPh>
    <phoneticPr fontId="87"/>
  </si>
  <si>
    <t>全市町村の主要財政指標（令和５年度）</t>
    <rPh sb="0" eb="4">
      <t>ゼンシチョウソン</t>
    </rPh>
    <rPh sb="5" eb="7">
      <t>シュヨウ</t>
    </rPh>
    <rPh sb="7" eb="9">
      <t>ザイセイ</t>
    </rPh>
    <rPh sb="9" eb="11">
      <t>シヒョウ</t>
    </rPh>
    <rPh sb="12" eb="14">
      <t>レイワ</t>
    </rPh>
    <rPh sb="15" eb="17">
      <t>ネンド</t>
    </rPh>
    <phoneticPr fontId="87"/>
  </si>
  <si>
    <t>3.4 費用効率性</t>
    <rPh sb="4" eb="9">
      <t>ヒヨウコウリツセイ</t>
    </rPh>
    <phoneticPr fontId="1"/>
  </si>
  <si>
    <t>●注意メッセージについて</t>
    <rPh sb="1" eb="3">
      <t>チュウイ</t>
    </rPh>
    <phoneticPr fontId="1"/>
  </si>
  <si>
    <t>●過去提案資料の貼り付けについて</t>
    <rPh sb="1" eb="7">
      <t>カコテイアンシリョウ</t>
    </rPh>
    <rPh sb="8" eb="9">
      <t>ハ</t>
    </rPh>
    <rPh sb="10" eb="11">
      <t>ツ</t>
    </rPh>
    <phoneticPr fontId="1"/>
  </si>
  <si>
    <t>必ず「値のみ貼り付け」を選択するようにしてください。</t>
    <phoneticPr fontId="1"/>
  </si>
  <si>
    <t>過去提案資料（表作成ツール等）を貼り付ける際には、</t>
    <rPh sb="0" eb="6">
      <t>カコテイアンシリョウ</t>
    </rPh>
    <rPh sb="7" eb="10">
      <t>ヒョウサクセイ</t>
    </rPh>
    <rPh sb="13" eb="14">
      <t>トウ</t>
    </rPh>
    <rPh sb="16" eb="17">
      <t>ハ</t>
    </rPh>
    <rPh sb="18" eb="19">
      <t>ツ</t>
    </rPh>
    <rPh sb="21" eb="22">
      <t>サイ</t>
    </rPh>
    <phoneticPr fontId="1"/>
  </si>
  <si>
    <t>「値のみ貼り付け」を行うためには、右クリック後に、</t>
    <rPh sb="10" eb="11">
      <t>オコナ</t>
    </rPh>
    <rPh sb="17" eb="18">
      <t>ミギ</t>
    </rPh>
    <rPh sb="22" eb="23">
      <t>ゴ</t>
    </rPh>
    <phoneticPr fontId="1"/>
  </si>
  <si>
    <t>左記の赤色の枠で囲まれたマークを選択してください。</t>
    <rPh sb="16" eb="18">
      <t>センタク</t>
    </rPh>
    <phoneticPr fontId="1"/>
  </si>
  <si>
    <t>※「値のみ貼り付け」を選択しない場合、書式にエラーが出る恐れがあります。</t>
    <phoneticPr fontId="1"/>
  </si>
  <si>
    <t>　使用しないでください。</t>
    <rPh sb="1" eb="3">
      <t>シヨウ</t>
    </rPh>
    <phoneticPr fontId="1"/>
  </si>
  <si>
    <t>　ショートカットキーCtrl＋V（windowsの場合）やCmd+V（Macの場合）は</t>
    <rPh sb="25" eb="27">
      <t>バアイ</t>
    </rPh>
    <rPh sb="39" eb="41">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</si>
</sst>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0%"/>
    <numFmt numFmtId="177" formatCode="#,###&quot;kWh/年&quot;"/>
    <numFmt numFmtId="178" formatCode="0_);[Red]\(0\)"/>
    <numFmt numFmtId="179" formatCode="#,###"/>
    <numFmt numFmtId="180" formatCode="0.0_);[Red]\(0.0\)"/>
    <numFmt numFmtId="181" formatCode="#,##0&quot; 戸&quot;"/>
    <numFmt numFmtId="182" formatCode="#,##0&quot; kWh/年&quot;"/>
    <numFmt numFmtId="183" formatCode="#,##0.0"/>
    <numFmt numFmtId="184" formatCode="#,##0&quot; t-CO2/年&quot;"/>
    <numFmt numFmtId="185" formatCode="#,##0;&quot;▲ &quot;#,##0"/>
    <numFmt numFmtId="186" formatCode="[$-411]ggge&quot;年&quot;m&quot;月&quot;d&quot;日&quot;;@"/>
    <numFmt numFmtId="187" formatCode="0.00000;&quot;▲ &quot;0.00000"/>
    <numFmt numFmtId="188" formatCode="0.0;&quot;▲ &quot;0.0"/>
    <numFmt numFmtId="189" formatCode="0.00_);[Red]\(0.00\)"/>
    <numFmt numFmtId="190" formatCode="0.0"/>
    <numFmt numFmtId="191" formatCode="#,###.00"/>
  </numFmts>
  <fonts count="106">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color theme="0"/>
      <name val="游ゴシック"/>
      <family val="2"/>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1"/>
      <name val="游ゴシック"/>
      <family val="2"/>
      <charset val="128"/>
      <scheme val="minor"/>
    </font>
    <font>
      <sz val="11"/>
      <color theme="1"/>
      <name val="ＭＳ ゴシック"/>
      <family val="3"/>
      <charset val="128"/>
    </font>
    <font>
      <b/>
      <sz val="11"/>
      <color theme="1"/>
      <name val="ＭＳ ゴシック"/>
      <family val="3"/>
      <charset val="128"/>
    </font>
    <font>
      <b/>
      <sz val="12"/>
      <color theme="1"/>
      <name val="ＭＳ ゴシック"/>
      <family val="3"/>
      <charset val="128"/>
    </font>
    <font>
      <sz val="11"/>
      <name val="ＭＳ ゴシック"/>
      <family val="3"/>
      <charset val="128"/>
    </font>
    <font>
      <sz val="11"/>
      <color theme="0"/>
      <name val="ＭＳ ゴシック"/>
      <family val="3"/>
      <charset val="128"/>
    </font>
    <font>
      <sz val="11"/>
      <color theme="6"/>
      <name val="ＭＳ ゴシック"/>
      <family val="3"/>
      <charset val="128"/>
    </font>
    <font>
      <b/>
      <sz val="11"/>
      <name val="ＭＳ ゴシック"/>
      <family val="3"/>
      <charset val="128"/>
    </font>
    <font>
      <b/>
      <sz val="12"/>
      <name val="ＭＳ ゴシック"/>
      <family val="3"/>
      <charset val="128"/>
    </font>
    <font>
      <sz val="14"/>
      <color theme="1"/>
      <name val="ＭＳ ゴシック"/>
      <family val="3"/>
      <charset val="128"/>
    </font>
    <font>
      <sz val="18"/>
      <color theme="1"/>
      <name val="ＭＳ ゴシック"/>
      <family val="3"/>
      <charset val="128"/>
    </font>
    <font>
      <b/>
      <sz val="22"/>
      <color theme="1"/>
      <name val="ＭＳ ゴシック"/>
      <family val="3"/>
      <charset val="128"/>
    </font>
    <font>
      <b/>
      <sz val="18"/>
      <color theme="1"/>
      <name val="ＭＳ ゴシック"/>
      <family val="3"/>
      <charset val="128"/>
    </font>
    <font>
      <sz val="11"/>
      <color theme="1"/>
      <name val="ＭＳ ゴシック"/>
      <family val="3"/>
    </font>
    <font>
      <b/>
      <sz val="11"/>
      <color theme="1"/>
      <name val="ＭＳ ゴシック"/>
      <family val="3"/>
    </font>
    <font>
      <sz val="16"/>
      <color theme="1"/>
      <name val="ＭＳ ゴシック"/>
      <family val="3"/>
      <charset val="128"/>
    </font>
    <font>
      <b/>
      <sz val="12"/>
      <color theme="1"/>
      <name val="ＭＳ ゴシック"/>
      <family val="3"/>
    </font>
    <font>
      <sz val="16"/>
      <color theme="0"/>
      <name val="ＭＳ ゴシック"/>
      <family val="3"/>
      <charset val="128"/>
    </font>
    <font>
      <sz val="16"/>
      <name val="ＭＳ ゴシック"/>
      <family val="3"/>
      <charset val="128"/>
    </font>
    <font>
      <sz val="22"/>
      <color theme="1"/>
      <name val="ＭＳ ゴシック"/>
      <family val="3"/>
    </font>
    <font>
      <sz val="12"/>
      <color theme="1"/>
      <name val="ＭＳ ゴシック"/>
      <family val="3"/>
    </font>
    <font>
      <sz val="12"/>
      <color theme="1"/>
      <name val="ＭＳ ゴシック"/>
      <family val="3"/>
      <charset val="128"/>
    </font>
    <font>
      <sz val="11"/>
      <name val="游ゴシック"/>
      <family val="3"/>
      <charset val="128"/>
      <scheme val="minor"/>
    </font>
    <font>
      <b/>
      <sz val="11"/>
      <color theme="1"/>
      <name val="游ゴシック"/>
      <family val="2"/>
      <charset val="128"/>
      <scheme val="minor"/>
    </font>
    <font>
      <sz val="18"/>
      <name val="ＭＳ ゴシック"/>
      <family val="3"/>
      <charset val="128"/>
    </font>
    <font>
      <sz val="10"/>
      <color theme="1"/>
      <name val="ＭＳ ゴシック"/>
      <family val="3"/>
      <charset val="128"/>
    </font>
    <font>
      <sz val="10"/>
      <color theme="1"/>
      <name val="ＭＳ ゴシック"/>
      <family val="3"/>
    </font>
    <font>
      <sz val="8"/>
      <color theme="1"/>
      <name val="ＭＳ ゴシック"/>
      <family val="3"/>
    </font>
    <font>
      <sz val="8"/>
      <color theme="1"/>
      <name val="ＭＳ ゴシック"/>
      <family val="3"/>
      <charset val="128"/>
    </font>
    <font>
      <sz val="9"/>
      <color theme="1"/>
      <name val="ＭＳ ゴシック"/>
      <family val="3"/>
    </font>
    <font>
      <b/>
      <sz val="12"/>
      <color rgb="FFFF0000"/>
      <name val="游ゴシック"/>
      <family val="3"/>
      <charset val="128"/>
      <scheme val="minor"/>
    </font>
    <font>
      <b/>
      <sz val="16"/>
      <color rgb="FFFF0000"/>
      <name val="游ゴシック"/>
      <family val="3"/>
      <charset val="128"/>
      <scheme val="minor"/>
    </font>
    <font>
      <b/>
      <sz val="14"/>
      <color theme="1"/>
      <name val="ＭＳ ゴシック"/>
      <family val="3"/>
      <charset val="128"/>
    </font>
    <font>
      <b/>
      <sz val="14"/>
      <name val="ＭＳ ゴシック"/>
      <family val="3"/>
      <charset val="128"/>
    </font>
    <font>
      <sz val="16"/>
      <color theme="1"/>
      <name val="ＭＳ ゴシック"/>
      <family val="3"/>
    </font>
    <font>
      <sz val="10"/>
      <name val="Arial"/>
      <family val="2"/>
    </font>
    <font>
      <sz val="10"/>
      <color theme="1"/>
      <name val="游ゴシック"/>
      <family val="2"/>
      <charset val="128"/>
      <scheme val="minor"/>
    </font>
    <font>
      <sz val="10"/>
      <color theme="1"/>
      <name val="游ゴシック"/>
      <family val="3"/>
      <charset val="128"/>
      <scheme val="minor"/>
    </font>
    <font>
      <sz val="9"/>
      <name val="游ゴシック"/>
      <family val="2"/>
      <scheme val="minor"/>
    </font>
    <font>
      <sz val="12"/>
      <color theme="1"/>
      <name val="Yu Gothic UI"/>
      <family val="3"/>
      <charset val="128"/>
    </font>
    <font>
      <sz val="6"/>
      <name val="Yu Gothic UI"/>
      <family val="2"/>
      <charset val="128"/>
    </font>
    <font>
      <sz val="11"/>
      <color theme="1"/>
      <name val="Yu Gothic UI"/>
      <family val="3"/>
      <charset val="128"/>
    </font>
    <font>
      <b/>
      <sz val="12"/>
      <color theme="1"/>
      <name val="游ゴシック"/>
      <family val="3"/>
      <charset val="128"/>
      <scheme val="minor"/>
    </font>
    <font>
      <sz val="10"/>
      <color theme="1"/>
      <name val="Meiryo UI"/>
      <family val="2"/>
      <charset val="128"/>
    </font>
    <font>
      <sz val="12"/>
      <name val="Yu Gothic UI"/>
      <family val="3"/>
      <charset val="128"/>
    </font>
    <font>
      <sz val="14"/>
      <name val="ＭＳ ゴシック"/>
      <family val="3"/>
      <charset val="128"/>
    </font>
    <font>
      <b/>
      <sz val="11"/>
      <name val="游ゴシック"/>
      <family val="3"/>
      <charset val="128"/>
      <scheme val="minor"/>
    </font>
    <font>
      <b/>
      <u/>
      <sz val="11"/>
      <color theme="1"/>
      <name val="游ゴシック"/>
      <family val="3"/>
      <charset val="128"/>
      <scheme val="minor"/>
    </font>
    <font>
      <sz val="16"/>
      <color theme="1"/>
      <name val=" メイリオ"/>
      <family val="3"/>
      <charset val="128"/>
    </font>
    <font>
      <sz val="11"/>
      <color theme="1"/>
      <name val=" メイリオ"/>
      <family val="3"/>
      <charset val="128"/>
    </font>
    <font>
      <b/>
      <sz val="20"/>
      <color rgb="FFFF0000"/>
      <name val=" メイリオ"/>
      <family val="3"/>
      <charset val="128"/>
    </font>
    <font>
      <sz val="12"/>
      <color theme="1"/>
      <name val=" メイリオ"/>
      <family val="3"/>
      <charset val="128"/>
    </font>
    <font>
      <b/>
      <sz val="18"/>
      <color rgb="FFFF0000"/>
      <name val=" メイリオ"/>
      <family val="3"/>
      <charset val="128"/>
    </font>
    <font>
      <sz val="18"/>
      <color theme="1"/>
      <name val=" メイリオ"/>
      <family val="3"/>
      <charset val="128"/>
    </font>
    <font>
      <sz val="16"/>
      <name val=" メイリオ"/>
      <family val="3"/>
      <charset val="128"/>
    </font>
    <font>
      <b/>
      <sz val="10"/>
      <color theme="1"/>
      <name val="游ゴシック"/>
      <family val="3"/>
      <charset val="128"/>
      <scheme val="minor"/>
    </font>
    <font>
      <sz val="9"/>
      <color theme="1"/>
      <name val="游ゴシック"/>
      <family val="2"/>
      <charset val="128"/>
      <scheme val="minor"/>
    </font>
    <font>
      <sz val="12"/>
      <name val="游ゴシック"/>
      <family val="3"/>
      <charset val="128"/>
      <scheme val="minor"/>
    </font>
    <font>
      <b/>
      <sz val="16"/>
      <name val="游ゴシック"/>
      <family val="3"/>
      <charset val="128"/>
      <scheme val="minor"/>
    </font>
    <font>
      <sz val="16"/>
      <color theme="1"/>
      <name val="游ゴシック"/>
      <family val="3"/>
      <charset val="128"/>
      <scheme val="minor"/>
    </font>
    <font>
      <sz val="14"/>
      <color theme="1"/>
      <name val="游ゴシック"/>
      <family val="3"/>
      <charset val="128"/>
      <scheme val="minor"/>
    </font>
    <font>
      <sz val="16"/>
      <color theme="1"/>
      <name val="游ゴシック"/>
      <family val="2"/>
      <charset val="128"/>
      <scheme val="minor"/>
    </font>
    <font>
      <b/>
      <sz val="16"/>
      <color theme="1"/>
      <name val="游ゴシック"/>
      <family val="3"/>
      <charset val="128"/>
      <scheme val="minor"/>
    </font>
    <font>
      <b/>
      <sz val="11"/>
      <name val="ＭＳ ゴシック"/>
      <family val="3"/>
    </font>
    <font>
      <b/>
      <sz val="11"/>
      <color rgb="FFFF0000"/>
      <name val="ＭＳ ゴシック"/>
      <family val="3"/>
      <charset val="128"/>
    </font>
    <font>
      <sz val="12"/>
      <color theme="1"/>
      <name val="游ゴシック"/>
      <family val="3"/>
      <charset val="128"/>
      <scheme val="minor"/>
    </font>
    <font>
      <sz val="11"/>
      <color theme="6"/>
      <name val="游ゴシック"/>
      <family val="3"/>
      <charset val="128"/>
      <scheme val="minor"/>
    </font>
    <font>
      <sz val="12"/>
      <color theme="0" tint="-0.499984740745262"/>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sz val="14"/>
      <name val="游ゴシック"/>
      <family val="3"/>
      <charset val="128"/>
      <scheme val="minor"/>
    </font>
    <font>
      <b/>
      <u/>
      <sz val="14"/>
      <color theme="1"/>
      <name val="ＭＳ ゴシック"/>
      <family val="3"/>
      <charset val="128"/>
    </font>
    <font>
      <sz val="11"/>
      <color rgb="FF000000"/>
      <name val="ＭＳ ゴシック"/>
      <family val="3"/>
      <charset val="128"/>
    </font>
    <font>
      <sz val="18"/>
      <color theme="1"/>
      <name val="游ゴシック"/>
      <family val="2"/>
      <charset val="128"/>
      <scheme val="minor"/>
    </font>
    <font>
      <b/>
      <sz val="14"/>
      <color theme="1"/>
      <name val="游ゴシック"/>
      <family val="3"/>
      <charset val="128"/>
      <scheme val="minor"/>
    </font>
    <font>
      <sz val="9"/>
      <name val="游ゴシック"/>
      <family val="3"/>
      <charset val="128"/>
      <scheme val="minor"/>
    </font>
    <font>
      <sz val="8"/>
      <name val="游ゴシック"/>
      <family val="3"/>
      <charset val="128"/>
      <scheme val="minor"/>
    </font>
    <font>
      <sz val="9"/>
      <color theme="1"/>
      <name val="游ゴシック"/>
      <family val="3"/>
      <charset val="128"/>
      <scheme val="minor"/>
    </font>
    <font>
      <b/>
      <sz val="14"/>
      <color rgb="FFFF0000"/>
      <name val="游ゴシック"/>
      <family val="3"/>
      <charset val="128"/>
      <scheme val="minor"/>
    </font>
    <font>
      <sz val="6"/>
      <name val="ＭＳ Ｐゴシック"/>
      <family val="3"/>
      <charset val="128"/>
    </font>
    <font>
      <sz val="11"/>
      <name val="ＭＳ Ｐゴシック"/>
      <family val="3"/>
      <charset val="128"/>
    </font>
    <font>
      <sz val="11"/>
      <color theme="1" tint="4.9989318521683403E-2"/>
      <name val="ＭＳ Ｐゴシック"/>
      <family val="3"/>
      <charset val="128"/>
    </font>
    <font>
      <sz val="10"/>
      <color rgb="FF333333"/>
      <name val="ＭＳ Ｐゴシック"/>
      <family val="3"/>
      <charset val="128"/>
    </font>
    <font>
      <sz val="11"/>
      <name val="ＭＳ 明朝"/>
      <family val="1"/>
      <charset val="128"/>
    </font>
    <font>
      <b/>
      <sz val="14"/>
      <name val="HG丸ｺﾞｼｯｸM-PRO"/>
      <family val="3"/>
      <charset val="128"/>
    </font>
    <font>
      <sz val="10"/>
      <name val="ＭＳ ゴシック"/>
      <family val="3"/>
      <charset val="128"/>
    </font>
    <font>
      <sz val="9"/>
      <name val="ＭＳ ゴシック"/>
      <family val="3"/>
      <charset val="128"/>
    </font>
    <font>
      <sz val="11"/>
      <name val="HG丸ｺﾞｼｯｸM-PRO"/>
      <family val="3"/>
      <charset val="128"/>
    </font>
    <font>
      <b/>
      <sz val="9"/>
      <color indexed="81"/>
      <name val="MS P ゴシック"/>
      <family val="3"/>
      <charset val="128"/>
    </font>
    <font>
      <sz val="9"/>
      <color indexed="81"/>
      <name val="MS P ゴシック"/>
      <family val="3"/>
      <charset val="128"/>
    </font>
    <font>
      <sz val="11"/>
      <color rgb="FFFF0000"/>
      <name val="游ゴシック"/>
      <family val="2"/>
      <charset val="128"/>
      <scheme val="minor"/>
    </font>
    <font>
      <b/>
      <sz val="16"/>
      <color theme="1"/>
      <name val="ＭＳ ゴシック"/>
      <family val="3"/>
      <charset val="128"/>
    </font>
    <font>
      <sz val="14"/>
      <color theme="0"/>
      <name val="ＭＳ ゴシック"/>
      <family val="3"/>
      <charset val="128"/>
    </font>
    <font>
      <sz val="11"/>
      <color rgb="FFFF0000"/>
      <name val="ＭＳ ゴシック"/>
      <family val="3"/>
      <charset val="128"/>
    </font>
    <font>
      <b/>
      <sz val="20"/>
      <color theme="1"/>
      <name val="游ゴシック"/>
      <family val="3"/>
      <charset val="128"/>
      <scheme val="minor"/>
    </font>
    <font>
      <b/>
      <sz val="11"/>
      <color theme="0"/>
      <name val="游ゴシック"/>
      <family val="3"/>
      <charset val="128"/>
      <scheme val="minor"/>
    </font>
    <font>
      <sz val="16"/>
      <name val="游ゴシック"/>
      <family val="2"/>
      <charset val="128"/>
      <scheme val="minor"/>
    </font>
    <font>
      <sz val="14"/>
      <color theme="1"/>
      <name val="游ゴシック"/>
      <family val="2"/>
      <charset val="128"/>
      <scheme val="minor"/>
    </font>
  </fonts>
  <fills count="18">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CCFFFF"/>
        <bgColor indexed="64"/>
      </patternFill>
    </fill>
    <fill>
      <patternFill patternType="solid">
        <fgColor theme="3" tint="0.79998168889431442"/>
        <bgColor indexed="64"/>
      </patternFill>
    </fill>
    <fill>
      <patternFill patternType="solid">
        <fgColor indexed="47"/>
        <bgColor indexed="64"/>
      </patternFill>
    </fill>
    <fill>
      <patternFill patternType="solid">
        <fgColor indexed="9"/>
        <bgColor indexed="64"/>
      </patternFill>
    </fill>
    <fill>
      <patternFill patternType="solid">
        <fgColor theme="5" tint="0.59999389629810485"/>
        <bgColor indexed="64"/>
      </patternFill>
    </fill>
    <fill>
      <patternFill patternType="solid">
        <fgColor theme="5"/>
        <bgColor indexed="64"/>
      </patternFill>
    </fill>
    <fill>
      <patternFill patternType="solid">
        <fgColor rgb="FFFF000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tted">
        <color auto="1"/>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diagonalUp="1">
      <left style="thin">
        <color indexed="64"/>
      </left>
      <right style="thin">
        <color indexed="64"/>
      </right>
      <top/>
      <bottom style="thin">
        <color indexed="64"/>
      </bottom>
      <diagonal style="hair">
        <color indexed="64"/>
      </diagonal>
    </border>
    <border>
      <left/>
      <right/>
      <top style="thin">
        <color indexed="64"/>
      </top>
      <bottom style="dotted">
        <color auto="1"/>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ashDotDot">
        <color auto="1"/>
      </top>
      <bottom/>
      <diagonal/>
    </border>
    <border>
      <left/>
      <right/>
      <top/>
      <bottom style="medium">
        <color indexed="64"/>
      </bottom>
      <diagonal/>
    </border>
    <border>
      <left/>
      <right/>
      <top style="medium">
        <color indexed="64"/>
      </top>
      <bottom/>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left style="mediumDashed">
        <color indexed="64"/>
      </left>
      <right/>
      <top style="mediumDashed">
        <color indexed="64"/>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mediumDashed">
        <color indexed="64"/>
      </right>
      <top/>
      <bottom/>
      <diagonal/>
    </border>
    <border>
      <left style="mediumDashed">
        <color indexed="64"/>
      </left>
      <right/>
      <top/>
      <bottom/>
      <diagonal/>
    </border>
    <border>
      <left/>
      <right/>
      <top/>
      <bottom style="mediumDash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indexed="64"/>
      </right>
      <top style="medium">
        <color indexed="64"/>
      </top>
      <bottom style="thin">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auto="1"/>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auto="1"/>
      </bottom>
      <diagonal/>
    </border>
    <border>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diagonalUp="1">
      <left/>
      <right style="thin">
        <color indexed="64"/>
      </right>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diagonalUp="1">
      <left style="thin">
        <color indexed="64"/>
      </left>
      <right/>
      <top/>
      <bottom style="thin">
        <color indexed="64"/>
      </bottom>
      <diagonal style="thin">
        <color indexed="64"/>
      </diagonal>
    </border>
    <border>
      <left/>
      <right/>
      <top style="thin">
        <color indexed="64"/>
      </top>
      <bottom style="dashed">
        <color auto="1"/>
      </bottom>
      <diagonal/>
    </border>
  </borders>
  <cellStyleXfs count="17">
    <xf numFmtId="0" fontId="0"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43" fillId="0" borderId="0"/>
    <xf numFmtId="0" fontId="2" fillId="0" borderId="0">
      <alignment vertical="center"/>
    </xf>
    <xf numFmtId="0" fontId="46" fillId="0" borderId="0"/>
    <xf numFmtId="0" fontId="43" fillId="0" borderId="0"/>
    <xf numFmtId="0" fontId="51" fillId="0" borderId="0">
      <alignment vertical="center"/>
    </xf>
    <xf numFmtId="0" fontId="2" fillId="0" borderId="0">
      <alignment vertical="center"/>
    </xf>
    <xf numFmtId="9" fontId="2" fillId="0" borderId="0" applyFont="0" applyFill="0" applyBorder="0" applyAlignment="0" applyProtection="0">
      <alignment vertical="center"/>
    </xf>
    <xf numFmtId="0" fontId="88" fillId="0" borderId="0"/>
    <xf numFmtId="0" fontId="88" fillId="0" borderId="0">
      <alignment vertical="center"/>
    </xf>
    <xf numFmtId="0" fontId="88" fillId="0" borderId="0"/>
    <xf numFmtId="0" fontId="93" fillId="0" borderId="0"/>
    <xf numFmtId="0" fontId="88" fillId="0" borderId="0">
      <alignment vertical="center"/>
    </xf>
    <xf numFmtId="0" fontId="94" fillId="0" borderId="0"/>
  </cellStyleXfs>
  <cellXfs count="1474">
    <xf numFmtId="0" fontId="0" fillId="0" borderId="0" xfId="0">
      <alignment vertical="center"/>
    </xf>
    <xf numFmtId="0" fontId="4" fillId="0" borderId="0" xfId="0" applyFont="1">
      <alignment vertical="center"/>
    </xf>
    <xf numFmtId="0" fontId="0" fillId="0" borderId="0" xfId="0" applyAlignment="1">
      <alignment horizontal="center" vertical="center"/>
    </xf>
    <xf numFmtId="0" fontId="0" fillId="0" borderId="0" xfId="0" applyAlignment="1">
      <alignment vertical="center" wrapText="1"/>
    </xf>
    <xf numFmtId="0" fontId="0" fillId="0" borderId="16" xfId="0" applyBorder="1">
      <alignment vertical="center"/>
    </xf>
    <xf numFmtId="0" fontId="0" fillId="0" borderId="17"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3" xfId="0" applyBorder="1">
      <alignment vertical="center"/>
    </xf>
    <xf numFmtId="0" fontId="0" fillId="0" borderId="18" xfId="0" applyBorder="1">
      <alignment vertical="center"/>
    </xf>
    <xf numFmtId="0" fontId="0" fillId="0" borderId="0" xfId="0" applyProtection="1">
      <alignment vertical="center"/>
      <protection locked="0"/>
    </xf>
    <xf numFmtId="0" fontId="5" fillId="0" borderId="0" xfId="0" applyFont="1" applyProtection="1">
      <alignment vertical="center"/>
      <protection locked="0"/>
    </xf>
    <xf numFmtId="0" fontId="9" fillId="0" borderId="0" xfId="0" applyFont="1">
      <alignment vertical="center"/>
    </xf>
    <xf numFmtId="0" fontId="9" fillId="0" borderId="18" xfId="0" applyFont="1" applyBorder="1">
      <alignment vertical="center"/>
    </xf>
    <xf numFmtId="0" fontId="9" fillId="0" borderId="17" xfId="0" applyFont="1" applyBorder="1">
      <alignment vertical="center"/>
    </xf>
    <xf numFmtId="0" fontId="9" fillId="0" borderId="20" xfId="0" applyFont="1" applyBorder="1">
      <alignment vertical="center"/>
    </xf>
    <xf numFmtId="0" fontId="9" fillId="0" borderId="0" xfId="0" applyFont="1" applyAlignment="1">
      <alignment vertical="center" wrapText="1"/>
    </xf>
    <xf numFmtId="0" fontId="9" fillId="0" borderId="17" xfId="0" applyFont="1" applyBorder="1" applyAlignment="1">
      <alignment vertical="center" wrapText="1"/>
    </xf>
    <xf numFmtId="0" fontId="9" fillId="0" borderId="21" xfId="0" applyFont="1" applyBorder="1">
      <alignment vertical="center"/>
    </xf>
    <xf numFmtId="0" fontId="9" fillId="0" borderId="1" xfId="0" applyFont="1" applyBorder="1" applyAlignment="1" applyProtection="1">
      <alignment vertical="center" wrapText="1"/>
      <protection locked="0"/>
    </xf>
    <xf numFmtId="0" fontId="9" fillId="0" borderId="0" xfId="0" applyFont="1" applyProtection="1">
      <alignment vertical="center"/>
      <protection locked="0"/>
    </xf>
    <xf numFmtId="0" fontId="9" fillId="0" borderId="20" xfId="0" applyFont="1" applyBorder="1" applyProtection="1">
      <alignment vertical="center"/>
      <protection locked="0"/>
    </xf>
    <xf numFmtId="0" fontId="9" fillId="0" borderId="1" xfId="0" applyFont="1" applyBorder="1" applyProtection="1">
      <alignment vertical="center"/>
      <protection locked="0"/>
    </xf>
    <xf numFmtId="0" fontId="9" fillId="0" borderId="21" xfId="0" applyFont="1" applyBorder="1" applyProtection="1">
      <alignment vertical="center"/>
      <protection locked="0"/>
    </xf>
    <xf numFmtId="0" fontId="9" fillId="0" borderId="7" xfId="0" applyFont="1" applyBorder="1" applyAlignment="1" applyProtection="1">
      <alignment vertical="center" wrapText="1"/>
      <protection locked="0"/>
    </xf>
    <xf numFmtId="0" fontId="9" fillId="0" borderId="16" xfId="0" applyFont="1" applyBorder="1">
      <alignment vertical="center"/>
    </xf>
    <xf numFmtId="0" fontId="9" fillId="0" borderId="23" xfId="0" applyFont="1" applyBorder="1">
      <alignment vertical="center"/>
    </xf>
    <xf numFmtId="0" fontId="13" fillId="0" borderId="0" xfId="0" applyFont="1">
      <alignment vertical="center"/>
    </xf>
    <xf numFmtId="0" fontId="13" fillId="0" borderId="0" xfId="0" applyFont="1" applyProtection="1">
      <alignment vertical="center"/>
      <protection locked="0"/>
    </xf>
    <xf numFmtId="0" fontId="9" fillId="0" borderId="19" xfId="0" applyFont="1" applyBorder="1">
      <alignment vertical="center"/>
    </xf>
    <xf numFmtId="0" fontId="14" fillId="0" borderId="0" xfId="0" applyFont="1">
      <alignment vertical="center"/>
    </xf>
    <xf numFmtId="0" fontId="14" fillId="0" borderId="20" xfId="0" applyFont="1" applyBorder="1">
      <alignment vertical="center"/>
    </xf>
    <xf numFmtId="0" fontId="14" fillId="0" borderId="22" xfId="0" applyFont="1" applyBorder="1">
      <alignment vertical="center"/>
    </xf>
    <xf numFmtId="0" fontId="14" fillId="0" borderId="16" xfId="0" applyFont="1" applyBorder="1">
      <alignment vertical="center"/>
    </xf>
    <xf numFmtId="0" fontId="15" fillId="0" borderId="0" xfId="0" applyFont="1">
      <alignment vertical="center"/>
    </xf>
    <xf numFmtId="0" fontId="13" fillId="0" borderId="20" xfId="0" applyFont="1" applyBorder="1" applyProtection="1">
      <alignment vertical="center"/>
      <protection locked="0"/>
    </xf>
    <xf numFmtId="0" fontId="9" fillId="0" borderId="0" xfId="0" applyFont="1" applyAlignment="1" applyProtection="1">
      <alignment horizontal="center" vertical="center"/>
      <protection locked="0"/>
    </xf>
    <xf numFmtId="3" fontId="17" fillId="0" borderId="1" xfId="0" applyNumberFormat="1" applyFont="1" applyBorder="1" applyAlignment="1" applyProtection="1">
      <alignment horizontal="center" vertical="center" wrapText="1"/>
      <protection locked="0"/>
    </xf>
    <xf numFmtId="3" fontId="17" fillId="0" borderId="6" xfId="0" applyNumberFormat="1" applyFont="1" applyBorder="1" applyAlignment="1" applyProtection="1">
      <alignment horizontal="center" vertical="center" wrapText="1"/>
      <protection locked="0"/>
    </xf>
    <xf numFmtId="0" fontId="21" fillId="0" borderId="0" xfId="0" applyFont="1" applyProtection="1">
      <alignment vertical="center"/>
      <protection locked="0"/>
    </xf>
    <xf numFmtId="0" fontId="21" fillId="0" borderId="20" xfId="0" applyFont="1" applyBorder="1" applyProtection="1">
      <alignment vertical="center"/>
      <protection locked="0"/>
    </xf>
    <xf numFmtId="3" fontId="17" fillId="0" borderId="7" xfId="0" applyNumberFormat="1" applyFont="1" applyBorder="1" applyAlignment="1" applyProtection="1">
      <alignment horizontal="center" vertical="center" wrapText="1"/>
      <protection locked="0"/>
    </xf>
    <xf numFmtId="0" fontId="9" fillId="3" borderId="13" xfId="0" applyFont="1" applyFill="1" applyBorder="1" applyProtection="1">
      <alignment vertical="center"/>
      <protection locked="0"/>
    </xf>
    <xf numFmtId="0" fontId="10" fillId="0" borderId="0" xfId="0" applyFont="1">
      <alignment vertical="center"/>
    </xf>
    <xf numFmtId="0" fontId="9" fillId="0" borderId="1" xfId="0" applyFont="1" applyBorder="1" applyAlignment="1">
      <alignment vertical="center" wrapText="1"/>
    </xf>
    <xf numFmtId="0" fontId="9" fillId="0" borderId="22" xfId="0" applyFont="1" applyBorder="1">
      <alignment vertical="center"/>
    </xf>
    <xf numFmtId="0" fontId="21" fillId="0" borderId="0" xfId="0" applyFont="1">
      <alignment vertical="center"/>
    </xf>
    <xf numFmtId="0" fontId="15" fillId="0" borderId="16" xfId="0" applyFont="1" applyBorder="1">
      <alignment vertical="center"/>
    </xf>
    <xf numFmtId="0" fontId="11"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3" xfId="0" applyFont="1" applyBorder="1" applyAlignment="1" applyProtection="1">
      <alignment vertical="center" wrapText="1"/>
      <protection locked="0"/>
    </xf>
    <xf numFmtId="0" fontId="9" fillId="0" borderId="12" xfId="0" applyFont="1" applyBorder="1" applyAlignment="1" applyProtection="1">
      <alignment vertical="center" wrapText="1"/>
      <protection locked="0"/>
    </xf>
    <xf numFmtId="0" fontId="9" fillId="0" borderId="13" xfId="0" applyFont="1" applyBorder="1" applyProtection="1">
      <alignment vertical="center"/>
      <protection locked="0"/>
    </xf>
    <xf numFmtId="0" fontId="21" fillId="0" borderId="16" xfId="0" applyFont="1" applyBorder="1">
      <alignment vertical="center"/>
    </xf>
    <xf numFmtId="179" fontId="9" fillId="0" borderId="1" xfId="0" applyNumberFormat="1" applyFont="1" applyBorder="1" applyAlignment="1" applyProtection="1">
      <alignment vertical="center" shrinkToFit="1"/>
      <protection locked="0"/>
    </xf>
    <xf numFmtId="179" fontId="9" fillId="0" borderId="7" xfId="0" applyNumberFormat="1" applyFont="1" applyBorder="1" applyAlignment="1" applyProtection="1">
      <alignment vertical="center" shrinkToFit="1"/>
      <protection locked="0"/>
    </xf>
    <xf numFmtId="0" fontId="21" fillId="0" borderId="0" xfId="0" applyFont="1" applyAlignment="1">
      <alignment horizontal="left" vertical="center" wrapText="1"/>
    </xf>
    <xf numFmtId="0" fontId="29" fillId="0" borderId="1" xfId="0" applyFont="1" applyBorder="1" applyAlignment="1" applyProtection="1">
      <alignment vertical="center" wrapText="1"/>
      <protection locked="0"/>
    </xf>
    <xf numFmtId="0" fontId="29" fillId="0" borderId="1" xfId="0" applyFont="1" applyBorder="1" applyProtection="1">
      <alignment vertical="center"/>
      <protection locked="0"/>
    </xf>
    <xf numFmtId="3" fontId="29" fillId="0" borderId="1" xfId="0" applyNumberFormat="1" applyFont="1" applyBorder="1" applyProtection="1">
      <alignment vertical="center"/>
      <protection locked="0"/>
    </xf>
    <xf numFmtId="3" fontId="29" fillId="0" borderId="1" xfId="0" applyNumberFormat="1" applyFont="1" applyBorder="1" applyAlignment="1" applyProtection="1">
      <alignment vertical="center" wrapText="1"/>
      <protection locked="0"/>
    </xf>
    <xf numFmtId="0" fontId="20" fillId="0" borderId="0" xfId="0" applyFont="1" applyAlignment="1">
      <alignment horizontal="center" vertical="center"/>
    </xf>
    <xf numFmtId="0" fontId="19" fillId="0" borderId="0" xfId="0" applyFont="1" applyAlignment="1">
      <alignment horizontal="center" vertical="center"/>
    </xf>
    <xf numFmtId="0" fontId="0" fillId="0" borderId="22" xfId="0" applyBorder="1">
      <alignment vertical="center"/>
    </xf>
    <xf numFmtId="0" fontId="12" fillId="0" borderId="13" xfId="0" applyFont="1" applyBorder="1" applyAlignment="1">
      <alignment horizontal="center" vertical="center" wrapText="1"/>
    </xf>
    <xf numFmtId="0" fontId="17" fillId="0" borderId="13" xfId="0" applyFont="1" applyBorder="1" applyProtection="1">
      <alignment vertical="center"/>
      <protection locked="0"/>
    </xf>
    <xf numFmtId="0" fontId="12" fillId="0" borderId="6" xfId="0" applyFont="1" applyBorder="1" applyAlignment="1">
      <alignment horizontal="center" vertical="center" wrapText="1"/>
    </xf>
    <xf numFmtId="3" fontId="9" fillId="3" borderId="2" xfId="0" applyNumberFormat="1" applyFont="1" applyFill="1" applyBorder="1" applyAlignment="1" applyProtection="1">
      <alignment vertical="center" shrinkToFit="1"/>
      <protection locked="0"/>
    </xf>
    <xf numFmtId="3" fontId="9" fillId="3" borderId="1" xfId="0" applyNumberFormat="1" applyFont="1" applyFill="1" applyBorder="1" applyAlignment="1" applyProtection="1">
      <alignment vertical="center" shrinkToFit="1"/>
      <protection locked="0"/>
    </xf>
    <xf numFmtId="0" fontId="0" fillId="5" borderId="1" xfId="0" applyFill="1" applyBorder="1" applyAlignment="1">
      <alignment horizontal="center" vertical="center" wrapText="1"/>
    </xf>
    <xf numFmtId="0" fontId="4" fillId="5" borderId="1" xfId="0" applyFont="1" applyFill="1" applyBorder="1" applyAlignment="1">
      <alignment horizontal="center" vertical="center" wrapText="1"/>
    </xf>
    <xf numFmtId="0" fontId="39" fillId="0" borderId="0" xfId="0" applyFont="1">
      <alignment vertical="center"/>
    </xf>
    <xf numFmtId="0" fontId="0" fillId="0" borderId="13" xfId="0" applyBorder="1">
      <alignment vertical="center"/>
    </xf>
    <xf numFmtId="0" fontId="0" fillId="0" borderId="6" xfId="0" applyBorder="1">
      <alignment vertical="center"/>
    </xf>
    <xf numFmtId="0" fontId="9" fillId="0" borderId="13" xfId="0" applyFont="1" applyBorder="1">
      <alignment vertical="center"/>
    </xf>
    <xf numFmtId="0" fontId="0" fillId="0" borderId="7" xfId="0" applyBorder="1" applyAlignment="1">
      <alignment horizontal="center" vertical="center"/>
    </xf>
    <xf numFmtId="0" fontId="0" fillId="0" borderId="7" xfId="0" applyBorder="1">
      <alignment vertical="center"/>
    </xf>
    <xf numFmtId="0" fontId="12" fillId="0" borderId="7" xfId="0" applyFont="1" applyBorder="1" applyAlignment="1">
      <alignment horizontal="center" vertical="center" wrapText="1"/>
    </xf>
    <xf numFmtId="0" fontId="0" fillId="0" borderId="0" xfId="0" applyAlignment="1">
      <alignment vertical="top"/>
    </xf>
    <xf numFmtId="0" fontId="0" fillId="0" borderId="39" xfId="0" applyBorder="1">
      <alignment vertical="center"/>
    </xf>
    <xf numFmtId="0" fontId="0" fillId="0" borderId="39" xfId="0" applyBorder="1" applyAlignment="1">
      <alignment horizontal="center" vertical="center"/>
    </xf>
    <xf numFmtId="0" fontId="29" fillId="0" borderId="1" xfId="0"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21" fillId="0" borderId="17" xfId="0" applyFont="1" applyBorder="1">
      <alignment vertical="center"/>
    </xf>
    <xf numFmtId="0" fontId="9" fillId="0" borderId="13" xfId="0" applyFont="1" applyBorder="1" applyAlignment="1">
      <alignment horizontal="center" vertical="center" wrapText="1"/>
    </xf>
    <xf numFmtId="0" fontId="9" fillId="0" borderId="6" xfId="0" applyFont="1" applyBorder="1" applyAlignment="1">
      <alignment horizontal="center" vertical="center" wrapText="1"/>
    </xf>
    <xf numFmtId="3" fontId="0" fillId="0" borderId="0" xfId="0" applyNumberFormat="1">
      <alignment vertical="center"/>
    </xf>
    <xf numFmtId="0" fontId="21" fillId="0" borderId="1" xfId="0" applyFont="1" applyBorder="1" applyAlignment="1" applyProtection="1">
      <alignment horizontal="center" vertical="center"/>
      <protection locked="0"/>
    </xf>
    <xf numFmtId="0" fontId="21" fillId="0" borderId="0" xfId="0" applyFont="1" applyAlignment="1">
      <alignment vertical="center" wrapText="1"/>
    </xf>
    <xf numFmtId="0" fontId="21" fillId="0" borderId="20" xfId="0" applyFont="1" applyBorder="1">
      <alignment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xf>
    <xf numFmtId="0" fontId="12" fillId="0" borderId="7" xfId="0" applyFont="1" applyBorder="1" applyAlignment="1" applyProtection="1">
      <alignment horizontal="center" vertical="center" wrapText="1"/>
      <protection locked="0"/>
    </xf>
    <xf numFmtId="0" fontId="0" fillId="0" borderId="20" xfId="0" applyBorder="1" applyProtection="1">
      <alignment vertical="center"/>
      <protection locked="0"/>
    </xf>
    <xf numFmtId="0" fontId="0" fillId="0" borderId="13" xfId="0" applyBorder="1" applyProtection="1">
      <alignment vertical="center"/>
      <protection locked="0"/>
    </xf>
    <xf numFmtId="0" fontId="12" fillId="0" borderId="13" xfId="0" applyFont="1" applyBorder="1" applyAlignment="1" applyProtection="1">
      <alignment horizontal="center" vertical="center" wrapText="1"/>
      <protection locked="0"/>
    </xf>
    <xf numFmtId="0" fontId="0" fillId="0" borderId="21" xfId="0" applyBorder="1" applyProtection="1">
      <alignment vertical="center"/>
      <protection locked="0"/>
    </xf>
    <xf numFmtId="0" fontId="0" fillId="0" borderId="0" xfId="0" applyAlignment="1" applyProtection="1">
      <alignment horizontal="center" vertical="center"/>
      <protection locked="0"/>
    </xf>
    <xf numFmtId="0" fontId="31" fillId="0" borderId="6" xfId="0" applyFont="1" applyBorder="1" applyAlignment="1" applyProtection="1">
      <alignment horizontal="center" vertical="center"/>
      <protection locked="0"/>
    </xf>
    <xf numFmtId="0" fontId="9" fillId="0" borderId="12" xfId="0" applyFont="1" applyBorder="1" applyAlignment="1">
      <alignment horizontal="center" vertical="center" wrapText="1"/>
    </xf>
    <xf numFmtId="0" fontId="9" fillId="0" borderId="7" xfId="0" applyFont="1" applyBorder="1" applyAlignment="1">
      <alignment horizontal="centerContinuous" vertical="center"/>
    </xf>
    <xf numFmtId="0" fontId="9" fillId="0" borderId="1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vertical="center" wrapText="1"/>
    </xf>
    <xf numFmtId="0" fontId="9" fillId="0" borderId="7" xfId="0" applyFont="1" applyBorder="1" applyAlignment="1">
      <alignment horizontal="left" vertical="center"/>
    </xf>
    <xf numFmtId="0" fontId="9" fillId="0" borderId="3" xfId="0" applyFont="1" applyBorder="1">
      <alignment vertical="center"/>
    </xf>
    <xf numFmtId="179" fontId="9" fillId="0" borderId="1" xfId="0" applyNumberFormat="1" applyFont="1" applyBorder="1" applyAlignment="1">
      <alignment vertical="center" shrinkToFit="1"/>
    </xf>
    <xf numFmtId="0" fontId="9" fillId="0" borderId="3" xfId="0" applyFont="1" applyBorder="1" applyAlignment="1">
      <alignment vertical="center" wrapText="1"/>
    </xf>
    <xf numFmtId="0" fontId="9" fillId="0" borderId="2" xfId="0" applyFont="1" applyBorder="1" applyAlignment="1">
      <alignment horizontal="centerContinuous" vertical="center" wrapText="1"/>
    </xf>
    <xf numFmtId="0" fontId="9" fillId="3" borderId="24"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4" xfId="0" applyFont="1" applyBorder="1" applyAlignment="1">
      <alignment vertical="center" wrapText="1"/>
    </xf>
    <xf numFmtId="0" fontId="3" fillId="0" borderId="0" xfId="0" applyFont="1" applyProtection="1">
      <alignment vertical="center"/>
      <protection locked="0"/>
    </xf>
    <xf numFmtId="0" fontId="3" fillId="0" borderId="13" xfId="0" applyFont="1" applyBorder="1" applyAlignment="1" applyProtection="1">
      <alignment horizontal="center" vertical="center"/>
      <protection locked="0"/>
    </xf>
    <xf numFmtId="0" fontId="3" fillId="0" borderId="13" xfId="0" applyFont="1" applyBorder="1" applyAlignment="1" applyProtection="1">
      <alignment horizontal="left" vertical="center"/>
      <protection locked="0"/>
    </xf>
    <xf numFmtId="3" fontId="3" fillId="0" borderId="13" xfId="0" applyNumberFormat="1" applyFont="1" applyBorder="1" applyProtection="1">
      <alignment vertical="center"/>
      <protection locked="0"/>
    </xf>
    <xf numFmtId="0" fontId="3" fillId="0" borderId="10" xfId="0" applyFont="1" applyBorder="1" applyAlignment="1" applyProtection="1">
      <alignment horizontal="left" vertical="center"/>
      <protection locked="0"/>
    </xf>
    <xf numFmtId="3" fontId="3" fillId="0" borderId="7" xfId="0" applyNumberFormat="1" applyFont="1" applyBorder="1" applyProtection="1">
      <alignment vertical="center"/>
      <protection locked="0"/>
    </xf>
    <xf numFmtId="0" fontId="3" fillId="0" borderId="7" xfId="0" applyFont="1" applyBorder="1" applyAlignment="1" applyProtection="1">
      <alignment horizontal="left" vertical="center"/>
      <protection locked="0"/>
    </xf>
    <xf numFmtId="0" fontId="30" fillId="0" borderId="0" xfId="0" applyFont="1">
      <alignment vertical="center"/>
    </xf>
    <xf numFmtId="3" fontId="0" fillId="0" borderId="16" xfId="0" applyNumberFormat="1" applyBorder="1">
      <alignment vertical="center"/>
    </xf>
    <xf numFmtId="0" fontId="0" fillId="0" borderId="16" xfId="0" applyBorder="1" applyAlignment="1">
      <alignment horizontal="center" vertical="center"/>
    </xf>
    <xf numFmtId="0" fontId="29" fillId="0" borderId="13" xfId="0" applyFont="1" applyBorder="1" applyProtection="1">
      <alignment vertical="center"/>
      <protection locked="0"/>
    </xf>
    <xf numFmtId="0" fontId="30" fillId="0" borderId="1" xfId="0" applyFont="1" applyBorder="1" applyProtection="1">
      <alignment vertical="center"/>
      <protection locked="0"/>
    </xf>
    <xf numFmtId="0" fontId="0" fillId="0" borderId="1" xfId="0"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0" fontId="29" fillId="0" borderId="15"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3" fontId="0" fillId="0" borderId="1" xfId="0" applyNumberFormat="1" applyBorder="1" applyAlignment="1" applyProtection="1">
      <alignment vertical="center" wrapText="1"/>
      <protection locked="0"/>
    </xf>
    <xf numFmtId="0" fontId="6" fillId="0" borderId="0" xfId="0" applyFont="1" applyProtection="1">
      <alignment vertical="center"/>
      <protection locked="0"/>
    </xf>
    <xf numFmtId="0" fontId="24" fillId="0" borderId="0" xfId="0" applyFont="1" applyAlignment="1">
      <alignment vertical="center" wrapText="1"/>
    </xf>
    <xf numFmtId="0" fontId="22" fillId="0" borderId="0" xfId="0" applyFont="1">
      <alignment vertical="center"/>
    </xf>
    <xf numFmtId="0" fontId="28" fillId="0" borderId="20" xfId="0" applyFont="1" applyBorder="1">
      <alignment vertical="center"/>
    </xf>
    <xf numFmtId="0" fontId="21" fillId="0" borderId="21" xfId="0" applyFont="1" applyBorder="1">
      <alignment vertical="center"/>
    </xf>
    <xf numFmtId="0" fontId="28" fillId="0" borderId="0" xfId="0" applyFont="1" applyAlignment="1">
      <alignment horizontal="center" vertical="center" wrapText="1"/>
    </xf>
    <xf numFmtId="9" fontId="21" fillId="0" borderId="7" xfId="0" applyNumberFormat="1" applyFont="1" applyBorder="1">
      <alignment vertical="center"/>
    </xf>
    <xf numFmtId="0" fontId="27" fillId="0" borderId="0" xfId="0" applyFont="1" applyAlignment="1">
      <alignment horizontal="center" vertical="center"/>
    </xf>
    <xf numFmtId="3" fontId="21" fillId="0" borderId="6" xfId="0" applyNumberFormat="1" applyFont="1" applyBorder="1">
      <alignment vertical="center"/>
    </xf>
    <xf numFmtId="0" fontId="35" fillId="0" borderId="0" xfId="0" applyFont="1" applyAlignment="1">
      <alignment horizontal="left"/>
    </xf>
    <xf numFmtId="0" fontId="21" fillId="0" borderId="0" xfId="0" applyFont="1" applyAlignment="1">
      <alignment horizontal="right" vertical="center"/>
    </xf>
    <xf numFmtId="0" fontId="35" fillId="0" borderId="0" xfId="0" applyFont="1" applyAlignment="1">
      <alignment vertical="top" wrapText="1"/>
    </xf>
    <xf numFmtId="0" fontId="35" fillId="0" borderId="0" xfId="0" applyFont="1" applyAlignment="1">
      <alignment vertical="top"/>
    </xf>
    <xf numFmtId="0" fontId="21" fillId="0" borderId="8" xfId="0" applyFont="1" applyBorder="1" applyAlignment="1">
      <alignment horizontal="left" vertical="center"/>
    </xf>
    <xf numFmtId="0" fontId="21" fillId="0" borderId="8" xfId="0" applyFont="1" applyBorder="1" applyAlignment="1">
      <alignment horizontal="right" vertical="center"/>
    </xf>
    <xf numFmtId="0" fontId="21" fillId="0" borderId="8" xfId="0" applyFont="1" applyBorder="1">
      <alignment vertical="center"/>
    </xf>
    <xf numFmtId="0" fontId="33" fillId="0" borderId="0" xfId="0" applyFont="1" applyAlignment="1">
      <alignment horizontal="left" vertical="center" wrapText="1"/>
    </xf>
    <xf numFmtId="0" fontId="34" fillId="0" borderId="0" xfId="0" applyFont="1" applyAlignment="1">
      <alignment horizontal="left" vertical="center" wrapText="1"/>
    </xf>
    <xf numFmtId="3" fontId="21" fillId="0" borderId="8" xfId="0" applyNumberFormat="1" applyFont="1" applyBorder="1">
      <alignment vertical="center"/>
    </xf>
    <xf numFmtId="3" fontId="21" fillId="0" borderId="35" xfId="0" applyNumberFormat="1" applyFont="1" applyBorder="1">
      <alignment vertical="center"/>
    </xf>
    <xf numFmtId="0" fontId="37" fillId="0" borderId="0" xfId="0" applyFont="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176" fontId="21" fillId="0" borderId="17" xfId="0" applyNumberFormat="1" applyFont="1" applyBorder="1" applyAlignment="1">
      <alignment horizontal="right" vertical="center"/>
    </xf>
    <xf numFmtId="0" fontId="21" fillId="0" borderId="0" xfId="0" applyFont="1" applyAlignment="1">
      <alignment horizontal="center" vertical="center"/>
    </xf>
    <xf numFmtId="0" fontId="10" fillId="0" borderId="0" xfId="0" applyFont="1" applyProtection="1">
      <alignment vertical="center"/>
      <protection locked="0"/>
    </xf>
    <xf numFmtId="0" fontId="9"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21" fillId="0" borderId="21" xfId="0" applyFont="1" applyBorder="1" applyProtection="1">
      <alignment vertical="center"/>
      <protection locked="0"/>
    </xf>
    <xf numFmtId="0" fontId="9" fillId="3" borderId="14" xfId="0" applyFont="1" applyFill="1" applyBorder="1" applyProtection="1">
      <alignment vertical="center"/>
      <protection locked="0"/>
    </xf>
    <xf numFmtId="176" fontId="9" fillId="0" borderId="1" xfId="0" applyNumberFormat="1" applyFont="1" applyBorder="1" applyProtection="1">
      <alignment vertical="center"/>
      <protection locked="0"/>
    </xf>
    <xf numFmtId="182" fontId="42" fillId="0" borderId="1" xfId="0" applyNumberFormat="1" applyFont="1" applyBorder="1" applyProtection="1">
      <alignment vertical="center"/>
      <protection hidden="1"/>
    </xf>
    <xf numFmtId="0" fontId="3" fillId="7" borderId="2" xfId="0" applyFont="1" applyFill="1" applyBorder="1" applyAlignment="1">
      <alignment horizontal="center" vertical="center" wrapText="1"/>
    </xf>
    <xf numFmtId="0" fontId="3" fillId="7" borderId="9" xfId="0" applyFont="1" applyFill="1" applyBorder="1" applyAlignment="1">
      <alignment vertical="center" wrapText="1"/>
    </xf>
    <xf numFmtId="3" fontId="3" fillId="7" borderId="9" xfId="0" applyNumberFormat="1" applyFont="1" applyFill="1" applyBorder="1">
      <alignment vertical="center"/>
    </xf>
    <xf numFmtId="3" fontId="3" fillId="7" borderId="3" xfId="0" applyNumberFormat="1" applyFont="1" applyFill="1" applyBorder="1">
      <alignment vertical="center"/>
    </xf>
    <xf numFmtId="0" fontId="3" fillId="7" borderId="4" xfId="0" applyFont="1" applyFill="1" applyBorder="1" applyAlignment="1">
      <alignment horizontal="center" vertical="center" wrapText="1"/>
    </xf>
    <xf numFmtId="0" fontId="3" fillId="7" borderId="8" xfId="0" applyFont="1" applyFill="1" applyBorder="1" applyAlignment="1">
      <alignment vertical="center" wrapText="1"/>
    </xf>
    <xf numFmtId="3" fontId="3" fillId="7" borderId="8" xfId="0" applyNumberFormat="1" applyFont="1" applyFill="1" applyBorder="1">
      <alignment vertical="center"/>
    </xf>
    <xf numFmtId="0" fontId="3" fillId="7" borderId="2" xfId="0" applyFont="1" applyFill="1" applyBorder="1" applyAlignment="1">
      <alignment vertical="center" wrapText="1"/>
    </xf>
    <xf numFmtId="0" fontId="3" fillId="7" borderId="3" xfId="0" applyFont="1" applyFill="1" applyBorder="1" applyAlignment="1">
      <alignment vertical="center" wrapText="1"/>
    </xf>
    <xf numFmtId="0" fontId="3" fillId="7" borderId="4" xfId="0" applyFont="1" applyFill="1" applyBorder="1" applyAlignment="1">
      <alignment vertical="center" wrapText="1"/>
    </xf>
    <xf numFmtId="0" fontId="3" fillId="7" borderId="5" xfId="0" applyFont="1" applyFill="1" applyBorder="1" applyAlignment="1">
      <alignment vertical="center" wrapText="1"/>
    </xf>
    <xf numFmtId="0" fontId="17" fillId="0" borderId="1" xfId="0" applyFont="1" applyBorder="1" applyAlignment="1">
      <alignment vertical="center" wrapText="1"/>
    </xf>
    <xf numFmtId="0" fontId="0" fillId="0" borderId="1" xfId="0" applyBorder="1">
      <alignment vertical="center"/>
    </xf>
    <xf numFmtId="0" fontId="4" fillId="2" borderId="1" xfId="0" applyFont="1" applyFill="1" applyBorder="1">
      <alignment vertical="center"/>
    </xf>
    <xf numFmtId="0" fontId="47" fillId="8" borderId="1" xfId="0" applyFont="1" applyFill="1" applyBorder="1" applyAlignment="1">
      <alignment horizontal="center" vertical="center"/>
    </xf>
    <xf numFmtId="0" fontId="47" fillId="0" borderId="1" xfId="0" applyFont="1" applyBorder="1" applyAlignment="1">
      <alignment vertical="center" wrapText="1"/>
    </xf>
    <xf numFmtId="0" fontId="47" fillId="0" borderId="0" xfId="0" applyFont="1" applyAlignment="1">
      <alignment horizontal="left" vertical="center" wrapText="1"/>
    </xf>
    <xf numFmtId="0" fontId="47" fillId="0" borderId="0" xfId="0" applyFont="1" applyAlignment="1">
      <alignment horizontal="right" vertical="center"/>
    </xf>
    <xf numFmtId="0" fontId="10" fillId="0" borderId="0" xfId="0" applyFont="1" applyAlignment="1"/>
    <xf numFmtId="3" fontId="40" fillId="0" borderId="16" xfId="0" applyNumberFormat="1" applyFont="1" applyBorder="1" applyAlignment="1">
      <alignment vertical="center" shrinkToFit="1"/>
    </xf>
    <xf numFmtId="0" fontId="17" fillId="0" borderId="8" xfId="0" applyFont="1" applyBorder="1" applyAlignment="1">
      <alignment vertical="center" wrapText="1"/>
    </xf>
    <xf numFmtId="3" fontId="17" fillId="0" borderId="8" xfId="0" applyNumberFormat="1" applyFont="1" applyBorder="1" applyAlignment="1">
      <alignment vertical="center" shrinkToFit="1"/>
    </xf>
    <xf numFmtId="0" fontId="47" fillId="0" borderId="16" xfId="0" applyFont="1" applyBorder="1" applyAlignment="1">
      <alignment horizontal="left" vertical="center" wrapText="1"/>
    </xf>
    <xf numFmtId="0" fontId="47" fillId="0" borderId="16" xfId="0" applyFont="1" applyBorder="1" applyAlignment="1">
      <alignment horizontal="right" vertical="center"/>
    </xf>
    <xf numFmtId="0" fontId="29" fillId="0" borderId="24" xfId="0" applyFont="1" applyBorder="1" applyAlignment="1" applyProtection="1">
      <alignment vertical="center" wrapText="1"/>
      <protection locked="0"/>
    </xf>
    <xf numFmtId="0" fontId="13" fillId="0" borderId="20" xfId="0" applyFont="1" applyBorder="1">
      <alignment vertical="center"/>
    </xf>
    <xf numFmtId="0" fontId="11" fillId="0" borderId="9" xfId="0" applyFont="1" applyBorder="1" applyAlignment="1">
      <alignment horizontal="center" vertical="center" wrapText="1"/>
    </xf>
    <xf numFmtId="0" fontId="11" fillId="0" borderId="7" xfId="0" applyFont="1" applyBorder="1" applyAlignment="1">
      <alignment horizontal="left" vertical="center"/>
    </xf>
    <xf numFmtId="0" fontId="11" fillId="0" borderId="7" xfId="0" applyFont="1" applyBorder="1" applyAlignment="1">
      <alignment vertical="center" wrapText="1"/>
    </xf>
    <xf numFmtId="0" fontId="0" fillId="0" borderId="24" xfId="0" applyBorder="1" applyAlignment="1" applyProtection="1">
      <alignment horizontal="center" vertical="center"/>
      <protection locked="0"/>
    </xf>
    <xf numFmtId="3" fontId="0" fillId="0" borderId="24" xfId="0" applyNumberFormat="1" applyBorder="1" applyAlignment="1" applyProtection="1">
      <alignment horizontal="center" vertical="center" wrapText="1"/>
      <protection locked="0"/>
    </xf>
    <xf numFmtId="3" fontId="0" fillId="0" borderId="24" xfId="0" applyNumberFormat="1" applyBorder="1" applyAlignment="1" applyProtection="1">
      <alignment vertical="center" wrapText="1"/>
      <protection locked="0"/>
    </xf>
    <xf numFmtId="0" fontId="54" fillId="0" borderId="0" xfId="0" applyFont="1">
      <alignment vertical="center"/>
    </xf>
    <xf numFmtId="0" fontId="9" fillId="0" borderId="20"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56" fillId="0" borderId="0" xfId="0" applyFont="1">
      <alignment vertical="center"/>
    </xf>
    <xf numFmtId="0" fontId="57" fillId="0" borderId="0" xfId="0" applyFont="1">
      <alignment vertical="center"/>
    </xf>
    <xf numFmtId="0" fontId="58" fillId="0" borderId="0" xfId="0" applyFont="1">
      <alignment vertical="center"/>
    </xf>
    <xf numFmtId="0" fontId="59" fillId="0" borderId="0" xfId="0" applyFont="1">
      <alignment vertical="center"/>
    </xf>
    <xf numFmtId="0" fontId="59" fillId="8" borderId="7" xfId="0" applyFont="1" applyFill="1" applyBorder="1" applyAlignment="1">
      <alignment horizontal="center" vertical="center" wrapText="1"/>
    </xf>
    <xf numFmtId="0" fontId="59" fillId="8" borderId="7" xfId="0" applyFont="1" applyFill="1" applyBorder="1" applyAlignment="1">
      <alignment horizontal="center" vertical="center"/>
    </xf>
    <xf numFmtId="0" fontId="57" fillId="8" borderId="7" xfId="0" applyFont="1" applyFill="1" applyBorder="1" applyAlignment="1">
      <alignment horizontal="center" vertical="center" wrapText="1"/>
    </xf>
    <xf numFmtId="3" fontId="57" fillId="8" borderId="1" xfId="0" applyNumberFormat="1" applyFont="1" applyFill="1" applyBorder="1" applyAlignment="1">
      <alignment horizontal="center" vertical="center" wrapText="1"/>
    </xf>
    <xf numFmtId="3" fontId="57" fillId="8" borderId="1" xfId="0" applyNumberFormat="1" applyFont="1" applyFill="1" applyBorder="1" applyAlignment="1">
      <alignment horizontal="center" vertical="center"/>
    </xf>
    <xf numFmtId="0" fontId="60" fillId="0" borderId="0" xfId="0" applyFont="1">
      <alignment vertical="center"/>
    </xf>
    <xf numFmtId="0" fontId="61" fillId="0" borderId="0" xfId="0" applyFont="1">
      <alignment vertical="center"/>
    </xf>
    <xf numFmtId="0" fontId="56" fillId="0" borderId="1" xfId="0" applyFont="1" applyBorder="1" applyAlignment="1">
      <alignment horizontal="centerContinuous" vertical="center"/>
    </xf>
    <xf numFmtId="56" fontId="56" fillId="0" borderId="1" xfId="0" quotePrefix="1" applyNumberFormat="1" applyFont="1" applyBorder="1" applyAlignment="1">
      <alignment horizontal="center" vertical="center"/>
    </xf>
    <xf numFmtId="0" fontId="56" fillId="0" borderId="1" xfId="0" quotePrefix="1" applyFont="1" applyBorder="1" applyAlignment="1">
      <alignment horizontal="center" vertical="center"/>
    </xf>
    <xf numFmtId="0" fontId="57" fillId="0" borderId="38" xfId="0" applyFont="1" applyBorder="1">
      <alignment vertical="center"/>
    </xf>
    <xf numFmtId="3" fontId="0" fillId="0" borderId="1" xfId="0" applyNumberFormat="1" applyBorder="1" applyProtection="1">
      <alignment vertical="center"/>
      <protection locked="0"/>
    </xf>
    <xf numFmtId="3" fontId="4" fillId="0" borderId="1" xfId="0" applyNumberFormat="1" applyFont="1" applyBorder="1">
      <alignment vertical="center"/>
    </xf>
    <xf numFmtId="0" fontId="0" fillId="0" borderId="1" xfId="0" applyBorder="1" applyAlignment="1">
      <alignment horizontal="center" vertical="center"/>
    </xf>
    <xf numFmtId="3" fontId="4" fillId="0" borderId="24" xfId="0" applyNumberFormat="1" applyFont="1" applyBorder="1">
      <alignment vertical="center"/>
    </xf>
    <xf numFmtId="0" fontId="0" fillId="0" borderId="17" xfId="0" applyBorder="1" applyAlignment="1">
      <alignment horizontal="center" vertical="center"/>
    </xf>
    <xf numFmtId="3" fontId="0" fillId="0" borderId="17" xfId="0" applyNumberFormat="1" applyBorder="1">
      <alignment vertical="center"/>
    </xf>
    <xf numFmtId="0" fontId="4" fillId="0" borderId="17" xfId="0" applyFont="1" applyBorder="1">
      <alignment vertical="center"/>
    </xf>
    <xf numFmtId="0" fontId="6" fillId="0" borderId="1" xfId="0" applyFont="1" applyBorder="1">
      <alignment vertical="center"/>
    </xf>
    <xf numFmtId="0" fontId="54" fillId="2" borderId="1" xfId="0" applyFont="1" applyFill="1" applyBorder="1">
      <alignment vertical="center"/>
    </xf>
    <xf numFmtId="0" fontId="30" fillId="0" borderId="1" xfId="0" applyFont="1" applyBorder="1">
      <alignment vertical="center"/>
    </xf>
    <xf numFmtId="3" fontId="30" fillId="0" borderId="1" xfId="0" applyNumberFormat="1" applyFont="1" applyBorder="1" applyAlignment="1" applyProtection="1">
      <alignment vertical="center" wrapText="1"/>
      <protection locked="0"/>
    </xf>
    <xf numFmtId="3" fontId="30" fillId="0" borderId="1" xfId="0" applyNumberFormat="1" applyFont="1" applyBorder="1" applyAlignment="1" applyProtection="1">
      <alignment vertical="center" shrinkToFit="1"/>
      <protection locked="0"/>
    </xf>
    <xf numFmtId="3" fontId="4" fillId="0" borderId="1" xfId="0" applyNumberFormat="1" applyFont="1" applyBorder="1" applyProtection="1">
      <alignment vertical="center"/>
      <protection locked="0"/>
    </xf>
    <xf numFmtId="0" fontId="11" fillId="0" borderId="0" xfId="0" applyFont="1">
      <alignment vertical="center"/>
    </xf>
    <xf numFmtId="3" fontId="9" fillId="0" borderId="0" xfId="0" applyNumberFormat="1" applyFont="1" applyAlignment="1">
      <alignment horizontal="center" vertical="center"/>
    </xf>
    <xf numFmtId="3" fontId="9" fillId="0" borderId="0" xfId="0" applyNumberFormat="1" applyFont="1">
      <alignment vertical="center"/>
    </xf>
    <xf numFmtId="0" fontId="9"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wrapText="1"/>
    </xf>
    <xf numFmtId="0" fontId="9" fillId="0" borderId="0" xfId="0" applyFont="1" applyAlignment="1">
      <alignment horizontal="center" vertical="center" wrapText="1"/>
    </xf>
    <xf numFmtId="0" fontId="17" fillId="0" borderId="0" xfId="0" applyFont="1" applyAlignment="1">
      <alignment horizontal="center" vertical="center" wrapText="1"/>
    </xf>
    <xf numFmtId="0" fontId="11" fillId="0" borderId="18" xfId="0" applyFont="1" applyBorder="1">
      <alignment vertical="center"/>
    </xf>
    <xf numFmtId="3" fontId="9" fillId="0" borderId="17" xfId="0" applyNumberFormat="1" applyFont="1" applyBorder="1">
      <alignment vertical="center"/>
    </xf>
    <xf numFmtId="0" fontId="9" fillId="0" borderId="17" xfId="0" applyFont="1" applyBorder="1" applyAlignment="1">
      <alignment horizontal="center" vertical="center"/>
    </xf>
    <xf numFmtId="0" fontId="18" fillId="0" borderId="20" xfId="0" applyFont="1" applyBorder="1">
      <alignment vertical="center"/>
    </xf>
    <xf numFmtId="0" fontId="29" fillId="0" borderId="1" xfId="0" applyFont="1" applyBorder="1" applyAlignment="1">
      <alignment horizontal="center" vertical="center"/>
    </xf>
    <xf numFmtId="178" fontId="11" fillId="0" borderId="1" xfId="0" applyNumberFormat="1" applyFont="1" applyBorder="1" applyAlignment="1">
      <alignment horizontal="center" vertical="center" shrinkToFit="1"/>
    </xf>
    <xf numFmtId="0" fontId="11" fillId="0" borderId="24" xfId="0" applyFont="1" applyBorder="1" applyAlignment="1">
      <alignment vertical="center" wrapText="1"/>
    </xf>
    <xf numFmtId="0" fontId="11" fillId="0" borderId="24" xfId="0" applyFont="1" applyBorder="1" applyAlignment="1">
      <alignment horizontal="center" vertical="center" wrapText="1"/>
    </xf>
    <xf numFmtId="0" fontId="11" fillId="0" borderId="24" xfId="0" applyFont="1" applyBorder="1" applyAlignment="1">
      <alignment horizontal="center" vertical="center"/>
    </xf>
    <xf numFmtId="3" fontId="11" fillId="0" borderId="24" xfId="0" applyNumberFormat="1" applyFont="1" applyBorder="1" applyAlignment="1">
      <alignment horizontal="center" vertical="center"/>
    </xf>
    <xf numFmtId="0" fontId="14" fillId="0" borderId="16" xfId="0" applyFont="1" applyBorder="1" applyAlignment="1">
      <alignment horizontal="center" vertical="center"/>
    </xf>
    <xf numFmtId="3" fontId="9" fillId="0" borderId="16" xfId="0" applyNumberFormat="1" applyFont="1" applyBorder="1">
      <alignment vertical="center"/>
    </xf>
    <xf numFmtId="0" fontId="9" fillId="0" borderId="16" xfId="0" applyFont="1" applyBorder="1" applyAlignment="1">
      <alignment horizontal="center" vertical="center"/>
    </xf>
    <xf numFmtId="0" fontId="14" fillId="0" borderId="0" xfId="0" applyFont="1" applyAlignment="1">
      <alignment horizontal="center" vertical="center"/>
    </xf>
    <xf numFmtId="0" fontId="11" fillId="0" borderId="17" xfId="0" applyFont="1" applyBorder="1">
      <alignment vertical="center"/>
    </xf>
    <xf numFmtId="3" fontId="9" fillId="0" borderId="17" xfId="0" applyNumberFormat="1" applyFont="1" applyBorder="1" applyAlignment="1">
      <alignment horizontal="right" vertical="center"/>
    </xf>
    <xf numFmtId="3" fontId="9" fillId="0" borderId="0" xfId="0" applyNumberFormat="1" applyFont="1" applyAlignment="1">
      <alignment horizontal="right" vertical="center"/>
    </xf>
    <xf numFmtId="3" fontId="11" fillId="0" borderId="24" xfId="0" applyNumberFormat="1" applyFont="1" applyBorder="1" applyAlignment="1">
      <alignment horizontal="center" vertical="center" wrapText="1"/>
    </xf>
    <xf numFmtId="0" fontId="12" fillId="0" borderId="0" xfId="0" applyFont="1">
      <alignment vertical="center"/>
    </xf>
    <xf numFmtId="0" fontId="17" fillId="0" borderId="7" xfId="0" applyFont="1" applyBorder="1" applyAlignment="1">
      <alignment horizontal="center" vertical="center" wrapText="1"/>
    </xf>
    <xf numFmtId="0" fontId="32" fillId="0" borderId="20" xfId="0" applyFont="1" applyBorder="1" applyAlignment="1">
      <alignment horizontal="left" vertical="center"/>
    </xf>
    <xf numFmtId="0" fontId="0" fillId="0" borderId="1" xfId="0" applyBorder="1" applyProtection="1">
      <alignment vertical="center"/>
      <protection locked="0"/>
    </xf>
    <xf numFmtId="0" fontId="6"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0" xfId="0" applyFont="1">
      <alignment vertical="center"/>
    </xf>
    <xf numFmtId="3" fontId="17" fillId="0" borderId="0" xfId="0" applyNumberFormat="1" applyFont="1" applyAlignment="1">
      <alignment horizontal="right" vertical="center" wrapText="1"/>
    </xf>
    <xf numFmtId="3" fontId="30" fillId="0" borderId="1" xfId="0" applyNumberFormat="1" applyFont="1" applyBorder="1" applyAlignment="1">
      <alignment vertical="center" shrinkToFit="1"/>
    </xf>
    <xf numFmtId="0" fontId="8" fillId="0" borderId="1" xfId="0" applyFont="1" applyBorder="1">
      <alignment vertical="center"/>
    </xf>
    <xf numFmtId="3" fontId="30" fillId="0" borderId="1" xfId="0" applyNumberFormat="1" applyFont="1" applyBorder="1" applyAlignment="1">
      <alignment vertical="center" wrapText="1" shrinkToFit="1"/>
    </xf>
    <xf numFmtId="0" fontId="11" fillId="0" borderId="36" xfId="0" applyFont="1" applyBorder="1" applyAlignment="1">
      <alignment vertical="center" wrapText="1"/>
    </xf>
    <xf numFmtId="3" fontId="11" fillId="0" borderId="24" xfId="0" applyNumberFormat="1" applyFont="1" applyBorder="1" applyAlignment="1">
      <alignment horizontal="right" vertical="center"/>
    </xf>
    <xf numFmtId="3" fontId="30" fillId="0" borderId="1" xfId="0" applyNumberFormat="1" applyFont="1" applyBorder="1">
      <alignment vertical="center"/>
    </xf>
    <xf numFmtId="3" fontId="14" fillId="0" borderId="16" xfId="0" applyNumberFormat="1" applyFont="1" applyBorder="1" applyAlignment="1">
      <alignment horizontal="right" vertical="center"/>
    </xf>
    <xf numFmtId="3" fontId="14" fillId="0" borderId="0" xfId="0" applyNumberFormat="1" applyFont="1" applyAlignment="1">
      <alignment horizontal="right" vertical="center"/>
    </xf>
    <xf numFmtId="0" fontId="38" fillId="0" borderId="0" xfId="0" applyFont="1">
      <alignment vertical="center"/>
    </xf>
    <xf numFmtId="0" fontId="30" fillId="0" borderId="1" xfId="0" applyFont="1" applyBorder="1" applyAlignment="1">
      <alignment vertical="center" wrapText="1"/>
    </xf>
    <xf numFmtId="0" fontId="28" fillId="0" borderId="0" xfId="0" applyFont="1" applyAlignment="1">
      <alignment vertical="center" wrapText="1"/>
    </xf>
    <xf numFmtId="0" fontId="11" fillId="0" borderId="15" xfId="0" applyFont="1" applyBorder="1" applyAlignment="1">
      <alignment vertical="center" wrapText="1"/>
    </xf>
    <xf numFmtId="3" fontId="11" fillId="0" borderId="24" xfId="0" applyNumberFormat="1" applyFont="1" applyBorder="1">
      <alignment vertical="center"/>
    </xf>
    <xf numFmtId="0" fontId="11" fillId="0" borderId="24" xfId="0" applyFont="1" applyBorder="1">
      <alignment vertical="center"/>
    </xf>
    <xf numFmtId="0" fontId="30" fillId="0" borderId="0" xfId="0" applyFont="1" applyAlignment="1">
      <alignment horizontal="center" vertical="center"/>
    </xf>
    <xf numFmtId="3" fontId="0" fillId="0" borderId="0" xfId="0" applyNumberFormat="1" applyAlignment="1">
      <alignment horizontal="right" vertical="center"/>
    </xf>
    <xf numFmtId="0" fontId="8" fillId="0" borderId="1" xfId="0" applyFont="1" applyBorder="1" applyProtection="1">
      <alignment vertical="center"/>
      <protection locked="0"/>
    </xf>
    <xf numFmtId="0" fontId="9" fillId="0" borderId="17" xfId="0" applyFont="1" applyBorder="1" applyAlignment="1">
      <alignment horizontal="center" vertical="center" wrapText="1"/>
    </xf>
    <xf numFmtId="0" fontId="0" fillId="0" borderId="7" xfId="0" applyBorder="1" applyAlignment="1">
      <alignment vertical="center" wrapText="1"/>
    </xf>
    <xf numFmtId="0" fontId="0" fillId="0" borderId="6" xfId="0" applyBorder="1" applyAlignment="1">
      <alignment horizontal="center" vertical="top" wrapText="1"/>
    </xf>
    <xf numFmtId="0" fontId="11" fillId="0" borderId="1" xfId="0" applyFont="1" applyBorder="1" applyAlignment="1">
      <alignment horizontal="center" vertical="center" wrapText="1"/>
    </xf>
    <xf numFmtId="3" fontId="11" fillId="0" borderId="1" xfId="0" applyNumberFormat="1" applyFont="1" applyBorder="1" applyAlignment="1">
      <alignment vertical="center" wrapText="1"/>
    </xf>
    <xf numFmtId="0" fontId="14" fillId="0" borderId="16" xfId="0" applyFont="1" applyBorder="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0" fillId="0" borderId="16" xfId="0" applyBorder="1" applyAlignment="1">
      <alignment horizontal="center" vertical="center" wrapText="1"/>
    </xf>
    <xf numFmtId="0" fontId="0" fillId="0" borderId="16" xfId="0" applyBorder="1" applyAlignment="1">
      <alignment vertical="center" wrapText="1"/>
    </xf>
    <xf numFmtId="0" fontId="0" fillId="0" borderId="0" xfId="0" applyAlignment="1">
      <alignment horizontal="center" vertical="center" wrapText="1"/>
    </xf>
    <xf numFmtId="0" fontId="0" fillId="0" borderId="0" xfId="0" applyAlignment="1">
      <alignment horizontal="left" vertical="center"/>
    </xf>
    <xf numFmtId="0" fontId="57" fillId="0" borderId="0" xfId="0" applyFont="1" applyAlignment="1">
      <alignment vertical="center" wrapText="1"/>
    </xf>
    <xf numFmtId="0" fontId="56" fillId="0" borderId="1" xfId="0" applyFont="1" applyBorder="1" applyAlignment="1">
      <alignment horizontal="centerContinuous" vertical="center" wrapText="1"/>
    </xf>
    <xf numFmtId="0" fontId="57" fillId="0" borderId="38" xfId="0" applyFont="1" applyBorder="1" applyAlignment="1">
      <alignment vertical="center" wrapText="1"/>
    </xf>
    <xf numFmtId="0" fontId="0" fillId="0" borderId="1" xfId="0" applyBorder="1" applyAlignment="1">
      <alignment horizontal="center" vertical="center" wrapText="1"/>
    </xf>
    <xf numFmtId="0" fontId="44" fillId="0" borderId="1"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9" fillId="0" borderId="24" xfId="0" applyFont="1" applyBorder="1" applyAlignment="1" applyProtection="1">
      <alignment vertical="center" wrapText="1"/>
      <protection locked="0"/>
    </xf>
    <xf numFmtId="0" fontId="9" fillId="0" borderId="10" xfId="0" applyFont="1" applyBorder="1" applyAlignment="1">
      <alignment horizontal="center" vertical="center" wrapText="1"/>
    </xf>
    <xf numFmtId="3" fontId="9" fillId="4" borderId="7" xfId="0" applyNumberFormat="1" applyFont="1" applyFill="1" applyBorder="1" applyAlignment="1">
      <alignment vertical="center" shrinkToFit="1"/>
    </xf>
    <xf numFmtId="0" fontId="10" fillId="3" borderId="24" xfId="0" applyFont="1" applyFill="1" applyBorder="1">
      <alignment vertical="center"/>
    </xf>
    <xf numFmtId="3" fontId="10" fillId="3" borderId="24" xfId="0" applyNumberFormat="1" applyFont="1" applyFill="1" applyBorder="1" applyAlignment="1">
      <alignment horizontal="right" vertical="center" shrinkToFit="1"/>
    </xf>
    <xf numFmtId="3" fontId="10" fillId="3" borderId="24" xfId="0" applyNumberFormat="1" applyFont="1" applyFill="1" applyBorder="1" applyAlignment="1">
      <alignment horizontal="center" vertical="center" shrinkToFit="1"/>
    </xf>
    <xf numFmtId="0" fontId="54" fillId="0" borderId="1" xfId="0" applyFont="1" applyBorder="1" applyAlignment="1">
      <alignment horizontal="center" vertical="center"/>
    </xf>
    <xf numFmtId="0" fontId="30" fillId="0" borderId="1" xfId="0" applyFont="1" applyBorder="1" applyAlignment="1" applyProtection="1">
      <alignment horizontal="center" vertical="center"/>
      <protection locked="0"/>
    </xf>
    <xf numFmtId="0" fontId="0" fillId="0" borderId="17" xfId="0" applyBorder="1" applyAlignment="1">
      <alignment vertical="center" wrapText="1"/>
    </xf>
    <xf numFmtId="0" fontId="4" fillId="5" borderId="24" xfId="0" applyFont="1" applyFill="1" applyBorder="1" applyAlignment="1">
      <alignment horizontal="center" vertical="center" wrapText="1"/>
    </xf>
    <xf numFmtId="0" fontId="12"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12" fillId="0" borderId="0" xfId="0" applyFont="1" applyAlignment="1">
      <alignment horizontal="center" vertical="center" wrapText="1"/>
    </xf>
    <xf numFmtId="0" fontId="31" fillId="0" borderId="0" xfId="0" applyFont="1" applyAlignment="1">
      <alignment horizontal="center" vertical="center" wrapText="1"/>
    </xf>
    <xf numFmtId="0" fontId="0" fillId="0" borderId="39" xfId="0" applyBorder="1" applyAlignment="1">
      <alignment vertical="center" wrapText="1"/>
    </xf>
    <xf numFmtId="0" fontId="50" fillId="5" borderId="1" xfId="0" applyFont="1" applyFill="1" applyBorder="1" applyAlignment="1">
      <alignment horizontal="center" vertical="center"/>
    </xf>
    <xf numFmtId="0" fontId="50" fillId="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0" xfId="0" applyAlignment="1">
      <alignment horizontal="centerContinuous" vertical="center"/>
    </xf>
    <xf numFmtId="0" fontId="21" fillId="0" borderId="0" xfId="0" applyFont="1" applyAlignment="1">
      <alignment horizontal="centerContinuous" vertical="center"/>
    </xf>
    <xf numFmtId="0" fontId="29" fillId="0" borderId="1" xfId="0" applyFont="1" applyBorder="1" applyAlignment="1">
      <alignment horizontal="center" vertical="center" wrapText="1"/>
    </xf>
    <xf numFmtId="0" fontId="0" fillId="0" borderId="24" xfId="0" applyBorder="1" applyProtection="1">
      <alignment vertical="center"/>
      <protection locked="0"/>
    </xf>
    <xf numFmtId="3" fontId="0" fillId="0" borderId="24" xfId="0" applyNumberFormat="1" applyBorder="1" applyProtection="1">
      <alignment vertical="center"/>
      <protection locked="0"/>
    </xf>
    <xf numFmtId="3" fontId="9" fillId="0" borderId="0" xfId="0" applyNumberFormat="1" applyFont="1" applyAlignment="1">
      <alignment vertical="center" wrapText="1"/>
    </xf>
    <xf numFmtId="0" fontId="3" fillId="0" borderId="0" xfId="0" applyFont="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7" xfId="0" applyFont="1" applyBorder="1" applyAlignment="1">
      <alignment horizontal="center" vertical="center"/>
    </xf>
    <xf numFmtId="0" fontId="3" fillId="0" borderId="1" xfId="0" applyFont="1" applyBorder="1" applyAlignment="1">
      <alignment horizontal="left" vertical="center"/>
    </xf>
    <xf numFmtId="3" fontId="3" fillId="0" borderId="1" xfId="0" applyNumberFormat="1" applyFont="1" applyBorder="1">
      <alignment vertical="center"/>
    </xf>
    <xf numFmtId="3" fontId="3" fillId="0" borderId="7" xfId="0" applyNumberFormat="1" applyFont="1" applyBorder="1">
      <alignment vertical="center"/>
    </xf>
    <xf numFmtId="0" fontId="3" fillId="0" borderId="1" xfId="0" applyFont="1" applyBorder="1">
      <alignment vertical="center"/>
    </xf>
    <xf numFmtId="0" fontId="3" fillId="0" borderId="13" xfId="0" applyFont="1" applyBorder="1" applyAlignment="1">
      <alignment horizontal="center" vertical="center"/>
    </xf>
    <xf numFmtId="0" fontId="3" fillId="0" borderId="6" xfId="0" applyFont="1" applyBorder="1">
      <alignment vertical="center"/>
    </xf>
    <xf numFmtId="0" fontId="3" fillId="0" borderId="0" xfId="0" applyFont="1" applyAlignment="1">
      <alignment horizontal="center" vertical="center" wrapText="1"/>
    </xf>
    <xf numFmtId="0" fontId="3" fillId="0" borderId="0" xfId="0" applyFont="1" applyAlignment="1">
      <alignment vertical="center" wrapText="1"/>
    </xf>
    <xf numFmtId="3" fontId="3" fillId="0" borderId="0" xfId="0" applyNumberFormat="1" applyFont="1">
      <alignment vertical="center"/>
    </xf>
    <xf numFmtId="3" fontId="3" fillId="0" borderId="6" xfId="0" applyNumberFormat="1" applyFont="1" applyBorder="1" applyProtection="1">
      <alignment vertical="center"/>
      <protection locked="0"/>
    </xf>
    <xf numFmtId="3" fontId="3" fillId="0" borderId="24" xfId="0" applyNumberFormat="1" applyFont="1" applyBorder="1">
      <alignment vertical="center"/>
    </xf>
    <xf numFmtId="0" fontId="29" fillId="0" borderId="24" xfId="0" applyFont="1" applyBorder="1" applyProtection="1">
      <alignment vertical="center"/>
      <protection locked="0"/>
    </xf>
    <xf numFmtId="0" fontId="29" fillId="0" borderId="2" xfId="0" applyFont="1" applyBorder="1" applyAlignment="1">
      <alignment horizontal="centerContinuous" vertical="center" wrapText="1"/>
    </xf>
    <xf numFmtId="0" fontId="29" fillId="0" borderId="3" xfId="0" applyFont="1" applyBorder="1" applyAlignment="1">
      <alignment horizontal="centerContinuous" vertical="center" wrapText="1"/>
    </xf>
    <xf numFmtId="0" fontId="29" fillId="0" borderId="3" xfId="0" applyFont="1" applyBorder="1" applyAlignment="1">
      <alignment horizontal="centerContinuous" vertical="center"/>
    </xf>
    <xf numFmtId="0" fontId="14" fillId="0" borderId="21" xfId="0" applyFont="1" applyBorder="1">
      <alignment vertical="center"/>
    </xf>
    <xf numFmtId="0" fontId="28" fillId="0" borderId="1" xfId="0" applyFont="1" applyBorder="1" applyAlignment="1">
      <alignment horizontal="centerContinuous" vertical="center" wrapText="1"/>
    </xf>
    <xf numFmtId="0" fontId="9" fillId="0" borderId="34" xfId="0" applyFont="1" applyBorder="1">
      <alignment vertical="center"/>
    </xf>
    <xf numFmtId="0" fontId="11" fillId="0" borderId="0" xfId="0" applyFont="1" applyAlignment="1">
      <alignment horizontal="center" vertical="center" wrapText="1"/>
    </xf>
    <xf numFmtId="0" fontId="9" fillId="0" borderId="25" xfId="0" applyFont="1" applyBorder="1">
      <alignment vertical="center"/>
    </xf>
    <xf numFmtId="0" fontId="9" fillId="0" borderId="26" xfId="0" applyFont="1" applyBorder="1">
      <alignment vertical="center"/>
    </xf>
    <xf numFmtId="0" fontId="9" fillId="0" borderId="26" xfId="0" applyFont="1" applyBorder="1" applyAlignment="1">
      <alignment horizontal="center" vertical="center"/>
    </xf>
    <xf numFmtId="0" fontId="9" fillId="0" borderId="27" xfId="0" applyFont="1" applyBorder="1">
      <alignment vertical="center"/>
    </xf>
    <xf numFmtId="0" fontId="9" fillId="0" borderId="28" xfId="0" applyFont="1" applyBorder="1">
      <alignment vertical="center"/>
    </xf>
    <xf numFmtId="0" fontId="9" fillId="0" borderId="29" xfId="0" applyFont="1" applyBorder="1">
      <alignment vertical="center"/>
    </xf>
    <xf numFmtId="0" fontId="12" fillId="0" borderId="29" xfId="0" applyFont="1" applyBorder="1">
      <alignment vertical="center"/>
    </xf>
    <xf numFmtId="0" fontId="9" fillId="0" borderId="30" xfId="0" applyFont="1" applyBorder="1">
      <alignment vertical="center"/>
    </xf>
    <xf numFmtId="0" fontId="9" fillId="0" borderId="31" xfId="0" applyFont="1" applyBorder="1">
      <alignment vertical="center"/>
    </xf>
    <xf numFmtId="0" fontId="15" fillId="0" borderId="31" xfId="0" applyFont="1" applyBorder="1">
      <alignment vertical="center"/>
    </xf>
    <xf numFmtId="0" fontId="9" fillId="0" borderId="31" xfId="0" applyFont="1" applyBorder="1" applyAlignment="1">
      <alignment horizontal="center" vertical="center" wrapText="1"/>
    </xf>
    <xf numFmtId="177" fontId="9" fillId="0" borderId="31" xfId="0" applyNumberFormat="1" applyFont="1" applyBorder="1">
      <alignment vertical="center"/>
    </xf>
    <xf numFmtId="0" fontId="9" fillId="0" borderId="31" xfId="0" applyFont="1" applyBorder="1" applyAlignment="1">
      <alignment vertical="center" wrapText="1"/>
    </xf>
    <xf numFmtId="177" fontId="9" fillId="0" borderId="32" xfId="0" applyNumberFormat="1" applyFont="1" applyBorder="1">
      <alignment vertical="center"/>
    </xf>
    <xf numFmtId="0" fontId="10" fillId="0" borderId="0" xfId="0" applyFont="1" applyAlignment="1">
      <alignment horizontal="center" vertical="center" wrapText="1"/>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30" fillId="0" borderId="1" xfId="0" applyFont="1" applyBorder="1" applyAlignment="1">
      <alignment horizontal="center" vertical="center"/>
    </xf>
    <xf numFmtId="176" fontId="0" fillId="0" borderId="1" xfId="0" applyNumberFormat="1" applyBorder="1" applyProtection="1">
      <alignment vertical="center"/>
      <protection locked="0"/>
    </xf>
    <xf numFmtId="0" fontId="21" fillId="0" borderId="16" xfId="0" applyFont="1" applyBorder="1" applyAlignment="1">
      <alignment vertical="center" wrapText="1"/>
    </xf>
    <xf numFmtId="9" fontId="21" fillId="0" borderId="7" xfId="0" applyNumberFormat="1" applyFont="1" applyBorder="1" applyProtection="1">
      <alignment vertical="center"/>
      <protection locked="0"/>
    </xf>
    <xf numFmtId="3" fontId="21" fillId="0" borderId="6" xfId="0" applyNumberFormat="1" applyFont="1" applyBorder="1" applyProtection="1">
      <alignment vertical="center"/>
      <protection locked="0"/>
    </xf>
    <xf numFmtId="3" fontId="21" fillId="0" borderId="8" xfId="0" applyNumberFormat="1" applyFont="1" applyBorder="1" applyProtection="1">
      <alignment vertical="center"/>
      <protection locked="0"/>
    </xf>
    <xf numFmtId="3" fontId="21" fillId="0" borderId="35" xfId="0" applyNumberFormat="1" applyFont="1" applyBorder="1" applyProtection="1">
      <alignment vertical="center"/>
      <protection locked="0"/>
    </xf>
    <xf numFmtId="0" fontId="31" fillId="5" borderId="24" xfId="0" applyFont="1" applyFill="1" applyBorder="1" applyAlignment="1">
      <alignment horizontal="center" vertical="center"/>
    </xf>
    <xf numFmtId="0" fontId="9" fillId="0" borderId="13" xfId="0" applyFont="1" applyBorder="1" applyAlignment="1" applyProtection="1">
      <alignment vertical="center" wrapText="1"/>
      <protection locked="0"/>
    </xf>
    <xf numFmtId="3" fontId="9" fillId="0" borderId="7" xfId="0" applyNumberFormat="1" applyFont="1" applyBorder="1">
      <alignment vertical="center"/>
    </xf>
    <xf numFmtId="0" fontId="5" fillId="0" borderId="0" xfId="0" applyFont="1">
      <alignment vertical="center"/>
    </xf>
    <xf numFmtId="0" fontId="7" fillId="0" borderId="0" xfId="0" applyFont="1">
      <alignment vertical="center"/>
    </xf>
    <xf numFmtId="180" fontId="21" fillId="3" borderId="2" xfId="0" applyNumberFormat="1" applyFont="1" applyFill="1" applyBorder="1" applyAlignment="1">
      <alignment horizontal="centerContinuous" vertical="center"/>
    </xf>
    <xf numFmtId="180" fontId="10" fillId="3" borderId="3" xfId="0" applyNumberFormat="1" applyFont="1" applyFill="1" applyBorder="1" applyAlignment="1">
      <alignment horizontal="centerContinuous" vertical="center"/>
    </xf>
    <xf numFmtId="183" fontId="10" fillId="3" borderId="24" xfId="0" applyNumberFormat="1" applyFont="1" applyFill="1" applyBorder="1">
      <alignment vertical="center"/>
    </xf>
    <xf numFmtId="0" fontId="54" fillId="0" borderId="1" xfId="0" applyFont="1" applyBorder="1" applyAlignment="1">
      <alignment horizontal="center" vertical="center" wrapText="1"/>
    </xf>
    <xf numFmtId="179" fontId="17" fillId="0" borderId="1" xfId="0" applyNumberFormat="1" applyFont="1" applyBorder="1" applyProtection="1">
      <alignment vertical="center"/>
      <protection locked="0"/>
    </xf>
    <xf numFmtId="179" fontId="17" fillId="0" borderId="1" xfId="0" applyNumberFormat="1" applyFont="1" applyBorder="1" applyAlignment="1" applyProtection="1">
      <alignment vertical="center" wrapText="1"/>
      <protection locked="0"/>
    </xf>
    <xf numFmtId="179" fontId="17" fillId="0" borderId="7" xfId="0" applyNumberFormat="1" applyFont="1" applyBorder="1" applyProtection="1">
      <alignment vertical="center"/>
      <protection locked="0"/>
    </xf>
    <xf numFmtId="0" fontId="10" fillId="0" borderId="33" xfId="0" applyFont="1" applyBorder="1" applyAlignment="1" applyProtection="1">
      <alignment horizontal="center" vertical="center" wrapText="1"/>
      <protection locked="0"/>
    </xf>
    <xf numFmtId="3" fontId="40" fillId="0" borderId="6" xfId="0" applyNumberFormat="1" applyFont="1" applyBorder="1" applyProtection="1">
      <alignment vertical="center"/>
      <protection locked="0"/>
    </xf>
    <xf numFmtId="3" fontId="40" fillId="0" borderId="1" xfId="0" applyNumberFormat="1" applyFont="1" applyBorder="1" applyProtection="1">
      <alignment vertical="center"/>
      <protection locked="0"/>
    </xf>
    <xf numFmtId="9" fontId="40" fillId="0" borderId="6" xfId="0" applyNumberFormat="1" applyFont="1" applyBorder="1" applyProtection="1">
      <alignment vertical="center"/>
      <protection locked="0"/>
    </xf>
    <xf numFmtId="176" fontId="40" fillId="0" borderId="6" xfId="0" applyNumberFormat="1" applyFont="1" applyBorder="1" applyProtection="1">
      <alignment vertical="center"/>
      <protection locked="0"/>
    </xf>
    <xf numFmtId="176" fontId="40" fillId="0" borderId="1" xfId="0" applyNumberFormat="1" applyFont="1" applyBorder="1" applyProtection="1">
      <alignment vertical="center"/>
      <protection locked="0"/>
    </xf>
    <xf numFmtId="0" fontId="17" fillId="0" borderId="12"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0" xfId="0" applyFont="1" applyBorder="1" applyAlignment="1">
      <alignment horizontal="centerContinuous" vertical="center"/>
    </xf>
    <xf numFmtId="0" fontId="17" fillId="0" borderId="11" xfId="0" applyFont="1" applyBorder="1" applyAlignment="1">
      <alignment horizontal="centerContinuous" vertical="center"/>
    </xf>
    <xf numFmtId="0" fontId="17" fillId="0" borderId="10" xfId="0" applyFont="1" applyBorder="1" applyAlignment="1">
      <alignment horizontal="center" vertical="center"/>
    </xf>
    <xf numFmtId="0" fontId="17" fillId="0" borderId="7" xfId="0" applyFont="1" applyBorder="1" applyAlignment="1">
      <alignment horizontal="centerContinuous" vertical="center"/>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3" xfId="0" applyFont="1" applyBorder="1" applyAlignment="1">
      <alignment horizontal="center" vertical="top" wrapText="1"/>
    </xf>
    <xf numFmtId="0" fontId="17" fillId="0" borderId="6" xfId="0" applyFont="1" applyBorder="1" applyAlignment="1">
      <alignment horizontal="center" vertical="top" wrapText="1"/>
    </xf>
    <xf numFmtId="0" fontId="17" fillId="0" borderId="5" xfId="0" applyFont="1" applyBorder="1" applyAlignment="1">
      <alignment horizontal="center" vertical="top" wrapText="1"/>
    </xf>
    <xf numFmtId="0" fontId="17" fillId="0" borderId="8" xfId="0" applyFont="1" applyBorder="1" applyAlignment="1">
      <alignment horizontal="center" vertical="top" wrapText="1"/>
    </xf>
    <xf numFmtId="0" fontId="17" fillId="0" borderId="1" xfId="0" applyFont="1" applyBorder="1" applyAlignment="1">
      <alignment horizontal="center" vertical="center" wrapText="1"/>
    </xf>
    <xf numFmtId="0" fontId="17" fillId="0" borderId="4" xfId="0" applyFont="1" applyBorder="1" applyAlignment="1">
      <alignment horizontal="center" vertical="top" wrapText="1"/>
    </xf>
    <xf numFmtId="0" fontId="40" fillId="0" borderId="24" xfId="0" applyFont="1" applyBorder="1" applyAlignment="1">
      <alignment horizontal="center" vertical="center" wrapText="1"/>
    </xf>
    <xf numFmtId="180" fontId="40" fillId="0" borderId="24" xfId="0" applyNumberFormat="1" applyFont="1" applyBorder="1" applyAlignment="1">
      <alignment vertical="center" wrapText="1"/>
    </xf>
    <xf numFmtId="0" fontId="9" fillId="0" borderId="1" xfId="0" applyFont="1" applyBorder="1">
      <alignment vertical="center"/>
    </xf>
    <xf numFmtId="3" fontId="0" fillId="0" borderId="1" xfId="0" applyNumberFormat="1" applyBorder="1">
      <alignment vertical="center"/>
    </xf>
    <xf numFmtId="182" fontId="42" fillId="0" borderId="3" xfId="0" applyNumberFormat="1" applyFont="1" applyBorder="1" applyAlignment="1">
      <alignment vertical="center" wrapText="1"/>
    </xf>
    <xf numFmtId="182" fontId="42" fillId="0" borderId="15" xfId="0" applyNumberFormat="1" applyFont="1" applyBorder="1" applyAlignment="1">
      <alignment vertical="center" wrapText="1"/>
    </xf>
    <xf numFmtId="182" fontId="42" fillId="0" borderId="1" xfId="0" applyNumberFormat="1" applyFont="1" applyBorder="1" applyAlignment="1" applyProtection="1">
      <alignment vertical="center" wrapText="1"/>
      <protection hidden="1"/>
    </xf>
    <xf numFmtId="0" fontId="12" fillId="0" borderId="1" xfId="0" applyFont="1" applyBorder="1">
      <alignment vertical="center"/>
    </xf>
    <xf numFmtId="0" fontId="14" fillId="0" borderId="24" xfId="0" applyFont="1" applyBorder="1">
      <alignment vertical="center"/>
    </xf>
    <xf numFmtId="9" fontId="12" fillId="0" borderId="1" xfId="0" applyNumberFormat="1" applyFont="1" applyBorder="1">
      <alignment vertical="center"/>
    </xf>
    <xf numFmtId="0" fontId="41" fillId="0" borderId="5" xfId="0" applyFont="1" applyBorder="1" applyAlignment="1">
      <alignment horizontal="left" vertical="center"/>
    </xf>
    <xf numFmtId="0" fontId="17" fillId="0" borderId="4" xfId="0" applyFont="1" applyBorder="1" applyAlignment="1">
      <alignment vertical="center" wrapText="1"/>
    </xf>
    <xf numFmtId="0" fontId="40" fillId="0" borderId="16" xfId="0" applyFont="1" applyBorder="1" applyAlignment="1">
      <alignment horizontal="center" vertical="center" wrapText="1"/>
    </xf>
    <xf numFmtId="180" fontId="40" fillId="0" borderId="16" xfId="0" applyNumberFormat="1" applyFont="1" applyBorder="1" applyAlignment="1">
      <alignment vertical="center" wrapText="1"/>
    </xf>
    <xf numFmtId="0" fontId="40" fillId="0" borderId="13" xfId="0" applyFont="1" applyBorder="1">
      <alignment vertical="center"/>
    </xf>
    <xf numFmtId="0" fontId="3" fillId="0" borderId="1" xfId="0" applyFont="1" applyBorder="1" applyProtection="1">
      <alignment vertical="center"/>
      <protection locked="0"/>
    </xf>
    <xf numFmtId="0" fontId="0" fillId="0" borderId="1" xfId="0" applyBorder="1" applyAlignment="1">
      <alignment vertical="center" wrapText="1"/>
    </xf>
    <xf numFmtId="0" fontId="8" fillId="0" borderId="1" xfId="0" applyFont="1" applyBorder="1" applyAlignment="1" applyProtection="1">
      <alignment vertical="center" wrapText="1"/>
      <protection locked="0"/>
    </xf>
    <xf numFmtId="0" fontId="65" fillId="0" borderId="1" xfId="0" applyFont="1" applyBorder="1">
      <alignment vertical="center"/>
    </xf>
    <xf numFmtId="0" fontId="29" fillId="0" borderId="3" xfId="0" applyFont="1" applyBorder="1" applyAlignment="1">
      <alignment horizontal="center" vertical="center" wrapText="1"/>
    </xf>
    <xf numFmtId="0" fontId="0" fillId="0" borderId="37" xfId="0" applyBorder="1" applyProtection="1">
      <alignment vertical="center"/>
      <protection locked="0"/>
    </xf>
    <xf numFmtId="3" fontId="11" fillId="0" borderId="1" xfId="0" applyNumberFormat="1" applyFont="1" applyBorder="1" applyAlignment="1" applyProtection="1">
      <alignment vertical="center" shrinkToFit="1"/>
      <protection locked="0"/>
    </xf>
    <xf numFmtId="3" fontId="9" fillId="0" borderId="0" xfId="0" applyNumberFormat="1" applyFont="1" applyProtection="1">
      <alignment vertical="center"/>
      <protection locked="0"/>
    </xf>
    <xf numFmtId="0" fontId="0" fillId="0" borderId="17" xfId="0" applyBorder="1" applyProtection="1">
      <alignment vertical="center"/>
      <protection locked="0"/>
    </xf>
    <xf numFmtId="3" fontId="0" fillId="0" borderId="0" xfId="0" applyNumberFormat="1" applyProtection="1">
      <alignment vertical="center"/>
      <protection locked="0"/>
    </xf>
    <xf numFmtId="0" fontId="66" fillId="0" borderId="0" xfId="0" applyFont="1">
      <alignment vertical="center"/>
    </xf>
    <xf numFmtId="0" fontId="65" fillId="0" borderId="1" xfId="0" applyFont="1" applyBorder="1" applyProtection="1">
      <alignment vertical="center"/>
      <protection locked="0"/>
    </xf>
    <xf numFmtId="0" fontId="9" fillId="0" borderId="37" xfId="0" applyFont="1" applyBorder="1" applyAlignment="1" applyProtection="1">
      <alignment vertical="center" wrapText="1"/>
      <protection locked="0"/>
    </xf>
    <xf numFmtId="179" fontId="9" fillId="0" borderId="24" xfId="0" applyNumberFormat="1" applyFont="1" applyBorder="1" applyAlignment="1" applyProtection="1">
      <alignment vertical="center" shrinkToFit="1"/>
      <protection locked="0"/>
    </xf>
    <xf numFmtId="0" fontId="30" fillId="0" borderId="1" xfId="0" applyFont="1" applyBorder="1" applyAlignment="1">
      <alignment horizontal="center" vertical="center" wrapText="1"/>
    </xf>
    <xf numFmtId="0" fontId="0" fillId="0" borderId="1" xfId="0" applyBorder="1" applyAlignment="1" applyProtection="1">
      <alignment vertical="center" wrapText="1"/>
      <protection locked="0"/>
    </xf>
    <xf numFmtId="0" fontId="3" fillId="0" borderId="24" xfId="0" applyFont="1" applyBorder="1">
      <alignment vertical="center"/>
    </xf>
    <xf numFmtId="0" fontId="0" fillId="0" borderId="24" xfId="0" applyBorder="1" applyAlignment="1" applyProtection="1">
      <alignment vertical="center" wrapText="1"/>
      <protection locked="0"/>
    </xf>
    <xf numFmtId="0" fontId="4" fillId="9" borderId="24" xfId="0" applyFont="1" applyFill="1" applyBorder="1" applyAlignment="1" applyProtection="1">
      <alignment horizontal="center" vertical="center"/>
      <protection locked="0"/>
    </xf>
    <xf numFmtId="9" fontId="0" fillId="9" borderId="24" xfId="0" applyNumberForma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9" fontId="0" fillId="9" borderId="1" xfId="0" applyNumberFormat="1" applyFill="1" applyBorder="1" applyAlignment="1" applyProtection="1">
      <alignment horizontal="center" vertical="center"/>
      <protection locked="0"/>
    </xf>
    <xf numFmtId="0" fontId="31" fillId="9" borderId="24" xfId="0" applyFont="1" applyFill="1" applyBorder="1" applyAlignment="1" applyProtection="1">
      <alignment horizontal="center" vertical="center"/>
      <protection locked="0"/>
    </xf>
    <xf numFmtId="0" fontId="0" fillId="9" borderId="24" xfId="0" applyFill="1" applyBorder="1" applyAlignment="1" applyProtection="1">
      <alignment horizontal="center" vertical="center"/>
      <protection locked="0"/>
    </xf>
    <xf numFmtId="9" fontId="8" fillId="9" borderId="24" xfId="0" applyNumberFormat="1" applyFont="1" applyFill="1" applyBorder="1" applyAlignment="1" applyProtection="1">
      <alignment horizontal="center" vertical="center"/>
      <protection locked="0"/>
    </xf>
    <xf numFmtId="9" fontId="0" fillId="9" borderId="6" xfId="0" applyNumberFormat="1" applyFill="1" applyBorder="1" applyAlignment="1" applyProtection="1">
      <alignment horizontal="center" vertical="center"/>
      <protection locked="0"/>
    </xf>
    <xf numFmtId="0" fontId="0" fillId="9" borderId="1" xfId="0" applyFill="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0" fillId="0" borderId="45" xfId="0" applyBorder="1" applyAlignment="1">
      <alignment horizontal="center" vertical="center"/>
    </xf>
    <xf numFmtId="0" fontId="0" fillId="0" borderId="45"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68" fillId="0" borderId="48" xfId="0" applyFont="1" applyBorder="1">
      <alignment vertical="center"/>
    </xf>
    <xf numFmtId="0" fontId="0" fillId="0" borderId="46" xfId="0" applyBorder="1">
      <alignment vertical="center"/>
    </xf>
    <xf numFmtId="0" fontId="0" fillId="0" borderId="50" xfId="0" applyBorder="1">
      <alignment vertical="center"/>
    </xf>
    <xf numFmtId="0" fontId="0" fillId="0" borderId="50" xfId="0" applyBorder="1" applyAlignment="1">
      <alignment horizontal="center" vertical="center"/>
    </xf>
    <xf numFmtId="0" fontId="0" fillId="0" borderId="47" xfId="0" applyBorder="1">
      <alignment vertical="center"/>
    </xf>
    <xf numFmtId="0" fontId="3" fillId="0" borderId="3" xfId="0" applyFont="1" applyBorder="1">
      <alignment vertical="center"/>
    </xf>
    <xf numFmtId="0" fontId="3" fillId="0" borderId="18" xfId="0" applyFont="1" applyBorder="1">
      <alignment vertical="center"/>
    </xf>
    <xf numFmtId="0" fontId="3" fillId="0" borderId="17" xfId="0" applyFont="1" applyBorder="1">
      <alignment vertical="center"/>
    </xf>
    <xf numFmtId="0" fontId="3" fillId="0" borderId="17" xfId="0" applyFont="1" applyBorder="1" applyAlignment="1">
      <alignment horizontal="center" vertical="center" wrapText="1"/>
    </xf>
    <xf numFmtId="0" fontId="3" fillId="0" borderId="17" xfId="0" applyFont="1" applyBorder="1" applyAlignment="1">
      <alignment vertical="center" wrapText="1"/>
    </xf>
    <xf numFmtId="3" fontId="3" fillId="0" borderId="17" xfId="0" applyNumberFormat="1" applyFont="1" applyBorder="1">
      <alignment vertical="center"/>
    </xf>
    <xf numFmtId="0" fontId="3" fillId="0" borderId="20" xfId="0" applyFont="1" applyBorder="1">
      <alignment vertical="center"/>
    </xf>
    <xf numFmtId="0" fontId="3" fillId="0" borderId="20" xfId="0" applyFont="1" applyBorder="1" applyProtection="1">
      <alignment vertical="center"/>
      <protection locked="0"/>
    </xf>
    <xf numFmtId="0" fontId="3" fillId="0" borderId="22" xfId="0" applyFont="1" applyBorder="1">
      <alignment vertical="center"/>
    </xf>
    <xf numFmtId="0" fontId="3" fillId="0" borderId="16" xfId="0" applyFont="1" applyBorder="1">
      <alignment vertical="center"/>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6" xfId="0" applyNumberFormat="1" applyFont="1" applyBorder="1">
      <alignment vertical="center"/>
    </xf>
    <xf numFmtId="0" fontId="44" fillId="0" borderId="1" xfId="0" applyFont="1" applyBorder="1">
      <alignment vertical="center"/>
    </xf>
    <xf numFmtId="0" fontId="4" fillId="0" borderId="0" xfId="0" applyFont="1" applyAlignment="1">
      <alignment horizontal="center" vertical="center"/>
    </xf>
    <xf numFmtId="0" fontId="47" fillId="0" borderId="7" xfId="0" applyFont="1" applyBorder="1" applyAlignment="1">
      <alignment vertical="center" wrapText="1"/>
    </xf>
    <xf numFmtId="0" fontId="38" fillId="7" borderId="2" xfId="0" applyFont="1" applyFill="1" applyBorder="1">
      <alignment vertical="center"/>
    </xf>
    <xf numFmtId="0" fontId="11" fillId="7" borderId="9" xfId="0" applyFont="1" applyFill="1" applyBorder="1" applyAlignment="1">
      <alignment horizontal="center" vertical="center" wrapText="1"/>
    </xf>
    <xf numFmtId="3" fontId="11" fillId="7" borderId="9" xfId="0" applyNumberFormat="1" applyFont="1" applyFill="1" applyBorder="1" applyAlignment="1">
      <alignment vertical="center" wrapText="1"/>
    </xf>
    <xf numFmtId="3" fontId="11" fillId="7" borderId="9" xfId="0" applyNumberFormat="1" applyFont="1" applyFill="1" applyBorder="1" applyAlignment="1">
      <alignment horizontal="center" vertical="center" shrinkToFit="1"/>
    </xf>
    <xf numFmtId="3" fontId="11" fillId="7" borderId="9" xfId="0" applyNumberFormat="1" applyFont="1" applyFill="1" applyBorder="1" applyAlignment="1">
      <alignment vertical="center" shrinkToFit="1"/>
    </xf>
    <xf numFmtId="0" fontId="29" fillId="9" borderId="24" xfId="0" applyFont="1" applyFill="1" applyBorder="1" applyAlignment="1" applyProtection="1">
      <alignment vertical="center" wrapText="1"/>
      <protection locked="0"/>
    </xf>
    <xf numFmtId="0" fontId="29" fillId="9" borderId="14" xfId="0" applyFont="1" applyFill="1" applyBorder="1" applyAlignment="1" applyProtection="1">
      <alignment vertical="center" wrapText="1"/>
      <protection locked="0"/>
    </xf>
    <xf numFmtId="3" fontId="29" fillId="9" borderId="24" xfId="0" applyNumberFormat="1" applyFont="1" applyFill="1" applyBorder="1" applyAlignment="1" applyProtection="1">
      <alignment vertical="center" shrinkToFit="1"/>
      <protection locked="0"/>
    </xf>
    <xf numFmtId="3" fontId="0" fillId="9" borderId="6" xfId="0" applyNumberFormat="1" applyFill="1" applyBorder="1" applyAlignment="1" applyProtection="1">
      <alignment vertical="center" wrapText="1"/>
      <protection locked="0"/>
    </xf>
    <xf numFmtId="3" fontId="0" fillId="9" borderId="1" xfId="0" applyNumberFormat="1" applyFill="1" applyBorder="1" applyAlignment="1" applyProtection="1">
      <alignment vertical="center" wrapText="1"/>
      <protection locked="0"/>
    </xf>
    <xf numFmtId="3" fontId="29" fillId="9" borderId="24" xfId="0" applyNumberFormat="1" applyFont="1" applyFill="1" applyBorder="1" applyAlignment="1" applyProtection="1">
      <alignment horizontal="center" vertical="center" shrinkToFit="1"/>
      <protection locked="0"/>
    </xf>
    <xf numFmtId="3" fontId="0" fillId="9" borderId="6" xfId="0" applyNumberFormat="1" applyFill="1" applyBorder="1" applyAlignment="1" applyProtection="1">
      <alignment horizontal="center" vertical="center" wrapText="1"/>
      <protection locked="0"/>
    </xf>
    <xf numFmtId="3" fontId="0" fillId="9" borderId="1" xfId="0" applyNumberFormat="1" applyFill="1" applyBorder="1" applyAlignment="1" applyProtection="1">
      <alignment horizontal="center" vertical="center" wrapText="1"/>
      <protection locked="0"/>
    </xf>
    <xf numFmtId="3" fontId="11" fillId="7" borderId="1" xfId="0" applyNumberFormat="1" applyFont="1" applyFill="1" applyBorder="1" applyAlignment="1">
      <alignment vertical="center" shrinkToFit="1"/>
    </xf>
    <xf numFmtId="0" fontId="29" fillId="4" borderId="24" xfId="0" applyFont="1" applyFill="1" applyBorder="1" applyAlignment="1" applyProtection="1">
      <alignment vertical="center" wrapText="1"/>
      <protection locked="0"/>
    </xf>
    <xf numFmtId="0" fontId="29" fillId="4" borderId="13" xfId="0" applyFont="1" applyFill="1" applyBorder="1" applyAlignment="1" applyProtection="1">
      <alignment vertical="center" wrapText="1"/>
      <protection locked="0"/>
    </xf>
    <xf numFmtId="0" fontId="29" fillId="4" borderId="6" xfId="0" applyFont="1" applyFill="1" applyBorder="1" applyAlignment="1" applyProtection="1">
      <alignment vertical="center" wrapText="1"/>
      <protection locked="0"/>
    </xf>
    <xf numFmtId="0" fontId="29" fillId="4" borderId="13" xfId="0" applyFont="1" applyFill="1" applyBorder="1" applyAlignment="1" applyProtection="1">
      <alignment horizontal="center" vertical="center" wrapText="1"/>
      <protection locked="0"/>
    </xf>
    <xf numFmtId="3" fontId="0" fillId="4" borderId="13" xfId="0" applyNumberFormat="1" applyFill="1" applyBorder="1" applyAlignment="1" applyProtection="1">
      <alignment horizontal="right" vertical="center"/>
      <protection locked="0"/>
    </xf>
    <xf numFmtId="0" fontId="0" fillId="4" borderId="13" xfId="0" applyFill="1" applyBorder="1" applyAlignment="1" applyProtection="1">
      <alignment horizontal="center" vertical="center"/>
      <protection locked="0"/>
    </xf>
    <xf numFmtId="3" fontId="0" fillId="4" borderId="13" xfId="0" applyNumberFormat="1" applyFill="1" applyBorder="1" applyAlignment="1" applyProtection="1">
      <alignment vertical="center" shrinkToFit="1"/>
      <protection locked="0"/>
    </xf>
    <xf numFmtId="0" fontId="29" fillId="4" borderId="24" xfId="0" applyFont="1" applyFill="1" applyBorder="1" applyAlignment="1" applyProtection="1">
      <alignment horizontal="center" vertical="center" wrapText="1"/>
      <protection locked="0"/>
    </xf>
    <xf numFmtId="3" fontId="29" fillId="4" borderId="24" xfId="0" applyNumberFormat="1" applyFont="1" applyFill="1" applyBorder="1" applyAlignment="1" applyProtection="1">
      <alignment horizontal="right" vertical="center"/>
      <protection locked="0"/>
    </xf>
    <xf numFmtId="3" fontId="29" fillId="4" borderId="24" xfId="0" applyNumberFormat="1" applyFont="1" applyFill="1" applyBorder="1" applyAlignment="1" applyProtection="1">
      <alignment horizontal="center" vertical="center" shrinkToFit="1"/>
      <protection locked="0"/>
    </xf>
    <xf numFmtId="3" fontId="29" fillId="4" borderId="24" xfId="0" applyNumberFormat="1" applyFont="1" applyFill="1" applyBorder="1" applyAlignment="1" applyProtection="1">
      <alignment vertical="center" shrinkToFit="1"/>
      <protection locked="0"/>
    </xf>
    <xf numFmtId="3" fontId="4" fillId="4" borderId="1" xfId="0" applyNumberFormat="1" applyFont="1" applyFill="1" applyBorder="1" applyAlignment="1">
      <alignment vertical="center" shrinkToFit="1"/>
    </xf>
    <xf numFmtId="3" fontId="11" fillId="7" borderId="3" xfId="0" applyNumberFormat="1" applyFont="1" applyFill="1" applyBorder="1" applyAlignment="1">
      <alignment horizontal="center" vertical="center" shrinkToFit="1"/>
    </xf>
    <xf numFmtId="0" fontId="29" fillId="4" borderId="1" xfId="0" applyFont="1" applyFill="1" applyBorder="1" applyAlignment="1" applyProtection="1">
      <alignment vertical="center" wrapText="1"/>
      <protection locked="0"/>
    </xf>
    <xf numFmtId="3" fontId="0" fillId="4" borderId="24" xfId="0" applyNumberFormat="1" applyFill="1" applyBorder="1" applyAlignment="1" applyProtection="1">
      <alignment horizontal="right" vertical="center"/>
      <protection locked="0"/>
    </xf>
    <xf numFmtId="0" fontId="0" fillId="4" borderId="24" xfId="0" applyFill="1" applyBorder="1" applyAlignment="1" applyProtection="1">
      <alignment horizontal="center" vertical="center"/>
      <protection locked="0"/>
    </xf>
    <xf numFmtId="3" fontId="0" fillId="4" borderId="24" xfId="0" applyNumberFormat="1" applyFill="1" applyBorder="1" applyAlignment="1" applyProtection="1">
      <alignment vertical="center" shrinkToFit="1"/>
      <protection locked="0"/>
    </xf>
    <xf numFmtId="0" fontId="29" fillId="4" borderId="1" xfId="0" applyFont="1" applyFill="1" applyBorder="1" applyAlignment="1" applyProtection="1">
      <alignment horizontal="center" vertical="center" wrapText="1"/>
      <protection locked="0"/>
    </xf>
    <xf numFmtId="3" fontId="0" fillId="4" borderId="1" xfId="0" applyNumberFormat="1" applyFill="1" applyBorder="1" applyAlignment="1" applyProtection="1">
      <alignment horizontal="right" vertical="center"/>
      <protection locked="0"/>
    </xf>
    <xf numFmtId="0" fontId="0" fillId="4" borderId="1" xfId="0" applyFill="1" applyBorder="1" applyAlignment="1" applyProtection="1">
      <alignment horizontal="center" vertical="center"/>
      <protection locked="0"/>
    </xf>
    <xf numFmtId="3" fontId="0" fillId="4" borderId="1" xfId="0" applyNumberFormat="1" applyFill="1" applyBorder="1" applyAlignment="1" applyProtection="1">
      <alignment vertical="center" shrinkToFit="1"/>
      <protection locked="0"/>
    </xf>
    <xf numFmtId="0" fontId="29" fillId="9" borderId="1" xfId="0" applyFont="1" applyFill="1" applyBorder="1" applyAlignment="1" applyProtection="1">
      <alignment vertical="center" wrapText="1"/>
      <protection locked="0"/>
    </xf>
    <xf numFmtId="3" fontId="0" fillId="9" borderId="24" xfId="0" applyNumberFormat="1" applyFill="1" applyBorder="1" applyAlignment="1" applyProtection="1">
      <alignment horizontal="center" vertical="center" wrapText="1"/>
      <protection locked="0"/>
    </xf>
    <xf numFmtId="3" fontId="0" fillId="9" borderId="24" xfId="0" applyNumberFormat="1" applyFill="1" applyBorder="1" applyAlignment="1" applyProtection="1">
      <alignment vertical="center" wrapText="1"/>
      <protection locked="0"/>
    </xf>
    <xf numFmtId="0" fontId="11" fillId="0" borderId="1" xfId="0" applyFont="1" applyBorder="1" applyAlignment="1">
      <alignment vertical="center" wrapText="1"/>
    </xf>
    <xf numFmtId="0" fontId="29" fillId="9" borderId="24" xfId="0" applyFont="1" applyFill="1" applyBorder="1" applyAlignment="1" applyProtection="1">
      <alignment horizontal="center" vertical="center"/>
      <protection locked="0"/>
    </xf>
    <xf numFmtId="0" fontId="29" fillId="9" borderId="1" xfId="0" applyFont="1" applyFill="1" applyBorder="1" applyAlignment="1" applyProtection="1">
      <alignment horizontal="center" vertical="center"/>
      <protection locked="0"/>
    </xf>
    <xf numFmtId="0" fontId="0" fillId="0" borderId="24" xfId="0" applyBorder="1">
      <alignment vertical="center"/>
    </xf>
    <xf numFmtId="0" fontId="0" fillId="9" borderId="1" xfId="0" applyFill="1" applyBorder="1" applyAlignment="1" applyProtection="1">
      <alignment vertical="center" wrapText="1"/>
      <protection locked="0"/>
    </xf>
    <xf numFmtId="0" fontId="3" fillId="7" borderId="24" xfId="0" applyFont="1" applyFill="1" applyBorder="1" applyAlignment="1">
      <alignment horizontal="center" vertical="center" wrapText="1"/>
    </xf>
    <xf numFmtId="0" fontId="3" fillId="7" borderId="24" xfId="0" applyFont="1" applyFill="1" applyBorder="1" applyAlignment="1">
      <alignment vertical="center" wrapText="1"/>
    </xf>
    <xf numFmtId="3" fontId="3" fillId="7" borderId="24" xfId="0" applyNumberFormat="1" applyFont="1" applyFill="1" applyBorder="1">
      <alignment vertical="center"/>
    </xf>
    <xf numFmtId="3" fontId="3" fillId="4" borderId="7" xfId="0" applyNumberFormat="1" applyFont="1" applyFill="1" applyBorder="1" applyProtection="1">
      <alignment vertical="center"/>
      <protection locked="0"/>
    </xf>
    <xf numFmtId="0" fontId="3" fillId="9"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vertical="center" wrapText="1"/>
      <protection locked="0"/>
    </xf>
    <xf numFmtId="3" fontId="3" fillId="9" borderId="6" xfId="0" applyNumberFormat="1" applyFont="1" applyFill="1" applyBorder="1" applyProtection="1">
      <alignment vertical="center"/>
      <protection locked="0"/>
    </xf>
    <xf numFmtId="3" fontId="3" fillId="9" borderId="1" xfId="0" applyNumberFormat="1" applyFont="1" applyFill="1" applyBorder="1" applyProtection="1">
      <alignment vertical="center"/>
      <protection locked="0"/>
    </xf>
    <xf numFmtId="0" fontId="3" fillId="9" borderId="7" xfId="0" applyFont="1" applyFill="1" applyBorder="1" applyAlignment="1" applyProtection="1">
      <alignment horizontal="center" vertical="center" wrapText="1"/>
      <protection locked="0"/>
    </xf>
    <xf numFmtId="0" fontId="3" fillId="9" borderId="7" xfId="0" applyFont="1" applyFill="1" applyBorder="1" applyAlignment="1" applyProtection="1">
      <alignment vertical="center" wrapText="1"/>
      <protection locked="0"/>
    </xf>
    <xf numFmtId="3" fontId="3" fillId="9" borderId="7" xfId="0" applyNumberFormat="1" applyFont="1" applyFill="1" applyBorder="1" applyProtection="1">
      <alignment vertical="center"/>
      <protection locked="0"/>
    </xf>
    <xf numFmtId="0" fontId="3" fillId="9" borderId="6" xfId="0" applyFont="1" applyFill="1" applyBorder="1" applyAlignment="1" applyProtection="1">
      <alignment vertical="center" wrapText="1"/>
      <protection locked="0"/>
    </xf>
    <xf numFmtId="3" fontId="3" fillId="4" borderId="13" xfId="0" applyNumberFormat="1" applyFont="1" applyFill="1" applyBorder="1" applyProtection="1">
      <alignment vertical="center"/>
      <protection locked="0"/>
    </xf>
    <xf numFmtId="3" fontId="3" fillId="7" borderId="42" xfId="0" applyNumberFormat="1" applyFont="1" applyFill="1" applyBorder="1">
      <alignment vertical="center"/>
    </xf>
    <xf numFmtId="3" fontId="3" fillId="7" borderId="41" xfId="0" applyNumberFormat="1" applyFont="1" applyFill="1" applyBorder="1">
      <alignment vertical="center"/>
    </xf>
    <xf numFmtId="3" fontId="59" fillId="4" borderId="1" xfId="0" applyNumberFormat="1" applyFont="1" applyFill="1" applyBorder="1" applyAlignment="1" applyProtection="1">
      <alignment horizontal="center" vertical="center" wrapText="1"/>
      <protection locked="0"/>
    </xf>
    <xf numFmtId="3" fontId="57"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wrapText="1" shrinkToFit="1"/>
      <protection locked="0"/>
    </xf>
    <xf numFmtId="3" fontId="57" fillId="4" borderId="1" xfId="0" applyNumberFormat="1" applyFont="1" applyFill="1" applyBorder="1" applyAlignment="1" applyProtection="1">
      <alignment horizontal="center" vertical="center" wrapText="1"/>
      <protection locked="0"/>
    </xf>
    <xf numFmtId="0" fontId="29" fillId="9" borderId="24" xfId="0" applyFont="1" applyFill="1" applyBorder="1" applyProtection="1">
      <alignment vertical="center"/>
      <protection locked="0"/>
    </xf>
    <xf numFmtId="177" fontId="29" fillId="9" borderId="24" xfId="0" applyNumberFormat="1" applyFont="1" applyFill="1" applyBorder="1" applyAlignment="1" applyProtection="1">
      <alignment vertical="center" wrapText="1"/>
      <protection locked="0"/>
    </xf>
    <xf numFmtId="3" fontId="29" fillId="9" borderId="1" xfId="0" applyNumberFormat="1" applyFont="1" applyFill="1" applyBorder="1" applyAlignment="1" applyProtection="1">
      <alignment vertical="center" shrinkToFit="1"/>
      <protection locked="0"/>
    </xf>
    <xf numFmtId="177" fontId="29" fillId="9" borderId="1" xfId="0" applyNumberFormat="1" applyFont="1" applyFill="1" applyBorder="1" applyAlignment="1" applyProtection="1">
      <alignment vertical="center" wrapText="1"/>
      <protection locked="0"/>
    </xf>
    <xf numFmtId="0" fontId="29" fillId="9" borderId="7" xfId="0" applyFont="1" applyFill="1" applyBorder="1" applyAlignment="1" applyProtection="1">
      <alignment vertical="center" wrapText="1"/>
      <protection locked="0"/>
    </xf>
    <xf numFmtId="0" fontId="29" fillId="9" borderId="7" xfId="0" applyFont="1" applyFill="1" applyBorder="1" applyAlignment="1" applyProtection="1">
      <alignment horizontal="center" vertical="center"/>
      <protection locked="0"/>
    </xf>
    <xf numFmtId="3" fontId="29" fillId="9" borderId="7" xfId="0" applyNumberFormat="1" applyFont="1" applyFill="1" applyBorder="1" applyAlignment="1" applyProtection="1">
      <alignment vertical="center" shrinkToFit="1"/>
      <protection locked="0"/>
    </xf>
    <xf numFmtId="177" fontId="29" fillId="9" borderId="7" xfId="0" applyNumberFormat="1" applyFont="1" applyFill="1" applyBorder="1" applyAlignment="1" applyProtection="1">
      <alignment vertical="center" wrapText="1"/>
      <protection locked="0"/>
    </xf>
    <xf numFmtId="177" fontId="29" fillId="9" borderId="24" xfId="0" applyNumberFormat="1" applyFont="1" applyFill="1" applyBorder="1" applyAlignment="1" applyProtection="1">
      <alignment vertical="center" shrinkToFit="1"/>
      <protection locked="0"/>
    </xf>
    <xf numFmtId="3" fontId="29" fillId="9" borderId="1" xfId="0" applyNumberFormat="1" applyFont="1" applyFill="1" applyBorder="1" applyAlignment="1" applyProtection="1">
      <alignment vertical="center" wrapText="1"/>
      <protection locked="0"/>
    </xf>
    <xf numFmtId="3" fontId="11" fillId="4" borderId="1" xfId="0" applyNumberFormat="1" applyFont="1" applyFill="1" applyBorder="1" applyAlignment="1" applyProtection="1">
      <alignment vertical="center" shrinkToFit="1"/>
      <protection locked="0"/>
    </xf>
    <xf numFmtId="3" fontId="11" fillId="4" borderId="1" xfId="0" applyNumberFormat="1" applyFont="1" applyFill="1" applyBorder="1" applyProtection="1">
      <alignment vertical="center"/>
      <protection locked="0"/>
    </xf>
    <xf numFmtId="3" fontId="40" fillId="4" borderId="1" xfId="0" applyNumberFormat="1" applyFont="1" applyFill="1" applyBorder="1">
      <alignment vertical="center"/>
    </xf>
    <xf numFmtId="176" fontId="29" fillId="9" borderId="1" xfId="0" applyNumberFormat="1" applyFont="1" applyFill="1" applyBorder="1" applyAlignment="1" applyProtection="1">
      <alignment vertical="center" wrapText="1"/>
      <protection locked="0"/>
    </xf>
    <xf numFmtId="3" fontId="10" fillId="0" borderId="0" xfId="0" applyNumberFormat="1" applyFont="1">
      <alignment vertical="center"/>
    </xf>
    <xf numFmtId="3" fontId="9" fillId="0" borderId="0" xfId="0" applyNumberFormat="1" applyFont="1" applyAlignment="1">
      <alignment horizontal="center" vertical="center" wrapText="1"/>
    </xf>
    <xf numFmtId="3" fontId="30" fillId="0" borderId="0" xfId="0" applyNumberFormat="1" applyFont="1">
      <alignment vertical="center"/>
    </xf>
    <xf numFmtId="3" fontId="21" fillId="0" borderId="0" xfId="0" applyNumberFormat="1" applyFont="1">
      <alignment vertical="center"/>
    </xf>
    <xf numFmtId="3" fontId="21" fillId="0" borderId="0" xfId="0" applyNumberFormat="1" applyFont="1" applyAlignment="1">
      <alignment vertical="center" wrapText="1"/>
    </xf>
    <xf numFmtId="3" fontId="21" fillId="0" borderId="0" xfId="0" applyNumberFormat="1" applyFont="1" applyAlignment="1">
      <alignment horizontal="center" vertical="center" wrapText="1"/>
    </xf>
    <xf numFmtId="3" fontId="54" fillId="0" borderId="0" xfId="0" applyNumberFormat="1" applyFont="1">
      <alignment vertical="center"/>
    </xf>
    <xf numFmtId="3" fontId="9" fillId="0" borderId="18" xfId="0" applyNumberFormat="1" applyFont="1" applyBorder="1">
      <alignment vertical="center"/>
    </xf>
    <xf numFmtId="3" fontId="9" fillId="0" borderId="17" xfId="0" applyNumberFormat="1" applyFont="1" applyBorder="1" applyAlignment="1">
      <alignment vertical="center" wrapText="1"/>
    </xf>
    <xf numFmtId="3" fontId="9" fillId="0" borderId="17" xfId="0" applyNumberFormat="1" applyFont="1" applyBorder="1" applyAlignment="1">
      <alignment horizontal="center" vertical="center"/>
    </xf>
    <xf numFmtId="3" fontId="9" fillId="0" borderId="17" xfId="0" applyNumberFormat="1" applyFont="1" applyBorder="1" applyAlignment="1">
      <alignment horizontal="center" vertical="center" wrapText="1"/>
    </xf>
    <xf numFmtId="3" fontId="9" fillId="0" borderId="19" xfId="0" applyNumberFormat="1" applyFont="1" applyBorder="1" applyAlignment="1">
      <alignment vertical="center" wrapText="1"/>
    </xf>
    <xf numFmtId="3" fontId="9" fillId="0" borderId="20" xfId="0" applyNumberFormat="1" applyFont="1" applyBorder="1">
      <alignment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3" fontId="9" fillId="0" borderId="10" xfId="0" applyNumberFormat="1" applyFont="1" applyBorder="1" applyAlignment="1">
      <alignment horizontal="center" vertical="center" wrapText="1"/>
    </xf>
    <xf numFmtId="3" fontId="9" fillId="0" borderId="21" xfId="0" applyNumberFormat="1" applyFont="1" applyBorder="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 vertical="center" wrapText="1"/>
    </xf>
    <xf numFmtId="3" fontId="9" fillId="3" borderId="7" xfId="0" applyNumberFormat="1" applyFont="1" applyFill="1" applyBorder="1">
      <alignment vertical="center"/>
    </xf>
    <xf numFmtId="3" fontId="30" fillId="0" borderId="1" xfId="0" applyNumberFormat="1" applyFont="1" applyBorder="1" applyAlignment="1">
      <alignment horizontal="center" vertical="center"/>
    </xf>
    <xf numFmtId="3" fontId="0" fillId="0" borderId="1" xfId="0" applyNumberFormat="1" applyBorder="1" applyAlignment="1">
      <alignment horizontal="center" vertical="center"/>
    </xf>
    <xf numFmtId="3" fontId="9" fillId="0" borderId="20" xfId="0" applyNumberFormat="1" applyFont="1" applyBorder="1" applyProtection="1">
      <alignment vertical="center"/>
      <protection locked="0"/>
    </xf>
    <xf numFmtId="3" fontId="9" fillId="0" borderId="13" xfId="0" applyNumberFormat="1" applyFont="1" applyBorder="1" applyProtection="1">
      <alignment vertical="center"/>
      <protection locked="0"/>
    </xf>
    <xf numFmtId="3" fontId="9" fillId="3" borderId="13" xfId="0" applyNumberFormat="1" applyFont="1" applyFill="1" applyBorder="1" applyProtection="1">
      <alignment vertical="center"/>
      <protection locked="0"/>
    </xf>
    <xf numFmtId="3" fontId="9" fillId="0" borderId="13" xfId="0" applyNumberFormat="1" applyFont="1" applyBorder="1" applyAlignment="1" applyProtection="1">
      <alignment horizontal="right" vertical="center"/>
      <protection locked="0"/>
    </xf>
    <xf numFmtId="3" fontId="9" fillId="0" borderId="21" xfId="0" applyNumberFormat="1" applyFont="1" applyBorder="1" applyProtection="1">
      <alignment vertical="center"/>
      <protection locked="0"/>
    </xf>
    <xf numFmtId="3" fontId="30" fillId="0" borderId="0" xfId="0" applyNumberFormat="1" applyFont="1" applyProtection="1">
      <alignment vertical="center"/>
      <protection locked="0"/>
    </xf>
    <xf numFmtId="3" fontId="30" fillId="0" borderId="1" xfId="0" applyNumberFormat="1" applyFont="1" applyBorder="1" applyAlignment="1" applyProtection="1">
      <alignment horizontal="center" vertical="center"/>
      <protection locked="0"/>
    </xf>
    <xf numFmtId="3" fontId="0" fillId="0" borderId="1" xfId="0" applyNumberFormat="1" applyBorder="1" applyAlignment="1" applyProtection="1">
      <alignment horizontal="center" vertical="center"/>
      <protection locked="0"/>
    </xf>
    <xf numFmtId="3" fontId="9" fillId="0" borderId="13" xfId="0" applyNumberFormat="1" applyFont="1" applyBorder="1">
      <alignment vertical="center"/>
    </xf>
    <xf numFmtId="3" fontId="21" fillId="0" borderId="20" xfId="0" applyNumberFormat="1" applyFont="1" applyBorder="1">
      <alignment vertical="center"/>
    </xf>
    <xf numFmtId="3" fontId="21" fillId="0" borderId="13" xfId="0" applyNumberFormat="1" applyFont="1" applyBorder="1">
      <alignment vertical="center"/>
    </xf>
    <xf numFmtId="3" fontId="21" fillId="0" borderId="0" xfId="0" applyNumberFormat="1" applyFont="1" applyProtection="1">
      <alignment vertical="center"/>
      <protection locked="0"/>
    </xf>
    <xf numFmtId="3" fontId="21" fillId="0" borderId="20" xfId="0" applyNumberFormat="1" applyFont="1" applyBorder="1" applyProtection="1">
      <alignment vertical="center"/>
      <protection locked="0"/>
    </xf>
    <xf numFmtId="3" fontId="21" fillId="0" borderId="13" xfId="0" applyNumberFormat="1" applyFont="1" applyBorder="1" applyProtection="1">
      <alignment vertical="center"/>
      <protection locked="0"/>
    </xf>
    <xf numFmtId="3" fontId="9" fillId="3" borderId="15" xfId="0" applyNumberFormat="1" applyFont="1" applyFill="1" applyBorder="1" applyProtection="1">
      <alignment vertical="center"/>
      <protection locked="0"/>
    </xf>
    <xf numFmtId="3" fontId="10" fillId="3" borderId="13" xfId="0" applyNumberFormat="1" applyFont="1" applyFill="1" applyBorder="1" applyProtection="1">
      <alignment vertical="center"/>
      <protection locked="0"/>
    </xf>
    <xf numFmtId="3" fontId="9" fillId="0" borderId="6" xfId="0" applyNumberFormat="1" applyFont="1" applyBorder="1">
      <alignment vertical="center"/>
    </xf>
    <xf numFmtId="3" fontId="10" fillId="3" borderId="2" xfId="0" applyNumberFormat="1" applyFont="1" applyFill="1" applyBorder="1">
      <alignment vertical="center"/>
    </xf>
    <xf numFmtId="3" fontId="10" fillId="3" borderId="24" xfId="0" applyNumberFormat="1" applyFont="1" applyFill="1" applyBorder="1" applyAlignment="1">
      <alignment vertical="center" wrapText="1"/>
    </xf>
    <xf numFmtId="3" fontId="10" fillId="3" borderId="24" xfId="0" applyNumberFormat="1" applyFont="1" applyFill="1" applyBorder="1">
      <alignment vertical="center"/>
    </xf>
    <xf numFmtId="3" fontId="10" fillId="0" borderId="24" xfId="0" applyNumberFormat="1" applyFont="1" applyBorder="1" applyAlignment="1">
      <alignment horizontal="left" vertical="center" wrapText="1"/>
    </xf>
    <xf numFmtId="3" fontId="10" fillId="0" borderId="24" xfId="0" applyNumberFormat="1" applyFont="1" applyBorder="1" applyAlignment="1">
      <alignment horizontal="center" vertical="center" wrapText="1"/>
    </xf>
    <xf numFmtId="3" fontId="9" fillId="0" borderId="22" xfId="0" applyNumberFormat="1" applyFont="1" applyBorder="1">
      <alignment vertical="center"/>
    </xf>
    <xf numFmtId="3" fontId="9" fillId="0" borderId="16" xfId="0" applyNumberFormat="1" applyFont="1" applyBorder="1" applyAlignment="1">
      <alignment vertical="center" wrapText="1"/>
    </xf>
    <xf numFmtId="3" fontId="9" fillId="0" borderId="16" xfId="0" applyNumberFormat="1" applyFont="1" applyBorder="1" applyAlignment="1">
      <alignment horizontal="center" vertical="center"/>
    </xf>
    <xf numFmtId="3" fontId="9" fillId="0" borderId="16" xfId="0" applyNumberFormat="1" applyFont="1" applyBorder="1" applyAlignment="1">
      <alignment horizontal="center" vertical="center" wrapText="1"/>
    </xf>
    <xf numFmtId="3" fontId="9" fillId="0" borderId="23" xfId="0" applyNumberFormat="1" applyFont="1" applyBorder="1">
      <alignment vertical="center"/>
    </xf>
    <xf numFmtId="3" fontId="21" fillId="0" borderId="0" xfId="0" applyNumberFormat="1" applyFont="1" applyAlignment="1">
      <alignment vertical="top"/>
    </xf>
    <xf numFmtId="3" fontId="21" fillId="0" borderId="0" xfId="0" applyNumberFormat="1" applyFont="1" applyAlignment="1">
      <alignment horizontal="center" vertical="top"/>
    </xf>
    <xf numFmtId="3" fontId="9" fillId="9" borderId="24" xfId="0" applyNumberFormat="1" applyFont="1" applyFill="1" applyBorder="1" applyAlignment="1" applyProtection="1">
      <alignment vertical="center" wrapText="1"/>
      <protection locked="0"/>
    </xf>
    <xf numFmtId="3" fontId="9" fillId="9" borderId="24" xfId="0" applyNumberFormat="1" applyFont="1" applyFill="1" applyBorder="1" applyProtection="1">
      <alignment vertical="center"/>
      <protection locked="0"/>
    </xf>
    <xf numFmtId="3" fontId="9" fillId="9" borderId="24" xfId="0" applyNumberFormat="1" applyFont="1" applyFill="1" applyBorder="1" applyAlignment="1" applyProtection="1">
      <alignment horizontal="left" vertical="center" wrapText="1"/>
      <protection locked="0"/>
    </xf>
    <xf numFmtId="3" fontId="9" fillId="9" borderId="24" xfId="0" applyNumberFormat="1" applyFont="1" applyFill="1" applyBorder="1" applyAlignment="1" applyProtection="1">
      <alignment vertical="center" shrinkToFit="1"/>
      <protection locked="0"/>
    </xf>
    <xf numFmtId="3" fontId="9" fillId="9" borderId="24" xfId="0" applyNumberFormat="1" applyFont="1" applyFill="1" applyBorder="1" applyAlignment="1" applyProtection="1">
      <alignment horizontal="center" vertical="center" shrinkToFit="1"/>
      <protection locked="0"/>
    </xf>
    <xf numFmtId="3" fontId="9" fillId="9" borderId="1" xfId="0" applyNumberFormat="1" applyFont="1" applyFill="1" applyBorder="1" applyAlignment="1" applyProtection="1">
      <alignment vertical="center" wrapText="1"/>
      <protection locked="0"/>
    </xf>
    <xf numFmtId="3" fontId="9" fillId="9" borderId="1" xfId="0" applyNumberFormat="1" applyFont="1" applyFill="1" applyBorder="1" applyProtection="1">
      <alignment vertical="center"/>
      <protection locked="0"/>
    </xf>
    <xf numFmtId="3" fontId="9" fillId="9" borderId="1" xfId="0" applyNumberFormat="1" applyFont="1" applyFill="1" applyBorder="1" applyAlignment="1" applyProtection="1">
      <alignment horizontal="left" vertical="center" wrapText="1"/>
      <protection locked="0"/>
    </xf>
    <xf numFmtId="3" fontId="9" fillId="9" borderId="1" xfId="0" applyNumberFormat="1" applyFont="1" applyFill="1" applyBorder="1" applyAlignment="1" applyProtection="1">
      <alignment vertical="center" shrinkToFit="1"/>
      <protection locked="0"/>
    </xf>
    <xf numFmtId="3" fontId="9" fillId="9" borderId="1" xfId="0" applyNumberFormat="1" applyFont="1" applyFill="1" applyBorder="1" applyAlignment="1" applyProtection="1">
      <alignment horizontal="center" vertical="center" shrinkToFit="1"/>
      <protection locked="0"/>
    </xf>
    <xf numFmtId="3" fontId="9" fillId="9" borderId="7" xfId="0" applyNumberFormat="1" applyFont="1" applyFill="1" applyBorder="1" applyAlignment="1" applyProtection="1">
      <alignment vertical="center" wrapText="1"/>
      <protection locked="0"/>
    </xf>
    <xf numFmtId="3" fontId="9" fillId="9" borderId="7" xfId="0" applyNumberFormat="1" applyFont="1" applyFill="1" applyBorder="1" applyProtection="1">
      <alignment vertical="center"/>
      <protection locked="0"/>
    </xf>
    <xf numFmtId="3" fontId="9" fillId="9" borderId="7" xfId="0" applyNumberFormat="1" applyFont="1" applyFill="1" applyBorder="1" applyAlignment="1" applyProtection="1">
      <alignment horizontal="left" vertical="center" wrapText="1"/>
      <protection locked="0"/>
    </xf>
    <xf numFmtId="3" fontId="9" fillId="9" borderId="7" xfId="0" applyNumberFormat="1" applyFont="1" applyFill="1" applyBorder="1" applyAlignment="1" applyProtection="1">
      <alignment vertical="center" shrinkToFit="1"/>
      <protection locked="0"/>
    </xf>
    <xf numFmtId="3" fontId="9" fillId="9" borderId="7" xfId="0" applyNumberFormat="1" applyFont="1" applyFill="1" applyBorder="1" applyAlignment="1" applyProtection="1">
      <alignment horizontal="center" vertical="center" shrinkToFit="1"/>
      <protection locked="0"/>
    </xf>
    <xf numFmtId="3" fontId="9" fillId="0" borderId="7" xfId="0" applyNumberFormat="1" applyFont="1" applyBorder="1" applyAlignment="1">
      <alignment vertical="center" wrapText="1"/>
    </xf>
    <xf numFmtId="3" fontId="9" fillId="7" borderId="2" xfId="0" applyNumberFormat="1" applyFont="1" applyFill="1" applyBorder="1">
      <alignment vertical="center"/>
    </xf>
    <xf numFmtId="3" fontId="9" fillId="7" borderId="9" xfId="0" applyNumberFormat="1" applyFont="1" applyFill="1" applyBorder="1">
      <alignment vertical="center"/>
    </xf>
    <xf numFmtId="3" fontId="9" fillId="7" borderId="9" xfId="0" applyNumberFormat="1" applyFont="1" applyFill="1" applyBorder="1" applyAlignment="1">
      <alignment horizontal="left" vertical="center" wrapText="1"/>
    </xf>
    <xf numFmtId="3" fontId="9" fillId="7" borderId="9" xfId="0" applyNumberFormat="1" applyFont="1" applyFill="1" applyBorder="1" applyAlignment="1">
      <alignment vertical="center" shrinkToFit="1"/>
    </xf>
    <xf numFmtId="3" fontId="9" fillId="7" borderId="3" xfId="0" applyNumberFormat="1" applyFont="1" applyFill="1" applyBorder="1" applyAlignment="1">
      <alignment horizontal="center" vertical="center" shrinkToFit="1"/>
    </xf>
    <xf numFmtId="3" fontId="9" fillId="4" borderId="1" xfId="0" applyNumberFormat="1" applyFont="1" applyFill="1" applyBorder="1" applyAlignment="1" applyProtection="1">
      <alignment horizontal="center" vertical="center" wrapText="1"/>
      <protection locked="0"/>
    </xf>
    <xf numFmtId="3" fontId="9" fillId="7" borderId="1" xfId="0" applyNumberFormat="1" applyFont="1" applyFill="1" applyBorder="1" applyAlignment="1">
      <alignment horizontal="center" vertical="center" shrinkToFit="1"/>
    </xf>
    <xf numFmtId="3" fontId="9" fillId="0" borderId="6" xfId="0" applyNumberFormat="1" applyFont="1" applyBorder="1" applyAlignment="1" applyProtection="1">
      <alignment horizontal="right" vertical="center"/>
      <protection locked="0"/>
    </xf>
    <xf numFmtId="0" fontId="17" fillId="0" borderId="7" xfId="0" applyFont="1" applyBorder="1" applyAlignment="1">
      <alignment horizontal="left" vertical="center"/>
    </xf>
    <xf numFmtId="0" fontId="17" fillId="6" borderId="2" xfId="0" applyFont="1" applyFill="1" applyBorder="1" applyAlignment="1">
      <alignment vertical="center" wrapText="1"/>
    </xf>
    <xf numFmtId="3" fontId="17" fillId="6" borderId="9" xfId="0" applyNumberFormat="1" applyFont="1" applyFill="1" applyBorder="1" applyAlignment="1">
      <alignment vertical="center" shrinkToFit="1"/>
    </xf>
    <xf numFmtId="0" fontId="17" fillId="6" borderId="9" xfId="0" applyFont="1" applyFill="1" applyBorder="1">
      <alignment vertical="center"/>
    </xf>
    <xf numFmtId="178" fontId="17" fillId="6" borderId="3" xfId="0" applyNumberFormat="1" applyFont="1" applyFill="1" applyBorder="1" applyAlignment="1">
      <alignment vertical="center" shrinkToFit="1"/>
    </xf>
    <xf numFmtId="0" fontId="23" fillId="0" borderId="1" xfId="0" applyFont="1" applyBorder="1" applyAlignment="1">
      <alignment vertical="center" wrapText="1"/>
    </xf>
    <xf numFmtId="0" fontId="23" fillId="9" borderId="24" xfId="0" applyFont="1" applyFill="1" applyBorder="1" applyAlignment="1" applyProtection="1">
      <alignment vertical="center" wrapText="1"/>
      <protection locked="0"/>
    </xf>
    <xf numFmtId="3" fontId="23" fillId="9" borderId="24" xfId="0" applyNumberFormat="1" applyFont="1" applyFill="1" applyBorder="1" applyAlignment="1" applyProtection="1">
      <alignment vertical="center" shrinkToFit="1"/>
      <protection locked="0"/>
    </xf>
    <xf numFmtId="0" fontId="23" fillId="9" borderId="1" xfId="0" applyFont="1" applyFill="1" applyBorder="1" applyAlignment="1" applyProtection="1">
      <alignment vertical="center" wrapText="1"/>
      <protection locked="0"/>
    </xf>
    <xf numFmtId="3" fontId="23" fillId="9" borderId="1" xfId="0" applyNumberFormat="1" applyFont="1" applyFill="1" applyBorder="1" applyAlignment="1" applyProtection="1">
      <alignment vertical="center" shrinkToFit="1"/>
      <protection locked="0"/>
    </xf>
    <xf numFmtId="0" fontId="23" fillId="9" borderId="2" xfId="0" applyFont="1" applyFill="1" applyBorder="1" applyAlignment="1" applyProtection="1">
      <alignment vertical="center" wrapText="1"/>
      <protection locked="0"/>
    </xf>
    <xf numFmtId="0" fontId="23" fillId="9" borderId="7" xfId="0" applyFont="1" applyFill="1" applyBorder="1" applyAlignment="1" applyProtection="1">
      <alignment vertical="center" wrapText="1"/>
      <protection locked="0"/>
    </xf>
    <xf numFmtId="3" fontId="23" fillId="9" borderId="7" xfId="0" applyNumberFormat="1" applyFont="1" applyFill="1" applyBorder="1" applyAlignment="1" applyProtection="1">
      <alignment vertical="center" shrinkToFit="1"/>
      <protection locked="0"/>
    </xf>
    <xf numFmtId="0" fontId="23" fillId="9" borderId="10" xfId="0" applyFont="1" applyFill="1" applyBorder="1" applyAlignment="1" applyProtection="1">
      <alignment vertical="center" wrapText="1"/>
      <protection locked="0"/>
    </xf>
    <xf numFmtId="3" fontId="17" fillId="4" borderId="1" xfId="0" applyNumberFormat="1" applyFont="1" applyFill="1" applyBorder="1" applyAlignment="1" applyProtection="1">
      <alignment vertical="center" shrinkToFit="1"/>
      <protection locked="0"/>
    </xf>
    <xf numFmtId="3" fontId="17" fillId="4" borderId="7" xfId="0" applyNumberFormat="1" applyFont="1" applyFill="1" applyBorder="1" applyAlignment="1" applyProtection="1">
      <alignment vertical="center" shrinkToFit="1"/>
      <protection locked="0"/>
    </xf>
    <xf numFmtId="3" fontId="40" fillId="4" borderId="1" xfId="0" applyNumberFormat="1" applyFont="1" applyFill="1" applyBorder="1" applyAlignment="1">
      <alignment vertical="center" shrinkToFit="1"/>
    </xf>
    <xf numFmtId="176" fontId="40" fillId="4" borderId="1" xfId="3" applyNumberFormat="1" applyFont="1" applyFill="1" applyBorder="1" applyAlignment="1" applyProtection="1">
      <alignment horizontal="right" vertical="center" shrinkToFit="1"/>
    </xf>
    <xf numFmtId="176" fontId="40" fillId="4" borderId="1" xfId="0" applyNumberFormat="1" applyFont="1" applyFill="1" applyBorder="1" applyAlignment="1">
      <alignment horizontal="right" vertical="center" shrinkToFit="1"/>
    </xf>
    <xf numFmtId="179" fontId="9" fillId="4" borderId="1" xfId="0" applyNumberFormat="1" applyFont="1" applyFill="1" applyBorder="1" applyAlignment="1" applyProtection="1">
      <alignment vertical="center" shrinkToFit="1"/>
      <protection hidden="1"/>
    </xf>
    <xf numFmtId="183" fontId="9" fillId="0" borderId="6" xfId="0" applyNumberFormat="1" applyFont="1" applyBorder="1" applyAlignment="1" applyProtection="1">
      <alignment horizontal="right" vertical="center"/>
      <protection locked="0"/>
    </xf>
    <xf numFmtId="183" fontId="9" fillId="0" borderId="41" xfId="0" applyNumberFormat="1" applyFont="1" applyBorder="1" applyAlignment="1" applyProtection="1">
      <alignment horizontal="right" vertical="center"/>
      <protection locked="0"/>
    </xf>
    <xf numFmtId="0" fontId="9" fillId="7" borderId="2" xfId="0" applyFont="1" applyFill="1" applyBorder="1" applyAlignment="1">
      <alignment horizontal="left" vertical="center" wrapText="1"/>
    </xf>
    <xf numFmtId="183" fontId="9" fillId="7" borderId="3" xfId="0" applyNumberFormat="1" applyFont="1" applyFill="1" applyBorder="1" applyAlignment="1">
      <alignment horizontal="right" vertical="center"/>
    </xf>
    <xf numFmtId="183" fontId="9" fillId="0" borderId="13" xfId="0" applyNumberFormat="1" applyFont="1" applyBorder="1" applyAlignment="1" applyProtection="1">
      <alignment horizontal="right" vertical="center"/>
      <protection locked="0"/>
    </xf>
    <xf numFmtId="0" fontId="9" fillId="9" borderId="24" xfId="0" applyFont="1" applyFill="1" applyBorder="1" applyAlignment="1" applyProtection="1">
      <alignment vertical="center" wrapText="1"/>
      <protection locked="0"/>
    </xf>
    <xf numFmtId="0" fontId="9" fillId="9" borderId="24" xfId="0" applyFont="1" applyFill="1" applyBorder="1" applyAlignment="1" applyProtection="1">
      <alignment horizontal="left" vertical="center" wrapText="1"/>
      <protection locked="0"/>
    </xf>
    <xf numFmtId="183" fontId="9" fillId="9" borderId="24" xfId="0" applyNumberFormat="1" applyFont="1" applyFill="1" applyBorder="1" applyAlignment="1" applyProtection="1">
      <alignment horizontal="right" vertical="center"/>
      <protection locked="0"/>
    </xf>
    <xf numFmtId="0" fontId="9" fillId="9" borderId="1" xfId="0" applyFont="1" applyFill="1" applyBorder="1" applyAlignment="1" applyProtection="1">
      <alignment vertical="center" wrapText="1"/>
      <protection locked="0"/>
    </xf>
    <xf numFmtId="0" fontId="9" fillId="9" borderId="1" xfId="0" applyFont="1" applyFill="1" applyBorder="1" applyAlignment="1" applyProtection="1">
      <alignment horizontal="left" vertical="center" wrapText="1"/>
      <protection locked="0"/>
    </xf>
    <xf numFmtId="183" fontId="9" fillId="9" borderId="2" xfId="0" applyNumberFormat="1" applyFont="1" applyFill="1" applyBorder="1" applyAlignment="1" applyProtection="1">
      <alignment horizontal="right" vertical="center"/>
      <protection locked="0"/>
    </xf>
    <xf numFmtId="0" fontId="9" fillId="9" borderId="7" xfId="0" applyFont="1" applyFill="1" applyBorder="1" applyAlignment="1" applyProtection="1">
      <alignment vertical="center" wrapText="1"/>
      <protection locked="0"/>
    </xf>
    <xf numFmtId="38" fontId="9" fillId="9" borderId="1" xfId="3" applyFont="1" applyFill="1" applyBorder="1" applyAlignment="1" applyProtection="1">
      <alignment vertical="center" wrapText="1"/>
      <protection locked="0"/>
    </xf>
    <xf numFmtId="0" fontId="9" fillId="9" borderId="3" xfId="0" applyFont="1" applyFill="1" applyBorder="1" applyAlignment="1" applyProtection="1">
      <alignment horizontal="left" vertical="center" wrapText="1"/>
      <protection locked="0"/>
    </xf>
    <xf numFmtId="183" fontId="9" fillId="9" borderId="1" xfId="0" applyNumberFormat="1" applyFont="1" applyFill="1" applyBorder="1" applyAlignment="1" applyProtection="1">
      <alignment horizontal="right" vertical="center"/>
      <protection locked="0"/>
    </xf>
    <xf numFmtId="38" fontId="9" fillId="9" borderId="7" xfId="3" applyFont="1" applyFill="1" applyBorder="1" applyAlignment="1" applyProtection="1">
      <alignment vertical="center" wrapText="1"/>
      <protection locked="0"/>
    </xf>
    <xf numFmtId="0" fontId="29" fillId="0" borderId="3" xfId="0" applyFont="1" applyBorder="1" applyAlignment="1">
      <alignment vertical="center" wrapText="1"/>
    </xf>
    <xf numFmtId="38" fontId="29" fillId="0" borderId="3" xfId="3" applyFont="1" applyFill="1" applyBorder="1" applyAlignment="1" applyProtection="1">
      <alignment vertical="center" wrapText="1"/>
    </xf>
    <xf numFmtId="183" fontId="9" fillId="4" borderId="3" xfId="0" applyNumberFormat="1" applyFont="1" applyFill="1" applyBorder="1" applyAlignment="1" applyProtection="1">
      <alignment horizontal="center" vertical="center"/>
      <protection locked="0"/>
    </xf>
    <xf numFmtId="183" fontId="10" fillId="4" borderId="3" xfId="0" applyNumberFormat="1" applyFont="1" applyFill="1" applyBorder="1" applyAlignment="1" applyProtection="1">
      <alignment horizontal="center" vertical="center"/>
      <protection locked="0"/>
    </xf>
    <xf numFmtId="0" fontId="9" fillId="3" borderId="10" xfId="0" applyFont="1" applyFill="1" applyBorder="1">
      <alignment vertical="center"/>
    </xf>
    <xf numFmtId="0" fontId="9" fillId="0" borderId="41" xfId="0" applyFont="1" applyBorder="1" applyAlignment="1" applyProtection="1">
      <alignment vertical="center" wrapText="1"/>
      <protection locked="0"/>
    </xf>
    <xf numFmtId="0" fontId="17" fillId="6" borderId="9" xfId="0" applyFont="1" applyFill="1" applyBorder="1" applyAlignment="1">
      <alignment vertical="center" wrapText="1"/>
    </xf>
    <xf numFmtId="3" fontId="17" fillId="6" borderId="3" xfId="0" applyNumberFormat="1" applyFont="1" applyFill="1" applyBorder="1" applyAlignment="1">
      <alignment vertical="center" shrinkToFit="1"/>
    </xf>
    <xf numFmtId="0" fontId="17" fillId="9" borderId="24" xfId="0" applyFont="1" applyFill="1" applyBorder="1" applyAlignment="1" applyProtection="1">
      <alignment vertical="center" wrapText="1"/>
      <protection locked="0"/>
    </xf>
    <xf numFmtId="3" fontId="17" fillId="9" borderId="24" xfId="0" applyNumberFormat="1" applyFont="1" applyFill="1" applyBorder="1" applyAlignment="1" applyProtection="1">
      <alignment vertical="center" shrinkToFit="1"/>
      <protection locked="0"/>
    </xf>
    <xf numFmtId="0" fontId="17" fillId="9" borderId="36" xfId="0" applyFont="1" applyFill="1" applyBorder="1" applyAlignment="1" applyProtection="1">
      <alignment vertical="center" wrapText="1"/>
      <protection locked="0"/>
    </xf>
    <xf numFmtId="0" fontId="17" fillId="9" borderId="7" xfId="0" applyFont="1" applyFill="1" applyBorder="1" applyAlignment="1" applyProtection="1">
      <alignment vertical="center" wrapText="1"/>
      <protection locked="0"/>
    </xf>
    <xf numFmtId="3" fontId="17" fillId="9" borderId="7" xfId="0" applyNumberFormat="1" applyFont="1" applyFill="1" applyBorder="1" applyAlignment="1" applyProtection="1">
      <alignment vertical="center" shrinkToFit="1"/>
      <protection locked="0"/>
    </xf>
    <xf numFmtId="0" fontId="17" fillId="9" borderId="10" xfId="0" applyFont="1" applyFill="1" applyBorder="1" applyAlignment="1" applyProtection="1">
      <alignment vertical="center" wrapText="1"/>
      <protection locked="0"/>
    </xf>
    <xf numFmtId="0" fontId="17" fillId="9" borderId="1" xfId="0" applyFont="1" applyFill="1" applyBorder="1" applyAlignment="1" applyProtection="1">
      <alignment vertical="center" wrapText="1"/>
      <protection locked="0"/>
    </xf>
    <xf numFmtId="3" fontId="17" fillId="9" borderId="1" xfId="0" applyNumberFormat="1" applyFont="1" applyFill="1" applyBorder="1" applyAlignment="1" applyProtection="1">
      <alignment vertical="center" shrinkToFit="1"/>
      <protection locked="0"/>
    </xf>
    <xf numFmtId="0" fontId="17" fillId="9" borderId="2" xfId="0" applyFont="1" applyFill="1" applyBorder="1" applyAlignment="1" applyProtection="1">
      <alignment vertical="center" wrapText="1"/>
      <protection locked="0"/>
    </xf>
    <xf numFmtId="3" fontId="17" fillId="4" borderId="24" xfId="0" applyNumberFormat="1" applyFont="1" applyFill="1" applyBorder="1" applyAlignment="1" applyProtection="1">
      <alignment vertical="center" shrinkToFit="1"/>
      <protection locked="0"/>
    </xf>
    <xf numFmtId="176" fontId="29" fillId="9" borderId="24" xfId="0" applyNumberFormat="1" applyFont="1" applyFill="1" applyBorder="1" applyAlignment="1" applyProtection="1">
      <alignment vertical="center" wrapText="1"/>
      <protection locked="0"/>
    </xf>
    <xf numFmtId="0" fontId="69" fillId="0" borderId="49" xfId="0" applyFont="1" applyBorder="1">
      <alignment vertical="center"/>
    </xf>
    <xf numFmtId="0" fontId="70" fillId="0" borderId="49" xfId="0" applyFont="1" applyBorder="1">
      <alignment vertical="center"/>
    </xf>
    <xf numFmtId="0" fontId="70" fillId="0" borderId="0" xfId="0" applyFont="1">
      <alignment vertical="center"/>
    </xf>
    <xf numFmtId="0" fontId="67" fillId="0" borderId="49" xfId="0" applyFont="1" applyBorder="1" applyAlignment="1">
      <alignment horizontal="center" vertical="center"/>
    </xf>
    <xf numFmtId="0" fontId="67" fillId="0" borderId="0" xfId="0" applyFont="1" applyAlignment="1">
      <alignment horizontal="center" vertical="center"/>
    </xf>
    <xf numFmtId="0" fontId="39" fillId="0" borderId="49" xfId="0" applyFont="1" applyBorder="1">
      <alignment vertical="center"/>
    </xf>
    <xf numFmtId="0" fontId="69" fillId="0" borderId="0" xfId="0" applyFont="1" applyAlignment="1">
      <alignment horizontal="left" vertical="center"/>
    </xf>
    <xf numFmtId="0" fontId="69" fillId="0" borderId="0" xfId="0" applyFont="1">
      <alignment vertical="center"/>
    </xf>
    <xf numFmtId="0" fontId="0" fillId="9" borderId="1" xfId="0" applyFill="1" applyBorder="1">
      <alignment vertical="center"/>
    </xf>
    <xf numFmtId="0" fontId="0" fillId="4" borderId="1" xfId="0" applyFill="1" applyBorder="1">
      <alignment vertical="center"/>
    </xf>
    <xf numFmtId="0" fontId="71" fillId="0" borderId="0" xfId="0" applyFont="1">
      <alignment vertical="center"/>
    </xf>
    <xf numFmtId="0" fontId="47" fillId="8"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vertical="center" wrapText="1"/>
      <protection locked="0"/>
    </xf>
    <xf numFmtId="0" fontId="47" fillId="9" borderId="24" xfId="0" applyFont="1" applyFill="1" applyBorder="1" applyAlignment="1" applyProtection="1">
      <alignment horizontal="left" vertical="center" wrapText="1"/>
      <protection locked="0"/>
    </xf>
    <xf numFmtId="0" fontId="47" fillId="9" borderId="42" xfId="0" applyFont="1" applyFill="1" applyBorder="1" applyAlignment="1" applyProtection="1">
      <alignment horizontal="left" vertical="center" wrapText="1"/>
      <protection locked="0"/>
    </xf>
    <xf numFmtId="0" fontId="47" fillId="0" borderId="16" xfId="0" applyFont="1" applyBorder="1" applyAlignment="1" applyProtection="1">
      <alignment horizontal="left" vertical="center" wrapText="1"/>
      <protection locked="0"/>
    </xf>
    <xf numFmtId="0" fontId="47" fillId="0" borderId="16" xfId="0" applyFont="1" applyBorder="1" applyAlignment="1" applyProtection="1">
      <alignment horizontal="right" vertical="center"/>
      <protection locked="0"/>
    </xf>
    <xf numFmtId="0" fontId="47" fillId="0" borderId="0" xfId="0" applyFont="1" applyAlignment="1" applyProtection="1">
      <alignment horizontal="left" vertical="center" wrapText="1"/>
      <protection locked="0"/>
    </xf>
    <xf numFmtId="0" fontId="47" fillId="0" borderId="0" xfId="0" applyFont="1" applyAlignment="1" applyProtection="1">
      <alignment horizontal="right" vertical="center"/>
      <protection locked="0"/>
    </xf>
    <xf numFmtId="0" fontId="63" fillId="0" borderId="1" xfId="0" applyFont="1" applyBorder="1" applyAlignment="1">
      <alignment horizontal="center" vertical="center" wrapText="1"/>
    </xf>
    <xf numFmtId="0" fontId="4" fillId="0" borderId="1" xfId="0" applyFont="1" applyBorder="1" applyAlignment="1">
      <alignment horizontal="center" vertical="center"/>
    </xf>
    <xf numFmtId="3" fontId="4" fillId="4" borderId="2" xfId="0" applyNumberFormat="1" applyFont="1" applyFill="1" applyBorder="1" applyAlignment="1">
      <alignment vertical="center" shrinkToFit="1"/>
    </xf>
    <xf numFmtId="3" fontId="4" fillId="4" borderId="1" xfId="0" applyNumberFormat="1" applyFont="1" applyFill="1" applyBorder="1" applyAlignment="1">
      <alignment vertical="center" wrapText="1"/>
    </xf>
    <xf numFmtId="3" fontId="11" fillId="7" borderId="9" xfId="0" applyNumberFormat="1" applyFont="1" applyFill="1" applyBorder="1" applyAlignment="1">
      <alignment horizontal="center" vertical="center" wrapText="1" shrinkToFit="1"/>
    </xf>
    <xf numFmtId="3" fontId="11" fillId="7" borderId="3" xfId="0" applyNumberFormat="1" applyFont="1" applyFill="1" applyBorder="1" applyAlignment="1">
      <alignment vertical="center" wrapText="1" shrinkToFit="1"/>
    </xf>
    <xf numFmtId="0" fontId="29" fillId="4" borderId="42" xfId="0" applyFont="1" applyFill="1" applyBorder="1" applyAlignment="1" applyProtection="1">
      <alignment vertical="center" wrapText="1"/>
      <protection locked="0"/>
    </xf>
    <xf numFmtId="3" fontId="10" fillId="4" borderId="1" xfId="3" applyNumberFormat="1" applyFont="1" applyFill="1" applyBorder="1" applyAlignment="1" applyProtection="1">
      <alignment vertical="center" shrinkToFit="1"/>
    </xf>
    <xf numFmtId="3" fontId="9" fillId="7" borderId="1" xfId="0" applyNumberFormat="1" applyFont="1" applyFill="1" applyBorder="1" applyAlignment="1">
      <alignment horizontal="center" vertical="center" wrapText="1"/>
    </xf>
    <xf numFmtId="3" fontId="3" fillId="4" borderId="1" xfId="0" applyNumberFormat="1" applyFont="1" applyFill="1" applyBorder="1" applyProtection="1">
      <alignment vertical="center"/>
      <protection locked="0"/>
    </xf>
    <xf numFmtId="183" fontId="9" fillId="4" borderId="7" xfId="0" applyNumberFormat="1" applyFont="1" applyFill="1" applyBorder="1" applyAlignment="1" applyProtection="1">
      <alignment horizontal="right" vertical="center"/>
      <protection locked="0"/>
    </xf>
    <xf numFmtId="183" fontId="10" fillId="4" borderId="1" xfId="0" applyNumberFormat="1" applyFont="1" applyFill="1" applyBorder="1" applyAlignment="1" applyProtection="1">
      <alignment horizontal="right" vertical="center"/>
      <protection locked="0"/>
    </xf>
    <xf numFmtId="0" fontId="4" fillId="0" borderId="1" xfId="0" applyFont="1" applyBorder="1" applyAlignment="1">
      <alignment horizontal="center" vertical="center" wrapText="1"/>
    </xf>
    <xf numFmtId="3" fontId="47" fillId="9" borderId="1" xfId="0" applyNumberFormat="1" applyFont="1" applyFill="1" applyBorder="1" applyAlignment="1" applyProtection="1">
      <alignment horizontal="right" vertical="center"/>
      <protection locked="0"/>
    </xf>
    <xf numFmtId="3" fontId="47" fillId="9" borderId="24" xfId="0" applyNumberFormat="1" applyFont="1" applyFill="1" applyBorder="1" applyAlignment="1" applyProtection="1">
      <alignment horizontal="right" vertical="center"/>
      <protection locked="0"/>
    </xf>
    <xf numFmtId="3" fontId="47" fillId="9" borderId="1" xfId="0" applyNumberFormat="1" applyFont="1" applyFill="1" applyBorder="1" applyAlignment="1" applyProtection="1">
      <alignment vertical="center" wrapText="1"/>
      <protection locked="0"/>
    </xf>
    <xf numFmtId="3" fontId="47" fillId="9" borderId="24" xfId="0" applyNumberFormat="1" applyFont="1" applyFill="1" applyBorder="1" applyAlignment="1" applyProtection="1">
      <alignment vertical="center" wrapText="1"/>
      <protection locked="0"/>
    </xf>
    <xf numFmtId="3" fontId="47" fillId="0" borderId="24" xfId="0" applyNumberFormat="1" applyFont="1" applyBorder="1">
      <alignment vertical="center"/>
    </xf>
    <xf numFmtId="3" fontId="47" fillId="9" borderId="1" xfId="0" applyNumberFormat="1" applyFont="1" applyFill="1" applyBorder="1" applyAlignment="1" applyProtection="1">
      <alignment horizontal="right" vertical="center" wrapText="1"/>
      <protection locked="0"/>
    </xf>
    <xf numFmtId="3" fontId="47" fillId="9" borderId="7" xfId="0" applyNumberFormat="1" applyFont="1" applyFill="1" applyBorder="1" applyAlignment="1" applyProtection="1">
      <alignment horizontal="right" vertical="center"/>
      <protection locked="0"/>
    </xf>
    <xf numFmtId="3" fontId="47" fillId="9" borderId="42" xfId="0" applyNumberFormat="1" applyFont="1" applyFill="1" applyBorder="1" applyAlignment="1" applyProtection="1">
      <alignment horizontal="right" vertical="center"/>
      <protection locked="0"/>
    </xf>
    <xf numFmtId="3" fontId="47" fillId="4" borderId="1" xfId="0" applyNumberFormat="1" applyFont="1" applyFill="1" applyBorder="1" applyAlignment="1" applyProtection="1">
      <alignment horizontal="right" vertical="center"/>
      <protection locked="0"/>
    </xf>
    <xf numFmtId="3" fontId="50" fillId="7" borderId="9" xfId="0" applyNumberFormat="1" applyFont="1" applyFill="1" applyBorder="1" applyAlignment="1">
      <alignment horizontal="center" vertical="center" wrapText="1"/>
    </xf>
    <xf numFmtId="3" fontId="73" fillId="9" borderId="2" xfId="0" applyNumberFormat="1" applyFont="1" applyFill="1" applyBorder="1" applyAlignment="1" applyProtection="1">
      <alignment horizontal="center" vertical="center"/>
      <protection locked="0"/>
    </xf>
    <xf numFmtId="3" fontId="50" fillId="0" borderId="24" xfId="0" applyNumberFormat="1" applyFont="1" applyBorder="1" applyAlignment="1">
      <alignment horizontal="center" vertical="center"/>
    </xf>
    <xf numFmtId="3" fontId="50" fillId="7" borderId="3" xfId="0" applyNumberFormat="1" applyFont="1" applyFill="1" applyBorder="1" applyAlignment="1">
      <alignment vertical="center" wrapText="1"/>
    </xf>
    <xf numFmtId="3" fontId="73" fillId="9" borderId="2" xfId="0" applyNumberFormat="1" applyFont="1" applyFill="1" applyBorder="1" applyAlignment="1" applyProtection="1">
      <alignment vertical="center" shrinkToFit="1"/>
      <protection locked="0"/>
    </xf>
    <xf numFmtId="3" fontId="50" fillId="0" borderId="36" xfId="0" applyNumberFormat="1" applyFont="1" applyBorder="1">
      <alignment vertical="center"/>
    </xf>
    <xf numFmtId="3" fontId="50" fillId="7" borderId="3" xfId="0" applyNumberFormat="1" applyFont="1" applyFill="1" applyBorder="1" applyAlignment="1">
      <alignment vertical="center" shrinkToFit="1"/>
    </xf>
    <xf numFmtId="3" fontId="73" fillId="0" borderId="41" xfId="0" applyNumberFormat="1" applyFont="1" applyBorder="1" applyAlignment="1" applyProtection="1">
      <alignment vertical="center" shrinkToFit="1"/>
      <protection locked="0"/>
    </xf>
    <xf numFmtId="3" fontId="73" fillId="0" borderId="13" xfId="0" applyNumberFormat="1" applyFont="1" applyBorder="1" applyAlignment="1" applyProtection="1">
      <alignment vertical="center" shrinkToFit="1"/>
      <protection locked="0"/>
    </xf>
    <xf numFmtId="3" fontId="4" fillId="4" borderId="1" xfId="0" applyNumberFormat="1" applyFont="1" applyFill="1" applyBorder="1" applyAlignment="1">
      <alignment horizontal="right" vertical="center" shrinkToFit="1"/>
    </xf>
    <xf numFmtId="0" fontId="74" fillId="0" borderId="16" xfId="0" applyFont="1" applyBorder="1">
      <alignment vertical="center"/>
    </xf>
    <xf numFmtId="0" fontId="74" fillId="0" borderId="0" xfId="0" applyFont="1">
      <alignment vertical="center"/>
    </xf>
    <xf numFmtId="0" fontId="73" fillId="0" borderId="1" xfId="0" applyFont="1" applyBorder="1" applyAlignment="1">
      <alignment horizontal="center" vertical="center" wrapText="1"/>
    </xf>
    <xf numFmtId="3" fontId="75" fillId="0" borderId="3" xfId="0" applyNumberFormat="1" applyFont="1" applyBorder="1" applyAlignment="1">
      <alignment horizontal="center" vertical="center" wrapText="1"/>
    </xf>
    <xf numFmtId="3" fontId="3" fillId="6" borderId="1" xfId="0" applyNumberFormat="1" applyFont="1" applyFill="1" applyBorder="1" applyAlignment="1">
      <alignment vertical="center" wrapText="1"/>
    </xf>
    <xf numFmtId="3" fontId="74" fillId="0" borderId="16" xfId="0" applyNumberFormat="1" applyFont="1" applyBorder="1">
      <alignment vertical="center"/>
    </xf>
    <xf numFmtId="3" fontId="74" fillId="0" borderId="0" xfId="0" applyNumberFormat="1" applyFont="1">
      <alignment vertical="center"/>
    </xf>
    <xf numFmtId="3" fontId="3" fillId="0" borderId="17" xfId="0" applyNumberFormat="1" applyFont="1" applyBorder="1" applyAlignment="1">
      <alignment horizontal="right" vertical="center"/>
    </xf>
    <xf numFmtId="3" fontId="3" fillId="0" borderId="0" xfId="0" applyNumberFormat="1" applyFont="1" applyAlignment="1">
      <alignment horizontal="right" vertical="center"/>
    </xf>
    <xf numFmtId="3" fontId="75" fillId="0" borderId="1" xfId="0" applyNumberFormat="1" applyFont="1" applyBorder="1" applyAlignment="1">
      <alignment horizontal="center" vertical="center" wrapText="1"/>
    </xf>
    <xf numFmtId="3" fontId="3" fillId="6" borderId="1" xfId="0" applyNumberFormat="1" applyFont="1" applyFill="1" applyBorder="1" applyAlignment="1">
      <alignment horizontal="center" vertical="center" wrapText="1"/>
    </xf>
    <xf numFmtId="3" fontId="3" fillId="0" borderId="0" xfId="0" applyNumberFormat="1" applyFont="1" applyAlignment="1">
      <alignment horizontal="center" vertical="center"/>
    </xf>
    <xf numFmtId="3" fontId="68" fillId="0" borderId="0" xfId="0" applyNumberFormat="1" applyFont="1" applyAlignment="1">
      <alignment horizontal="center" vertical="center" wrapText="1"/>
    </xf>
    <xf numFmtId="3" fontId="3" fillId="0" borderId="17" xfId="0" applyNumberFormat="1" applyFont="1" applyBorder="1" applyAlignment="1">
      <alignment horizontal="center" vertical="center"/>
    </xf>
    <xf numFmtId="3" fontId="73" fillId="0" borderId="1" xfId="0" applyNumberFormat="1" applyFont="1" applyBorder="1" applyAlignment="1">
      <alignment horizontal="center" vertical="center"/>
    </xf>
    <xf numFmtId="3" fontId="74" fillId="0" borderId="16" xfId="0" applyNumberFormat="1" applyFont="1" applyBorder="1" applyAlignment="1">
      <alignment horizontal="center" vertical="center"/>
    </xf>
    <xf numFmtId="3" fontId="74" fillId="0" borderId="0" xfId="0" applyNumberFormat="1" applyFont="1" applyAlignment="1">
      <alignment horizontal="center" vertical="center"/>
    </xf>
    <xf numFmtId="3" fontId="73" fillId="0" borderId="1" xfId="0" applyNumberFormat="1" applyFont="1" applyBorder="1" applyAlignment="1">
      <alignment horizontal="center" vertical="center" wrapText="1"/>
    </xf>
    <xf numFmtId="3" fontId="50"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xf>
    <xf numFmtId="3" fontId="50" fillId="0" borderId="16" xfId="0" applyNumberFormat="1" applyFont="1" applyBorder="1" applyAlignment="1">
      <alignment horizontal="center" vertical="center"/>
    </xf>
    <xf numFmtId="3" fontId="3" fillId="0" borderId="19" xfId="0" applyNumberFormat="1" applyFont="1" applyBorder="1">
      <alignment vertical="center"/>
    </xf>
    <xf numFmtId="3" fontId="3" fillId="0" borderId="21" xfId="0" applyNumberFormat="1" applyFont="1" applyBorder="1">
      <alignment vertical="center"/>
    </xf>
    <xf numFmtId="3" fontId="3" fillId="0" borderId="23" xfId="0" applyNumberFormat="1" applyFont="1" applyBorder="1">
      <alignment vertical="center"/>
    </xf>
    <xf numFmtId="0" fontId="3" fillId="0" borderId="0" xfId="0" applyFont="1" applyAlignment="1">
      <alignment horizontal="center" vertical="center"/>
    </xf>
    <xf numFmtId="0" fontId="68" fillId="0" borderId="0" xfId="0" applyFont="1" applyAlignment="1">
      <alignment horizontal="left" vertical="center" wrapText="1"/>
    </xf>
    <xf numFmtId="0" fontId="68" fillId="0" borderId="0" xfId="0" applyFont="1" applyAlignment="1">
      <alignment vertical="center" wrapText="1"/>
    </xf>
    <xf numFmtId="3" fontId="68" fillId="0" borderId="0" xfId="0" applyNumberFormat="1" applyFont="1" applyAlignment="1">
      <alignment horizontal="left" vertical="center" wrapText="1"/>
    </xf>
    <xf numFmtId="0" fontId="68" fillId="0" borderId="0" xfId="0" applyFont="1" applyAlignment="1">
      <alignment horizontal="center" vertical="center" wrapText="1"/>
    </xf>
    <xf numFmtId="0" fontId="3" fillId="0" borderId="17" xfId="0" applyFont="1" applyBorder="1" applyAlignment="1">
      <alignment horizontal="center" vertical="center"/>
    </xf>
    <xf numFmtId="0" fontId="3" fillId="0" borderId="19" xfId="0" applyFont="1" applyBorder="1">
      <alignment vertical="center"/>
    </xf>
    <xf numFmtId="0" fontId="3" fillId="0" borderId="21" xfId="0" applyFont="1" applyBorder="1">
      <alignment vertical="center"/>
    </xf>
    <xf numFmtId="0" fontId="73" fillId="0" borderId="1" xfId="0" applyFont="1" applyBorder="1" applyAlignment="1">
      <alignment horizontal="center" vertical="center"/>
    </xf>
    <xf numFmtId="3" fontId="73" fillId="0" borderId="7" xfId="0" applyNumberFormat="1" applyFont="1" applyBorder="1" applyAlignment="1">
      <alignment horizontal="center" vertical="center" wrapText="1"/>
    </xf>
    <xf numFmtId="3" fontId="73" fillId="0" borderId="3" xfId="0" applyNumberFormat="1" applyFont="1" applyBorder="1" applyAlignment="1">
      <alignment horizontal="center" vertical="center" wrapText="1"/>
    </xf>
    <xf numFmtId="0" fontId="50" fillId="0" borderId="12" xfId="0" applyFont="1" applyBorder="1" applyAlignment="1">
      <alignment vertical="center" wrapText="1"/>
    </xf>
    <xf numFmtId="0" fontId="50" fillId="7" borderId="2" xfId="0" applyFont="1" applyFill="1" applyBorder="1" applyAlignment="1">
      <alignment vertical="center" wrapText="1"/>
    </xf>
    <xf numFmtId="0" fontId="50" fillId="7" borderId="9" xfId="0" applyFont="1" applyFill="1" applyBorder="1" applyAlignment="1">
      <alignment horizontal="center" vertical="center" wrapText="1"/>
    </xf>
    <xf numFmtId="0" fontId="50" fillId="7" borderId="2" xfId="0" applyFont="1" applyFill="1" applyBorder="1" applyAlignment="1">
      <alignment horizontal="center" vertical="center"/>
    </xf>
    <xf numFmtId="0" fontId="50" fillId="7" borderId="3" xfId="0" applyFont="1" applyFill="1" applyBorder="1" applyAlignment="1">
      <alignment horizontal="center" vertical="center"/>
    </xf>
    <xf numFmtId="0" fontId="50" fillId="7" borderId="1" xfId="0" applyFont="1" applyFill="1" applyBorder="1" applyAlignment="1">
      <alignment horizontal="center" vertical="center"/>
    </xf>
    <xf numFmtId="0" fontId="73" fillId="9" borderId="24" xfId="0" applyFont="1" applyFill="1" applyBorder="1" applyAlignment="1" applyProtection="1">
      <alignment vertical="center" wrapText="1"/>
      <protection locked="0"/>
    </xf>
    <xf numFmtId="0" fontId="73" fillId="9" borderId="24" xfId="0" applyFont="1" applyFill="1" applyBorder="1" applyAlignment="1" applyProtection="1">
      <alignment horizontal="left" vertical="center" wrapText="1"/>
      <protection locked="0"/>
    </xf>
    <xf numFmtId="0" fontId="73" fillId="9" borderId="24" xfId="0" applyFont="1" applyFill="1" applyBorder="1" applyAlignment="1" applyProtection="1">
      <alignment horizontal="center" vertical="center" wrapText="1"/>
      <protection locked="0"/>
    </xf>
    <xf numFmtId="0" fontId="73" fillId="9" borderId="24" xfId="0" applyFont="1" applyFill="1" applyBorder="1" applyAlignment="1" applyProtection="1">
      <alignment horizontal="center" vertical="center"/>
      <protection locked="0"/>
    </xf>
    <xf numFmtId="0" fontId="73" fillId="4" borderId="24" xfId="0" applyFont="1" applyFill="1" applyBorder="1" applyAlignment="1" applyProtection="1">
      <alignment horizontal="center" vertical="center" wrapText="1"/>
      <protection locked="0"/>
    </xf>
    <xf numFmtId="0" fontId="3" fillId="0" borderId="21" xfId="0" applyFont="1" applyBorder="1" applyProtection="1">
      <alignment vertical="center"/>
      <protection locked="0"/>
    </xf>
    <xf numFmtId="0" fontId="73" fillId="4" borderId="24" xfId="0" applyFont="1" applyFill="1" applyBorder="1" applyAlignment="1" applyProtection="1">
      <alignment vertical="center" wrapText="1"/>
      <protection locked="0"/>
    </xf>
    <xf numFmtId="0" fontId="73" fillId="9" borderId="1" xfId="0" applyFont="1" applyFill="1" applyBorder="1" applyAlignment="1" applyProtection="1">
      <alignment vertical="center" wrapText="1"/>
      <protection locked="0"/>
    </xf>
    <xf numFmtId="0" fontId="73" fillId="9" borderId="1" xfId="0" applyFont="1" applyFill="1" applyBorder="1" applyAlignment="1" applyProtection="1">
      <alignment horizontal="left" vertical="center" wrapText="1"/>
      <protection locked="0"/>
    </xf>
    <xf numFmtId="0" fontId="73" fillId="9" borderId="1" xfId="0" applyFont="1" applyFill="1" applyBorder="1" applyAlignment="1" applyProtection="1">
      <alignment horizontal="center" vertical="center" wrapText="1"/>
      <protection locked="0"/>
    </xf>
    <xf numFmtId="0" fontId="73" fillId="9" borderId="1" xfId="0" applyFont="1" applyFill="1" applyBorder="1" applyAlignment="1" applyProtection="1">
      <alignment horizontal="center" vertical="center"/>
      <protection locked="0"/>
    </xf>
    <xf numFmtId="55" fontId="73" fillId="9" borderId="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protection locked="0"/>
    </xf>
    <xf numFmtId="0" fontId="73" fillId="4" borderId="1" xfId="0" applyFont="1" applyFill="1" applyBorder="1" applyAlignment="1" applyProtection="1">
      <alignment vertical="center" wrapText="1"/>
      <protection locked="0"/>
    </xf>
    <xf numFmtId="0" fontId="73" fillId="9" borderId="3" xfId="0" applyFont="1" applyFill="1" applyBorder="1" applyAlignment="1" applyProtection="1">
      <alignment horizontal="center" vertical="center" wrapText="1"/>
      <protection locked="0"/>
    </xf>
    <xf numFmtId="0" fontId="50" fillId="0" borderId="3" xfId="0" applyFont="1" applyBorder="1" applyAlignment="1">
      <alignment vertical="center" wrapText="1"/>
    </xf>
    <xf numFmtId="0" fontId="50" fillId="7" borderId="1" xfId="0" applyFont="1" applyFill="1" applyBorder="1">
      <alignment vertical="center"/>
    </xf>
    <xf numFmtId="0" fontId="73" fillId="9" borderId="37" xfId="0" applyFont="1" applyFill="1" applyBorder="1" applyAlignment="1" applyProtection="1">
      <alignment horizontal="center" vertical="center" wrapText="1"/>
      <protection locked="0"/>
    </xf>
    <xf numFmtId="3" fontId="50" fillId="7" borderId="3" xfId="0" applyNumberFormat="1" applyFont="1" applyFill="1" applyBorder="1" applyAlignment="1">
      <alignment horizontal="center" vertical="center" shrinkToFit="1"/>
    </xf>
    <xf numFmtId="3" fontId="50" fillId="7" borderId="1" xfId="0" applyNumberFormat="1" applyFont="1" applyFill="1" applyBorder="1" applyAlignment="1">
      <alignment horizontal="left" vertical="center" shrinkToFit="1"/>
    </xf>
    <xf numFmtId="3" fontId="50" fillId="7" borderId="1" xfId="0" applyNumberFormat="1" applyFont="1" applyFill="1" applyBorder="1" applyAlignment="1">
      <alignment vertical="center" shrinkToFit="1"/>
    </xf>
    <xf numFmtId="0" fontId="50" fillId="0" borderId="24" xfId="0" applyFont="1" applyBorder="1" applyAlignment="1">
      <alignment vertical="center" wrapText="1"/>
    </xf>
    <xf numFmtId="0" fontId="50" fillId="0" borderId="24" xfId="0" applyFont="1" applyBorder="1" applyAlignment="1">
      <alignment horizontal="center" vertical="center" wrapText="1"/>
    </xf>
    <xf numFmtId="0" fontId="50" fillId="0" borderId="24" xfId="0" applyFont="1" applyBorder="1" applyAlignment="1">
      <alignment horizontal="center" vertical="center"/>
    </xf>
    <xf numFmtId="3" fontId="4" fillId="0" borderId="36" xfId="0" applyNumberFormat="1" applyFont="1" applyBorder="1" applyAlignment="1">
      <alignment horizontal="center" vertical="center" wrapText="1"/>
    </xf>
    <xf numFmtId="0" fontId="50" fillId="0" borderId="37" xfId="0" applyFont="1" applyBorder="1" applyAlignment="1">
      <alignment horizontal="center" vertical="center" wrapText="1"/>
    </xf>
    <xf numFmtId="0" fontId="74" fillId="0" borderId="16"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lignment vertical="center"/>
    </xf>
    <xf numFmtId="0" fontId="74" fillId="0" borderId="0" xfId="0" applyFont="1" applyAlignment="1">
      <alignment horizontal="center" vertical="center"/>
    </xf>
    <xf numFmtId="0" fontId="50" fillId="0" borderId="17" xfId="0" applyFont="1" applyBorder="1">
      <alignment vertical="center"/>
    </xf>
    <xf numFmtId="0" fontId="76" fillId="0" borderId="20" xfId="0" applyFont="1" applyBorder="1">
      <alignment vertical="center"/>
    </xf>
    <xf numFmtId="0" fontId="76" fillId="0" borderId="0" xfId="0" applyFont="1">
      <alignment vertical="center"/>
    </xf>
    <xf numFmtId="0" fontId="73" fillId="0" borderId="9" xfId="0" applyFont="1" applyBorder="1" applyAlignment="1">
      <alignment horizontal="center" vertical="center" wrapText="1"/>
    </xf>
    <xf numFmtId="0" fontId="65" fillId="0" borderId="1" xfId="0" applyFont="1" applyBorder="1" applyAlignment="1">
      <alignment horizontal="center" vertical="center" wrapText="1"/>
    </xf>
    <xf numFmtId="178" fontId="50" fillId="0" borderId="1" xfId="0" applyNumberFormat="1" applyFont="1" applyBorder="1" applyAlignment="1">
      <alignment horizontal="center" vertical="center" wrapText="1" shrinkToFit="1"/>
    </xf>
    <xf numFmtId="0" fontId="4" fillId="0" borderId="24" xfId="0" applyFont="1" applyBorder="1" applyAlignment="1">
      <alignment horizontal="center" vertical="center" wrapText="1"/>
    </xf>
    <xf numFmtId="3" fontId="75" fillId="0" borderId="7" xfId="0" applyNumberFormat="1" applyFont="1" applyBorder="1" applyAlignment="1">
      <alignment horizontal="center" vertical="center" wrapText="1"/>
    </xf>
    <xf numFmtId="3" fontId="3" fillId="0" borderId="1" xfId="0" applyNumberFormat="1" applyFont="1" applyBorder="1" applyAlignment="1">
      <alignment vertical="center" wrapText="1"/>
    </xf>
    <xf numFmtId="0" fontId="50" fillId="0" borderId="34" xfId="0" applyFon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lignment vertical="center"/>
    </xf>
    <xf numFmtId="0" fontId="50" fillId="0" borderId="23" xfId="0" applyFont="1" applyBorder="1">
      <alignment vertical="center"/>
    </xf>
    <xf numFmtId="0" fontId="30" fillId="0" borderId="21" xfId="0" applyFont="1" applyBorder="1">
      <alignment vertical="center"/>
    </xf>
    <xf numFmtId="3" fontId="3" fillId="0" borderId="20" xfId="0" applyNumberFormat="1" applyFont="1" applyBorder="1">
      <alignment vertical="center"/>
    </xf>
    <xf numFmtId="0" fontId="68" fillId="0" borderId="9" xfId="0" applyFont="1" applyBorder="1">
      <alignment vertical="center"/>
    </xf>
    <xf numFmtId="0" fontId="50" fillId="0" borderId="10" xfId="0" applyFont="1" applyBorder="1" applyAlignment="1">
      <alignment horizontal="left" vertical="center"/>
    </xf>
    <xf numFmtId="0" fontId="73" fillId="0" borderId="13" xfId="0" applyFont="1" applyBorder="1" applyProtection="1">
      <alignment vertical="center"/>
      <protection locked="0"/>
    </xf>
    <xf numFmtId="0" fontId="50" fillId="0" borderId="10" xfId="0" applyFont="1" applyBorder="1">
      <alignment vertical="center"/>
    </xf>
    <xf numFmtId="178" fontId="50" fillId="0" borderId="1" xfId="0" applyNumberFormat="1" applyFont="1" applyBorder="1" applyAlignment="1">
      <alignment horizontal="center" vertical="center" shrinkToFit="1"/>
    </xf>
    <xf numFmtId="0" fontId="73" fillId="0" borderId="15" xfId="0" applyFont="1" applyBorder="1">
      <alignment vertical="center"/>
    </xf>
    <xf numFmtId="0" fontId="73" fillId="0" borderId="15" xfId="0" applyFont="1" applyBorder="1" applyProtection="1">
      <alignment vertical="center"/>
      <protection locked="0"/>
    </xf>
    <xf numFmtId="0" fontId="50" fillId="0" borderId="15" xfId="0" applyFont="1" applyBorder="1">
      <alignment vertical="center"/>
    </xf>
    <xf numFmtId="0" fontId="77" fillId="0" borderId="17" xfId="0" applyFont="1" applyBorder="1">
      <alignment vertical="center"/>
    </xf>
    <xf numFmtId="0" fontId="73" fillId="0" borderId="15" xfId="0" applyFont="1" applyBorder="1" applyAlignment="1" applyProtection="1">
      <alignment vertical="center" wrapText="1"/>
      <protection locked="0"/>
    </xf>
    <xf numFmtId="0" fontId="68" fillId="0" borderId="2" xfId="0" applyFont="1" applyBorder="1">
      <alignment vertical="center"/>
    </xf>
    <xf numFmtId="0" fontId="78" fillId="0" borderId="2" xfId="0" applyFont="1" applyBorder="1">
      <alignment vertical="center"/>
    </xf>
    <xf numFmtId="0" fontId="3" fillId="9" borderId="9" xfId="0" applyFont="1" applyFill="1" applyBorder="1" applyProtection="1">
      <alignment vertical="center"/>
      <protection locked="0"/>
    </xf>
    <xf numFmtId="3" fontId="3" fillId="9" borderId="9" xfId="0" applyNumberFormat="1" applyFont="1" applyFill="1" applyBorder="1" applyAlignment="1" applyProtection="1">
      <alignment horizontal="center" vertical="center"/>
      <protection locked="0"/>
    </xf>
    <xf numFmtId="3" fontId="3" fillId="9" borderId="9" xfId="0" applyNumberFormat="1" applyFont="1" applyFill="1" applyBorder="1" applyAlignment="1" applyProtection="1">
      <alignment horizontal="right" vertical="center"/>
      <protection locked="0"/>
    </xf>
    <xf numFmtId="0" fontId="3" fillId="9" borderId="9" xfId="0" applyFont="1" applyFill="1" applyBorder="1" applyAlignment="1" applyProtection="1">
      <alignment horizontal="center" vertical="center"/>
      <protection locked="0"/>
    </xf>
    <xf numFmtId="3" fontId="3" fillId="9" borderId="9" xfId="0" applyNumberFormat="1" applyFont="1" applyFill="1" applyBorder="1" applyProtection="1">
      <alignment vertical="center"/>
      <protection locked="0"/>
    </xf>
    <xf numFmtId="3" fontId="3" fillId="9" borderId="3" xfId="0" applyNumberFormat="1" applyFont="1" applyFill="1" applyBorder="1" applyProtection="1">
      <alignment vertical="center"/>
      <protection locked="0"/>
    </xf>
    <xf numFmtId="0" fontId="4" fillId="9" borderId="2" xfId="0" applyFont="1" applyFill="1" applyBorder="1" applyProtection="1">
      <alignment vertical="center"/>
      <protection locked="0"/>
    </xf>
    <xf numFmtId="3" fontId="9" fillId="0" borderId="7" xfId="0" applyNumberFormat="1" applyFont="1" applyBorder="1" applyAlignment="1">
      <alignment horizontal="center" vertical="center" wrapText="1"/>
    </xf>
    <xf numFmtId="9" fontId="0" fillId="0" borderId="24" xfId="0" applyNumberFormat="1" applyBorder="1" applyAlignment="1" applyProtection="1">
      <alignment horizontal="center" vertical="center"/>
      <protection locked="0"/>
    </xf>
    <xf numFmtId="0" fontId="17" fillId="0" borderId="7" xfId="0" applyFont="1" applyBorder="1">
      <alignment vertical="center"/>
    </xf>
    <xf numFmtId="0" fontId="53" fillId="0" borderId="7" xfId="0" applyFont="1" applyBorder="1">
      <alignment vertical="center"/>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3" fontId="4" fillId="4" borderId="1" xfId="0" applyNumberFormat="1" applyFont="1" applyFill="1" applyBorder="1" applyProtection="1">
      <alignment vertical="center"/>
      <protection locked="0"/>
    </xf>
    <xf numFmtId="3" fontId="4" fillId="0" borderId="24" xfId="0" applyNumberFormat="1" applyFont="1" applyBorder="1" applyProtection="1">
      <alignment vertical="center"/>
      <protection locked="0"/>
    </xf>
    <xf numFmtId="3" fontId="9" fillId="7" borderId="9" xfId="0" applyNumberFormat="1" applyFont="1" applyFill="1" applyBorder="1" applyAlignment="1">
      <alignment vertical="center" wrapText="1"/>
    </xf>
    <xf numFmtId="0" fontId="10" fillId="3" borderId="24" xfId="0" applyFont="1" applyFill="1" applyBorder="1" applyAlignment="1">
      <alignment vertical="center" wrapText="1"/>
    </xf>
    <xf numFmtId="0" fontId="9" fillId="0" borderId="16" xfId="0" applyFont="1" applyBorder="1" applyAlignment="1">
      <alignment vertical="center" wrapText="1"/>
    </xf>
    <xf numFmtId="0" fontId="0" fillId="0" borderId="19" xfId="0" applyBorder="1" applyProtection="1">
      <alignment vertical="center"/>
      <protection locked="0"/>
    </xf>
    <xf numFmtId="0" fontId="0" fillId="0" borderId="23" xfId="0" applyBorder="1" applyProtection="1">
      <alignment vertical="center"/>
      <protection locked="0"/>
    </xf>
    <xf numFmtId="0" fontId="47" fillId="9" borderId="1" xfId="0" applyFont="1" applyFill="1" applyBorder="1" applyAlignment="1" applyProtection="1">
      <alignment horizontal="center" vertical="center" wrapText="1"/>
      <protection locked="0"/>
    </xf>
    <xf numFmtId="3" fontId="47" fillId="4" borderId="1" xfId="0" applyNumberFormat="1" applyFont="1" applyFill="1" applyBorder="1" applyAlignment="1" applyProtection="1">
      <alignment horizontal="right" vertical="center" wrapText="1"/>
      <protection locked="0"/>
    </xf>
    <xf numFmtId="0" fontId="55" fillId="0" borderId="1" xfId="0" applyFont="1" applyBorder="1" applyAlignment="1">
      <alignment horizontal="center" vertical="center" wrapText="1"/>
    </xf>
    <xf numFmtId="38" fontId="45" fillId="0" borderId="1" xfId="3" applyFont="1" applyBorder="1" applyAlignment="1" applyProtection="1">
      <alignment horizontal="center" vertical="center" wrapText="1"/>
    </xf>
    <xf numFmtId="0" fontId="9" fillId="0" borderId="2"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10" fillId="0" borderId="0" xfId="0" applyFont="1" applyAlignment="1" applyProtection="1">
      <alignment vertical="center" wrapText="1"/>
      <protection locked="0"/>
    </xf>
    <xf numFmtId="0" fontId="10" fillId="0" borderId="16" xfId="0" applyFont="1" applyBorder="1" applyAlignment="1" applyProtection="1">
      <protection locked="0"/>
    </xf>
    <xf numFmtId="0" fontId="9" fillId="0" borderId="18" xfId="0" applyFont="1" applyBorder="1" applyProtection="1">
      <alignment vertical="center"/>
      <protection locked="0"/>
    </xf>
    <xf numFmtId="0" fontId="9" fillId="0" borderId="17" xfId="0" applyFont="1" applyBorder="1" applyAlignment="1" applyProtection="1">
      <alignment horizontal="left" vertical="center"/>
      <protection locked="0"/>
    </xf>
    <xf numFmtId="0" fontId="9" fillId="0" borderId="17" xfId="0" applyFont="1" applyBorder="1" applyProtection="1">
      <alignment vertical="center"/>
      <protection locked="0"/>
    </xf>
    <xf numFmtId="0" fontId="9" fillId="0" borderId="22" xfId="0" applyFont="1" applyBorder="1" applyProtection="1">
      <alignment vertical="center"/>
      <protection locked="0"/>
    </xf>
    <xf numFmtId="0" fontId="9" fillId="0" borderId="16" xfId="0" applyFont="1" applyBorder="1" applyProtection="1">
      <alignment vertical="center"/>
      <protection locked="0"/>
    </xf>
    <xf numFmtId="0" fontId="13" fillId="0" borderId="28" xfId="0" applyFont="1" applyBorder="1" applyProtection="1">
      <alignment vertical="center"/>
      <protection locked="0"/>
    </xf>
    <xf numFmtId="0" fontId="23" fillId="0" borderId="12"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2" fillId="0" borderId="29" xfId="0" applyFont="1" applyBorder="1" applyProtection="1">
      <alignment vertical="center"/>
      <protection locked="0"/>
    </xf>
    <xf numFmtId="0" fontId="12" fillId="0" borderId="0" xfId="0" applyFont="1" applyProtection="1">
      <alignment vertical="center"/>
      <protection locked="0"/>
    </xf>
    <xf numFmtId="0" fontId="25" fillId="0" borderId="15" xfId="0" applyFont="1" applyBorder="1" applyAlignment="1" applyProtection="1">
      <alignment horizontal="center" vertical="center" wrapText="1"/>
      <protection locked="0"/>
    </xf>
    <xf numFmtId="0" fontId="17" fillId="0" borderId="6"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13" fillId="0" borderId="13"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14" fillId="0" borderId="28" xfId="0" applyFont="1" applyBorder="1" applyProtection="1">
      <alignment vertical="center"/>
      <protection locked="0"/>
    </xf>
    <xf numFmtId="179" fontId="0" fillId="0" borderId="1" xfId="0" applyNumberFormat="1" applyBorder="1">
      <alignment vertical="center"/>
    </xf>
    <xf numFmtId="0" fontId="13" fillId="6" borderId="1" xfId="0" applyFont="1" applyFill="1" applyBorder="1">
      <alignment vertical="center"/>
    </xf>
    <xf numFmtId="3" fontId="5" fillId="6" borderId="1" xfId="0" applyNumberFormat="1" applyFont="1" applyFill="1" applyBorder="1">
      <alignment vertical="center"/>
    </xf>
    <xf numFmtId="0" fontId="5" fillId="6" borderId="1" xfId="0" applyFont="1" applyFill="1" applyBorder="1">
      <alignment vertical="center"/>
    </xf>
    <xf numFmtId="176" fontId="12" fillId="0" borderId="1" xfId="0" applyNumberFormat="1" applyFont="1" applyBorder="1">
      <alignment vertical="center"/>
    </xf>
    <xf numFmtId="0" fontId="32" fillId="0" borderId="0" xfId="0" applyFont="1" applyAlignment="1">
      <alignment horizontal="left" vertical="center"/>
    </xf>
    <xf numFmtId="0" fontId="9" fillId="0" borderId="32" xfId="0" applyFont="1" applyBorder="1">
      <alignment vertical="center"/>
    </xf>
    <xf numFmtId="182" fontId="42" fillId="0" borderId="1" xfId="0" applyNumberFormat="1" applyFont="1" applyBorder="1" applyProtection="1">
      <alignment vertical="center"/>
      <protection locked="0"/>
    </xf>
    <xf numFmtId="0" fontId="0" fillId="8" borderId="1" xfId="0" applyFill="1" applyBorder="1">
      <alignment vertical="center"/>
    </xf>
    <xf numFmtId="0" fontId="0" fillId="8" borderId="1" xfId="0" applyFill="1" applyBorder="1" applyAlignment="1">
      <alignment horizontal="center" vertical="center"/>
    </xf>
    <xf numFmtId="0" fontId="31" fillId="5" borderId="24" xfId="0" applyFont="1" applyFill="1" applyBorder="1" applyAlignment="1">
      <alignment horizontal="center" vertical="center" wrapText="1"/>
    </xf>
    <xf numFmtId="0" fontId="31" fillId="9" borderId="24" xfId="0" applyFont="1" applyFill="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73" fillId="0" borderId="2" xfId="0" applyFont="1" applyBorder="1" applyAlignment="1">
      <alignment horizontal="center" vertical="center" wrapText="1"/>
    </xf>
    <xf numFmtId="3" fontId="73" fillId="4" borderId="7" xfId="0" applyNumberFormat="1" applyFont="1" applyFill="1" applyBorder="1" applyAlignment="1">
      <alignment vertical="center" shrinkToFit="1"/>
    </xf>
    <xf numFmtId="3" fontId="50" fillId="7" borderId="2" xfId="0" applyNumberFormat="1" applyFont="1" applyFill="1" applyBorder="1" applyAlignment="1">
      <alignment horizontal="center" vertical="center" shrinkToFit="1"/>
    </xf>
    <xf numFmtId="3" fontId="73" fillId="9" borderId="24" xfId="0" applyNumberFormat="1" applyFont="1" applyFill="1" applyBorder="1" applyAlignment="1" applyProtection="1">
      <alignment horizontal="center" vertical="center"/>
      <protection locked="0"/>
    </xf>
    <xf numFmtId="3" fontId="73" fillId="9" borderId="36" xfId="0" applyNumberFormat="1" applyFont="1" applyFill="1" applyBorder="1" applyProtection="1">
      <alignment vertical="center"/>
      <protection locked="0"/>
    </xf>
    <xf numFmtId="3" fontId="73" fillId="9" borderId="1" xfId="0" applyNumberFormat="1" applyFont="1" applyFill="1" applyBorder="1" applyAlignment="1" applyProtection="1">
      <alignment horizontal="center" vertical="center"/>
      <protection locked="0"/>
    </xf>
    <xf numFmtId="3" fontId="73" fillId="9" borderId="2" xfId="0" applyNumberFormat="1" applyFont="1" applyFill="1" applyBorder="1" applyProtection="1">
      <alignment vertical="center"/>
      <protection locked="0"/>
    </xf>
    <xf numFmtId="3" fontId="50" fillId="7" borderId="2" xfId="0" applyNumberFormat="1" applyFont="1" applyFill="1" applyBorder="1" applyAlignment="1">
      <alignment horizontal="center" vertical="center" wrapText="1" shrinkToFit="1"/>
    </xf>
    <xf numFmtId="3" fontId="73" fillId="9" borderId="14" xfId="0" applyNumberFormat="1" applyFont="1" applyFill="1" applyBorder="1" applyAlignment="1" applyProtection="1">
      <alignment horizontal="center" vertical="center"/>
      <protection locked="0"/>
    </xf>
    <xf numFmtId="3" fontId="73" fillId="6" borderId="1" xfId="0" applyNumberFormat="1" applyFont="1" applyFill="1" applyBorder="1" applyAlignment="1" applyProtection="1">
      <alignment horizontal="center" vertical="center" wrapText="1"/>
      <protection locked="0"/>
    </xf>
    <xf numFmtId="3" fontId="73" fillId="6" borderId="1" xfId="0" applyNumberFormat="1" applyFont="1" applyFill="1" applyBorder="1" applyAlignment="1" applyProtection="1">
      <alignment vertical="center" wrapText="1"/>
      <protection locked="0"/>
    </xf>
    <xf numFmtId="3" fontId="73" fillId="9" borderId="24" xfId="0" applyNumberFormat="1" applyFont="1" applyFill="1" applyBorder="1" applyAlignment="1" applyProtection="1">
      <alignment vertical="center" wrapText="1"/>
      <protection locked="0"/>
    </xf>
    <xf numFmtId="176" fontId="73" fillId="9" borderId="24" xfId="0" applyNumberFormat="1" applyFont="1" applyFill="1" applyBorder="1" applyAlignment="1" applyProtection="1">
      <alignment vertical="center" wrapText="1"/>
      <protection locked="0"/>
    </xf>
    <xf numFmtId="3" fontId="73" fillId="9" borderId="1" xfId="0" applyNumberFormat="1" applyFont="1" applyFill="1" applyBorder="1" applyAlignment="1" applyProtection="1">
      <alignment vertical="center" wrapText="1"/>
      <protection locked="0"/>
    </xf>
    <xf numFmtId="176" fontId="73" fillId="9" borderId="1" xfId="0" applyNumberFormat="1" applyFont="1" applyFill="1" applyBorder="1" applyAlignment="1" applyProtection="1">
      <alignment vertical="center" wrapText="1"/>
      <protection locked="0"/>
    </xf>
    <xf numFmtId="3" fontId="73" fillId="9" borderId="24" xfId="0" applyNumberFormat="1" applyFont="1" applyFill="1" applyBorder="1" applyProtection="1">
      <alignment vertical="center"/>
      <protection locked="0"/>
    </xf>
    <xf numFmtId="3" fontId="73" fillId="9" borderId="1" xfId="0" applyNumberFormat="1" applyFont="1" applyFill="1" applyBorder="1" applyProtection="1">
      <alignment vertical="center"/>
      <protection locked="0"/>
    </xf>
    <xf numFmtId="3" fontId="73" fillId="9" borderId="1" xfId="0" applyNumberFormat="1" applyFont="1" applyFill="1" applyBorder="1" applyAlignment="1" applyProtection="1">
      <alignment vertical="center" shrinkToFit="1"/>
      <protection locked="0"/>
    </xf>
    <xf numFmtId="38" fontId="29" fillId="9" borderId="24" xfId="3" applyFont="1" applyFill="1" applyBorder="1" applyProtection="1">
      <alignment vertical="center"/>
      <protection locked="0"/>
    </xf>
    <xf numFmtId="38" fontId="29" fillId="9" borderId="1" xfId="3" applyFont="1" applyFill="1" applyBorder="1" applyAlignment="1" applyProtection="1">
      <alignment vertical="center" wrapText="1"/>
      <protection locked="0"/>
    </xf>
    <xf numFmtId="38" fontId="11" fillId="4" borderId="1" xfId="3" applyFont="1" applyFill="1" applyBorder="1" applyAlignment="1" applyProtection="1">
      <alignment vertical="center" shrinkToFit="1"/>
      <protection locked="0"/>
    </xf>
    <xf numFmtId="0" fontId="79" fillId="0" borderId="13" xfId="0" applyFont="1" applyBorder="1" applyAlignment="1">
      <alignment horizontal="center" vertical="center" wrapText="1"/>
    </xf>
    <xf numFmtId="0" fontId="79" fillId="0" borderId="13" xfId="0" applyFont="1" applyBorder="1" applyAlignment="1">
      <alignment horizontal="center" vertical="top" wrapText="1"/>
    </xf>
    <xf numFmtId="3" fontId="0" fillId="0" borderId="7" xfId="0" applyNumberFormat="1" applyBorder="1" applyAlignment="1">
      <alignment horizontal="center" vertical="center" wrapText="1"/>
    </xf>
    <xf numFmtId="0" fontId="0" fillId="0" borderId="13" xfId="0" applyBorder="1" applyAlignment="1">
      <alignment horizontal="center" vertical="center"/>
    </xf>
    <xf numFmtId="3" fontId="30" fillId="0" borderId="1" xfId="0" applyNumberFormat="1" applyFont="1" applyBorder="1" applyAlignment="1">
      <alignment horizontal="center" vertical="center" wrapText="1"/>
    </xf>
    <xf numFmtId="0" fontId="81" fillId="0" borderId="0" xfId="0" applyFont="1">
      <alignment vertical="center"/>
    </xf>
    <xf numFmtId="183" fontId="69" fillId="0" borderId="0" xfId="0" applyNumberFormat="1" applyFont="1">
      <alignment vertical="center"/>
    </xf>
    <xf numFmtId="183" fontId="0" fillId="0" borderId="0" xfId="0" applyNumberFormat="1">
      <alignment vertical="center"/>
    </xf>
    <xf numFmtId="0" fontId="68" fillId="0" borderId="0" xfId="0" applyFont="1" applyAlignment="1">
      <alignment horizontal="left" vertical="center" shrinkToFit="1"/>
    </xf>
    <xf numFmtId="0" fontId="68" fillId="0" borderId="0" xfId="0" applyFont="1" applyAlignment="1">
      <alignment vertical="center" shrinkToFit="1"/>
    </xf>
    <xf numFmtId="0" fontId="83" fillId="0" borderId="0" xfId="0" applyFont="1" applyAlignment="1">
      <alignment horizontal="center" vertical="center" wrapText="1"/>
    </xf>
    <xf numFmtId="0" fontId="83" fillId="0" borderId="0" xfId="0" applyFont="1">
      <alignment vertical="center"/>
    </xf>
    <xf numFmtId="0" fontId="83" fillId="0" borderId="0" xfId="0" applyFont="1" applyAlignment="1">
      <alignment horizontal="center" vertical="center"/>
    </xf>
    <xf numFmtId="38" fontId="83" fillId="0" borderId="0" xfId="3" applyFont="1" applyFill="1" applyBorder="1">
      <alignment vertical="center"/>
    </xf>
    <xf numFmtId="183" fontId="83" fillId="0" borderId="0" xfId="3" applyNumberFormat="1" applyFont="1" applyFill="1" applyBorder="1">
      <alignment vertical="center"/>
    </xf>
    <xf numFmtId="38" fontId="83" fillId="0" borderId="0" xfId="3" applyFont="1" applyFill="1" applyBorder="1" applyAlignment="1">
      <alignment vertical="center" shrinkToFit="1"/>
    </xf>
    <xf numFmtId="12" fontId="83" fillId="0" borderId="0" xfId="0" applyNumberFormat="1" applyFont="1" applyAlignment="1">
      <alignment horizontal="center" vertical="center"/>
    </xf>
    <xf numFmtId="0" fontId="83" fillId="0" borderId="0" xfId="0" applyFont="1" applyAlignment="1">
      <alignment horizontal="center" vertical="center" shrinkToFit="1"/>
    </xf>
    <xf numFmtId="185" fontId="83" fillId="0" borderId="0" xfId="0" applyNumberFormat="1" applyFont="1">
      <alignment vertical="center"/>
    </xf>
    <xf numFmtId="185" fontId="83" fillId="0" borderId="0" xfId="0" applyNumberFormat="1" applyFont="1" applyAlignment="1">
      <alignment horizontal="center" vertical="center"/>
    </xf>
    <xf numFmtId="183" fontId="83" fillId="0" borderId="0" xfId="0" applyNumberFormat="1" applyFont="1">
      <alignment vertical="center"/>
    </xf>
    <xf numFmtId="0" fontId="85" fillId="0" borderId="0" xfId="0" applyFont="1" applyAlignment="1">
      <alignment horizontal="left" vertical="center"/>
    </xf>
    <xf numFmtId="9" fontId="85" fillId="0" borderId="0" xfId="10" applyFont="1">
      <alignment vertical="center"/>
    </xf>
    <xf numFmtId="9" fontId="0" fillId="0" borderId="0" xfId="10" applyFont="1">
      <alignment vertical="center"/>
    </xf>
    <xf numFmtId="0" fontId="85" fillId="0" borderId="0" xfId="0" applyFont="1">
      <alignment vertical="center"/>
    </xf>
    <xf numFmtId="3" fontId="3" fillId="0" borderId="8" xfId="0" applyNumberFormat="1" applyFont="1" applyBorder="1">
      <alignment vertical="center"/>
    </xf>
    <xf numFmtId="0" fontId="3" fillId="9" borderId="24" xfId="0" applyFont="1" applyFill="1" applyBorder="1" applyAlignment="1" applyProtection="1">
      <alignment vertical="center" wrapText="1"/>
      <protection locked="0"/>
    </xf>
    <xf numFmtId="3" fontId="3" fillId="9" borderId="24" xfId="0" applyNumberFormat="1" applyFont="1" applyFill="1" applyBorder="1" applyProtection="1">
      <alignment vertical="center"/>
      <protection locked="0"/>
    </xf>
    <xf numFmtId="3" fontId="3" fillId="9" borderId="1" xfId="0" applyNumberFormat="1" applyFont="1" applyFill="1" applyBorder="1" applyAlignment="1" applyProtection="1">
      <alignment horizontal="center" vertical="center"/>
      <protection locked="0"/>
    </xf>
    <xf numFmtId="3" fontId="3" fillId="7" borderId="1" xfId="0" applyNumberFormat="1" applyFont="1" applyFill="1" applyBorder="1" applyAlignment="1">
      <alignment horizontal="center" vertical="center"/>
    </xf>
    <xf numFmtId="3" fontId="3" fillId="7" borderId="9" xfId="0" applyNumberFormat="1" applyFont="1" applyFill="1" applyBorder="1" applyAlignment="1">
      <alignment horizontal="center" vertical="center"/>
    </xf>
    <xf numFmtId="3" fontId="3" fillId="7" borderId="24" xfId="0" applyNumberFormat="1" applyFont="1" applyFill="1" applyBorder="1" applyAlignment="1">
      <alignment horizontal="center" vertical="center"/>
    </xf>
    <xf numFmtId="0" fontId="83" fillId="11" borderId="1" xfId="0" applyFont="1" applyFill="1" applyBorder="1" applyAlignment="1">
      <alignment horizontal="center" vertical="center" wrapText="1"/>
    </xf>
    <xf numFmtId="0" fontId="83" fillId="11" borderId="9" xfId="0" applyFont="1" applyFill="1" applyBorder="1" applyAlignment="1">
      <alignment horizontal="center" vertical="center" wrapText="1"/>
    </xf>
    <xf numFmtId="0" fontId="80" fillId="0" borderId="1" xfId="0" applyFont="1" applyBorder="1" applyAlignment="1">
      <alignment horizontal="center" vertical="center" wrapText="1"/>
    </xf>
    <xf numFmtId="0" fontId="17" fillId="0" borderId="8" xfId="0" applyFont="1" applyBorder="1" applyAlignment="1">
      <alignment horizontal="center" vertical="center" wrapText="1"/>
    </xf>
    <xf numFmtId="0" fontId="17" fillId="6" borderId="9" xfId="0" applyFont="1" applyFill="1" applyBorder="1" applyAlignment="1">
      <alignment horizontal="center" vertical="center" wrapText="1"/>
    </xf>
    <xf numFmtId="0" fontId="23" fillId="9" borderId="24" xfId="0" applyFont="1" applyFill="1" applyBorder="1" applyAlignment="1" applyProtection="1">
      <alignment horizontal="center" vertical="center" wrapText="1"/>
      <protection locked="0"/>
    </xf>
    <xf numFmtId="0" fontId="23" fillId="9" borderId="1" xfId="0" applyFont="1" applyFill="1" applyBorder="1" applyAlignment="1" applyProtection="1">
      <alignment horizontal="center" vertical="center" wrapText="1"/>
      <protection locked="0"/>
    </xf>
    <xf numFmtId="0" fontId="23" fillId="9" borderId="7" xfId="0" applyFont="1" applyFill="1" applyBorder="1" applyAlignment="1" applyProtection="1">
      <alignment horizontal="center" vertical="center" wrapText="1"/>
      <protection locked="0"/>
    </xf>
    <xf numFmtId="183" fontId="9" fillId="4" borderId="37" xfId="0" applyNumberFormat="1" applyFont="1" applyFill="1" applyBorder="1" applyAlignment="1" applyProtection="1">
      <alignment horizontal="center" vertical="center"/>
      <protection locked="0"/>
    </xf>
    <xf numFmtId="183" fontId="10" fillId="3" borderId="37" xfId="0" applyNumberFormat="1" applyFont="1" applyFill="1" applyBorder="1">
      <alignment vertical="center"/>
    </xf>
    <xf numFmtId="0" fontId="9" fillId="7" borderId="1" xfId="0" applyFont="1" applyFill="1" applyBorder="1" applyAlignment="1">
      <alignment vertical="center" wrapText="1"/>
    </xf>
    <xf numFmtId="0" fontId="86" fillId="0" borderId="0" xfId="0" applyFont="1">
      <alignment vertical="center"/>
    </xf>
    <xf numFmtId="0" fontId="3" fillId="0" borderId="0" xfId="1">
      <alignment vertical="center"/>
    </xf>
    <xf numFmtId="49" fontId="3" fillId="0" borderId="1" xfId="1" applyNumberFormat="1" applyBorder="1">
      <alignment vertical="center"/>
    </xf>
    <xf numFmtId="0" fontId="3" fillId="10" borderId="1" xfId="1" applyFill="1" applyBorder="1">
      <alignment vertical="center"/>
    </xf>
    <xf numFmtId="49" fontId="3" fillId="10" borderId="1" xfId="1" applyNumberFormat="1" applyFill="1" applyBorder="1">
      <alignment vertical="center"/>
    </xf>
    <xf numFmtId="49" fontId="89" fillId="10" borderId="1" xfId="11" applyNumberFormat="1" applyFont="1" applyFill="1" applyBorder="1" applyAlignment="1">
      <alignment vertical="center"/>
    </xf>
    <xf numFmtId="49" fontId="3" fillId="0" borderId="0" xfId="1" applyNumberFormat="1">
      <alignment vertical="center"/>
    </xf>
    <xf numFmtId="0" fontId="90" fillId="0" borderId="0" xfId="0" applyFont="1" applyAlignment="1">
      <alignment horizontal="left" vertical="center" wrapText="1" indent="2"/>
    </xf>
    <xf numFmtId="0" fontId="90" fillId="0" borderId="0" xfId="0" applyFont="1">
      <alignment vertical="center"/>
    </xf>
    <xf numFmtId="58" fontId="3" fillId="0" borderId="0" xfId="1" applyNumberFormat="1">
      <alignment vertical="center"/>
    </xf>
    <xf numFmtId="3" fontId="3" fillId="0" borderId="0" xfId="1" applyNumberFormat="1">
      <alignment vertical="center"/>
    </xf>
    <xf numFmtId="186" fontId="3" fillId="0" borderId="0" xfId="1" applyNumberFormat="1">
      <alignment vertical="center"/>
    </xf>
    <xf numFmtId="49" fontId="3" fillId="12" borderId="1" xfId="1" applyNumberFormat="1" applyFill="1" applyBorder="1" applyAlignment="1">
      <alignment vertical="center" wrapText="1"/>
    </xf>
    <xf numFmtId="49" fontId="3" fillId="12" borderId="1" xfId="1" applyNumberFormat="1" applyFill="1" applyBorder="1">
      <alignment vertical="center"/>
    </xf>
    <xf numFmtId="0" fontId="0" fillId="0" borderId="0" xfId="0" applyAlignment="1"/>
    <xf numFmtId="187" fontId="0" fillId="0" borderId="0" xfId="0" applyNumberFormat="1" applyAlignment="1"/>
    <xf numFmtId="188" fontId="0" fillId="0" borderId="0" xfId="0" applyNumberFormat="1" applyAlignment="1"/>
    <xf numFmtId="0" fontId="91" fillId="0" borderId="0" xfId="12" applyFont="1" applyAlignment="1">
      <alignment horizontal="left" vertical="center"/>
    </xf>
    <xf numFmtId="0" fontId="12" fillId="0" borderId="0" xfId="12" applyFont="1">
      <alignment vertical="center"/>
    </xf>
    <xf numFmtId="189" fontId="12" fillId="0" borderId="0" xfId="12" applyNumberFormat="1" applyFont="1">
      <alignment vertical="center"/>
    </xf>
    <xf numFmtId="188" fontId="12" fillId="0" borderId="0" xfId="12" applyNumberFormat="1" applyFont="1">
      <alignment vertical="center"/>
    </xf>
    <xf numFmtId="0" fontId="12" fillId="0" borderId="0" xfId="12" applyFont="1" applyAlignment="1">
      <alignment horizontal="left" vertical="center" indent="1"/>
    </xf>
    <xf numFmtId="0" fontId="91" fillId="0" borderId="0" xfId="12" applyFont="1">
      <alignment vertical="center"/>
    </xf>
    <xf numFmtId="189" fontId="91" fillId="0" borderId="0" xfId="12" applyNumberFormat="1" applyFont="1">
      <alignment vertical="center"/>
    </xf>
    <xf numFmtId="188" fontId="91" fillId="0" borderId="0" xfId="12" applyNumberFormat="1" applyFont="1">
      <alignment vertical="center"/>
    </xf>
    <xf numFmtId="0" fontId="15" fillId="13" borderId="51" xfId="13" applyFont="1" applyFill="1" applyBorder="1" applyAlignment="1">
      <alignment horizontal="center" vertical="center" shrinkToFit="1"/>
    </xf>
    <xf numFmtId="188" fontId="12" fillId="14" borderId="79" xfId="13" applyNumberFormat="1" applyFont="1" applyFill="1" applyBorder="1" applyAlignment="1">
      <alignment vertical="center"/>
    </xf>
    <xf numFmtId="188" fontId="12" fillId="14" borderId="80" xfId="13" applyNumberFormat="1" applyFont="1" applyFill="1" applyBorder="1" applyAlignment="1">
      <alignment vertical="center"/>
    </xf>
    <xf numFmtId="188" fontId="12" fillId="14" borderId="81" xfId="13" applyNumberFormat="1" applyFont="1" applyFill="1" applyBorder="1" applyAlignment="1">
      <alignment vertical="center"/>
    </xf>
    <xf numFmtId="187" fontId="12" fillId="14" borderId="82" xfId="13" applyNumberFormat="1" applyFont="1" applyFill="1" applyBorder="1" applyAlignment="1">
      <alignment vertical="center"/>
    </xf>
    <xf numFmtId="0" fontId="12" fillId="14" borderId="83" xfId="13" applyFont="1" applyFill="1" applyBorder="1" applyAlignment="1">
      <alignment horizontal="left" vertical="center"/>
    </xf>
    <xf numFmtId="188" fontId="12" fillId="14" borderId="84" xfId="13" applyNumberFormat="1" applyFont="1" applyFill="1" applyBorder="1" applyAlignment="1">
      <alignment vertical="center"/>
    </xf>
    <xf numFmtId="187" fontId="12" fillId="14" borderId="85" xfId="13" applyNumberFormat="1" applyFont="1" applyFill="1" applyBorder="1" applyAlignment="1">
      <alignment vertical="center"/>
    </xf>
    <xf numFmtId="0" fontId="12" fillId="14" borderId="86" xfId="13" applyFont="1" applyFill="1" applyBorder="1" applyAlignment="1">
      <alignment horizontal="left" vertical="center"/>
    </xf>
    <xf numFmtId="188" fontId="12" fillId="14" borderId="87" xfId="13" applyNumberFormat="1" applyFont="1" applyFill="1" applyBorder="1" applyAlignment="1">
      <alignment vertical="center"/>
    </xf>
    <xf numFmtId="188" fontId="12" fillId="14" borderId="88" xfId="13" applyNumberFormat="1" applyFont="1" applyFill="1" applyBorder="1" applyAlignment="1">
      <alignment vertical="center"/>
    </xf>
    <xf numFmtId="187" fontId="12" fillId="14" borderId="89" xfId="13" applyNumberFormat="1" applyFont="1" applyFill="1" applyBorder="1" applyAlignment="1">
      <alignment vertical="center"/>
    </xf>
    <xf numFmtId="0" fontId="12" fillId="14" borderId="90" xfId="13" applyFont="1" applyFill="1" applyBorder="1" applyAlignment="1">
      <alignment horizontal="left" vertical="center"/>
    </xf>
    <xf numFmtId="0" fontId="0" fillId="0" borderId="0" xfId="0" applyAlignment="1">
      <alignment shrinkToFit="1"/>
    </xf>
    <xf numFmtId="187" fontId="15" fillId="13" borderId="91" xfId="0" applyNumberFormat="1" applyFont="1" applyFill="1" applyBorder="1" applyAlignment="1">
      <alignment horizontal="center" vertical="center" shrinkToFit="1"/>
    </xf>
    <xf numFmtId="188" fontId="15" fillId="13" borderId="92" xfId="0" applyNumberFormat="1" applyFont="1" applyFill="1" applyBorder="1" applyAlignment="1">
      <alignment horizontal="center" vertical="center" shrinkToFit="1"/>
    </xf>
    <xf numFmtId="188" fontId="15" fillId="13" borderId="93" xfId="0" applyNumberFormat="1" applyFont="1" applyFill="1" applyBorder="1" applyAlignment="1">
      <alignment horizontal="center" vertical="center" shrinkToFit="1"/>
    </xf>
    <xf numFmtId="187" fontId="15" fillId="13" borderId="94" xfId="0" applyNumberFormat="1" applyFont="1" applyFill="1" applyBorder="1" applyAlignment="1">
      <alignment horizontal="center" vertical="center" shrinkToFit="1"/>
    </xf>
    <xf numFmtId="0" fontId="15" fillId="13" borderId="1" xfId="0" applyFont="1" applyFill="1" applyBorder="1" applyAlignment="1">
      <alignment horizontal="center" vertical="center" shrinkToFit="1"/>
    </xf>
    <xf numFmtId="0" fontId="92" fillId="0" borderId="0" xfId="0" applyFont="1" applyAlignment="1"/>
    <xf numFmtId="0" fontId="92" fillId="0" borderId="8" xfId="0" applyFont="1" applyBorder="1" applyAlignment="1"/>
    <xf numFmtId="0" fontId="92" fillId="0" borderId="8" xfId="13" applyFont="1" applyBorder="1"/>
    <xf numFmtId="188" fontId="0" fillId="0" borderId="0" xfId="0" applyNumberFormat="1">
      <alignment vertical="center"/>
    </xf>
    <xf numFmtId="0" fontId="15" fillId="15" borderId="75" xfId="14" applyFont="1" applyFill="1" applyBorder="1" applyAlignment="1">
      <alignment horizontal="right" vertical="center"/>
    </xf>
    <xf numFmtId="0" fontId="15" fillId="15" borderId="76" xfId="14" applyFont="1" applyFill="1" applyBorder="1" applyAlignment="1">
      <alignment horizontal="right" vertical="center"/>
    </xf>
    <xf numFmtId="188" fontId="15" fillId="15" borderId="76" xfId="14" applyNumberFormat="1" applyFont="1" applyFill="1" applyBorder="1" applyAlignment="1">
      <alignment horizontal="right" vertical="center"/>
    </xf>
    <xf numFmtId="190" fontId="12" fillId="0" borderId="79" xfId="13" applyNumberFormat="1" applyFont="1" applyBorder="1" applyAlignment="1">
      <alignment horizontal="right" vertical="center" wrapText="1"/>
    </xf>
    <xf numFmtId="190" fontId="12" fillId="0" borderId="80" xfId="14" applyNumberFormat="1" applyFont="1" applyBorder="1" applyAlignment="1">
      <alignment horizontal="right" vertical="center"/>
    </xf>
    <xf numFmtId="188" fontId="12" fillId="0" borderId="80" xfId="14" applyNumberFormat="1" applyFont="1" applyBorder="1" applyAlignment="1">
      <alignment horizontal="right" vertical="center"/>
    </xf>
    <xf numFmtId="190" fontId="12" fillId="0" borderId="80" xfId="15" applyNumberFormat="1" applyFont="1" applyBorder="1" applyAlignment="1">
      <alignment horizontal="right" vertical="center"/>
    </xf>
    <xf numFmtId="2" fontId="12" fillId="0" borderId="82" xfId="15" applyNumberFormat="1" applyFont="1" applyBorder="1" applyAlignment="1">
      <alignment horizontal="right" vertical="center"/>
    </xf>
    <xf numFmtId="0" fontId="12" fillId="0" borderId="83" xfId="16" applyFont="1" applyBorder="1" applyAlignment="1" applyProtection="1">
      <alignment vertical="center"/>
      <protection locked="0"/>
    </xf>
    <xf numFmtId="190" fontId="12" fillId="0" borderId="84" xfId="13" applyNumberFormat="1" applyFont="1" applyBorder="1" applyAlignment="1">
      <alignment horizontal="right" vertical="center" wrapText="1"/>
    </xf>
    <xf numFmtId="190" fontId="12" fillId="0" borderId="81" xfId="14" applyNumberFormat="1" applyFont="1" applyBorder="1" applyAlignment="1">
      <alignment horizontal="right" vertical="center"/>
    </xf>
    <xf numFmtId="188" fontId="12" fillId="0" borderId="81" xfId="14" applyNumberFormat="1" applyFont="1" applyBorder="1" applyAlignment="1">
      <alignment horizontal="right" vertical="center"/>
    </xf>
    <xf numFmtId="190" fontId="12" fillId="0" borderId="81" xfId="15" applyNumberFormat="1" applyFont="1" applyBorder="1" applyAlignment="1">
      <alignment horizontal="right" vertical="center"/>
    </xf>
    <xf numFmtId="2" fontId="12" fillId="0" borderId="85" xfId="15" applyNumberFormat="1" applyFont="1" applyBorder="1" applyAlignment="1">
      <alignment horizontal="right" vertical="center"/>
    </xf>
    <xf numFmtId="0" fontId="12" fillId="0" borderId="86" xfId="16" applyFont="1" applyBorder="1" applyAlignment="1" applyProtection="1">
      <alignment vertical="center"/>
      <protection locked="0"/>
    </xf>
    <xf numFmtId="0" fontId="12" fillId="0" borderId="86" xfId="16" quotePrefix="1" applyFont="1" applyBorder="1" applyAlignment="1" applyProtection="1">
      <alignment vertical="center"/>
      <protection locked="0"/>
    </xf>
    <xf numFmtId="190" fontId="12" fillId="0" borderId="87" xfId="13" applyNumberFormat="1" applyFont="1" applyBorder="1" applyAlignment="1">
      <alignment horizontal="right" vertical="center" wrapText="1"/>
    </xf>
    <xf numFmtId="190" fontId="12" fillId="0" borderId="88" xfId="14" applyNumberFormat="1" applyFont="1" applyBorder="1" applyAlignment="1">
      <alignment horizontal="right" vertical="center"/>
    </xf>
    <xf numFmtId="188" fontId="12" fillId="0" borderId="88" xfId="14" applyNumberFormat="1" applyFont="1" applyBorder="1" applyAlignment="1">
      <alignment horizontal="right" vertical="center"/>
    </xf>
    <xf numFmtId="190" fontId="12" fillId="0" borderId="88" xfId="15" applyNumberFormat="1" applyFont="1" applyBorder="1" applyAlignment="1">
      <alignment horizontal="right" vertical="center"/>
    </xf>
    <xf numFmtId="2" fontId="12" fillId="0" borderId="89" xfId="15" applyNumberFormat="1" applyFont="1" applyBorder="1" applyAlignment="1">
      <alignment horizontal="right" vertical="center"/>
    </xf>
    <xf numFmtId="0" fontId="12" fillId="0" borderId="90" xfId="16" applyFont="1" applyBorder="1" applyAlignment="1" applyProtection="1">
      <alignment vertical="center"/>
      <protection locked="0"/>
    </xf>
    <xf numFmtId="0" fontId="12" fillId="0" borderId="0" xfId="12" applyFont="1" applyAlignment="1">
      <alignment vertical="center" shrinkToFit="1"/>
    </xf>
    <xf numFmtId="0" fontId="12" fillId="0" borderId="0" xfId="12" applyFont="1" applyAlignment="1">
      <alignment horizontal="center" vertical="center" wrapText="1" shrinkToFit="1"/>
    </xf>
    <xf numFmtId="0" fontId="15" fillId="15" borderId="95" xfId="0" applyFont="1" applyFill="1" applyBorder="1" applyAlignment="1">
      <alignment horizontal="center" vertical="center" shrinkToFit="1"/>
    </xf>
    <xf numFmtId="0" fontId="15" fillId="15" borderId="96" xfId="0" applyFont="1" applyFill="1" applyBorder="1" applyAlignment="1">
      <alignment horizontal="center" vertical="center" shrinkToFit="1"/>
    </xf>
    <xf numFmtId="188" fontId="15" fillId="15" borderId="96" xfId="0" applyNumberFormat="1" applyFont="1" applyFill="1" applyBorder="1" applyAlignment="1">
      <alignment horizontal="center" vertical="center" shrinkToFit="1"/>
    </xf>
    <xf numFmtId="0" fontId="15" fillId="15" borderId="97" xfId="0" applyFont="1" applyFill="1" applyBorder="1" applyAlignment="1">
      <alignment horizontal="center" vertical="center" shrinkToFit="1"/>
    </xf>
    <xf numFmtId="0" fontId="15" fillId="15" borderId="1" xfId="0" applyFont="1" applyFill="1" applyBorder="1" applyAlignment="1">
      <alignment horizontal="center" vertical="center" shrinkToFit="1"/>
    </xf>
    <xf numFmtId="0" fontId="95" fillId="0" borderId="8" xfId="12" applyFont="1" applyBorder="1">
      <alignment vertical="center"/>
    </xf>
    <xf numFmtId="188" fontId="95" fillId="0" borderId="8" xfId="12" applyNumberFormat="1" applyFont="1" applyBorder="1">
      <alignment vertical="center"/>
    </xf>
    <xf numFmtId="0" fontId="92" fillId="0" borderId="8" xfId="12" applyFont="1" applyBorder="1" applyAlignment="1"/>
    <xf numFmtId="0" fontId="83" fillId="0" borderId="9" xfId="0" applyFont="1" applyBorder="1" applyAlignment="1">
      <alignment horizontal="center" vertical="center" wrapText="1"/>
    </xf>
    <xf numFmtId="0" fontId="83" fillId="11" borderId="98" xfId="0" applyFont="1" applyFill="1" applyBorder="1" applyAlignment="1">
      <alignment horizontal="center" vertical="center" wrapText="1"/>
    </xf>
    <xf numFmtId="0" fontId="83" fillId="11" borderId="56" xfId="0" applyFont="1" applyFill="1" applyBorder="1" applyAlignment="1">
      <alignment horizontal="center" vertical="center" wrapText="1"/>
    </xf>
    <xf numFmtId="0" fontId="83" fillId="0" borderId="40" xfId="0" applyFont="1" applyBorder="1" applyAlignment="1">
      <alignment horizontal="center" vertical="center" wrapText="1"/>
    </xf>
    <xf numFmtId="0" fontId="83" fillId="0" borderId="99" xfId="0" applyFont="1" applyBorder="1" applyAlignment="1">
      <alignment horizontal="center" vertical="center" wrapText="1"/>
    </xf>
    <xf numFmtId="0" fontId="0" fillId="0" borderId="0" xfId="0" applyAlignment="1">
      <alignment vertical="center" shrinkToFit="1"/>
    </xf>
    <xf numFmtId="12" fontId="0" fillId="0" borderId="0" xfId="0" applyNumberFormat="1" applyAlignment="1">
      <alignment horizontal="right" vertical="center"/>
    </xf>
    <xf numFmtId="12" fontId="0" fillId="0" borderId="0" xfId="0" applyNumberFormat="1">
      <alignment vertical="center"/>
    </xf>
    <xf numFmtId="0" fontId="0" fillId="15" borderId="100" xfId="0" applyFill="1" applyBorder="1" applyAlignment="1">
      <alignment vertical="center" shrinkToFit="1"/>
    </xf>
    <xf numFmtId="0" fontId="0" fillId="15" borderId="0" xfId="0" applyFill="1" applyAlignment="1">
      <alignment vertical="center" shrinkToFit="1"/>
    </xf>
    <xf numFmtId="0" fontId="0" fillId="15" borderId="101" xfId="0" applyFill="1" applyBorder="1" applyAlignment="1">
      <alignment vertical="center" shrinkToFit="1"/>
    </xf>
    <xf numFmtId="0" fontId="0" fillId="16" borderId="100" xfId="0" applyFill="1" applyBorder="1">
      <alignment vertical="center"/>
    </xf>
    <xf numFmtId="0" fontId="0" fillId="16" borderId="0" xfId="0" applyFill="1">
      <alignment vertical="center"/>
    </xf>
    <xf numFmtId="0" fontId="0" fillId="16" borderId="101" xfId="0" applyFill="1" applyBorder="1">
      <alignment vertical="center"/>
    </xf>
    <xf numFmtId="0" fontId="0" fillId="0" borderId="100" xfId="0" applyBorder="1">
      <alignment vertical="center"/>
    </xf>
    <xf numFmtId="0" fontId="0" fillId="0" borderId="101" xfId="0" applyBorder="1">
      <alignment vertical="center"/>
    </xf>
    <xf numFmtId="0" fontId="0" fillId="0" borderId="102" xfId="0" applyBorder="1">
      <alignment vertical="center"/>
    </xf>
    <xf numFmtId="0" fontId="0" fillId="0" borderId="103" xfId="0" applyBorder="1">
      <alignment vertical="center"/>
    </xf>
    <xf numFmtId="3" fontId="0" fillId="0" borderId="6" xfId="0" applyNumberFormat="1" applyBorder="1">
      <alignment vertical="center"/>
    </xf>
    <xf numFmtId="0" fontId="4" fillId="2" borderId="1" xfId="0" applyFont="1" applyFill="1" applyBorder="1" applyAlignment="1">
      <alignment horizontal="center" vertical="center"/>
    </xf>
    <xf numFmtId="3" fontId="4" fillId="2" borderId="1" xfId="0" applyNumberFormat="1" applyFont="1" applyFill="1" applyBorder="1" applyAlignment="1">
      <alignment horizontal="center" vertical="center"/>
    </xf>
    <xf numFmtId="3" fontId="45" fillId="0" borderId="1" xfId="3" applyNumberFormat="1" applyFont="1" applyFill="1" applyBorder="1" applyAlignment="1" applyProtection="1">
      <alignment horizontal="center" vertical="center" wrapText="1"/>
    </xf>
    <xf numFmtId="3" fontId="3" fillId="4" borderId="1" xfId="0" applyNumberFormat="1" applyFont="1" applyFill="1" applyBorder="1">
      <alignment vertical="center"/>
    </xf>
    <xf numFmtId="0" fontId="68" fillId="0" borderId="61" xfId="0" applyFont="1" applyBorder="1" applyAlignment="1">
      <alignment horizontal="center" vertical="center" wrapText="1" shrinkToFit="1"/>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Border="1" applyAlignment="1" applyProtection="1">
      <alignment vertical="center" wrapText="1"/>
      <protection locked="0"/>
    </xf>
    <xf numFmtId="176" fontId="17" fillId="0" borderId="1" xfId="0" applyNumberFormat="1" applyFont="1" applyBorder="1" applyAlignment="1" applyProtection="1">
      <alignment vertical="center" wrapText="1"/>
      <protection locked="0"/>
    </xf>
    <xf numFmtId="183" fontId="17" fillId="0" borderId="1" xfId="0" applyNumberFormat="1" applyFont="1" applyBorder="1" applyAlignment="1" applyProtection="1">
      <alignment vertical="center" wrapText="1"/>
      <protection locked="0"/>
    </xf>
    <xf numFmtId="0" fontId="100" fillId="0" borderId="13" xfId="0" applyFont="1" applyBorder="1" applyAlignment="1" applyProtection="1">
      <alignment horizontal="center" vertical="center" wrapText="1"/>
      <protection locked="0"/>
    </xf>
    <xf numFmtId="0" fontId="17" fillId="0" borderId="6"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183" fontId="17" fillId="0" borderId="7" xfId="0" applyNumberFormat="1" applyFont="1" applyBorder="1" applyAlignment="1" applyProtection="1">
      <alignment vertical="center" wrapText="1"/>
      <protection locked="0"/>
    </xf>
    <xf numFmtId="0" fontId="41" fillId="0" borderId="4" xfId="0" applyFont="1" applyBorder="1" applyAlignment="1" applyProtection="1">
      <alignment vertical="center" wrapText="1"/>
      <protection locked="0"/>
    </xf>
    <xf numFmtId="0" fontId="41" fillId="0" borderId="5" xfId="0" applyFont="1" applyBorder="1" applyAlignment="1" applyProtection="1">
      <alignment vertical="center" wrapText="1"/>
      <protection locked="0"/>
    </xf>
    <xf numFmtId="3" fontId="17" fillId="0" borderId="24" xfId="0" applyNumberFormat="1" applyFont="1" applyBorder="1" applyProtection="1">
      <alignment vertical="center"/>
      <protection locked="0"/>
    </xf>
    <xf numFmtId="3" fontId="17" fillId="0" borderId="6" xfId="0" applyNumberFormat="1" applyFont="1" applyBorder="1" applyProtection="1">
      <alignment vertical="center"/>
      <protection locked="0"/>
    </xf>
    <xf numFmtId="183" fontId="40" fillId="0" borderId="1" xfId="0" applyNumberFormat="1" applyFont="1" applyBorder="1" applyProtection="1">
      <alignment vertical="center"/>
      <protection locked="0"/>
    </xf>
    <xf numFmtId="0" fontId="15" fillId="0" borderId="0" xfId="0" applyFont="1" applyAlignment="1">
      <alignment horizontal="center" vertical="center"/>
    </xf>
    <xf numFmtId="0" fontId="99" fillId="0" borderId="0" xfId="0" applyFont="1" applyAlignment="1">
      <alignment horizontal="left" vertical="center"/>
    </xf>
    <xf numFmtId="3" fontId="17" fillId="0" borderId="1" xfId="0" applyNumberFormat="1" applyFont="1" applyBorder="1" applyAlignment="1" applyProtection="1">
      <alignment vertical="center" wrapText="1"/>
      <protection locked="0"/>
    </xf>
    <xf numFmtId="0" fontId="101" fillId="0" borderId="0" xfId="0" applyFont="1">
      <alignment vertical="center"/>
    </xf>
    <xf numFmtId="0" fontId="98" fillId="0" borderId="0" xfId="0" applyFont="1">
      <alignment vertical="center"/>
    </xf>
    <xf numFmtId="0" fontId="101" fillId="0" borderId="0" xfId="0" applyFont="1" applyAlignment="1">
      <alignment horizontal="center" vertical="center"/>
    </xf>
    <xf numFmtId="0" fontId="69" fillId="0" borderId="113" xfId="0" applyFont="1" applyBorder="1">
      <alignment vertical="center"/>
    </xf>
    <xf numFmtId="0" fontId="69" fillId="0" borderId="114" xfId="0" applyFont="1" applyBorder="1">
      <alignment vertical="center"/>
    </xf>
    <xf numFmtId="0" fontId="68" fillId="0" borderId="116" xfId="0" applyFont="1" applyBorder="1" applyAlignment="1">
      <alignment horizontal="left" vertical="center" shrinkToFit="1"/>
    </xf>
    <xf numFmtId="0" fontId="0" fillId="0" borderId="116" xfId="0" applyBorder="1">
      <alignment vertical="center"/>
    </xf>
    <xf numFmtId="0" fontId="0" fillId="0" borderId="118" xfId="0" applyBorder="1">
      <alignment vertical="center"/>
    </xf>
    <xf numFmtId="0" fontId="78" fillId="0" borderId="119" xfId="0" applyFont="1" applyBorder="1" applyAlignment="1">
      <alignment horizontal="center" vertical="center"/>
    </xf>
    <xf numFmtId="38" fontId="68" fillId="0" borderId="119" xfId="0" applyNumberFormat="1" applyFont="1" applyBorder="1" applyAlignment="1">
      <alignment horizontal="center" vertical="center" shrinkToFit="1"/>
    </xf>
    <xf numFmtId="38" fontId="82" fillId="0" borderId="119" xfId="0" applyNumberFormat="1" applyFont="1" applyBorder="1" applyAlignment="1">
      <alignment horizontal="center" vertical="center" shrinkToFit="1"/>
    </xf>
    <xf numFmtId="0" fontId="78" fillId="0" borderId="62" xfId="0" applyFont="1" applyBorder="1" applyAlignment="1">
      <alignment horizontal="center" vertical="center" wrapText="1" shrinkToFit="1"/>
    </xf>
    <xf numFmtId="0" fontId="78" fillId="0" borderId="53" xfId="0" applyFont="1" applyBorder="1" applyAlignment="1">
      <alignment horizontal="center" vertical="center" wrapText="1" shrinkToFit="1"/>
    </xf>
    <xf numFmtId="0" fontId="102" fillId="0" borderId="114" xfId="0" applyFont="1" applyBorder="1">
      <alignment vertical="center"/>
    </xf>
    <xf numFmtId="0" fontId="3" fillId="0" borderId="1" xfId="0" applyFont="1" applyBorder="1" applyAlignment="1">
      <alignment vertical="center" wrapText="1"/>
    </xf>
    <xf numFmtId="3" fontId="3" fillId="0" borderId="1" xfId="0" applyNumberFormat="1" applyFont="1" applyBorder="1" applyAlignment="1">
      <alignment horizontal="center" vertical="center"/>
    </xf>
    <xf numFmtId="0" fontId="3" fillId="7" borderId="1" xfId="0" applyFont="1" applyFill="1" applyBorder="1" applyAlignment="1">
      <alignment vertical="center" wrapText="1"/>
    </xf>
    <xf numFmtId="3" fontId="3" fillId="7" borderId="1" xfId="0" applyNumberFormat="1" applyFont="1" applyFill="1" applyBorder="1">
      <alignment vertical="center"/>
    </xf>
    <xf numFmtId="0" fontId="3" fillId="0" borderId="10" xfId="0" applyFont="1" applyBorder="1">
      <alignment vertical="center"/>
    </xf>
    <xf numFmtId="0" fontId="3" fillId="0" borderId="12" xfId="0" applyFont="1" applyBorder="1" applyAlignment="1">
      <alignment vertical="center" wrapText="1"/>
    </xf>
    <xf numFmtId="0" fontId="3" fillId="0" borderId="14" xfId="0" applyFont="1" applyBorder="1">
      <alignment vertical="center"/>
    </xf>
    <xf numFmtId="0" fontId="3" fillId="0" borderId="15" xfId="0" applyFont="1" applyBorder="1" applyAlignment="1">
      <alignment horizontal="center" vertical="center" wrapText="1"/>
    </xf>
    <xf numFmtId="0" fontId="3" fillId="0" borderId="2" xfId="0" applyFont="1" applyBorder="1">
      <alignment vertical="center"/>
    </xf>
    <xf numFmtId="0" fontId="3" fillId="0" borderId="3" xfId="0" applyFont="1" applyBorder="1" applyAlignment="1">
      <alignment vertical="center" wrapText="1"/>
    </xf>
    <xf numFmtId="0" fontId="3" fillId="7" borderId="6" xfId="0" applyFont="1" applyFill="1" applyBorder="1" applyAlignment="1">
      <alignment vertical="center" wrapText="1"/>
    </xf>
    <xf numFmtId="0" fontId="3" fillId="7" borderId="10" xfId="0" applyFont="1" applyFill="1" applyBorder="1">
      <alignment vertical="center"/>
    </xf>
    <xf numFmtId="0" fontId="3" fillId="7" borderId="12" xfId="0" applyFont="1" applyFill="1" applyBorder="1" applyAlignment="1">
      <alignment vertical="center" wrapText="1"/>
    </xf>
    <xf numFmtId="0" fontId="3" fillId="7" borderId="1" xfId="0" applyFont="1" applyFill="1" applyBorder="1" applyAlignment="1">
      <alignment horizontal="center" vertical="center" wrapText="1"/>
    </xf>
    <xf numFmtId="3" fontId="3" fillId="7" borderId="1" xfId="0" applyNumberFormat="1" applyFont="1" applyFill="1" applyBorder="1" applyAlignment="1">
      <alignment horizontal="center" vertical="center" wrapText="1"/>
    </xf>
    <xf numFmtId="0" fontId="3" fillId="0" borderId="14" xfId="0" applyFont="1" applyBorder="1" applyProtection="1">
      <alignment vertical="center"/>
      <protection locked="0"/>
    </xf>
    <xf numFmtId="0" fontId="3" fillId="0" borderId="15" xfId="0"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3" fontId="3" fillId="0" borderId="0" xfId="0" applyNumberFormat="1" applyFont="1" applyProtection="1">
      <alignment vertical="center"/>
      <protection locked="0"/>
    </xf>
    <xf numFmtId="0" fontId="3" fillId="7" borderId="4" xfId="0" applyFont="1" applyFill="1" applyBorder="1">
      <alignment vertical="center"/>
    </xf>
    <xf numFmtId="0" fontId="3" fillId="7" borderId="5" xfId="0" applyFont="1" applyFill="1" applyBorder="1" applyAlignment="1">
      <alignment horizontal="center" vertical="center" wrapText="1"/>
    </xf>
    <xf numFmtId="0" fontId="3" fillId="0" borderId="121" xfId="0" applyFont="1" applyBorder="1">
      <alignment vertical="center"/>
    </xf>
    <xf numFmtId="0" fontId="3" fillId="0" borderId="106"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13" xfId="0" applyFont="1" applyBorder="1">
      <alignment vertical="center"/>
    </xf>
    <xf numFmtId="0" fontId="3" fillId="0" borderId="114" xfId="0" applyFont="1" applyBorder="1">
      <alignment vertical="center"/>
    </xf>
    <xf numFmtId="0" fontId="3" fillId="0" borderId="114" xfId="0" applyFont="1" applyBorder="1" applyAlignment="1">
      <alignment horizontal="center" vertical="center" wrapText="1"/>
    </xf>
    <xf numFmtId="0" fontId="3" fillId="0" borderId="114" xfId="0" applyFont="1" applyBorder="1" applyAlignment="1">
      <alignment vertical="center" wrapText="1"/>
    </xf>
    <xf numFmtId="3" fontId="3" fillId="0" borderId="114" xfId="0" applyNumberFormat="1" applyFont="1" applyBorder="1">
      <alignment vertical="center"/>
    </xf>
    <xf numFmtId="0" fontId="3" fillId="0" borderId="115" xfId="0" applyFont="1" applyBorder="1" applyAlignment="1">
      <alignment vertical="center" wrapText="1"/>
    </xf>
    <xf numFmtId="0" fontId="3" fillId="0" borderId="116" xfId="0" applyFont="1" applyBorder="1">
      <alignment vertical="center"/>
    </xf>
    <xf numFmtId="0" fontId="3" fillId="0" borderId="117" xfId="0" applyFont="1" applyBorder="1" applyAlignment="1">
      <alignment vertical="center" wrapText="1"/>
    </xf>
    <xf numFmtId="0" fontId="3" fillId="0" borderId="116" xfId="0" applyFont="1" applyBorder="1" applyProtection="1">
      <alignment vertical="center"/>
      <protection locked="0"/>
    </xf>
    <xf numFmtId="0" fontId="3" fillId="0" borderId="117" xfId="0" applyFont="1" applyBorder="1" applyAlignment="1" applyProtection="1">
      <alignment vertical="center" wrapText="1"/>
      <protection locked="0"/>
    </xf>
    <xf numFmtId="0" fontId="3" fillId="0" borderId="118" xfId="0" applyFont="1" applyBorder="1">
      <alignment vertical="center"/>
    </xf>
    <xf numFmtId="0" fontId="3" fillId="0" borderId="122" xfId="0" applyFont="1" applyBorder="1">
      <alignment vertical="center"/>
    </xf>
    <xf numFmtId="0" fontId="3" fillId="0" borderId="122" xfId="0" applyFont="1" applyBorder="1" applyAlignment="1">
      <alignment horizontal="center" vertical="center" wrapText="1"/>
    </xf>
    <xf numFmtId="0" fontId="3" fillId="0" borderId="119" xfId="0" applyFont="1" applyBorder="1" applyAlignment="1">
      <alignment vertical="center" wrapText="1"/>
    </xf>
    <xf numFmtId="3" fontId="3" fillId="0" borderId="119" xfId="0" applyNumberFormat="1" applyFont="1" applyBorder="1">
      <alignment vertical="center"/>
    </xf>
    <xf numFmtId="0" fontId="3" fillId="0" borderId="120" xfId="0" applyFont="1" applyBorder="1" applyAlignment="1">
      <alignment vertical="center" wrapText="1"/>
    </xf>
    <xf numFmtId="3" fontId="3" fillId="7" borderId="1" xfId="0" applyNumberFormat="1" applyFont="1" applyFill="1" applyBorder="1" applyAlignment="1">
      <alignment vertical="center" wrapText="1"/>
    </xf>
    <xf numFmtId="3" fontId="3" fillId="7" borderId="6" xfId="0" applyNumberFormat="1" applyFont="1" applyFill="1" applyBorder="1" applyAlignment="1">
      <alignment vertical="center" wrapText="1"/>
    </xf>
    <xf numFmtId="3" fontId="3" fillId="9" borderId="1" xfId="0" applyNumberFormat="1" applyFont="1" applyFill="1" applyBorder="1" applyAlignment="1" applyProtection="1">
      <alignment vertical="center" wrapText="1"/>
      <protection locked="0"/>
    </xf>
    <xf numFmtId="3" fontId="3" fillId="4" borderId="6" xfId="0" applyNumberFormat="1" applyFont="1" applyFill="1" applyBorder="1">
      <alignment vertical="center"/>
    </xf>
    <xf numFmtId="0" fontId="103" fillId="17" borderId="2" xfId="0" applyFont="1" applyFill="1" applyBorder="1" applyAlignment="1">
      <alignment horizontal="centerContinuous" vertical="center"/>
    </xf>
    <xf numFmtId="0" fontId="103" fillId="17" borderId="3" xfId="0" applyFont="1" applyFill="1" applyBorder="1" applyAlignment="1">
      <alignment horizontal="centerContinuous" vertical="center"/>
    </xf>
    <xf numFmtId="0" fontId="38" fillId="0" borderId="14" xfId="0" applyFont="1" applyBorder="1">
      <alignment vertical="center"/>
    </xf>
    <xf numFmtId="0" fontId="38" fillId="0" borderId="15" xfId="0" applyFont="1" applyBorder="1">
      <alignment vertical="center"/>
    </xf>
    <xf numFmtId="0" fontId="38" fillId="0" borderId="14" xfId="0" applyFont="1" applyBorder="1" applyAlignment="1">
      <alignment horizontal="centerContinuous" vertical="center"/>
    </xf>
    <xf numFmtId="0" fontId="38" fillId="0" borderId="15" xfId="0" applyFont="1" applyBorder="1" applyAlignment="1">
      <alignment horizontal="centerContinuous" vertical="center"/>
    </xf>
    <xf numFmtId="0" fontId="38" fillId="0" borderId="4" xfId="0" applyFont="1" applyBorder="1">
      <alignment vertical="center"/>
    </xf>
    <xf numFmtId="0" fontId="38" fillId="0" borderId="5" xfId="0" applyFont="1" applyBorder="1">
      <alignment vertical="center"/>
    </xf>
    <xf numFmtId="3" fontId="3" fillId="9" borderId="24" xfId="0" applyNumberFormat="1" applyFont="1" applyFill="1" applyBorder="1" applyAlignment="1" applyProtection="1">
      <alignment vertical="center" wrapText="1"/>
      <protection locked="0"/>
    </xf>
    <xf numFmtId="0" fontId="3" fillId="9" borderId="24" xfId="0" applyFont="1" applyFill="1" applyBorder="1" applyAlignment="1">
      <alignment vertical="center" wrapText="1"/>
    </xf>
    <xf numFmtId="3" fontId="3" fillId="9" borderId="24" xfId="0" applyNumberFormat="1" applyFont="1" applyFill="1" applyBorder="1" applyAlignment="1">
      <alignment vertical="center" wrapText="1"/>
    </xf>
    <xf numFmtId="3" fontId="3" fillId="9" borderId="24" xfId="0" applyNumberFormat="1" applyFont="1" applyFill="1" applyBorder="1">
      <alignment vertical="center"/>
    </xf>
    <xf numFmtId="0" fontId="3" fillId="7" borderId="1" xfId="0" applyFont="1" applyFill="1" applyBorder="1" applyAlignment="1">
      <alignment horizontal="center" vertical="center"/>
    </xf>
    <xf numFmtId="0" fontId="3" fillId="9" borderId="1" xfId="0" applyFont="1" applyFill="1" applyBorder="1" applyAlignment="1">
      <alignment vertical="center" wrapText="1"/>
    </xf>
    <xf numFmtId="0" fontId="9" fillId="0" borderId="7" xfId="0" applyFont="1" applyBorder="1" applyAlignment="1">
      <alignment horizontal="center" vertical="center"/>
    </xf>
    <xf numFmtId="0" fontId="41" fillId="0" borderId="2" xfId="0" applyFont="1" applyBorder="1" applyAlignment="1" applyProtection="1">
      <alignment vertical="center" wrapText="1"/>
      <protection locked="0"/>
    </xf>
    <xf numFmtId="0" fontId="41" fillId="0" borderId="9" xfId="0" applyFont="1" applyBorder="1" applyAlignment="1" applyProtection="1">
      <alignment vertical="center" wrapText="1"/>
      <protection locked="0"/>
    </xf>
    <xf numFmtId="0" fontId="41" fillId="0" borderId="3" xfId="0" applyFont="1" applyBorder="1" applyAlignment="1" applyProtection="1">
      <alignment vertical="center" wrapText="1"/>
      <protection locked="0"/>
    </xf>
    <xf numFmtId="0" fontId="17" fillId="0" borderId="13"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17" fillId="0" borderId="7" xfId="0" applyFont="1" applyBorder="1" applyAlignment="1">
      <alignment horizontal="center" vertical="center"/>
    </xf>
    <xf numFmtId="0" fontId="17" fillId="6" borderId="2" xfId="0" applyFont="1" applyFill="1" applyBorder="1" applyAlignment="1">
      <alignment horizontal="center" vertical="center" wrapText="1"/>
    </xf>
    <xf numFmtId="0" fontId="53" fillId="0" borderId="6" xfId="0" applyFont="1" applyBorder="1" applyAlignment="1" applyProtection="1">
      <alignment horizontal="center" vertical="center" wrapText="1"/>
      <protection locked="0"/>
    </xf>
    <xf numFmtId="0" fontId="9" fillId="0" borderId="6" xfId="0" applyFont="1" applyBorder="1" applyAlignment="1">
      <alignment horizontal="center" vertical="top" wrapText="1"/>
    </xf>
    <xf numFmtId="0" fontId="9" fillId="6" borderId="2" xfId="0" applyFont="1" applyFill="1" applyBorder="1" applyAlignment="1">
      <alignment horizontal="center" vertical="center" wrapText="1"/>
    </xf>
    <xf numFmtId="0" fontId="10" fillId="0" borderId="24" xfId="0" applyFont="1" applyBorder="1" applyAlignment="1">
      <alignment horizontal="center" vertical="center" wrapText="1"/>
    </xf>
    <xf numFmtId="177" fontId="9" fillId="0" borderId="0" xfId="0" applyNumberFormat="1" applyFont="1">
      <alignment vertical="center"/>
    </xf>
    <xf numFmtId="0" fontId="99" fillId="0" borderId="0" xfId="0" applyFont="1">
      <alignment vertical="center"/>
    </xf>
    <xf numFmtId="0" fontId="100" fillId="0" borderId="0" xfId="0" applyFont="1" applyProtection="1">
      <alignment vertical="center"/>
      <protection locked="0"/>
    </xf>
    <xf numFmtId="0" fontId="14" fillId="0" borderId="0" xfId="0" applyFont="1" applyProtection="1">
      <alignment vertical="center"/>
      <protection locked="0"/>
    </xf>
    <xf numFmtId="38" fontId="83" fillId="4" borderId="1" xfId="3" applyFont="1" applyFill="1" applyBorder="1">
      <alignment vertical="center"/>
    </xf>
    <xf numFmtId="0" fontId="68" fillId="4" borderId="64" xfId="0" applyFont="1" applyFill="1" applyBorder="1" applyAlignment="1">
      <alignment horizontal="center" vertical="center" shrinkToFit="1"/>
    </xf>
    <xf numFmtId="0" fontId="83" fillId="3" borderId="24" xfId="0" applyFont="1" applyFill="1" applyBorder="1" applyAlignment="1">
      <alignment horizontal="center" vertical="center"/>
    </xf>
    <xf numFmtId="0" fontId="83" fillId="3" borderId="24" xfId="0" applyFont="1" applyFill="1" applyBorder="1">
      <alignment vertical="center"/>
    </xf>
    <xf numFmtId="183" fontId="68" fillId="0" borderId="0" xfId="0" applyNumberFormat="1" applyFont="1" applyAlignment="1">
      <alignment vertical="center" shrinkToFit="1"/>
    </xf>
    <xf numFmtId="183" fontId="68" fillId="0" borderId="116" xfId="0" applyNumberFormat="1" applyFont="1" applyBorder="1" applyAlignment="1">
      <alignment vertical="center" shrinkToFit="1"/>
    </xf>
    <xf numFmtId="183" fontId="0" fillId="0" borderId="116" xfId="0" applyNumberFormat="1" applyBorder="1">
      <alignment vertical="center"/>
    </xf>
    <xf numFmtId="183" fontId="69" fillId="0" borderId="116" xfId="0" applyNumberFormat="1" applyFont="1" applyBorder="1">
      <alignment vertical="center"/>
    </xf>
    <xf numFmtId="183" fontId="0" fillId="0" borderId="8" xfId="0" applyNumberFormat="1" applyBorder="1">
      <alignment vertical="center"/>
    </xf>
    <xf numFmtId="0" fontId="83" fillId="0" borderId="1" xfId="0" applyFont="1" applyBorder="1" applyAlignment="1">
      <alignment horizontal="center" vertical="center" wrapText="1"/>
    </xf>
    <xf numFmtId="38" fontId="68" fillId="4" borderId="5" xfId="0" applyNumberFormat="1" applyFont="1" applyFill="1" applyBorder="1" applyAlignment="1">
      <alignment horizontal="center" vertical="center" shrinkToFit="1"/>
    </xf>
    <xf numFmtId="38" fontId="68" fillId="4" borderId="69" xfId="0" applyNumberFormat="1" applyFont="1" applyFill="1" applyBorder="1" applyAlignment="1">
      <alignment horizontal="center" vertical="center" shrinkToFit="1"/>
    </xf>
    <xf numFmtId="38" fontId="68" fillId="4" borderId="68" xfId="0" applyNumberFormat="1" applyFont="1" applyFill="1" applyBorder="1" applyAlignment="1">
      <alignment horizontal="center" vertical="center" shrinkToFit="1"/>
    </xf>
    <xf numFmtId="38" fontId="68" fillId="4" borderId="3" xfId="0" applyNumberFormat="1" applyFont="1" applyFill="1" applyBorder="1" applyAlignment="1">
      <alignment horizontal="center" vertical="center" shrinkToFit="1"/>
    </xf>
    <xf numFmtId="38" fontId="68" fillId="4" borderId="70" xfId="0" applyNumberFormat="1" applyFont="1" applyFill="1" applyBorder="1" applyAlignment="1">
      <alignment horizontal="center" vertical="center" shrinkToFit="1"/>
    </xf>
    <xf numFmtId="38" fontId="68" fillId="4" borderId="73" xfId="0" applyNumberFormat="1" applyFont="1" applyFill="1" applyBorder="1" applyAlignment="1">
      <alignment horizontal="center" vertical="center" shrinkToFit="1"/>
    </xf>
    <xf numFmtId="38" fontId="68" fillId="4" borderId="72" xfId="0" applyNumberFormat="1" applyFont="1" applyFill="1" applyBorder="1" applyAlignment="1">
      <alignment horizontal="center" vertical="center" shrinkToFit="1"/>
    </xf>
    <xf numFmtId="0" fontId="78" fillId="0" borderId="57" xfId="0" applyFont="1" applyBorder="1" applyAlignment="1">
      <alignment horizontal="center" vertical="center" shrinkToFit="1"/>
    </xf>
    <xf numFmtId="38" fontId="83" fillId="0" borderId="24" xfId="3" applyFont="1" applyFill="1" applyBorder="1">
      <alignment vertical="center"/>
    </xf>
    <xf numFmtId="0" fontId="70" fillId="0" borderId="18" xfId="0" applyFont="1" applyBorder="1">
      <alignment vertical="center"/>
    </xf>
    <xf numFmtId="0" fontId="10" fillId="0" borderId="17" xfId="0" applyFont="1" applyBorder="1">
      <alignment vertical="center"/>
    </xf>
    <xf numFmtId="0" fontId="15" fillId="0" borderId="17" xfId="0" applyFont="1" applyBorder="1">
      <alignment vertical="center"/>
    </xf>
    <xf numFmtId="0" fontId="9" fillId="0" borderId="19" xfId="0" applyFont="1" applyBorder="1" applyAlignment="1">
      <alignment horizontal="center" vertical="center" wrapText="1"/>
    </xf>
    <xf numFmtId="0" fontId="70" fillId="0" borderId="20" xfId="0" applyFont="1" applyBorder="1">
      <alignment vertical="center"/>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0" fontId="9" fillId="0" borderId="16" xfId="0" applyFont="1" applyBorder="1" applyAlignment="1">
      <alignment horizontal="center" vertical="center" wrapText="1"/>
    </xf>
    <xf numFmtId="0" fontId="9" fillId="0" borderId="23" xfId="0" applyFont="1" applyBorder="1" applyAlignment="1">
      <alignment horizontal="center" vertical="center" wrapText="1"/>
    </xf>
    <xf numFmtId="0" fontId="68" fillId="4" borderId="63" xfId="0" applyFont="1" applyFill="1" applyBorder="1" applyAlignment="1">
      <alignment horizontal="center" vertical="center" shrinkToFit="1"/>
    </xf>
    <xf numFmtId="0" fontId="68" fillId="0" borderId="58" xfId="0" applyFont="1" applyBorder="1" applyAlignment="1">
      <alignment horizontal="center" vertical="center" shrinkToFit="1"/>
    </xf>
    <xf numFmtId="0" fontId="78" fillId="0" borderId="55" xfId="0" applyFont="1" applyBorder="1" applyAlignment="1">
      <alignment horizontal="center" vertical="center" shrinkToFit="1"/>
    </xf>
    <xf numFmtId="0" fontId="78" fillId="0" borderId="56" xfId="0" applyFont="1" applyBorder="1" applyAlignment="1">
      <alignment horizontal="center" vertical="center" shrinkToFit="1"/>
    </xf>
    <xf numFmtId="0" fontId="104" fillId="0" borderId="0" xfId="0" applyFont="1">
      <alignment vertical="center"/>
    </xf>
    <xf numFmtId="0" fontId="45" fillId="0" borderId="0" xfId="0" applyFont="1">
      <alignment vertical="center"/>
    </xf>
    <xf numFmtId="0" fontId="45" fillId="0" borderId="17" xfId="0" applyFont="1" applyBorder="1">
      <alignment vertical="center"/>
    </xf>
    <xf numFmtId="0" fontId="63" fillId="5" borderId="1" xfId="0" applyFont="1" applyFill="1" applyBorder="1" applyAlignment="1">
      <alignment horizontal="center" vertical="center" wrapText="1"/>
    </xf>
    <xf numFmtId="0" fontId="45" fillId="9" borderId="24" xfId="0" applyFont="1" applyFill="1" applyBorder="1" applyAlignment="1" applyProtection="1">
      <alignment horizontal="center" vertical="center"/>
      <protection locked="0"/>
    </xf>
    <xf numFmtId="0" fontId="45" fillId="9" borderId="6" xfId="0" applyFont="1" applyFill="1" applyBorder="1" applyAlignment="1" applyProtection="1">
      <alignment horizontal="center" vertical="center"/>
      <protection locked="0"/>
    </xf>
    <xf numFmtId="0" fontId="45" fillId="9" borderId="1" xfId="0" applyFont="1" applyFill="1" applyBorder="1" applyAlignment="1" applyProtection="1">
      <alignment horizontal="center" vertical="center"/>
      <protection locked="0"/>
    </xf>
    <xf numFmtId="0" fontId="45" fillId="0" borderId="16" xfId="0" applyFont="1" applyBorder="1">
      <alignment vertical="center"/>
    </xf>
    <xf numFmtId="0" fontId="45" fillId="0" borderId="39" xfId="0" applyFont="1" applyBorder="1">
      <alignment vertical="center"/>
    </xf>
    <xf numFmtId="0" fontId="45" fillId="0" borderId="0" xfId="0" applyFont="1" applyProtection="1">
      <alignment vertical="center"/>
      <protection locked="0"/>
    </xf>
    <xf numFmtId="0" fontId="83" fillId="9" borderId="24" xfId="0" applyFont="1" applyFill="1" applyBorder="1" applyProtection="1">
      <alignment vertical="center"/>
      <protection locked="0"/>
    </xf>
    <xf numFmtId="0" fontId="83" fillId="9" borderId="24" xfId="0" applyFont="1" applyFill="1" applyBorder="1" applyAlignment="1" applyProtection="1">
      <alignment horizontal="center" vertical="center"/>
      <protection locked="0"/>
    </xf>
    <xf numFmtId="12" fontId="83" fillId="4" borderId="24" xfId="0" applyNumberFormat="1" applyFont="1" applyFill="1" applyBorder="1" applyAlignment="1" applyProtection="1">
      <alignment horizontal="center" vertical="center"/>
      <protection locked="0"/>
    </xf>
    <xf numFmtId="185" fontId="83" fillId="9" borderId="24" xfId="0" applyNumberFormat="1" applyFont="1" applyFill="1" applyBorder="1" applyProtection="1">
      <alignment vertical="center"/>
      <protection locked="0"/>
    </xf>
    <xf numFmtId="3" fontId="83" fillId="4" borderId="24" xfId="0" applyNumberFormat="1" applyFont="1" applyFill="1" applyBorder="1" applyProtection="1">
      <alignment vertical="center"/>
      <protection locked="0"/>
    </xf>
    <xf numFmtId="0" fontId="83" fillId="0" borderId="0" xfId="0" applyFont="1" applyProtection="1">
      <alignment vertical="center"/>
      <protection locked="0"/>
    </xf>
    <xf numFmtId="0" fontId="83" fillId="9" borderId="1" xfId="0" applyFont="1" applyFill="1" applyBorder="1" applyProtection="1">
      <alignment vertical="center"/>
      <protection locked="0"/>
    </xf>
    <xf numFmtId="0" fontId="83" fillId="9" borderId="1" xfId="0" applyFont="1" applyFill="1" applyBorder="1" applyAlignment="1" applyProtection="1">
      <alignment horizontal="center" vertical="center"/>
      <protection locked="0"/>
    </xf>
    <xf numFmtId="12" fontId="83" fillId="4" borderId="1" xfId="0" applyNumberFormat="1" applyFont="1" applyFill="1" applyBorder="1" applyAlignment="1" applyProtection="1">
      <alignment horizontal="center" vertical="center"/>
      <protection locked="0"/>
    </xf>
    <xf numFmtId="185" fontId="83" fillId="9" borderId="1" xfId="0" applyNumberFormat="1" applyFont="1" applyFill="1" applyBorder="1" applyProtection="1">
      <alignment vertical="center"/>
      <protection locked="0"/>
    </xf>
    <xf numFmtId="3" fontId="83" fillId="4" borderId="1" xfId="0" applyNumberFormat="1" applyFont="1" applyFill="1" applyBorder="1" applyProtection="1">
      <alignment vertical="center"/>
      <protection locked="0"/>
    </xf>
    <xf numFmtId="0" fontId="83" fillId="9" borderId="1" xfId="0" applyFont="1" applyFill="1" applyBorder="1" applyAlignment="1" applyProtection="1">
      <alignment horizontal="left" vertical="center"/>
      <protection locked="0"/>
    </xf>
    <xf numFmtId="0" fontId="83" fillId="9" borderId="1" xfId="0" applyFont="1" applyFill="1" applyBorder="1" applyAlignment="1" applyProtection="1">
      <alignment vertical="center" wrapText="1"/>
      <protection locked="0"/>
    </xf>
    <xf numFmtId="38" fontId="83" fillId="9" borderId="1" xfId="3" applyFont="1" applyFill="1" applyBorder="1" applyProtection="1">
      <alignment vertical="center"/>
      <protection locked="0"/>
    </xf>
    <xf numFmtId="185" fontId="83" fillId="4" borderId="1" xfId="0" applyNumberFormat="1" applyFont="1" applyFill="1" applyBorder="1" applyProtection="1">
      <alignment vertical="center"/>
      <protection locked="0"/>
    </xf>
    <xf numFmtId="0" fontId="83" fillId="9" borderId="1" xfId="0" applyFont="1" applyFill="1" applyBorder="1" applyAlignment="1" applyProtection="1">
      <alignment horizontal="right" vertical="center"/>
      <protection locked="0"/>
    </xf>
    <xf numFmtId="0" fontId="78" fillId="9" borderId="65" xfId="0" applyFont="1" applyFill="1" applyBorder="1" applyAlignment="1" applyProtection="1">
      <alignment horizontal="left" vertical="center" shrinkToFit="1"/>
      <protection locked="0"/>
    </xf>
    <xf numFmtId="38" fontId="68" fillId="4" borderId="71" xfId="0" applyNumberFormat="1" applyFont="1" applyFill="1" applyBorder="1" applyAlignment="1">
      <alignment horizontal="center" vertical="center" shrinkToFit="1"/>
    </xf>
    <xf numFmtId="38" fontId="68" fillId="4" borderId="74" xfId="0" applyNumberFormat="1" applyFont="1" applyFill="1" applyBorder="1" applyAlignment="1">
      <alignment horizontal="center" vertical="center" shrinkToFit="1"/>
    </xf>
    <xf numFmtId="178" fontId="84" fillId="4" borderId="24" xfId="0" applyNumberFormat="1" applyFont="1" applyFill="1" applyBorder="1" applyAlignment="1" applyProtection="1">
      <alignment horizontal="right" vertical="center"/>
      <protection locked="0"/>
    </xf>
    <xf numFmtId="178" fontId="84" fillId="4" borderId="1" xfId="0" applyNumberFormat="1" applyFont="1" applyFill="1" applyBorder="1" applyAlignment="1" applyProtection="1">
      <alignment horizontal="right" vertical="center"/>
      <protection locked="0"/>
    </xf>
    <xf numFmtId="0" fontId="83" fillId="9" borderId="24" xfId="0" applyFont="1" applyFill="1" applyBorder="1" applyAlignment="1" applyProtection="1">
      <alignment horizontal="left" vertical="center"/>
      <protection locked="0"/>
    </xf>
    <xf numFmtId="0" fontId="83" fillId="9" borderId="24" xfId="0" applyFont="1" applyFill="1" applyBorder="1" applyAlignment="1" applyProtection="1">
      <alignment vertical="center" wrapText="1"/>
      <protection locked="0"/>
    </xf>
    <xf numFmtId="38" fontId="83" fillId="9" borderId="24" xfId="3" applyFont="1" applyFill="1" applyBorder="1" applyProtection="1">
      <alignment vertical="center"/>
      <protection locked="0"/>
    </xf>
    <xf numFmtId="185" fontId="83" fillId="4" borderId="24" xfId="0" applyNumberFormat="1" applyFont="1" applyFill="1" applyBorder="1" applyProtection="1">
      <alignment vertical="center"/>
      <protection locked="0"/>
    </xf>
    <xf numFmtId="38" fontId="83" fillId="9" borderId="24" xfId="3" applyFont="1" applyFill="1" applyBorder="1" applyAlignment="1" applyProtection="1">
      <alignment horizontal="right" vertical="center"/>
      <protection locked="0"/>
    </xf>
    <xf numFmtId="0" fontId="83" fillId="9" borderId="24" xfId="0" applyFont="1" applyFill="1" applyBorder="1" applyAlignment="1" applyProtection="1">
      <alignment horizontal="right" vertical="center"/>
      <protection locked="0"/>
    </xf>
    <xf numFmtId="38" fontId="83" fillId="9" borderId="1" xfId="3" applyFont="1" applyFill="1" applyBorder="1" applyAlignment="1" applyProtection="1">
      <alignment horizontal="right" vertical="center"/>
      <protection locked="0"/>
    </xf>
    <xf numFmtId="3" fontId="3" fillId="0" borderId="1" xfId="0" applyNumberFormat="1" applyFont="1" applyBorder="1" applyProtection="1">
      <alignment vertical="center"/>
      <protection locked="0"/>
    </xf>
    <xf numFmtId="0" fontId="9" fillId="0" borderId="24" xfId="0" applyFont="1" applyBorder="1" applyAlignment="1" applyProtection="1">
      <alignment horizontal="center" vertical="center" wrapText="1"/>
      <protection locked="0"/>
    </xf>
    <xf numFmtId="0" fontId="33" fillId="0" borderId="3" xfId="0" applyFont="1" applyBorder="1" applyAlignment="1">
      <alignment horizontal="center" vertical="center" wrapText="1"/>
    </xf>
    <xf numFmtId="9" fontId="17" fillId="0" borderId="1" xfId="0" applyNumberFormat="1" applyFont="1" applyBorder="1" applyAlignment="1" applyProtection="1">
      <alignment vertical="center" wrapText="1"/>
      <protection locked="0"/>
    </xf>
    <xf numFmtId="3" fontId="83" fillId="4" borderId="24" xfId="0" applyNumberFormat="1" applyFont="1" applyFill="1" applyBorder="1" applyAlignment="1" applyProtection="1">
      <alignment horizontal="right" vertical="center"/>
      <protection locked="0"/>
    </xf>
    <xf numFmtId="3" fontId="83" fillId="4" borderId="1" xfId="0" applyNumberFormat="1" applyFont="1" applyFill="1" applyBorder="1" applyAlignment="1" applyProtection="1">
      <alignment horizontal="right" vertical="center"/>
      <protection locked="0"/>
    </xf>
    <xf numFmtId="3" fontId="83" fillId="4" borderId="1" xfId="3" applyNumberFormat="1" applyFont="1" applyFill="1" applyBorder="1">
      <alignment vertical="center"/>
    </xf>
    <xf numFmtId="0" fontId="73" fillId="0" borderId="0" xfId="0" applyFont="1" applyAlignment="1">
      <alignment vertical="center" wrapText="1"/>
    </xf>
    <xf numFmtId="0" fontId="38" fillId="0" borderId="14" xfId="0" applyFont="1" applyBorder="1" applyAlignment="1">
      <alignment horizontal="left" vertical="center"/>
    </xf>
    <xf numFmtId="2" fontId="15" fillId="15" borderId="78" xfId="0" applyNumberFormat="1" applyFont="1" applyFill="1" applyBorder="1" applyAlignment="1">
      <alignment horizontal="right" vertical="center"/>
    </xf>
    <xf numFmtId="190" fontId="15" fillId="15" borderId="76" xfId="0" applyNumberFormat="1" applyFont="1" applyFill="1" applyBorder="1" applyAlignment="1">
      <alignment horizontal="right" vertical="center"/>
    </xf>
    <xf numFmtId="187" fontId="15" fillId="13" borderId="78" xfId="0" applyNumberFormat="1" applyFont="1" applyFill="1" applyBorder="1">
      <alignment vertical="center"/>
    </xf>
    <xf numFmtId="188" fontId="15" fillId="13" borderId="77" xfId="0" applyNumberFormat="1" applyFont="1" applyFill="1" applyBorder="1">
      <alignment vertical="center"/>
    </xf>
    <xf numFmtId="188" fontId="15" fillId="13" borderId="76" xfId="0" applyNumberFormat="1" applyFont="1" applyFill="1" applyBorder="1">
      <alignment vertical="center"/>
    </xf>
    <xf numFmtId="188" fontId="15" fillId="13" borderId="75" xfId="0" applyNumberFormat="1" applyFont="1" applyFill="1" applyBorder="1">
      <alignment vertical="center"/>
    </xf>
    <xf numFmtId="0" fontId="83" fillId="0" borderId="0" xfId="0" applyFont="1" applyAlignment="1">
      <alignment vertical="center" shrinkToFit="1"/>
    </xf>
    <xf numFmtId="0" fontId="105" fillId="0" borderId="48" xfId="0" applyFont="1" applyBorder="1">
      <alignment vertical="center"/>
    </xf>
    <xf numFmtId="0" fontId="86" fillId="0" borderId="48" xfId="0" applyFont="1" applyBorder="1">
      <alignment vertical="center"/>
    </xf>
    <xf numFmtId="0" fontId="67" fillId="8" borderId="43" xfId="0" applyFont="1" applyFill="1" applyBorder="1" applyAlignment="1">
      <alignment horizontal="center" vertical="center"/>
    </xf>
    <xf numFmtId="0" fontId="67" fillId="8" borderId="44" xfId="0" applyFont="1" applyFill="1" applyBorder="1" applyAlignment="1">
      <alignment horizontal="center" vertical="center"/>
    </xf>
    <xf numFmtId="0" fontId="67" fillId="8" borderId="46" xfId="0" applyFont="1" applyFill="1" applyBorder="1" applyAlignment="1">
      <alignment horizontal="center" vertical="center"/>
    </xf>
    <xf numFmtId="0" fontId="67" fillId="8" borderId="47" xfId="0" applyFont="1" applyFill="1" applyBorder="1" applyAlignment="1">
      <alignment horizontal="center" vertical="center"/>
    </xf>
    <xf numFmtId="0" fontId="67" fillId="8" borderId="45" xfId="0" applyFont="1" applyFill="1" applyBorder="1" applyAlignment="1">
      <alignment horizontal="center" vertical="center"/>
    </xf>
    <xf numFmtId="0" fontId="67" fillId="8" borderId="50" xfId="0" applyFont="1" applyFill="1" applyBorder="1" applyAlignment="1">
      <alignment horizontal="center" vertical="center"/>
    </xf>
    <xf numFmtId="0" fontId="47" fillId="0" borderId="2"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2" xfId="0" applyFont="1" applyBorder="1" applyAlignment="1">
      <alignment horizontal="left" vertical="center" wrapText="1"/>
    </xf>
    <xf numFmtId="0" fontId="47" fillId="0" borderId="9" xfId="0" applyFont="1" applyBorder="1" applyAlignment="1">
      <alignment horizontal="left" vertical="center" wrapText="1"/>
    </xf>
    <xf numFmtId="0" fontId="47" fillId="0" borderId="3" xfId="0" applyFont="1" applyBorder="1" applyAlignment="1">
      <alignment horizontal="left" vertical="center" wrapText="1"/>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 xfId="0" applyFont="1" applyBorder="1" applyAlignment="1">
      <alignment vertical="center" wrapText="1"/>
    </xf>
    <xf numFmtId="0" fontId="47" fillId="0" borderId="3" xfId="0" applyFont="1" applyBorder="1" applyAlignment="1">
      <alignment vertical="center" wrapText="1"/>
    </xf>
    <xf numFmtId="0" fontId="47" fillId="8" borderId="2" xfId="0" applyFont="1" applyFill="1" applyBorder="1" applyAlignment="1">
      <alignment horizontal="center" vertical="center" wrapText="1"/>
    </xf>
    <xf numFmtId="0" fontId="47" fillId="8" borderId="9" xfId="0" applyFont="1" applyFill="1" applyBorder="1" applyAlignment="1">
      <alignment horizontal="center" vertical="center" wrapText="1"/>
    </xf>
    <xf numFmtId="0" fontId="47" fillId="8" borderId="3" xfId="0" applyFont="1" applyFill="1" applyBorder="1" applyAlignment="1">
      <alignment horizontal="center" vertical="center" wrapText="1"/>
    </xf>
    <xf numFmtId="0" fontId="47" fillId="0" borderId="9" xfId="0" applyFont="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3" fontId="99" fillId="4" borderId="2" xfId="0" applyNumberFormat="1" applyFont="1" applyFill="1" applyBorder="1">
      <alignment vertical="center"/>
    </xf>
    <xf numFmtId="3" fontId="99" fillId="4" borderId="3" xfId="0" applyNumberFormat="1" applyFont="1" applyFill="1" applyBorder="1">
      <alignment vertical="center"/>
    </xf>
    <xf numFmtId="0" fontId="10" fillId="2" borderId="1" xfId="0" applyFont="1" applyFill="1" applyBorder="1" applyAlignment="1">
      <alignment horizontal="center" vertical="center" wrapText="1"/>
    </xf>
    <xf numFmtId="3" fontId="99" fillId="4" borderId="1" xfId="0" applyNumberFormat="1" applyFont="1" applyFill="1" applyBorder="1">
      <alignment vertical="center"/>
    </xf>
    <xf numFmtId="183" fontId="99" fillId="4" borderId="2" xfId="0" applyNumberFormat="1" applyFont="1" applyFill="1" applyBorder="1">
      <alignment vertical="center"/>
    </xf>
    <xf numFmtId="183" fontId="99" fillId="4" borderId="3" xfId="0" applyNumberFormat="1" applyFont="1" applyFill="1" applyBorder="1">
      <alignment vertical="center"/>
    </xf>
    <xf numFmtId="0" fontId="99" fillId="4" borderId="3" xfId="0" applyFont="1" applyFill="1" applyBorder="1">
      <alignment vertical="center"/>
    </xf>
    <xf numFmtId="3" fontId="99" fillId="0" borderId="1" xfId="0" applyNumberFormat="1" applyFont="1" applyBorder="1">
      <alignment vertical="center"/>
    </xf>
    <xf numFmtId="3" fontId="99" fillId="0" borderId="2" xfId="0" applyNumberFormat="1" applyFont="1" applyBorder="1">
      <alignment vertical="center"/>
    </xf>
    <xf numFmtId="0" fontId="99" fillId="0" borderId="3" xfId="0" applyFont="1" applyBorder="1">
      <alignment vertical="center"/>
    </xf>
    <xf numFmtId="183" fontId="99" fillId="0" borderId="2" xfId="0" applyNumberFormat="1" applyFont="1" applyBorder="1">
      <alignment vertical="center"/>
    </xf>
    <xf numFmtId="183" fontId="99" fillId="0" borderId="3" xfId="0" applyNumberFormat="1" applyFont="1" applyBorder="1">
      <alignment vertical="center"/>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xf>
    <xf numFmtId="0" fontId="9" fillId="0" borderId="6"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 xfId="0" applyFont="1" applyBorder="1" applyAlignment="1">
      <alignment horizontal="center" vertical="center" wrapText="1"/>
    </xf>
    <xf numFmtId="3" fontId="99" fillId="0" borderId="3" xfId="0" applyNumberFormat="1" applyFont="1" applyBorder="1">
      <alignment vertical="center"/>
    </xf>
    <xf numFmtId="0" fontId="4" fillId="0" borderId="2" xfId="0" applyFont="1" applyBorder="1" applyAlignment="1">
      <alignment horizontal="center" vertical="center"/>
    </xf>
    <xf numFmtId="0" fontId="4" fillId="0" borderId="9" xfId="0" applyFont="1" applyBorder="1" applyAlignment="1">
      <alignment horizontal="center" vertical="center"/>
    </xf>
    <xf numFmtId="0" fontId="4" fillId="0" borderId="3" xfId="0" applyFont="1" applyBorder="1" applyAlignment="1">
      <alignment horizontal="center" vertical="center"/>
    </xf>
    <xf numFmtId="3" fontId="0" fillId="0" borderId="7" xfId="0" applyNumberFormat="1" applyBorder="1" applyAlignment="1">
      <alignment horizontal="center" vertical="center" wrapText="1"/>
    </xf>
    <xf numFmtId="3" fontId="0" fillId="0" borderId="13" xfId="0" applyNumberFormat="1" applyBorder="1" applyAlignment="1">
      <alignment horizontal="center" vertical="center" wrapText="1"/>
    </xf>
    <xf numFmtId="0" fontId="0" fillId="0" borderId="1" xfId="0"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3" fontId="3" fillId="0" borderId="7" xfId="0" applyNumberFormat="1" applyFont="1" applyBorder="1" applyAlignment="1">
      <alignment horizontal="center" vertical="center"/>
    </xf>
    <xf numFmtId="3" fontId="3" fillId="0" borderId="6" xfId="0" applyNumberFormat="1" applyFont="1" applyBorder="1" applyAlignment="1">
      <alignment horizontal="center" vertical="center"/>
    </xf>
    <xf numFmtId="3" fontId="3" fillId="0" borderId="7"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0" fillId="0" borderId="6" xfId="0" applyNumberFormat="1" applyBorder="1" applyAlignment="1">
      <alignment horizontal="center" vertical="center" wrapText="1"/>
    </xf>
    <xf numFmtId="0" fontId="78" fillId="4" borderId="65" xfId="0" applyFont="1" applyFill="1" applyBorder="1" applyAlignment="1">
      <alignment horizontal="left" vertical="center" shrinkToFit="1"/>
    </xf>
    <xf numFmtId="0" fontId="78" fillId="4" borderId="66" xfId="0" applyFont="1" applyFill="1" applyBorder="1" applyAlignment="1">
      <alignment horizontal="left" vertical="center" shrinkToFit="1"/>
    </xf>
    <xf numFmtId="0" fontId="78" fillId="4" borderId="67" xfId="0" applyFont="1" applyFill="1" applyBorder="1" applyAlignment="1">
      <alignment horizontal="left" vertical="center" shrinkToFit="1"/>
    </xf>
    <xf numFmtId="38" fontId="68" fillId="4" borderId="55" xfId="0" applyNumberFormat="1" applyFont="1" applyFill="1" applyBorder="1" applyAlignment="1">
      <alignment horizontal="center" vertical="center" shrinkToFit="1"/>
    </xf>
    <xf numFmtId="38" fontId="68" fillId="4" borderId="57" xfId="0" applyNumberFormat="1" applyFont="1" applyFill="1" applyBorder="1" applyAlignment="1">
      <alignment horizontal="center" vertical="center" shrinkToFit="1"/>
    </xf>
    <xf numFmtId="38" fontId="68" fillId="4" borderId="104" xfId="0" applyNumberFormat="1" applyFont="1" applyFill="1" applyBorder="1" applyAlignment="1">
      <alignment horizontal="center" vertical="center" shrinkToFit="1"/>
    </xf>
    <xf numFmtId="0" fontId="68" fillId="0" borderId="58" xfId="0" applyFont="1" applyBorder="1" applyAlignment="1">
      <alignment horizontal="center" vertical="center" shrinkToFit="1"/>
    </xf>
    <xf numFmtId="0" fontId="68" fillId="0" borderId="59" xfId="0" applyFont="1" applyBorder="1" applyAlignment="1">
      <alignment horizontal="center" vertical="center" shrinkToFit="1"/>
    </xf>
    <xf numFmtId="0" fontId="68" fillId="0" borderId="60" xfId="0" applyFont="1" applyBorder="1" applyAlignment="1">
      <alignment horizontal="center" vertical="center" shrinkToFit="1"/>
    </xf>
    <xf numFmtId="0" fontId="78" fillId="0" borderId="51" xfId="0" applyFont="1" applyBorder="1" applyAlignment="1">
      <alignment horizontal="center" vertical="center" wrapText="1" shrinkToFit="1"/>
    </xf>
    <xf numFmtId="0" fontId="78" fillId="0" borderId="61" xfId="0" applyFont="1" applyBorder="1" applyAlignment="1">
      <alignment horizontal="center" vertical="center" shrinkToFit="1"/>
    </xf>
    <xf numFmtId="0" fontId="65" fillId="0" borderId="110" xfId="0" applyFont="1" applyBorder="1" applyAlignment="1">
      <alignment horizontal="center" vertical="center" wrapText="1" shrinkToFit="1"/>
    </xf>
    <xf numFmtId="0" fontId="65" fillId="0" borderId="52" xfId="0" applyFont="1" applyBorder="1" applyAlignment="1">
      <alignment horizontal="center" vertical="center" wrapText="1" shrinkToFit="1"/>
    </xf>
    <xf numFmtId="0" fontId="0" fillId="0" borderId="111" xfId="0" applyBorder="1" applyAlignment="1">
      <alignment horizontal="center" vertical="center"/>
    </xf>
    <xf numFmtId="0" fontId="0" fillId="0" borderId="112" xfId="0" applyBorder="1" applyAlignment="1">
      <alignment horizontal="center" vertical="center"/>
    </xf>
    <xf numFmtId="0" fontId="78" fillId="0" borderId="98" xfId="0" applyFont="1" applyBorder="1" applyAlignment="1">
      <alignment horizontal="center" vertical="center" shrinkToFit="1"/>
    </xf>
    <xf numFmtId="0" fontId="78" fillId="0" borderId="60" xfId="0" applyFont="1" applyBorder="1" applyAlignment="1">
      <alignment horizontal="center" vertical="center" shrinkToFit="1"/>
    </xf>
    <xf numFmtId="0" fontId="83" fillId="0" borderId="1" xfId="0" applyFont="1" applyBorder="1" applyAlignment="1">
      <alignment horizontal="center" vertical="center" wrapText="1"/>
    </xf>
    <xf numFmtId="0" fontId="83" fillId="0" borderId="2"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3"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6" xfId="0" applyFont="1" applyBorder="1" applyAlignment="1">
      <alignment horizontal="center" vertical="center" wrapText="1"/>
    </xf>
    <xf numFmtId="38" fontId="68" fillId="4" borderId="105" xfId="0" applyNumberFormat="1" applyFont="1" applyFill="1" applyBorder="1" applyAlignment="1">
      <alignment horizontal="center" vertical="center" shrinkToFit="1"/>
    </xf>
    <xf numFmtId="38" fontId="68" fillId="4" borderId="1" xfId="0" applyNumberFormat="1" applyFont="1" applyFill="1" applyBorder="1" applyAlignment="1">
      <alignment horizontal="center" vertical="center" shrinkToFit="1"/>
    </xf>
    <xf numFmtId="38" fontId="68" fillId="4" borderId="71" xfId="0" applyNumberFormat="1" applyFont="1" applyFill="1" applyBorder="1" applyAlignment="1">
      <alignment horizontal="center" vertical="center" shrinkToFit="1"/>
    </xf>
    <xf numFmtId="38" fontId="68" fillId="4" borderId="63" xfId="0" applyNumberFormat="1" applyFont="1" applyFill="1" applyBorder="1" applyAlignment="1">
      <alignment horizontal="center" vertical="center" shrinkToFit="1"/>
    </xf>
    <xf numFmtId="38" fontId="68" fillId="4" borderId="64" xfId="0" applyNumberFormat="1" applyFont="1" applyFill="1" applyBorder="1" applyAlignment="1">
      <alignment horizontal="center" vertical="center" shrinkToFit="1"/>
    </xf>
    <xf numFmtId="38" fontId="68" fillId="4" borderId="74" xfId="0" applyNumberFormat="1" applyFont="1" applyFill="1" applyBorder="1" applyAlignment="1">
      <alignment horizontal="center" vertical="center" shrinkToFit="1"/>
    </xf>
    <xf numFmtId="0" fontId="78" fillId="0" borderId="107" xfId="0" applyFont="1" applyBorder="1" applyAlignment="1">
      <alignment horizontal="center" vertical="center"/>
    </xf>
    <xf numFmtId="0" fontId="78" fillId="0" borderId="108" xfId="0" applyFont="1" applyBorder="1" applyAlignment="1">
      <alignment horizontal="center" vertical="center"/>
    </xf>
    <xf numFmtId="0" fontId="78" fillId="0" borderId="109" xfId="0" applyFont="1" applyBorder="1" applyAlignment="1">
      <alignment horizontal="center" vertical="center"/>
    </xf>
    <xf numFmtId="0" fontId="78" fillId="0" borderId="67" xfId="0" applyFont="1" applyBorder="1" applyAlignment="1">
      <alignment horizontal="center" vertical="center"/>
    </xf>
    <xf numFmtId="183" fontId="83" fillId="0" borderId="1" xfId="0" applyNumberFormat="1" applyFont="1" applyBorder="1" applyAlignment="1">
      <alignment horizontal="center" vertical="center" wrapText="1"/>
    </xf>
    <xf numFmtId="0" fontId="83" fillId="11" borderId="2" xfId="0" applyFont="1" applyFill="1" applyBorder="1" applyAlignment="1">
      <alignment horizontal="center" vertical="center" wrapText="1"/>
    </xf>
    <xf numFmtId="0" fontId="83" fillId="11" borderId="3" xfId="0" applyFont="1" applyFill="1" applyBorder="1" applyAlignment="1">
      <alignment horizontal="center" vertical="center" wrapText="1"/>
    </xf>
    <xf numFmtId="0" fontId="15" fillId="15" borderId="51" xfId="12" applyFont="1" applyFill="1" applyBorder="1" applyAlignment="1">
      <alignment horizontal="center" vertical="center"/>
    </xf>
    <xf numFmtId="0" fontId="15" fillId="15" borderId="54" xfId="12" applyFont="1" applyFill="1" applyBorder="1" applyAlignment="1">
      <alignment horizontal="center" vertical="center"/>
    </xf>
    <xf numFmtId="0" fontId="15" fillId="15" borderId="61" xfId="12" applyFont="1" applyFill="1" applyBorder="1" applyAlignment="1">
      <alignment horizontal="center" vertical="center"/>
    </xf>
    <xf numFmtId="3" fontId="0" fillId="0" borderId="7" xfId="0" applyNumberFormat="1" applyBorder="1" applyAlignment="1">
      <alignment horizontal="center" vertical="center"/>
    </xf>
    <xf numFmtId="3" fontId="0" fillId="0" borderId="6" xfId="0" applyNumberFormat="1" applyBorder="1" applyAlignment="1">
      <alignment horizontal="center" vertical="center"/>
    </xf>
    <xf numFmtId="3" fontId="0" fillId="0" borderId="13" xfId="0" applyNumberFormat="1" applyBorder="1" applyAlignment="1">
      <alignment horizontal="center" vertical="center"/>
    </xf>
    <xf numFmtId="0" fontId="9" fillId="0" borderId="0" xfId="0" applyFont="1" applyAlignment="1">
      <alignment horizontal="left" vertical="center" wrapText="1"/>
    </xf>
    <xf numFmtId="0" fontId="28" fillId="0" borderId="7" xfId="0" applyFont="1" applyBorder="1" applyAlignment="1">
      <alignment horizontal="center" vertical="center" wrapText="1"/>
    </xf>
    <xf numFmtId="0" fontId="28" fillId="0" borderId="6" xfId="0" applyFont="1" applyBorder="1" applyAlignment="1">
      <alignment horizontal="center" vertical="center" wrapText="1"/>
    </xf>
    <xf numFmtId="3" fontId="3" fillId="4" borderId="2" xfId="0" applyNumberFormat="1" applyFont="1" applyFill="1" applyBorder="1" applyProtection="1">
      <alignment vertical="center"/>
      <protection locked="0"/>
    </xf>
    <xf numFmtId="0" fontId="3" fillId="4" borderId="3" xfId="0" applyFont="1" applyFill="1" applyBorder="1" applyProtection="1">
      <alignment vertical="center"/>
      <protection locked="0"/>
    </xf>
    <xf numFmtId="0" fontId="73" fillId="0" borderId="2" xfId="0" applyFont="1" applyBorder="1" applyAlignment="1">
      <alignment horizontal="center" vertical="center" wrapText="1"/>
    </xf>
    <xf numFmtId="0" fontId="73" fillId="0" borderId="3" xfId="0" applyFont="1" applyBorder="1" applyAlignment="1">
      <alignment horizontal="center" vertical="center" wrapText="1"/>
    </xf>
    <xf numFmtId="0" fontId="3" fillId="2" borderId="1" xfId="0" applyFont="1" applyFill="1" applyBorder="1" applyAlignment="1">
      <alignment horizontal="center" vertical="center" wrapText="1"/>
    </xf>
    <xf numFmtId="3" fontId="9" fillId="4" borderId="2" xfId="0" applyNumberFormat="1" applyFont="1" applyFill="1" applyBorder="1" applyProtection="1">
      <alignment vertical="center"/>
      <protection locked="0"/>
    </xf>
    <xf numFmtId="0" fontId="0" fillId="4" borderId="3" xfId="0" applyFill="1" applyBorder="1" applyProtection="1">
      <alignment vertical="center"/>
      <protection locked="0"/>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3" fontId="29" fillId="0" borderId="1" xfId="0" applyNumberFormat="1" applyFont="1" applyBorder="1" applyAlignment="1">
      <alignment horizontal="center" vertical="center"/>
    </xf>
    <xf numFmtId="0" fontId="17" fillId="0" borderId="2" xfId="0" applyFont="1" applyBorder="1">
      <alignment vertical="center"/>
    </xf>
    <xf numFmtId="0" fontId="17" fillId="0" borderId="9" xfId="0" applyFont="1" applyBorder="1">
      <alignment vertical="center"/>
    </xf>
    <xf numFmtId="0" fontId="0" fillId="0" borderId="1" xfId="0"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3" fontId="29" fillId="0" borderId="7" xfId="0" applyNumberFormat="1" applyFont="1" applyBorder="1" applyAlignment="1">
      <alignment horizontal="center" vertical="center"/>
    </xf>
    <xf numFmtId="3" fontId="29" fillId="0" borderId="6" xfId="0" applyNumberFormat="1" applyFont="1" applyBorder="1" applyAlignment="1">
      <alignment horizontal="center" vertical="center"/>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17" fillId="0" borderId="3" xfId="0" applyFont="1" applyBorder="1">
      <alignment vertical="center"/>
    </xf>
    <xf numFmtId="3" fontId="9" fillId="4" borderId="1" xfId="0" applyNumberFormat="1" applyFont="1" applyFill="1" applyBorder="1">
      <alignment vertical="center"/>
    </xf>
    <xf numFmtId="0" fontId="0" fillId="4" borderId="1" xfId="0" applyFill="1" applyBorder="1">
      <alignment vertical="center"/>
    </xf>
    <xf numFmtId="3" fontId="9" fillId="4" borderId="2" xfId="0" applyNumberFormat="1" applyFont="1" applyFill="1" applyBorder="1">
      <alignment vertical="center"/>
    </xf>
    <xf numFmtId="3" fontId="9" fillId="4" borderId="3" xfId="0" applyNumberFormat="1" applyFont="1" applyFill="1" applyBorder="1">
      <alignment vertical="center"/>
    </xf>
    <xf numFmtId="3" fontId="57" fillId="8" borderId="7" xfId="0" applyNumberFormat="1" applyFont="1" applyFill="1" applyBorder="1" applyAlignment="1">
      <alignment horizontal="center" vertical="center"/>
    </xf>
    <xf numFmtId="3" fontId="57" fillId="8" borderId="6" xfId="0" applyNumberFormat="1" applyFont="1" applyFill="1" applyBorder="1" applyAlignment="1">
      <alignment horizontal="center" vertical="center"/>
    </xf>
    <xf numFmtId="3" fontId="59" fillId="8" borderId="7" xfId="0" applyNumberFormat="1" applyFont="1" applyFill="1" applyBorder="1" applyAlignment="1">
      <alignment horizontal="center" vertical="center"/>
    </xf>
    <xf numFmtId="3" fontId="59" fillId="8" borderId="6" xfId="0" applyNumberFormat="1" applyFont="1" applyFill="1" applyBorder="1" applyAlignment="1">
      <alignment horizontal="center" vertical="center"/>
    </xf>
    <xf numFmtId="3" fontId="57" fillId="8" borderId="7" xfId="0" applyNumberFormat="1" applyFont="1" applyFill="1" applyBorder="1" applyAlignment="1">
      <alignment horizontal="center" vertical="center" wrapText="1"/>
    </xf>
    <xf numFmtId="3" fontId="57" fillId="8" borderId="6" xfId="0" applyNumberFormat="1" applyFont="1" applyFill="1" applyBorder="1" applyAlignment="1">
      <alignment horizontal="center" vertical="center" wrapText="1"/>
    </xf>
    <xf numFmtId="3" fontId="57" fillId="8" borderId="2" xfId="0" applyNumberFormat="1" applyFont="1" applyFill="1" applyBorder="1" applyAlignment="1">
      <alignment horizontal="center" vertical="center"/>
    </xf>
    <xf numFmtId="3" fontId="57" fillId="8" borderId="9" xfId="0" applyNumberFormat="1" applyFont="1" applyFill="1" applyBorder="1" applyAlignment="1">
      <alignment horizontal="center" vertical="center"/>
    </xf>
    <xf numFmtId="3" fontId="57" fillId="8" borderId="3" xfId="0" applyNumberFormat="1" applyFont="1" applyFill="1" applyBorder="1" applyAlignment="1">
      <alignment horizontal="center" vertical="center"/>
    </xf>
    <xf numFmtId="56" fontId="56" fillId="0" borderId="1" xfId="0" quotePrefix="1" applyNumberFormat="1" applyFont="1" applyBorder="1" applyAlignment="1">
      <alignment horizontal="center" vertical="center"/>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0" fontId="62" fillId="0" borderId="2" xfId="0" applyFont="1" applyBorder="1" applyAlignment="1" applyProtection="1">
      <alignment horizontal="left" vertical="center" wrapText="1"/>
      <protection locked="0"/>
    </xf>
    <xf numFmtId="0" fontId="62" fillId="0" borderId="9"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56" fillId="0" borderId="1" xfId="0" applyFont="1" applyBorder="1" applyAlignment="1">
      <alignment horizontal="center" vertical="center"/>
    </xf>
    <xf numFmtId="0" fontId="56" fillId="0" borderId="1" xfId="0" quotePrefix="1" applyFont="1" applyBorder="1" applyAlignment="1">
      <alignment horizontal="center" vertical="center"/>
    </xf>
    <xf numFmtId="0" fontId="17" fillId="0" borderId="2" xfId="0" applyFont="1" applyBorder="1" applyAlignment="1">
      <alignment horizontal="left" vertical="center"/>
    </xf>
    <xf numFmtId="0" fontId="17" fillId="0" borderId="9" xfId="0" applyFont="1" applyBorder="1" applyAlignment="1">
      <alignment horizontal="left" vertical="center"/>
    </xf>
    <xf numFmtId="0" fontId="17" fillId="0" borderId="3" xfId="0" applyFont="1" applyBorder="1" applyAlignment="1">
      <alignment horizontal="left" vertical="center"/>
    </xf>
    <xf numFmtId="176" fontId="21" fillId="0" borderId="8" xfId="0" applyNumberFormat="1" applyFont="1" applyBorder="1" applyAlignment="1">
      <alignment horizontal="right" vertical="center"/>
    </xf>
    <xf numFmtId="0" fontId="36" fillId="0" borderId="0" xfId="0" applyFont="1" applyAlignment="1">
      <alignment horizontal="left" vertical="top" wrapText="1"/>
    </xf>
    <xf numFmtId="0" fontId="36" fillId="0" borderId="0" xfId="0" applyFont="1" applyAlignment="1">
      <alignment horizontal="left" vertical="top"/>
    </xf>
    <xf numFmtId="0" fontId="21" fillId="0" borderId="0" xfId="0" applyFont="1" applyAlignment="1">
      <alignment horizontal="center" vertical="center"/>
    </xf>
    <xf numFmtId="0" fontId="21" fillId="0" borderId="0" xfId="0" applyFont="1" applyAlignment="1">
      <alignment horizontal="left" vertical="center" wrapText="1"/>
    </xf>
    <xf numFmtId="3" fontId="21" fillId="0" borderId="8" xfId="0" applyNumberFormat="1" applyFont="1" applyBorder="1" applyAlignment="1">
      <alignment horizontal="right" vertical="center"/>
    </xf>
    <xf numFmtId="0" fontId="21" fillId="0" borderId="11" xfId="0" applyFont="1" applyBorder="1" applyAlignment="1">
      <alignment horizontal="left" vertical="center"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9" fontId="21" fillId="0" borderId="10" xfId="0" applyNumberFormat="1" applyFont="1" applyBorder="1" applyAlignment="1">
      <alignment horizontal="right" vertical="center"/>
    </xf>
    <xf numFmtId="9" fontId="21" fillId="0" borderId="12" xfId="0" applyNumberFormat="1" applyFont="1" applyBorder="1" applyAlignment="1">
      <alignment horizontal="right" vertical="center"/>
    </xf>
    <xf numFmtId="3" fontId="21" fillId="0" borderId="6" xfId="0" applyNumberFormat="1" applyFont="1" applyBorder="1" applyAlignment="1">
      <alignment horizontal="right" vertical="center"/>
    </xf>
    <xf numFmtId="0" fontId="35" fillId="0" borderId="11" xfId="0" applyFont="1" applyBorder="1" applyAlignment="1">
      <alignment horizontal="left"/>
    </xf>
    <xf numFmtId="0" fontId="36" fillId="0" borderId="11" xfId="0" applyFont="1" applyBorder="1" applyAlignment="1">
      <alignment horizontal="left"/>
    </xf>
    <xf numFmtId="0" fontId="21" fillId="0" borderId="16" xfId="0" applyFont="1" applyBorder="1" applyAlignment="1">
      <alignment horizontal="left" vertical="center" wrapText="1"/>
    </xf>
    <xf numFmtId="176" fontId="21" fillId="0" borderId="8" xfId="0" applyNumberFormat="1" applyFont="1" applyBorder="1" applyAlignment="1" applyProtection="1">
      <alignment horizontal="right" vertical="center"/>
      <protection locked="0"/>
    </xf>
    <xf numFmtId="9" fontId="21" fillId="0" borderId="10" xfId="0" applyNumberFormat="1" applyFont="1" applyBorder="1" applyAlignment="1" applyProtection="1">
      <alignment horizontal="right" vertical="center"/>
      <protection locked="0"/>
    </xf>
    <xf numFmtId="9" fontId="21" fillId="0" borderId="12" xfId="0" applyNumberFormat="1" applyFont="1" applyBorder="1" applyAlignment="1" applyProtection="1">
      <alignment horizontal="right" vertical="center"/>
      <protection locked="0"/>
    </xf>
    <xf numFmtId="3" fontId="21" fillId="0" borderId="6" xfId="0" applyNumberFormat="1" applyFont="1" applyBorder="1" applyAlignment="1" applyProtection="1">
      <alignment horizontal="right" vertical="center"/>
      <protection locked="0"/>
    </xf>
    <xf numFmtId="3" fontId="21" fillId="0" borderId="8" xfId="0" applyNumberFormat="1" applyFont="1" applyBorder="1" applyAlignment="1" applyProtection="1">
      <alignment horizontal="right" vertical="center"/>
      <protection locked="0"/>
    </xf>
    <xf numFmtId="0" fontId="9" fillId="0" borderId="1" xfId="0" applyFont="1" applyBorder="1" applyAlignment="1" applyProtection="1">
      <alignment vertical="center" shrinkToFit="1"/>
      <protection locked="0"/>
    </xf>
    <xf numFmtId="0" fontId="9" fillId="0" borderId="2"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2" xfId="0" applyFont="1" applyBorder="1" applyProtection="1">
      <alignment vertical="center"/>
      <protection locked="0"/>
    </xf>
    <xf numFmtId="0" fontId="9" fillId="0" borderId="9" xfId="0" applyFont="1" applyBorder="1" applyProtection="1">
      <alignment vertical="center"/>
      <protection locked="0"/>
    </xf>
    <xf numFmtId="0" fontId="9" fillId="0" borderId="3" xfId="0" applyFont="1" applyBorder="1" applyProtection="1">
      <alignment vertical="center"/>
      <protection locked="0"/>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181" fontId="9" fillId="3" borderId="2" xfId="0" applyNumberFormat="1" applyFont="1" applyFill="1" applyBorder="1" applyAlignment="1" applyProtection="1">
      <alignment horizontal="center" vertical="center" shrinkToFit="1"/>
      <protection locked="0"/>
    </xf>
    <xf numFmtId="181" fontId="9" fillId="3" borderId="3" xfId="0" applyNumberFormat="1" applyFont="1" applyFill="1" applyBorder="1" applyAlignment="1" applyProtection="1">
      <alignment horizontal="center" vertical="center" shrinkToFit="1"/>
      <protection locked="0"/>
    </xf>
    <xf numFmtId="0" fontId="41" fillId="0" borderId="4"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9" fillId="0" borderId="11" xfId="0" applyFont="1" applyBorder="1" applyAlignment="1">
      <alignment horizontal="center" vertical="center" wrapText="1"/>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9" fillId="0" borderId="5" xfId="0" applyFont="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pplyProtection="1">
      <alignment vertical="center" wrapText="1"/>
      <protection locked="0"/>
    </xf>
    <xf numFmtId="3" fontId="0" fillId="0" borderId="2" xfId="0" applyNumberFormat="1" applyBorder="1" applyAlignment="1" applyProtection="1">
      <alignment vertical="center" wrapText="1"/>
      <protection locked="0"/>
    </xf>
    <xf numFmtId="3" fontId="0" fillId="0" borderId="9" xfId="0" applyNumberFormat="1" applyBorder="1" applyAlignment="1" applyProtection="1">
      <alignment vertical="center" wrapText="1"/>
      <protection locked="0"/>
    </xf>
    <xf numFmtId="3" fontId="0" fillId="0" borderId="3" xfId="0" applyNumberFormat="1" applyBorder="1" applyAlignment="1" applyProtection="1">
      <alignment vertical="center" wrapText="1"/>
      <protection locked="0"/>
    </xf>
    <xf numFmtId="182" fontId="0" fillId="0" borderId="1" xfId="0" applyNumberFormat="1" applyBorder="1" applyAlignment="1" applyProtection="1">
      <alignment vertical="center" wrapText="1"/>
      <protection locked="0"/>
    </xf>
    <xf numFmtId="0" fontId="0" fillId="0" borderId="1" xfId="0" applyBorder="1" applyAlignment="1" applyProtection="1">
      <alignment horizontal="right" vertical="center"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3" fontId="0" fillId="9" borderId="2" xfId="0" applyNumberFormat="1" applyFill="1" applyBorder="1" applyAlignment="1" applyProtection="1">
      <alignment horizontal="center" vertical="center" wrapText="1"/>
      <protection locked="0"/>
    </xf>
    <xf numFmtId="3" fontId="0" fillId="9" borderId="9" xfId="0" applyNumberFormat="1" applyFill="1" applyBorder="1" applyAlignment="1" applyProtection="1">
      <alignment horizontal="center" vertical="center" wrapText="1"/>
      <protection locked="0"/>
    </xf>
    <xf numFmtId="3" fontId="0" fillId="9" borderId="3" xfId="0" applyNumberFormat="1" applyFill="1" applyBorder="1" applyAlignment="1" applyProtection="1">
      <alignment horizontal="center" vertical="center" wrapText="1"/>
      <protection locked="0"/>
    </xf>
    <xf numFmtId="0" fontId="17" fillId="0" borderId="1" xfId="0" applyFont="1" applyBorder="1" applyAlignment="1">
      <alignment horizontal="center" vertical="center"/>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6" xfId="0" applyFont="1" applyBorder="1" applyAlignment="1">
      <alignment horizontal="center" vertical="center" wrapText="1"/>
    </xf>
    <xf numFmtId="0" fontId="9" fillId="0" borderId="11" xfId="0" applyFont="1" applyBorder="1" applyAlignment="1">
      <alignment horizontal="left" vertical="center"/>
    </xf>
    <xf numFmtId="176" fontId="42" fillId="0" borderId="1" xfId="0" applyNumberFormat="1" applyFont="1" applyBorder="1" applyAlignment="1" applyProtection="1">
      <alignment horizontal="right" vertical="center"/>
      <protection hidden="1"/>
    </xf>
    <xf numFmtId="176" fontId="42" fillId="0" borderId="1" xfId="0" applyNumberFormat="1" applyFont="1" applyBorder="1" applyAlignment="1" applyProtection="1">
      <alignment horizontal="right" vertical="center"/>
      <protection locked="0"/>
    </xf>
    <xf numFmtId="0" fontId="0" fillId="0" borderId="0" xfId="0" applyAlignment="1">
      <alignment horizontal="left" vertical="center" wrapText="1"/>
    </xf>
    <xf numFmtId="184" fontId="0" fillId="0" borderId="1" xfId="0" applyNumberFormat="1" applyBorder="1" applyAlignment="1" applyProtection="1">
      <alignment vertical="center" wrapText="1"/>
      <protection locked="0"/>
    </xf>
    <xf numFmtId="0" fontId="0" fillId="0" borderId="2" xfId="0" applyBorder="1" applyAlignment="1">
      <alignment horizontal="left" vertical="center"/>
    </xf>
    <xf numFmtId="0" fontId="0" fillId="0" borderId="9" xfId="0" applyBorder="1" applyAlignment="1">
      <alignment horizontal="left" vertical="center"/>
    </xf>
    <xf numFmtId="0" fontId="0" fillId="0" borderId="1" xfId="0" applyBorder="1" applyAlignment="1" applyProtection="1">
      <alignment horizontal="left" vertical="center" wrapText="1"/>
      <protection locked="0"/>
    </xf>
  </cellXfs>
  <cellStyles count="17">
    <cellStyle name="パーセント 2" xfId="10" xr:uid="{939E982D-DE14-4479-B220-FDD2AEE9D196}"/>
    <cellStyle name="桁区切り" xfId="3" builtinId="6"/>
    <cellStyle name="標準" xfId="0" builtinId="0"/>
    <cellStyle name="標準 2" xfId="1" xr:uid="{96F25A72-F47E-4E85-8C3B-65F6C9D882A8}"/>
    <cellStyle name="標準 2 2" xfId="4" xr:uid="{3D5C525E-B010-49D2-9129-96C283BE7106}"/>
    <cellStyle name="標準 2 2 2" xfId="13" xr:uid="{E280AB47-BA18-4252-8B4D-D70E6F6D20CA}"/>
    <cellStyle name="標準 2 3" xfId="5" xr:uid="{57B32D2C-ACB7-4B65-895A-8631EB87B5BA}"/>
    <cellStyle name="標準 2 4" xfId="8" xr:uid="{8E8A78D4-703F-4696-B1D8-6D99732A1C22}"/>
    <cellStyle name="標準 3" xfId="2" xr:uid="{2E2DEECB-4E2B-4D2D-8F7F-AEE515DB4ADD}"/>
    <cellStyle name="標準 4" xfId="6" xr:uid="{CA954E5A-8450-4C1D-8C75-15DC384E3C9A}"/>
    <cellStyle name="標準 4 2" xfId="15" xr:uid="{951C595C-5A7D-42AC-8772-76D7389D7679}"/>
    <cellStyle name="標準 7" xfId="7" xr:uid="{26F7F622-3E1A-40B8-BFAF-2F3F062F6301}"/>
    <cellStyle name="標準 9" xfId="9" xr:uid="{A78AA44E-E09B-48EC-A15E-CC2499432072}"/>
    <cellStyle name="標準_06_市町村分" xfId="12" xr:uid="{BEA4B2BD-0D72-4D16-92A2-C4A69BA49108}"/>
    <cellStyle name="標準_Sheet1" xfId="11" xr:uid="{1F87B7DA-AA97-44DF-870C-CE2D6885F87B}"/>
    <cellStyle name="標準_Sheet1 2" xfId="16" xr:uid="{E9134CF2-9165-495A-B5BE-A95AE4066940}"/>
    <cellStyle name="標準_京都府財政課回答" xfId="14" xr:uid="{76C315D7-DD62-471C-8C2C-2C98903A48C0}"/>
  </cellStyles>
  <dxfs count="2712">
    <dxf>
      <fill>
        <patternFill>
          <bgColor theme="0"/>
        </patternFill>
      </fill>
    </dxf>
    <dxf>
      <fill>
        <patternFill>
          <bgColor theme="0"/>
        </patternFill>
      </fill>
    </dxf>
    <dxf>
      <fill>
        <patternFill>
          <bgColor theme="7"/>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font>
        <color rgb="FFFF0000"/>
      </font>
    </dxf>
    <dxf>
      <border>
        <vertical/>
        <horizontal/>
      </border>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7"/>
        </patternFill>
      </fill>
    </dxf>
    <dxf>
      <fill>
        <patternFill>
          <bgColor theme="0"/>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border>
        <bottom style="thin">
          <color auto="1"/>
        </bottom>
        <vertical/>
        <horizontal/>
      </border>
    </dxf>
    <dxf>
      <fill>
        <patternFill>
          <bgColor theme="0"/>
        </patternFill>
      </fill>
    </dxf>
    <dxf>
      <fill>
        <patternFill>
          <bgColor theme="7"/>
        </patternFill>
      </fill>
    </dxf>
    <dxf>
      <fill>
        <patternFill patternType="none">
          <bgColor auto="1"/>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border>
        <left/>
        <top style="thin">
          <color auto="1"/>
        </top>
        <bottom style="thin">
          <color auto="1"/>
        </bottom>
        <vertical/>
        <horizontal/>
      </border>
    </dxf>
    <dxf>
      <fill>
        <patternFill>
          <bgColor rgb="FFFF0000"/>
        </patternFill>
      </fill>
    </dxf>
    <dxf>
      <font>
        <color rgb="FFFF0000"/>
      </font>
    </dxf>
    <dxf>
      <fill>
        <patternFill>
          <bgColor theme="0"/>
        </patternFill>
      </fill>
      <border>
        <right/>
        <top style="thin">
          <color auto="1"/>
        </top>
        <vertical/>
        <horizontal/>
      </border>
    </dxf>
    <dxf>
      <border>
        <top/>
        <vertical/>
        <horizontal/>
      </border>
    </dxf>
    <dxf>
      <border>
        <bottom style="thin">
          <color auto="1"/>
        </bottom>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rgb="FFFF0000"/>
        </patternFill>
      </fill>
    </dxf>
    <dxf>
      <fill>
        <patternFill>
          <bgColor theme="0"/>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5" tint="0.79998168889431442"/>
        </patternFill>
      </fill>
    </dxf>
    <dxf>
      <fill>
        <patternFill>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8" tint="0.79998168889431442"/>
        </patternFill>
      </fill>
    </dxf>
    <dxf>
      <fill>
        <patternFill>
          <bgColor theme="7"/>
        </patternFill>
      </fill>
    </dxf>
    <dxf>
      <fill>
        <patternFill>
          <bgColor theme="8"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dxf>
    <dxf>
      <border>
        <bottom style="thin">
          <color auto="1"/>
        </bottom>
        <vertical/>
        <horizontal/>
      </border>
    </dxf>
    <dxf>
      <border>
        <bottom style="thin">
          <color auto="1"/>
        </bottom>
        <vertical/>
        <horizontal/>
      </border>
    </dxf>
    <dxf>
      <fill>
        <patternFill>
          <bgColor rgb="FFFF0000"/>
        </patternFill>
      </fill>
    </dxf>
    <dxf>
      <fill>
        <patternFill>
          <bgColor theme="9" tint="0.59996337778862885"/>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9"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5"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7"/>
        </patternFill>
      </fill>
    </dxf>
    <dxf>
      <fill>
        <patternFill>
          <bgColor theme="8" tint="0.79998168889431442"/>
        </patternFill>
      </fill>
    </dxf>
    <dxf>
      <fill>
        <patternFill>
          <bgColor theme="7"/>
        </patternFill>
      </fill>
    </dxf>
    <dxf>
      <fill>
        <patternFill>
          <bgColor theme="7"/>
        </patternFill>
      </fill>
    </dxf>
    <dxf>
      <fill>
        <patternFill>
          <bgColor rgb="FFFF0000"/>
        </patternFill>
      </fill>
    </dxf>
    <dxf>
      <fill>
        <patternFill>
          <bgColor theme="5" tint="0.79998168889431442"/>
        </patternFill>
      </fill>
    </dxf>
    <dxf>
      <fill>
        <patternFill>
          <bgColor theme="7"/>
        </patternFill>
      </fill>
    </dxf>
    <dxf>
      <fill>
        <patternFill>
          <bgColor theme="0"/>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8"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7"/>
        </patternFill>
      </fill>
    </dxf>
    <dxf>
      <fill>
        <patternFill>
          <bgColor theme="0" tint="-4.9989318521683403E-2"/>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s>
  <tableStyles count="0" defaultTableStyle="TableStyleMedium2" defaultPivotStyle="PivotStyleLight16"/>
  <colors>
    <mruColors>
      <color rgb="FF808080"/>
      <color rgb="FFDEEBF7"/>
      <color rgb="FFFFFF99"/>
      <color rgb="FFFF99FF"/>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8.png"/><Relationship Id="rId1" Type="http://schemas.openxmlformats.org/officeDocument/2006/relationships/image" Target="../media/image7.png"/><Relationship Id="rId5" Type="http://schemas.openxmlformats.org/officeDocument/2006/relationships/image" Target="../media/image19.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7.png"/><Relationship Id="rId6" Type="http://schemas.openxmlformats.org/officeDocument/2006/relationships/image" Target="../media/image13.png"/><Relationship Id="rId5" Type="http://schemas.openxmlformats.org/officeDocument/2006/relationships/image" Target="../media/image16.png"/><Relationship Id="rId4"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8.emf"/><Relationship Id="rId3" Type="http://schemas.openxmlformats.org/officeDocument/2006/relationships/image" Target="../media/image25.svg"/><Relationship Id="rId7" Type="http://schemas.openxmlformats.org/officeDocument/2006/relationships/image" Target="../media/image13.png"/><Relationship Id="rId2" Type="http://schemas.openxmlformats.org/officeDocument/2006/relationships/image" Target="../media/image24.png"/><Relationship Id="rId1" Type="http://schemas.openxmlformats.org/officeDocument/2006/relationships/image" Target="../media/image7.png"/><Relationship Id="rId6" Type="http://schemas.openxmlformats.org/officeDocument/2006/relationships/image" Target="../media/image27.emf"/><Relationship Id="rId11" Type="http://schemas.openxmlformats.org/officeDocument/2006/relationships/image" Target="../media/image31.emf"/><Relationship Id="rId5" Type="http://schemas.openxmlformats.org/officeDocument/2006/relationships/image" Target="../media/image26.emf"/><Relationship Id="rId10" Type="http://schemas.openxmlformats.org/officeDocument/2006/relationships/image" Target="../media/image30.emf"/><Relationship Id="rId4" Type="http://schemas.openxmlformats.org/officeDocument/2006/relationships/image" Target="../media/image16.png"/><Relationship Id="rId9" Type="http://schemas.openxmlformats.org/officeDocument/2006/relationships/image" Target="../media/image2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6.png"/><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13.png"/><Relationship Id="rId7" Type="http://schemas.openxmlformats.org/officeDocument/2006/relationships/image" Target="../media/image30.emf"/><Relationship Id="rId2" Type="http://schemas.openxmlformats.org/officeDocument/2006/relationships/image" Target="../media/image16.png"/><Relationship Id="rId1" Type="http://schemas.openxmlformats.org/officeDocument/2006/relationships/image" Target="../media/image7.png"/><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 Id="rId9" Type="http://schemas.openxmlformats.org/officeDocument/2006/relationships/image" Target="../media/image26.emf"/></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png"/><Relationship Id="rId1" Type="http://schemas.openxmlformats.org/officeDocument/2006/relationships/image" Target="../media/image7.png"/><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7.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2</xdr:col>
      <xdr:colOff>201387</xdr:colOff>
      <xdr:row>88</xdr:row>
      <xdr:rowOff>180967</xdr:rowOff>
    </xdr:from>
    <xdr:to>
      <xdr:col>5</xdr:col>
      <xdr:colOff>1511301</xdr:colOff>
      <xdr:row>103</xdr:row>
      <xdr:rowOff>46338</xdr:rowOff>
    </xdr:to>
    <xdr:pic>
      <xdr:nvPicPr>
        <xdr:cNvPr id="2" name="図 1">
          <a:extLst>
            <a:ext uri="{FF2B5EF4-FFF2-40B4-BE49-F238E27FC236}">
              <a16:creationId xmlns:a16="http://schemas.microsoft.com/office/drawing/2014/main" id="{3EC21AD2-F250-4C9C-B9F7-3AC6DDAE8D10}"/>
            </a:ext>
          </a:extLst>
        </xdr:cNvPr>
        <xdr:cNvPicPr>
          <a:picLocks noChangeAspect="1"/>
        </xdr:cNvPicPr>
      </xdr:nvPicPr>
      <xdr:blipFill rotWithShape="1">
        <a:blip xmlns:r="http://schemas.openxmlformats.org/officeDocument/2006/relationships" r:embed="rId1"/>
        <a:srcRect t="52265" b="2137"/>
        <a:stretch/>
      </xdr:blipFill>
      <xdr:spPr>
        <a:xfrm>
          <a:off x="1106262" y="22698067"/>
          <a:ext cx="6713764" cy="3634096"/>
        </a:xfrm>
        <a:prstGeom prst="rect">
          <a:avLst/>
        </a:prstGeom>
      </xdr:spPr>
    </xdr:pic>
    <xdr:clientData/>
  </xdr:twoCellAnchor>
  <xdr:twoCellAnchor>
    <xdr:from>
      <xdr:col>3</xdr:col>
      <xdr:colOff>179144</xdr:colOff>
      <xdr:row>94</xdr:row>
      <xdr:rowOff>64006</xdr:rowOff>
    </xdr:from>
    <xdr:to>
      <xdr:col>4</xdr:col>
      <xdr:colOff>180975</xdr:colOff>
      <xdr:row>95</xdr:row>
      <xdr:rowOff>19051</xdr:rowOff>
    </xdr:to>
    <xdr:sp macro="" textlink="">
      <xdr:nvSpPr>
        <xdr:cNvPr id="3" name="四角形: 角を丸くする 2">
          <a:extLst>
            <a:ext uri="{FF2B5EF4-FFF2-40B4-BE49-F238E27FC236}">
              <a16:creationId xmlns:a16="http://schemas.microsoft.com/office/drawing/2014/main" id="{9751F1F4-37A3-475B-908A-AD7C97BDC099}"/>
            </a:ext>
          </a:extLst>
        </xdr:cNvPr>
        <xdr:cNvSpPr/>
      </xdr:nvSpPr>
      <xdr:spPr>
        <a:xfrm>
          <a:off x="2198444" y="24209881"/>
          <a:ext cx="459031" cy="19317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273321</xdr:colOff>
      <xdr:row>91</xdr:row>
      <xdr:rowOff>266700</xdr:rowOff>
    </xdr:from>
    <xdr:to>
      <xdr:col>5</xdr:col>
      <xdr:colOff>1628775</xdr:colOff>
      <xdr:row>94</xdr:row>
      <xdr:rowOff>89535</xdr:rowOff>
    </xdr:to>
    <xdr:cxnSp macro="">
      <xdr:nvCxnSpPr>
        <xdr:cNvPr id="4" name="直線矢印コネクタ 3">
          <a:extLst>
            <a:ext uri="{FF2B5EF4-FFF2-40B4-BE49-F238E27FC236}">
              <a16:creationId xmlns:a16="http://schemas.microsoft.com/office/drawing/2014/main" id="{CB45333D-E79D-4710-B2AF-1801A9EF7596}"/>
            </a:ext>
          </a:extLst>
        </xdr:cNvPr>
        <xdr:cNvCxnSpPr/>
      </xdr:nvCxnSpPr>
      <xdr:spPr>
        <a:xfrm flipH="1">
          <a:off x="2749821" y="23498175"/>
          <a:ext cx="5184504" cy="73723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108859</xdr:colOff>
      <xdr:row>16</xdr:row>
      <xdr:rowOff>155469</xdr:rowOff>
    </xdr:from>
    <xdr:to>
      <xdr:col>4</xdr:col>
      <xdr:colOff>3524250</xdr:colOff>
      <xdr:row>24</xdr:row>
      <xdr:rowOff>2491</xdr:rowOff>
    </xdr:to>
    <xdr:pic>
      <xdr:nvPicPr>
        <xdr:cNvPr id="5" name="図 4">
          <a:extLst>
            <a:ext uri="{FF2B5EF4-FFF2-40B4-BE49-F238E27FC236}">
              <a16:creationId xmlns:a16="http://schemas.microsoft.com/office/drawing/2014/main" id="{58DDC2F9-CBEB-EC9C-FB78-54F79FAF9330}"/>
            </a:ext>
          </a:extLst>
        </xdr:cNvPr>
        <xdr:cNvPicPr>
          <a:picLocks noChangeAspect="1"/>
        </xdr:cNvPicPr>
      </xdr:nvPicPr>
      <xdr:blipFill rotWithShape="1">
        <a:blip xmlns:r="http://schemas.openxmlformats.org/officeDocument/2006/relationships" r:embed="rId2"/>
        <a:srcRect r="50180"/>
        <a:stretch/>
      </xdr:blipFill>
      <xdr:spPr>
        <a:xfrm>
          <a:off x="517073" y="7503326"/>
          <a:ext cx="5674177" cy="1786658"/>
        </a:xfrm>
        <a:prstGeom prst="rect">
          <a:avLst/>
        </a:prstGeom>
      </xdr:spPr>
    </xdr:pic>
    <xdr:clientData/>
  </xdr:twoCellAnchor>
  <xdr:twoCellAnchor editAs="oneCell">
    <xdr:from>
      <xdr:col>1</xdr:col>
      <xdr:colOff>81643</xdr:colOff>
      <xdr:row>26</xdr:row>
      <xdr:rowOff>108857</xdr:rowOff>
    </xdr:from>
    <xdr:to>
      <xdr:col>4</xdr:col>
      <xdr:colOff>2326820</xdr:colOff>
      <xdr:row>46</xdr:row>
      <xdr:rowOff>217864</xdr:rowOff>
    </xdr:to>
    <xdr:pic>
      <xdr:nvPicPr>
        <xdr:cNvPr id="6" name="図 5">
          <a:extLst>
            <a:ext uri="{FF2B5EF4-FFF2-40B4-BE49-F238E27FC236}">
              <a16:creationId xmlns:a16="http://schemas.microsoft.com/office/drawing/2014/main" id="{7C2B7EB7-4BD1-309A-542E-782F9FB10C89}"/>
            </a:ext>
          </a:extLst>
        </xdr:cNvPr>
        <xdr:cNvPicPr>
          <a:picLocks noChangeAspect="1"/>
        </xdr:cNvPicPr>
      </xdr:nvPicPr>
      <xdr:blipFill>
        <a:blip xmlns:r="http://schemas.openxmlformats.org/officeDocument/2006/relationships" r:embed="rId3"/>
        <a:stretch>
          <a:fillRect/>
        </a:stretch>
      </xdr:blipFill>
      <xdr:spPr>
        <a:xfrm>
          <a:off x="489857" y="9933214"/>
          <a:ext cx="4503963" cy="5004404"/>
        </a:xfrm>
        <a:prstGeom prst="rect">
          <a:avLst/>
        </a:prstGeom>
      </xdr:spPr>
    </xdr:pic>
    <xdr:clientData/>
  </xdr:twoCellAnchor>
  <xdr:twoCellAnchor editAs="oneCell">
    <xdr:from>
      <xdr:col>1</xdr:col>
      <xdr:colOff>122465</xdr:colOff>
      <xdr:row>49</xdr:row>
      <xdr:rowOff>95250</xdr:rowOff>
    </xdr:from>
    <xdr:to>
      <xdr:col>4</xdr:col>
      <xdr:colOff>3769179</xdr:colOff>
      <xdr:row>69</xdr:row>
      <xdr:rowOff>163896</xdr:rowOff>
    </xdr:to>
    <xdr:pic>
      <xdr:nvPicPr>
        <xdr:cNvPr id="7" name="図 6">
          <a:extLst>
            <a:ext uri="{FF2B5EF4-FFF2-40B4-BE49-F238E27FC236}">
              <a16:creationId xmlns:a16="http://schemas.microsoft.com/office/drawing/2014/main" id="{DD4FC1FA-8C5C-31F2-BBAD-ACF18E548C19}"/>
            </a:ext>
          </a:extLst>
        </xdr:cNvPr>
        <xdr:cNvPicPr>
          <a:picLocks noChangeAspect="1"/>
        </xdr:cNvPicPr>
      </xdr:nvPicPr>
      <xdr:blipFill>
        <a:blip xmlns:r="http://schemas.openxmlformats.org/officeDocument/2006/relationships" r:embed="rId4"/>
        <a:stretch>
          <a:fillRect/>
        </a:stretch>
      </xdr:blipFill>
      <xdr:spPr>
        <a:xfrm>
          <a:off x="530679" y="15689036"/>
          <a:ext cx="5905500" cy="4964044"/>
        </a:xfrm>
        <a:prstGeom prst="rect">
          <a:avLst/>
        </a:prstGeom>
      </xdr:spPr>
    </xdr:pic>
    <xdr:clientData/>
  </xdr:twoCellAnchor>
  <xdr:twoCellAnchor editAs="oneCell">
    <xdr:from>
      <xdr:col>1</xdr:col>
      <xdr:colOff>136073</xdr:colOff>
      <xdr:row>73</xdr:row>
      <xdr:rowOff>204107</xdr:rowOff>
    </xdr:from>
    <xdr:to>
      <xdr:col>6</xdr:col>
      <xdr:colOff>4054929</xdr:colOff>
      <xdr:row>80</xdr:row>
      <xdr:rowOff>105908</xdr:rowOff>
    </xdr:to>
    <xdr:pic>
      <xdr:nvPicPr>
        <xdr:cNvPr id="8" name="図 7">
          <a:extLst>
            <a:ext uri="{FF2B5EF4-FFF2-40B4-BE49-F238E27FC236}">
              <a16:creationId xmlns:a16="http://schemas.microsoft.com/office/drawing/2014/main" id="{F645BD8C-0B58-3BED-8AAA-4388341FB027}"/>
            </a:ext>
          </a:extLst>
        </xdr:cNvPr>
        <xdr:cNvPicPr>
          <a:picLocks noChangeAspect="1"/>
        </xdr:cNvPicPr>
      </xdr:nvPicPr>
      <xdr:blipFill rotWithShape="1">
        <a:blip xmlns:r="http://schemas.openxmlformats.org/officeDocument/2006/relationships" r:embed="rId5"/>
        <a:srcRect r="27824"/>
        <a:stretch/>
      </xdr:blipFill>
      <xdr:spPr>
        <a:xfrm>
          <a:off x="544287" y="22737536"/>
          <a:ext cx="11674928" cy="1619476"/>
        </a:xfrm>
        <a:prstGeom prst="rect">
          <a:avLst/>
        </a:prstGeom>
      </xdr:spPr>
    </xdr:pic>
    <xdr:clientData/>
  </xdr:twoCellAnchor>
  <xdr:twoCellAnchor>
    <xdr:from>
      <xdr:col>1</xdr:col>
      <xdr:colOff>42863</xdr:colOff>
      <xdr:row>17</xdr:row>
      <xdr:rowOff>190499</xdr:rowOff>
    </xdr:from>
    <xdr:to>
      <xdr:col>1</xdr:col>
      <xdr:colOff>304801</xdr:colOff>
      <xdr:row>18</xdr:row>
      <xdr:rowOff>171449</xdr:rowOff>
    </xdr:to>
    <xdr:sp macro="" textlink="">
      <xdr:nvSpPr>
        <xdr:cNvPr id="9" name="正方形/長方形 8">
          <a:extLst>
            <a:ext uri="{FF2B5EF4-FFF2-40B4-BE49-F238E27FC236}">
              <a16:creationId xmlns:a16="http://schemas.microsoft.com/office/drawing/2014/main" id="{9FCC802F-439F-934E-9AE9-43FBD6194F25}"/>
            </a:ext>
          </a:extLst>
        </xdr:cNvPr>
        <xdr:cNvSpPr/>
      </xdr:nvSpPr>
      <xdr:spPr>
        <a:xfrm>
          <a:off x="261938" y="5429249"/>
          <a:ext cx="261938" cy="21907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editAs="oneCell">
    <xdr:from>
      <xdr:col>1</xdr:col>
      <xdr:colOff>76200</xdr:colOff>
      <xdr:row>19</xdr:row>
      <xdr:rowOff>123825</xdr:rowOff>
    </xdr:from>
    <xdr:to>
      <xdr:col>4</xdr:col>
      <xdr:colOff>1682750</xdr:colOff>
      <xdr:row>20</xdr:row>
      <xdr:rowOff>177799</xdr:rowOff>
    </xdr:to>
    <xdr:sp macro="" textlink="">
      <xdr:nvSpPr>
        <xdr:cNvPr id="10" name="吹き出し: 角を丸めた四角形 2">
          <a:extLst>
            <a:ext uri="{FF2B5EF4-FFF2-40B4-BE49-F238E27FC236}">
              <a16:creationId xmlns:a16="http://schemas.microsoft.com/office/drawing/2014/main" id="{5B239AD7-FF66-4025-BEC6-FFD2A17CC2CD}"/>
            </a:ext>
          </a:extLst>
        </xdr:cNvPr>
        <xdr:cNvSpPr/>
      </xdr:nvSpPr>
      <xdr:spPr>
        <a:xfrm>
          <a:off x="295275" y="5838825"/>
          <a:ext cx="3867150" cy="295275"/>
        </a:xfrm>
        <a:prstGeom prst="wedgeRoundRectCallout">
          <a:avLst>
            <a:gd name="adj1" fmla="val -45298"/>
            <a:gd name="adj2" fmla="val -12546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en-US" sz="1400" b="0">
              <a:solidFill>
                <a:sysClr val="windowText" lastClr="000000"/>
              </a:solidFill>
              <a:latin typeface="Meiryo UI" panose="020B0604030504040204" pitchFamily="50" charset="-128"/>
              <a:ea typeface="Meiryo UI" panose="020B0604030504040204" pitchFamily="50" charset="-128"/>
            </a:rPr>
            <a:t>行の番号部分をクリックすると行全体が選択されます</a:t>
          </a:r>
        </a:p>
      </xdr:txBody>
    </xdr:sp>
    <xdr:clientData/>
  </xdr:twoCellAnchor>
  <xdr:twoCellAnchor editAs="oneCell">
    <xdr:from>
      <xdr:col>2</xdr:col>
      <xdr:colOff>171450</xdr:colOff>
      <xdr:row>105</xdr:row>
      <xdr:rowOff>123825</xdr:rowOff>
    </xdr:from>
    <xdr:to>
      <xdr:col>5</xdr:col>
      <xdr:colOff>1521620</xdr:colOff>
      <xdr:row>115</xdr:row>
      <xdr:rowOff>38101</xdr:rowOff>
    </xdr:to>
    <xdr:pic>
      <xdr:nvPicPr>
        <xdr:cNvPr id="16" name="図 15">
          <a:extLst>
            <a:ext uri="{FF2B5EF4-FFF2-40B4-BE49-F238E27FC236}">
              <a16:creationId xmlns:a16="http://schemas.microsoft.com/office/drawing/2014/main" id="{36F363EB-5230-F396-E340-2FC8097E1175}"/>
            </a:ext>
          </a:extLst>
        </xdr:cNvPr>
        <xdr:cNvPicPr>
          <a:picLocks noChangeAspect="1"/>
        </xdr:cNvPicPr>
      </xdr:nvPicPr>
      <xdr:blipFill rotWithShape="1">
        <a:blip xmlns:r="http://schemas.openxmlformats.org/officeDocument/2006/relationships" r:embed="rId6"/>
        <a:srcRect t="1695"/>
        <a:stretch/>
      </xdr:blipFill>
      <xdr:spPr>
        <a:xfrm>
          <a:off x="1076325" y="26889075"/>
          <a:ext cx="6750845" cy="2762250"/>
        </a:xfrm>
        <a:prstGeom prst="rect">
          <a:avLst/>
        </a:prstGeom>
      </xdr:spPr>
    </xdr:pic>
    <xdr:clientData/>
  </xdr:twoCellAnchor>
  <xdr:twoCellAnchor>
    <xdr:from>
      <xdr:col>3</xdr:col>
      <xdr:colOff>360120</xdr:colOff>
      <xdr:row>109</xdr:row>
      <xdr:rowOff>187831</xdr:rowOff>
    </xdr:from>
    <xdr:to>
      <xdr:col>4</xdr:col>
      <xdr:colOff>104776</xdr:colOff>
      <xdr:row>110</xdr:row>
      <xdr:rowOff>152401</xdr:rowOff>
    </xdr:to>
    <xdr:sp macro="" textlink="">
      <xdr:nvSpPr>
        <xdr:cNvPr id="13" name="四角形: 角を丸くする 12">
          <a:extLst>
            <a:ext uri="{FF2B5EF4-FFF2-40B4-BE49-F238E27FC236}">
              <a16:creationId xmlns:a16="http://schemas.microsoft.com/office/drawing/2014/main" id="{FEB97FBD-796D-4E00-845D-36AAD257013D}"/>
            </a:ext>
          </a:extLst>
        </xdr:cNvPr>
        <xdr:cNvSpPr/>
      </xdr:nvSpPr>
      <xdr:spPr>
        <a:xfrm>
          <a:off x="2379420" y="28172281"/>
          <a:ext cx="201856" cy="269370"/>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107</xdr:row>
      <xdr:rowOff>114300</xdr:rowOff>
    </xdr:from>
    <xdr:to>
      <xdr:col>6</xdr:col>
      <xdr:colOff>28575</xdr:colOff>
      <xdr:row>109</xdr:row>
      <xdr:rowOff>219075</xdr:rowOff>
    </xdr:to>
    <xdr:cxnSp macro="">
      <xdr:nvCxnSpPr>
        <xdr:cNvPr id="14" name="直線矢印コネクタ 13">
          <a:extLst>
            <a:ext uri="{FF2B5EF4-FFF2-40B4-BE49-F238E27FC236}">
              <a16:creationId xmlns:a16="http://schemas.microsoft.com/office/drawing/2014/main" id="{43109134-B4E6-4BEA-BDF1-570884603B56}"/>
            </a:ext>
          </a:extLst>
        </xdr:cNvPr>
        <xdr:cNvCxnSpPr/>
      </xdr:nvCxnSpPr>
      <xdr:spPr>
        <a:xfrm flipH="1">
          <a:off x="2619375" y="27489150"/>
          <a:ext cx="5381625" cy="71437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3333750</xdr:colOff>
      <xdr:row>0</xdr:row>
      <xdr:rowOff>171450</xdr:rowOff>
    </xdr:from>
    <xdr:to>
      <xdr:col>11</xdr:col>
      <xdr:colOff>8466</xdr:colOff>
      <xdr:row>2</xdr:row>
      <xdr:rowOff>152892</xdr:rowOff>
    </xdr:to>
    <xdr:pic>
      <xdr:nvPicPr>
        <xdr:cNvPr id="2" name="図 1">
          <a:extLst>
            <a:ext uri="{FF2B5EF4-FFF2-40B4-BE49-F238E27FC236}">
              <a16:creationId xmlns:a16="http://schemas.microsoft.com/office/drawing/2014/main" id="{337A2C26-9E2D-4088-B245-2E90A4AC1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4125" y="171450"/>
          <a:ext cx="2323041" cy="895842"/>
        </a:xfrm>
        <a:prstGeom prst="rect">
          <a:avLst/>
        </a:prstGeom>
      </xdr:spPr>
    </xdr:pic>
    <xdr:clientData/>
  </xdr:twoCellAnchor>
  <xdr:twoCellAnchor editAs="absolute">
    <xdr:from>
      <xdr:col>10</xdr:col>
      <xdr:colOff>66734</xdr:colOff>
      <xdr:row>32</xdr:row>
      <xdr:rowOff>219075</xdr:rowOff>
    </xdr:from>
    <xdr:to>
      <xdr:col>23</xdr:col>
      <xdr:colOff>1214</xdr:colOff>
      <xdr:row>59</xdr:row>
      <xdr:rowOff>227744</xdr:rowOff>
    </xdr:to>
    <xdr:pic>
      <xdr:nvPicPr>
        <xdr:cNvPr id="5" name="図 4">
          <a:extLst>
            <a:ext uri="{FF2B5EF4-FFF2-40B4-BE49-F238E27FC236}">
              <a16:creationId xmlns:a16="http://schemas.microsoft.com/office/drawing/2014/main" id="{FF481430-9D18-419F-A62E-3B14A1CAF170}"/>
            </a:ext>
          </a:extLst>
        </xdr:cNvPr>
        <xdr:cNvPicPr>
          <a:picLocks noChangeAspect="1"/>
        </xdr:cNvPicPr>
      </xdr:nvPicPr>
      <xdr:blipFill>
        <a:blip xmlns:r="http://schemas.openxmlformats.org/officeDocument/2006/relationships" r:embed="rId2"/>
        <a:stretch>
          <a:fillRect/>
        </a:stretch>
      </xdr:blipFill>
      <xdr:spPr>
        <a:xfrm>
          <a:off x="16154459" y="8267700"/>
          <a:ext cx="5601855" cy="6438044"/>
        </a:xfrm>
        <a:prstGeom prst="rect">
          <a:avLst/>
        </a:prstGeom>
      </xdr:spPr>
    </xdr:pic>
    <xdr:clientData/>
  </xdr:twoCellAnchor>
  <xdr:twoCellAnchor editAs="absolute">
    <xdr:from>
      <xdr:col>9</xdr:col>
      <xdr:colOff>866774</xdr:colOff>
      <xdr:row>1</xdr:row>
      <xdr:rowOff>38101</xdr:rowOff>
    </xdr:from>
    <xdr:to>
      <xdr:col>22</xdr:col>
      <xdr:colOff>378533</xdr:colOff>
      <xdr:row>32</xdr:row>
      <xdr:rowOff>85300</xdr:rowOff>
    </xdr:to>
    <xdr:pic>
      <xdr:nvPicPr>
        <xdr:cNvPr id="8" name="図 1">
          <a:extLst>
            <a:ext uri="{FF2B5EF4-FFF2-40B4-BE49-F238E27FC236}">
              <a16:creationId xmlns:a16="http://schemas.microsoft.com/office/drawing/2014/main" id="{21FBA572-E426-449B-84E1-14C1A6CCDDB8}"/>
            </a:ext>
          </a:extLst>
        </xdr:cNvPr>
        <xdr:cNvPicPr>
          <a:picLocks noChangeAspect="1"/>
        </xdr:cNvPicPr>
      </xdr:nvPicPr>
      <xdr:blipFill>
        <a:blip xmlns:r="http://schemas.openxmlformats.org/officeDocument/2006/relationships" r:embed="rId3"/>
        <a:stretch>
          <a:fillRect/>
        </a:stretch>
      </xdr:blipFill>
      <xdr:spPr>
        <a:xfrm>
          <a:off x="15992474" y="342901"/>
          <a:ext cx="5455359" cy="7791024"/>
        </a:xfrm>
        <a:prstGeom prst="rect">
          <a:avLst/>
        </a:prstGeom>
      </xdr:spPr>
    </xdr:pic>
    <xdr:clientData/>
  </xdr:twoCellAnchor>
  <xdr:twoCellAnchor editAs="oneCell">
    <xdr:from>
      <xdr:col>3</xdr:col>
      <xdr:colOff>578410</xdr:colOff>
      <xdr:row>21</xdr:row>
      <xdr:rowOff>100293</xdr:rowOff>
    </xdr:from>
    <xdr:to>
      <xdr:col>6</xdr:col>
      <xdr:colOff>720087</xdr:colOff>
      <xdr:row>28</xdr:row>
      <xdr:rowOff>89261</xdr:rowOff>
    </xdr:to>
    <xdr:sp macro="" textlink="">
      <xdr:nvSpPr>
        <xdr:cNvPr id="3" name="吹き出し: 角を丸めた四角形 2">
          <a:extLst>
            <a:ext uri="{FF2B5EF4-FFF2-40B4-BE49-F238E27FC236}">
              <a16:creationId xmlns:a16="http://schemas.microsoft.com/office/drawing/2014/main" id="{3EB74512-81F4-4376-BCBF-AE83F612672A}"/>
            </a:ext>
          </a:extLst>
        </xdr:cNvPr>
        <xdr:cNvSpPr/>
      </xdr:nvSpPr>
      <xdr:spPr>
        <a:xfrm>
          <a:off x="1146175" y="5486587"/>
          <a:ext cx="4310265" cy="1572733"/>
        </a:xfrm>
        <a:prstGeom prst="wedgeRoundRectCallout">
          <a:avLst>
            <a:gd name="adj1" fmla="val -41435"/>
            <a:gd name="adj2" fmla="val -8939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■再エネ種別の項目で「その他発電」を選択された場合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の計画提案書の表を貼り付けた下に、発電種別についても補記してください。</a:t>
          </a:r>
        </a:p>
      </xdr:txBody>
    </xdr:sp>
    <xdr:clientData/>
  </xdr:twoCellAnchor>
  <xdr:twoCellAnchor editAs="oneCell">
    <xdr:from>
      <xdr:col>5</xdr:col>
      <xdr:colOff>316566</xdr:colOff>
      <xdr:row>9</xdr:row>
      <xdr:rowOff>180602</xdr:rowOff>
    </xdr:from>
    <xdr:to>
      <xdr:col>6</xdr:col>
      <xdr:colOff>4026410</xdr:colOff>
      <xdr:row>18</xdr:row>
      <xdr:rowOff>94915</xdr:rowOff>
    </xdr:to>
    <xdr:sp macro="" textlink="">
      <xdr:nvSpPr>
        <xdr:cNvPr id="4" name="吹き出し: 角を丸めた四角形 2">
          <a:extLst>
            <a:ext uri="{FF2B5EF4-FFF2-40B4-BE49-F238E27FC236}">
              <a16:creationId xmlns:a16="http://schemas.microsoft.com/office/drawing/2014/main" id="{F484033C-2298-4358-95AE-3FDB7316FAB9}"/>
            </a:ext>
          </a:extLst>
        </xdr:cNvPr>
        <xdr:cNvSpPr/>
      </xdr:nvSpPr>
      <xdr:spPr>
        <a:xfrm>
          <a:off x="4111625" y="2787837"/>
          <a:ext cx="4651138" cy="1998607"/>
        </a:xfrm>
        <a:prstGeom prst="wedgeRoundRectCallout">
          <a:avLst>
            <a:gd name="adj1" fmla="val -31789"/>
            <a:gd name="adj2" fmla="val -775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■調査の手法</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”再エネ情報提供システム（</a:t>
          </a:r>
          <a:r>
            <a:rPr kumimoji="1" lang="en-US" altLang="ja-JP" sz="1400" b="0">
              <a:solidFill>
                <a:sysClr val="windowText" lastClr="000000"/>
              </a:solidFill>
              <a:latin typeface="Meiryo UI" panose="020B0604030504040204" pitchFamily="50" charset="-128"/>
              <a:ea typeface="Meiryo UI" panose="020B0604030504040204" pitchFamily="50" charset="-128"/>
            </a:rPr>
            <a:t>REPOS</a:t>
          </a:r>
          <a:r>
            <a:rPr kumimoji="1" lang="ja-JP" altLang="en-US" sz="1400" b="0">
              <a:solidFill>
                <a:sysClr val="windowText" lastClr="000000"/>
              </a:solidFill>
              <a:latin typeface="Meiryo UI" panose="020B0604030504040204" pitchFamily="50" charset="-128"/>
              <a:ea typeface="Meiryo UI" panose="020B0604030504040204" pitchFamily="50" charset="-128"/>
            </a:rPr>
            <a:t>）の活用”や、”衛星写真の活用”、”独自の調査”等、調査手法を記入してください。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また、その進捗状況について、選択肢 「済」・「一部済」から選択してください。</a:t>
          </a:r>
        </a:p>
      </xdr:txBody>
    </xdr:sp>
    <xdr:clientData/>
  </xdr:twoCellAnchor>
  <xdr:twoCellAnchor editAs="oneCell">
    <xdr:from>
      <xdr:col>7</xdr:col>
      <xdr:colOff>849032</xdr:colOff>
      <xdr:row>9</xdr:row>
      <xdr:rowOff>85352</xdr:rowOff>
    </xdr:from>
    <xdr:to>
      <xdr:col>8</xdr:col>
      <xdr:colOff>3786282</xdr:colOff>
      <xdr:row>25</xdr:row>
      <xdr:rowOff>135043</xdr:rowOff>
    </xdr:to>
    <xdr:sp macro="" textlink="">
      <xdr:nvSpPr>
        <xdr:cNvPr id="6" name="吹き出し: 角を丸めた四角形 2">
          <a:extLst>
            <a:ext uri="{FF2B5EF4-FFF2-40B4-BE49-F238E27FC236}">
              <a16:creationId xmlns:a16="http://schemas.microsoft.com/office/drawing/2014/main" id="{B008ECD5-9E1E-460D-8827-FA934E06A060}"/>
            </a:ext>
          </a:extLst>
        </xdr:cNvPr>
        <xdr:cNvSpPr/>
      </xdr:nvSpPr>
      <xdr:spPr>
        <a:xfrm>
          <a:off x="10090150" y="2692587"/>
          <a:ext cx="4296897" cy="3717750"/>
        </a:xfrm>
        <a:prstGeom prst="wedgeRoundRectCallout">
          <a:avLst>
            <a:gd name="adj1" fmla="val -34428"/>
            <a:gd name="adj2" fmla="val -621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■除外理由</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再エネ種別ごとに、再エネ導入が難しい事項（急傾斜地や景観規制、その他環境保全上の支障、合意形成が難しい等）について、内容を記載してください。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記入内容の文字数が長い場合には、行幅の自動調整されますが、手作業で行幅の変更を行うと、自動調整の設定が解除されますのでご注意ください。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「考慮すべき事項」の記載している情報に補記する内容があれば、</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の計画提案書の表を貼り付けた下に、再エネ種別ごとに記載するようにしてください。</a:t>
          </a:r>
        </a:p>
      </xdr:txBody>
    </xdr:sp>
    <xdr:clientData/>
  </xdr:twoCellAnchor>
  <xdr:twoCellAnchor editAs="absolute">
    <xdr:from>
      <xdr:col>0</xdr:col>
      <xdr:colOff>0</xdr:colOff>
      <xdr:row>1</xdr:row>
      <xdr:rowOff>605118</xdr:rowOff>
    </xdr:from>
    <xdr:to>
      <xdr:col>6</xdr:col>
      <xdr:colOff>575877</xdr:colOff>
      <xdr:row>5</xdr:row>
      <xdr:rowOff>6510</xdr:rowOff>
    </xdr:to>
    <xdr:sp macro="" textlink="">
      <xdr:nvSpPr>
        <xdr:cNvPr id="7" name="吹き出し: 角を丸めた四角形 4">
          <a:extLst>
            <a:ext uri="{FF2B5EF4-FFF2-40B4-BE49-F238E27FC236}">
              <a16:creationId xmlns:a16="http://schemas.microsoft.com/office/drawing/2014/main" id="{D5651790-0EB8-490D-B3A0-ABC6C7A0AA3E}"/>
            </a:ext>
          </a:extLst>
        </xdr:cNvPr>
        <xdr:cNvSpPr/>
      </xdr:nvSpPr>
      <xdr:spPr>
        <a:xfrm>
          <a:off x="0" y="911412"/>
          <a:ext cx="5312230" cy="4771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838200</xdr:colOff>
      <xdr:row>0</xdr:row>
      <xdr:rowOff>85725</xdr:rowOff>
    </xdr:from>
    <xdr:to>
      <xdr:col>20</xdr:col>
      <xdr:colOff>17991</xdr:colOff>
      <xdr:row>3</xdr:row>
      <xdr:rowOff>200517</xdr:rowOff>
    </xdr:to>
    <xdr:pic>
      <xdr:nvPicPr>
        <xdr:cNvPr id="2" name="図 1">
          <a:extLst>
            <a:ext uri="{FF2B5EF4-FFF2-40B4-BE49-F238E27FC236}">
              <a16:creationId xmlns:a16="http://schemas.microsoft.com/office/drawing/2014/main" id="{34FE291C-188A-424C-8559-3165CAFE2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7925" y="85725"/>
          <a:ext cx="2323041" cy="895842"/>
        </a:xfrm>
        <a:prstGeom prst="rect">
          <a:avLst/>
        </a:prstGeom>
      </xdr:spPr>
    </xdr:pic>
    <xdr:clientData/>
  </xdr:twoCellAnchor>
  <xdr:twoCellAnchor editAs="oneCell">
    <xdr:from>
      <xdr:col>1</xdr:col>
      <xdr:colOff>57150</xdr:colOff>
      <xdr:row>7</xdr:row>
      <xdr:rowOff>200025</xdr:rowOff>
    </xdr:from>
    <xdr:to>
      <xdr:col>7</xdr:col>
      <xdr:colOff>267461</xdr:colOff>
      <xdr:row>21</xdr:row>
      <xdr:rowOff>57150</xdr:rowOff>
    </xdr:to>
    <xdr:sp macro="" textlink="">
      <xdr:nvSpPr>
        <xdr:cNvPr id="3" name="吹き出し: 角を丸めた四角形 62">
          <a:extLst>
            <a:ext uri="{FF2B5EF4-FFF2-40B4-BE49-F238E27FC236}">
              <a16:creationId xmlns:a16="http://schemas.microsoft.com/office/drawing/2014/main" id="{2AE9FDE3-B7FB-4417-B4C4-DFC5B28BABF0}"/>
            </a:ext>
          </a:extLst>
        </xdr:cNvPr>
        <xdr:cNvSpPr/>
      </xdr:nvSpPr>
      <xdr:spPr>
        <a:xfrm>
          <a:off x="238125" y="2466975"/>
          <a:ext cx="3963161" cy="2809875"/>
        </a:xfrm>
        <a:prstGeom prst="wedgeRoundRectCallout">
          <a:avLst>
            <a:gd name="adj1" fmla="val -23011"/>
            <a:gd name="adj2" fmla="val -63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・低圧に該当する施設については、当該再エネ発電設備種別ごとの発電量の</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を超えない規模でまとめて記載することが可能です。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・ただし、まとめられる施設は設置エリア・施設の種類が同じであることとします。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・また、合意形成や</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調査の進捗度が同じ施設でまとめられていることが望ましいです。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8</xdr:col>
      <xdr:colOff>209550</xdr:colOff>
      <xdr:row>20</xdr:row>
      <xdr:rowOff>104775</xdr:rowOff>
    </xdr:from>
    <xdr:to>
      <xdr:col>11</xdr:col>
      <xdr:colOff>698913</xdr:colOff>
      <xdr:row>33</xdr:row>
      <xdr:rowOff>20487</xdr:rowOff>
    </xdr:to>
    <xdr:sp macro="" textlink="">
      <xdr:nvSpPr>
        <xdr:cNvPr id="4" name="吹き出し: 角を丸めた四角形 62">
          <a:extLst>
            <a:ext uri="{FF2B5EF4-FFF2-40B4-BE49-F238E27FC236}">
              <a16:creationId xmlns:a16="http://schemas.microsoft.com/office/drawing/2014/main" id="{1B5F4B55-B7C8-4589-BB9E-8E37DB73C07A}"/>
            </a:ext>
          </a:extLst>
        </xdr:cNvPr>
        <xdr:cNvSpPr/>
      </xdr:nvSpPr>
      <xdr:spPr>
        <a:xfrm>
          <a:off x="5086350" y="5067300"/>
          <a:ext cx="4004088" cy="2601762"/>
        </a:xfrm>
        <a:prstGeom prst="wedgeRoundRectCallout">
          <a:avLst>
            <a:gd name="adj1" fmla="val -82705"/>
            <a:gd name="adj2" fmla="val -16205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計画において新規再エネ導入設備として挙げられる全ての施設に太陽光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-2</a:t>
          </a:r>
          <a:r>
            <a:rPr kumimoji="1" lang="ja-JP" altLang="en-US" sz="1400" b="0">
              <a:solidFill>
                <a:sysClr val="windowText" lastClr="000000"/>
              </a:solidFill>
              <a:latin typeface="Meiryo UI" panose="020B0604030504040204" pitchFamily="50" charset="-128"/>
              <a:ea typeface="Meiryo UI" panose="020B0604030504040204" pitchFamily="50" charset="-128"/>
            </a:rPr>
            <a:t>、・・・といった通し番号を記載してください。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数字のみの記載はエラーが出てしまうため、電源種と数字の組み合わせで記載してください。</a:t>
          </a:r>
        </a:p>
      </xdr:txBody>
    </xdr:sp>
    <xdr:clientData/>
  </xdr:twoCellAnchor>
  <xdr:twoCellAnchor editAs="oneCell">
    <xdr:from>
      <xdr:col>9</xdr:col>
      <xdr:colOff>304800</xdr:colOff>
      <xdr:row>9</xdr:row>
      <xdr:rowOff>66675</xdr:rowOff>
    </xdr:from>
    <xdr:to>
      <xdr:col>14</xdr:col>
      <xdr:colOff>332139</xdr:colOff>
      <xdr:row>19</xdr:row>
      <xdr:rowOff>161925</xdr:rowOff>
    </xdr:to>
    <xdr:sp macro="" textlink="">
      <xdr:nvSpPr>
        <xdr:cNvPr id="5" name="吹き出し: 角を丸めた四角形 62">
          <a:extLst>
            <a:ext uri="{FF2B5EF4-FFF2-40B4-BE49-F238E27FC236}">
              <a16:creationId xmlns:a16="http://schemas.microsoft.com/office/drawing/2014/main" id="{4929A967-020E-43C3-A42B-204340CE95AD}"/>
            </a:ext>
          </a:extLst>
        </xdr:cNvPr>
        <xdr:cNvSpPr/>
      </xdr:nvSpPr>
      <xdr:spPr>
        <a:xfrm>
          <a:off x="6457950" y="2562225"/>
          <a:ext cx="4942239" cy="2324100"/>
        </a:xfrm>
        <a:prstGeom prst="wedgeRoundRectCallout">
          <a:avLst>
            <a:gd name="adj1" fmla="val -84895"/>
            <a:gd name="adj2" fmla="val -667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１設備当たりの発電量が大きい等、脱炭素先行地域の取組を進めるに当たって特に重要となる設備を基幹設備として各自で判断してください。設定された設備に、基幹１、２・・・といった通し番号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基幹設備に該当しない場合は、空欄としてください。</a:t>
          </a:r>
        </a:p>
      </xdr:txBody>
    </xdr:sp>
    <xdr:clientData/>
  </xdr:twoCellAnchor>
  <xdr:twoCellAnchor editAs="oneCell">
    <xdr:from>
      <xdr:col>9</xdr:col>
      <xdr:colOff>1038226</xdr:colOff>
      <xdr:row>3</xdr:row>
      <xdr:rowOff>161924</xdr:rowOff>
    </xdr:from>
    <xdr:to>
      <xdr:col>13</xdr:col>
      <xdr:colOff>66676</xdr:colOff>
      <xdr:row>5</xdr:row>
      <xdr:rowOff>113948</xdr:rowOff>
    </xdr:to>
    <xdr:sp macro="" textlink="">
      <xdr:nvSpPr>
        <xdr:cNvPr id="6" name="吹き出し: 角を丸めた四角形 62">
          <a:extLst>
            <a:ext uri="{FF2B5EF4-FFF2-40B4-BE49-F238E27FC236}">
              <a16:creationId xmlns:a16="http://schemas.microsoft.com/office/drawing/2014/main" id="{300E7BE7-424F-4FD5-9234-83413B561C76}"/>
            </a:ext>
          </a:extLst>
        </xdr:cNvPr>
        <xdr:cNvSpPr/>
      </xdr:nvSpPr>
      <xdr:spPr>
        <a:xfrm>
          <a:off x="7191376" y="942974"/>
          <a:ext cx="3048000" cy="380649"/>
        </a:xfrm>
        <a:prstGeom prst="wedgeRoundRectCallout">
          <a:avLst>
            <a:gd name="adj1" fmla="val -52750"/>
            <a:gd name="adj2" fmla="val 1093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オンサイト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オフサイトから選択してください。</a:t>
          </a:r>
        </a:p>
      </xdr:txBody>
    </xdr:sp>
    <xdr:clientData/>
  </xdr:twoCellAnchor>
  <xdr:twoCellAnchor editAs="oneCell">
    <xdr:from>
      <xdr:col>13</xdr:col>
      <xdr:colOff>466724</xdr:colOff>
      <xdr:row>1</xdr:row>
      <xdr:rowOff>190500</xdr:rowOff>
    </xdr:from>
    <xdr:to>
      <xdr:col>16</xdr:col>
      <xdr:colOff>333374</xdr:colOff>
      <xdr:row>5</xdr:row>
      <xdr:rowOff>89298</xdr:rowOff>
    </xdr:to>
    <xdr:sp macro="" textlink="">
      <xdr:nvSpPr>
        <xdr:cNvPr id="7" name="吹き出し: 角を丸めた四角形 69">
          <a:extLst>
            <a:ext uri="{FF2B5EF4-FFF2-40B4-BE49-F238E27FC236}">
              <a16:creationId xmlns:a16="http://schemas.microsoft.com/office/drawing/2014/main" id="{02CCDD37-4A51-4C27-9B0C-88B4617B9FB2}"/>
            </a:ext>
          </a:extLst>
        </xdr:cNvPr>
        <xdr:cNvSpPr/>
      </xdr:nvSpPr>
      <xdr:spPr>
        <a:xfrm>
          <a:off x="10639424" y="495300"/>
          <a:ext cx="2733675" cy="803673"/>
        </a:xfrm>
        <a:prstGeom prst="wedgeRoundRectCallout">
          <a:avLst>
            <a:gd name="adj1" fmla="val 46499"/>
            <a:gd name="adj2" fmla="val 981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N.Q</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14</xdr:col>
      <xdr:colOff>485775</xdr:colOff>
      <xdr:row>10</xdr:row>
      <xdr:rowOff>38100</xdr:rowOff>
    </xdr:from>
    <xdr:to>
      <xdr:col>21</xdr:col>
      <xdr:colOff>47625</xdr:colOff>
      <xdr:row>19</xdr:row>
      <xdr:rowOff>137556</xdr:rowOff>
    </xdr:to>
    <xdr:sp macro="" textlink="">
      <xdr:nvSpPr>
        <xdr:cNvPr id="8" name="吹き出し: 角を丸めた四角形 62">
          <a:extLst>
            <a:ext uri="{FF2B5EF4-FFF2-40B4-BE49-F238E27FC236}">
              <a16:creationId xmlns:a16="http://schemas.microsoft.com/office/drawing/2014/main" id="{CC51A04F-BD61-4438-86CA-CE289E840786}"/>
            </a:ext>
          </a:extLst>
        </xdr:cNvPr>
        <xdr:cNvSpPr/>
      </xdr:nvSpPr>
      <xdr:spPr>
        <a:xfrm>
          <a:off x="11553825" y="2505075"/>
          <a:ext cx="4810125" cy="2080656"/>
        </a:xfrm>
        <a:prstGeom prst="wedgeRoundRectCallout">
          <a:avLst>
            <a:gd name="adj1" fmla="val -48385"/>
            <a:gd name="adj2" fmla="val -807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22</xdr:col>
      <xdr:colOff>142875</xdr:colOff>
      <xdr:row>9</xdr:row>
      <xdr:rowOff>161925</xdr:rowOff>
    </xdr:from>
    <xdr:to>
      <xdr:col>43</xdr:col>
      <xdr:colOff>479198</xdr:colOff>
      <xdr:row>21</xdr:row>
      <xdr:rowOff>57150</xdr:rowOff>
    </xdr:to>
    <xdr:sp macro="" textlink="">
      <xdr:nvSpPr>
        <xdr:cNvPr id="9" name="吹き出し: 角を丸めた四角形 69">
          <a:extLst>
            <a:ext uri="{FF2B5EF4-FFF2-40B4-BE49-F238E27FC236}">
              <a16:creationId xmlns:a16="http://schemas.microsoft.com/office/drawing/2014/main" id="{6999A8BC-EC1E-459A-B9CC-724ACFD68A44}"/>
            </a:ext>
          </a:extLst>
        </xdr:cNvPr>
        <xdr:cNvSpPr/>
      </xdr:nvSpPr>
      <xdr:spPr>
        <a:xfrm>
          <a:off x="17145000" y="2390775"/>
          <a:ext cx="4451123" cy="2619375"/>
        </a:xfrm>
        <a:prstGeom prst="wedgeRoundRectCallout">
          <a:avLst>
            <a:gd name="adj1" fmla="val -57770"/>
            <a:gd name="adj2" fmla="val -489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・「基幹設備」列</a:t>
          </a:r>
          <a:r>
            <a:rPr kumimoji="1" lang="en-US" altLang="ja-JP" sz="1400" b="0">
              <a:solidFill>
                <a:sysClr val="windowText" lastClr="000000"/>
              </a:solidFill>
              <a:latin typeface="Meiryo UI" panose="020B0604030504040204" pitchFamily="50" charset="-128"/>
              <a:ea typeface="Meiryo UI" panose="020B0604030504040204" pitchFamily="50" charset="-128"/>
            </a:rPr>
            <a:t>(H</a:t>
          </a:r>
          <a:r>
            <a:rPr kumimoji="1" lang="ja-JP" altLang="en-US" sz="1400" b="0">
              <a:solidFill>
                <a:sysClr val="windowText" lastClr="000000"/>
              </a:solidFill>
              <a:latin typeface="Meiryo UI" panose="020B0604030504040204" pitchFamily="50" charset="-128"/>
              <a:ea typeface="Meiryo UI" panose="020B0604030504040204" pitchFamily="50" charset="-128"/>
            </a:rPr>
            <a:t>列</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に該当する施設は</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が表示された施設は、表作成ツール内の</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新規の再エネ発電設備の導入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別表</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・なお、</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列は様式１に貼り付ける必要はありません。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95250</xdr:colOff>
      <xdr:row>21</xdr:row>
      <xdr:rowOff>209550</xdr:rowOff>
    </xdr:from>
    <xdr:to>
      <xdr:col>7</xdr:col>
      <xdr:colOff>505586</xdr:colOff>
      <xdr:row>32</xdr:row>
      <xdr:rowOff>142875</xdr:rowOff>
    </xdr:to>
    <xdr:sp macro="" textlink="">
      <xdr:nvSpPr>
        <xdr:cNvPr id="10" name="吹き出し: 角を丸めた四角形 62">
          <a:extLst>
            <a:ext uri="{FF2B5EF4-FFF2-40B4-BE49-F238E27FC236}">
              <a16:creationId xmlns:a16="http://schemas.microsoft.com/office/drawing/2014/main" id="{4FB8220F-4215-43BA-A35C-9402816AD717}"/>
            </a:ext>
          </a:extLst>
        </xdr:cNvPr>
        <xdr:cNvSpPr/>
      </xdr:nvSpPr>
      <xdr:spPr>
        <a:xfrm>
          <a:off x="476250" y="5419725"/>
          <a:ext cx="3963161" cy="2124075"/>
        </a:xfrm>
        <a:prstGeom prst="wedgeRoundRectCallout">
          <a:avLst>
            <a:gd name="adj1" fmla="val -59542"/>
            <a:gd name="adj2" fmla="val 1001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をする際は、同じ設置場所の行をコピーして挿入するようにしてください。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例えば、「宿泊施設」に行追加する場合は、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「公共施設」など他項目の行ではなく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22</xdr:col>
      <xdr:colOff>219075</xdr:colOff>
      <xdr:row>139</xdr:row>
      <xdr:rowOff>47625</xdr:rowOff>
    </xdr:from>
    <xdr:to>
      <xdr:col>46</xdr:col>
      <xdr:colOff>622978</xdr:colOff>
      <xdr:row>158</xdr:row>
      <xdr:rowOff>663108</xdr:rowOff>
    </xdr:to>
    <xdr:sp macro="" textlink="">
      <xdr:nvSpPr>
        <xdr:cNvPr id="12" name="吹き出し: 角を丸めた四角形 62">
          <a:extLst>
            <a:ext uri="{FF2B5EF4-FFF2-40B4-BE49-F238E27FC236}">
              <a16:creationId xmlns:a16="http://schemas.microsoft.com/office/drawing/2014/main" id="{18AFB04D-1680-4D89-8ACF-452684A57742}"/>
            </a:ext>
          </a:extLst>
        </xdr:cNvPr>
        <xdr:cNvSpPr/>
      </xdr:nvSpPr>
      <xdr:spPr>
        <a:xfrm>
          <a:off x="17221200" y="32975550"/>
          <a:ext cx="6576103" cy="5949483"/>
        </a:xfrm>
        <a:prstGeom prst="wedgeRoundRectCallout">
          <a:avLst>
            <a:gd name="adj1" fmla="val -62047"/>
            <a:gd name="adj2" fmla="val -50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バイオマス発電量</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「設備全体の発電量」に「バイオマス比率」を乗じた「バイオマス発電量」を再エネ設備の導入量として扱います。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導入する設備が建替え、広域化・集約化する場合、バイオマス発電量は「新規の再エネ発電設備」と「既存の再エネ発電設備」の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項目に分けて計上してください。数値の算出については、以下の流れで行うようにしてください。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（ア）建て替える前の既存の発電所又は広域化・集約化する既存の発電所の全体の発電量を算出する。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（イ）（ア）の数値に既存発電所のバイオマス比率を乗ずる。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（ウ）建替え、広域化・集約化される新規の発電所の全体の発電量を算出する。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（エ）（ウ）の数値に新規発電所のバイオマス比率を乗ずる。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（オ）（イ）の結果と（エ）の結果を比較し、新規に増加した発電量を算出する。</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　表中の“設備全体の発電量”には（ウ）の数値を記載し、“バイオマス発電量”には（オ）の数値を記載してください。なお、（イ）の発電量は「既存の再エネ発電設備」の発電量として、「</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流用可能な既存の再エネ発電設備の状況」に記載してください。</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44903</xdr:colOff>
      <xdr:row>129</xdr:row>
      <xdr:rowOff>28575</xdr:rowOff>
    </xdr:from>
    <xdr:to>
      <xdr:col>11</xdr:col>
      <xdr:colOff>771977</xdr:colOff>
      <xdr:row>136</xdr:row>
      <xdr:rowOff>232893</xdr:rowOff>
    </xdr:to>
    <xdr:sp macro="" textlink="">
      <xdr:nvSpPr>
        <xdr:cNvPr id="13" name="吹き出し: 角を丸めた四角形 62">
          <a:extLst>
            <a:ext uri="{FF2B5EF4-FFF2-40B4-BE49-F238E27FC236}">
              <a16:creationId xmlns:a16="http://schemas.microsoft.com/office/drawing/2014/main" id="{E36BEB88-9481-490E-BB5D-2442E975D3B4}"/>
            </a:ext>
          </a:extLst>
        </xdr:cNvPr>
        <xdr:cNvSpPr/>
      </xdr:nvSpPr>
      <xdr:spPr>
        <a:xfrm>
          <a:off x="3978728" y="30175200"/>
          <a:ext cx="5184774" cy="1794993"/>
        </a:xfrm>
        <a:prstGeom prst="wedgeRoundRectCallout">
          <a:avLst>
            <a:gd name="adj1" fmla="val 27749"/>
            <a:gd name="adj2" fmla="val 611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電源</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・非該当：施設が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電源と</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電源のどちらにも該当しない場合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以上の３つのいずれかを記載してください。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134791</xdr:colOff>
      <xdr:row>149</xdr:row>
      <xdr:rowOff>209550</xdr:rowOff>
    </xdr:from>
    <xdr:to>
      <xdr:col>7</xdr:col>
      <xdr:colOff>882195</xdr:colOff>
      <xdr:row>156</xdr:row>
      <xdr:rowOff>189741</xdr:rowOff>
    </xdr:to>
    <xdr:sp macro="" textlink="">
      <xdr:nvSpPr>
        <xdr:cNvPr id="14" name="吹き出し: 角を丸めた四角形 62">
          <a:extLst>
            <a:ext uri="{FF2B5EF4-FFF2-40B4-BE49-F238E27FC236}">
              <a16:creationId xmlns:a16="http://schemas.microsoft.com/office/drawing/2014/main" id="{D38892C9-5F35-43AA-821F-49C467582F8C}"/>
            </a:ext>
          </a:extLst>
        </xdr:cNvPr>
        <xdr:cNvSpPr/>
      </xdr:nvSpPr>
      <xdr:spPr>
        <a:xfrm>
          <a:off x="134791" y="34232850"/>
          <a:ext cx="4681229" cy="1685166"/>
        </a:xfrm>
        <a:prstGeom prst="wedgeRoundRectCallout">
          <a:avLst>
            <a:gd name="adj1" fmla="val -26403"/>
            <a:gd name="adj2" fmla="val -980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上記表に項目の記載がある発電以外の発電方法を記載する場合、発電種類を記載ください。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また、設置場所の項目にも、「○○発電（設置場所）」のように発電種類と設置場所を記載してください。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104775</xdr:colOff>
      <xdr:row>158</xdr:row>
      <xdr:rowOff>485775</xdr:rowOff>
    </xdr:from>
    <xdr:to>
      <xdr:col>7</xdr:col>
      <xdr:colOff>852179</xdr:colOff>
      <xdr:row>162</xdr:row>
      <xdr:rowOff>114300</xdr:rowOff>
    </xdr:to>
    <xdr:sp macro="" textlink="">
      <xdr:nvSpPr>
        <xdr:cNvPr id="15" name="吹き出し: 角を丸めた四角形 62">
          <a:extLst>
            <a:ext uri="{FF2B5EF4-FFF2-40B4-BE49-F238E27FC236}">
              <a16:creationId xmlns:a16="http://schemas.microsoft.com/office/drawing/2014/main" id="{4518120B-274A-4EAF-8E2B-DE866B0747C5}"/>
            </a:ext>
          </a:extLst>
        </xdr:cNvPr>
        <xdr:cNvSpPr/>
      </xdr:nvSpPr>
      <xdr:spPr>
        <a:xfrm>
          <a:off x="104775" y="38585775"/>
          <a:ext cx="4681229" cy="866775"/>
        </a:xfrm>
        <a:prstGeom prst="wedgeRoundRectCallout">
          <a:avLst>
            <a:gd name="adj1" fmla="val -29455"/>
            <a:gd name="adj2" fmla="val -1052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民生部門以外の電力取組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民生部門以外で発電する取組があれば、こちらに記載ください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419100</xdr:colOff>
      <xdr:row>99</xdr:row>
      <xdr:rowOff>171450</xdr:rowOff>
    </xdr:from>
    <xdr:to>
      <xdr:col>21</xdr:col>
      <xdr:colOff>578829</xdr:colOff>
      <xdr:row>107</xdr:row>
      <xdr:rowOff>292276</xdr:rowOff>
    </xdr:to>
    <xdr:sp macro="" textlink="">
      <xdr:nvSpPr>
        <xdr:cNvPr id="11" name="吹き出し: 角を丸めた四角形 62">
          <a:extLst>
            <a:ext uri="{FF2B5EF4-FFF2-40B4-BE49-F238E27FC236}">
              <a16:creationId xmlns:a16="http://schemas.microsoft.com/office/drawing/2014/main" id="{159DD536-7F1F-49A9-8724-AB2C56569FCD}"/>
            </a:ext>
          </a:extLst>
        </xdr:cNvPr>
        <xdr:cNvSpPr/>
      </xdr:nvSpPr>
      <xdr:spPr>
        <a:xfrm>
          <a:off x="11487150" y="22240875"/>
          <a:ext cx="5408004" cy="2092501"/>
        </a:xfrm>
        <a:prstGeom prst="wedgeRoundRectCallout">
          <a:avLst>
            <a:gd name="adj1" fmla="val -44653"/>
            <a:gd name="adj2" fmla="val -73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契約電力区分（水力発電）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及び最大使用流量が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1m3/s</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未満</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ダムを伴うものを除く</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14</xdr:col>
      <xdr:colOff>437630</xdr:colOff>
      <xdr:row>111</xdr:row>
      <xdr:rowOff>26077</xdr:rowOff>
    </xdr:from>
    <xdr:to>
      <xdr:col>21</xdr:col>
      <xdr:colOff>597359</xdr:colOff>
      <xdr:row>117</xdr:row>
      <xdr:rowOff>310736</xdr:rowOff>
    </xdr:to>
    <xdr:sp macro="" textlink="">
      <xdr:nvSpPr>
        <xdr:cNvPr id="16" name="吹き出し: 角を丸めた四角形 62">
          <a:extLst>
            <a:ext uri="{FF2B5EF4-FFF2-40B4-BE49-F238E27FC236}">
              <a16:creationId xmlns:a16="http://schemas.microsoft.com/office/drawing/2014/main" id="{39EEA281-A6A2-4F70-B309-C60CF0FB364A}"/>
            </a:ext>
          </a:extLst>
        </xdr:cNvPr>
        <xdr:cNvSpPr/>
      </xdr:nvSpPr>
      <xdr:spPr>
        <a:xfrm>
          <a:off x="11505680" y="25305427"/>
          <a:ext cx="5408004" cy="1761034"/>
        </a:xfrm>
        <a:prstGeom prst="wedgeRoundRectCallout">
          <a:avLst>
            <a:gd name="adj1" fmla="val -45068"/>
            <a:gd name="adj2" fmla="val -860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契約電力区分（風力発電）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absolute">
    <xdr:from>
      <xdr:col>1</xdr:col>
      <xdr:colOff>104775</xdr:colOff>
      <xdr:row>91</xdr:row>
      <xdr:rowOff>114300</xdr:rowOff>
    </xdr:from>
    <xdr:to>
      <xdr:col>8</xdr:col>
      <xdr:colOff>749755</xdr:colOff>
      <xdr:row>93</xdr:row>
      <xdr:rowOff>166007</xdr:rowOff>
    </xdr:to>
    <xdr:sp macro="" textlink="">
      <xdr:nvSpPr>
        <xdr:cNvPr id="17" name="吹き出し: 角を丸めた四角形 4">
          <a:extLst>
            <a:ext uri="{FF2B5EF4-FFF2-40B4-BE49-F238E27FC236}">
              <a16:creationId xmlns:a16="http://schemas.microsoft.com/office/drawing/2014/main" id="{655F752A-E01C-4816-ACE0-5DFB0760920C}"/>
            </a:ext>
          </a:extLst>
        </xdr:cNvPr>
        <xdr:cNvSpPr/>
      </xdr:nvSpPr>
      <xdr:spPr>
        <a:xfrm>
          <a:off x="285750" y="201072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0</xdr:col>
      <xdr:colOff>53975</xdr:colOff>
      <xdr:row>0</xdr:row>
      <xdr:rowOff>266700</xdr:rowOff>
    </xdr:from>
    <xdr:to>
      <xdr:col>9</xdr:col>
      <xdr:colOff>748965</xdr:colOff>
      <xdr:row>6</xdr:row>
      <xdr:rowOff>513865</xdr:rowOff>
    </xdr:to>
    <xdr:sp macro="" textlink="">
      <xdr:nvSpPr>
        <xdr:cNvPr id="18" name="四角形: 角を丸くする 17">
          <a:extLst>
            <a:ext uri="{FF2B5EF4-FFF2-40B4-BE49-F238E27FC236}">
              <a16:creationId xmlns:a16="http://schemas.microsoft.com/office/drawing/2014/main" id="{2EFC74BF-46E3-40A0-A3AC-D692D4177336}"/>
            </a:ext>
          </a:extLst>
        </xdr:cNvPr>
        <xdr:cNvSpPr/>
      </xdr:nvSpPr>
      <xdr:spPr>
        <a:xfrm>
          <a:off x="53975" y="266700"/>
          <a:ext cx="6822740" cy="172671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u="sng">
              <a:solidFill>
                <a:sysClr val="windowText" lastClr="000000"/>
              </a:solidFill>
              <a:latin typeface="Meiryo UI" panose="020B0604030504040204" pitchFamily="50" charset="-128"/>
              <a:ea typeface="Meiryo UI" panose="020B0604030504040204" pitchFamily="50" charset="-128"/>
              <a:cs typeface="+mn-cs"/>
            </a:rPr>
            <a:t>注意事項（作成前にお読みください）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・各設備の情報に入力漏れがある場合、設備導入の実現可能性の自動判定において、</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判定が出力されないことや誤った判定が出力されることがあります。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・全設備の全情報の入力を完了すると正しい判定が出力されるため、　入力漏れがないように</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ご注意ください。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5</xdr:col>
      <xdr:colOff>571500</xdr:colOff>
      <xdr:row>97</xdr:row>
      <xdr:rowOff>85725</xdr:rowOff>
    </xdr:from>
    <xdr:to>
      <xdr:col>8</xdr:col>
      <xdr:colOff>943736</xdr:colOff>
      <xdr:row>105</xdr:row>
      <xdr:rowOff>85725</xdr:rowOff>
    </xdr:to>
    <xdr:sp macro="" textlink="">
      <xdr:nvSpPr>
        <xdr:cNvPr id="19" name="吹き出し: 角を丸めた四角形 62">
          <a:extLst>
            <a:ext uri="{FF2B5EF4-FFF2-40B4-BE49-F238E27FC236}">
              <a16:creationId xmlns:a16="http://schemas.microsoft.com/office/drawing/2014/main" id="{FF7B8502-7EAF-485C-BA64-E83FE0550B72}"/>
            </a:ext>
          </a:extLst>
        </xdr:cNvPr>
        <xdr:cNvSpPr/>
      </xdr:nvSpPr>
      <xdr:spPr>
        <a:xfrm>
          <a:off x="1857375" y="21488400"/>
          <a:ext cx="3963161" cy="212407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をする際は、同じ発電種別の行をコピーして挿入するようにしてください。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例えば、「水力発電」に行追加する場合は、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「風力発電」など他発電種別の行ではなく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「水力発電」の行をコピーして挿入するようにお願いいたします。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504825</xdr:colOff>
      <xdr:row>0</xdr:row>
      <xdr:rowOff>133350</xdr:rowOff>
    </xdr:from>
    <xdr:to>
      <xdr:col>15</xdr:col>
      <xdr:colOff>265641</xdr:colOff>
      <xdr:row>2</xdr:row>
      <xdr:rowOff>114792</xdr:rowOff>
    </xdr:to>
    <xdr:pic>
      <xdr:nvPicPr>
        <xdr:cNvPr id="2" name="図 1">
          <a:extLst>
            <a:ext uri="{FF2B5EF4-FFF2-40B4-BE49-F238E27FC236}">
              <a16:creationId xmlns:a16="http://schemas.microsoft.com/office/drawing/2014/main" id="{4AB81A65-1E74-469F-BC4A-6BDECD9A40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68200" y="133350"/>
          <a:ext cx="2323041" cy="895842"/>
        </a:xfrm>
        <a:prstGeom prst="rect">
          <a:avLst/>
        </a:prstGeom>
      </xdr:spPr>
    </xdr:pic>
    <xdr:clientData/>
  </xdr:twoCellAnchor>
  <xdr:twoCellAnchor editAs="absolute">
    <xdr:from>
      <xdr:col>2</xdr:col>
      <xdr:colOff>59870</xdr:colOff>
      <xdr:row>1</xdr:row>
      <xdr:rowOff>466725</xdr:rowOff>
    </xdr:from>
    <xdr:to>
      <xdr:col>8</xdr:col>
      <xdr:colOff>257175</xdr:colOff>
      <xdr:row>4</xdr:row>
      <xdr:rowOff>4082</xdr:rowOff>
    </xdr:to>
    <xdr:sp macro="" textlink="">
      <xdr:nvSpPr>
        <xdr:cNvPr id="3" name="吹き出し: 角を丸めた四角形 4">
          <a:extLst>
            <a:ext uri="{FF2B5EF4-FFF2-40B4-BE49-F238E27FC236}">
              <a16:creationId xmlns:a16="http://schemas.microsoft.com/office/drawing/2014/main" id="{4C4DC21C-339B-4173-9480-FD5A90CAAEA7}"/>
            </a:ext>
          </a:extLst>
        </xdr:cNvPr>
        <xdr:cNvSpPr/>
      </xdr:nvSpPr>
      <xdr:spPr>
        <a:xfrm>
          <a:off x="440870" y="7715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5</xdr:col>
      <xdr:colOff>1343025</xdr:colOff>
      <xdr:row>11</xdr:row>
      <xdr:rowOff>171450</xdr:rowOff>
    </xdr:from>
    <xdr:to>
      <xdr:col>9</xdr:col>
      <xdr:colOff>765857</xdr:colOff>
      <xdr:row>25</xdr:row>
      <xdr:rowOff>205467</xdr:rowOff>
    </xdr:to>
    <xdr:sp macro="" textlink="">
      <xdr:nvSpPr>
        <xdr:cNvPr id="6" name="吹き出し: 角を丸めた四角形 62">
          <a:extLst>
            <a:ext uri="{FF2B5EF4-FFF2-40B4-BE49-F238E27FC236}">
              <a16:creationId xmlns:a16="http://schemas.microsoft.com/office/drawing/2014/main" id="{C4BAF5A6-17BC-44D8-937C-C4B461E61C80}"/>
            </a:ext>
          </a:extLst>
        </xdr:cNvPr>
        <xdr:cNvSpPr/>
      </xdr:nvSpPr>
      <xdr:spPr>
        <a:xfrm>
          <a:off x="2495550" y="3267075"/>
          <a:ext cx="4680632" cy="2967717"/>
        </a:xfrm>
        <a:prstGeom prst="wedgeRoundRectCallout">
          <a:avLst>
            <a:gd name="adj1" fmla="val -25001"/>
            <a:gd name="adj2" fmla="val -887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・選択された施設番号に関連する「設置場所」「基幹設備」「施設数」「契約電力区分」「発電量（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123825</xdr:colOff>
      <xdr:row>11</xdr:row>
      <xdr:rowOff>142875</xdr:rowOff>
    </xdr:from>
    <xdr:to>
      <xdr:col>14</xdr:col>
      <xdr:colOff>1763487</xdr:colOff>
      <xdr:row>27</xdr:row>
      <xdr:rowOff>246742</xdr:rowOff>
    </xdr:to>
    <xdr:grpSp>
      <xdr:nvGrpSpPr>
        <xdr:cNvPr id="14" name="グループ化 13">
          <a:extLst>
            <a:ext uri="{FF2B5EF4-FFF2-40B4-BE49-F238E27FC236}">
              <a16:creationId xmlns:a16="http://schemas.microsoft.com/office/drawing/2014/main" id="{5AE1A9AD-78A2-EEBC-B329-A8969210B55E}"/>
            </a:ext>
          </a:extLst>
        </xdr:cNvPr>
        <xdr:cNvGrpSpPr/>
      </xdr:nvGrpSpPr>
      <xdr:grpSpPr>
        <a:xfrm>
          <a:off x="7583768" y="3254935"/>
          <a:ext cx="5942720" cy="3379160"/>
          <a:chOff x="7677150" y="6429375"/>
          <a:chExt cx="5944962" cy="3999592"/>
        </a:xfrm>
      </xdr:grpSpPr>
      <xdr:sp macro="" textlink="">
        <xdr:nvSpPr>
          <xdr:cNvPr id="8" name="吹き出し: 角を丸めた四角形 62">
            <a:extLst>
              <a:ext uri="{FF2B5EF4-FFF2-40B4-BE49-F238E27FC236}">
                <a16:creationId xmlns:a16="http://schemas.microsoft.com/office/drawing/2014/main" id="{E93CC8F9-17B5-CBCE-6238-3AADB4A10730}"/>
              </a:ext>
            </a:extLst>
          </xdr:cNvPr>
          <xdr:cNvSpPr/>
        </xdr:nvSpPr>
        <xdr:spPr>
          <a:xfrm>
            <a:off x="7677150" y="6429375"/>
            <a:ext cx="5944962" cy="3999592"/>
          </a:xfrm>
          <a:prstGeom prst="wedgeRoundRectCallout">
            <a:avLst>
              <a:gd name="adj1" fmla="val -16904"/>
              <a:gd name="adj2" fmla="val -8002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調査実施項目</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調査の進捗状況を以下の</a:t>
            </a:r>
            <a:r>
              <a:rPr kumimoji="1" lang="en-US" altLang="ja-JP" sz="1400" b="0">
                <a:solidFill>
                  <a:sysClr val="windowText" lastClr="000000"/>
                </a:solidFill>
                <a:latin typeface="Meiryo UI" panose="020B0604030504040204" pitchFamily="50" charset="-128"/>
                <a:ea typeface="Meiryo UI" panose="020B0604030504040204" pitchFamily="50" charset="-128"/>
              </a:rPr>
              <a:t>3</a:t>
            </a:r>
            <a:r>
              <a:rPr kumimoji="1" lang="ja-JP" altLang="en-US" sz="1400" b="0">
                <a:solidFill>
                  <a:sysClr val="windowText" lastClr="000000"/>
                </a:solidFill>
                <a:latin typeface="Meiryo UI" panose="020B0604030504040204" pitchFamily="50" charset="-128"/>
                <a:ea typeface="Meiryo UI" panose="020B0604030504040204" pitchFamily="50" charset="-128"/>
              </a:rPr>
              <a:t>項目に分けて回答してください。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・各調査実施状況の選択肢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・設置場所において複数施設をまとめている場合、</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調査の進捗度が異なる施設でまとめられている際には、進捗が最も遅れているものを回答してください。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3" name="図 12">
            <a:extLst>
              <a:ext uri="{FF2B5EF4-FFF2-40B4-BE49-F238E27FC236}">
                <a16:creationId xmlns:a16="http://schemas.microsoft.com/office/drawing/2014/main" id="{CEE7CEBA-1760-81F7-AC12-8E8DF5EE8A5D}"/>
              </a:ext>
            </a:extLst>
          </xdr:cNvPr>
          <xdr:cNvPicPr>
            <a:picLocks noChangeAspect="1"/>
          </xdr:cNvPicPr>
        </xdr:nvPicPr>
        <xdr:blipFill>
          <a:blip xmlns:r="http://schemas.openxmlformats.org/officeDocument/2006/relationships" r:embed="rId2"/>
          <a:stretch>
            <a:fillRect/>
          </a:stretch>
        </xdr:blipFill>
        <xdr:spPr>
          <a:xfrm>
            <a:off x="7839076" y="7807791"/>
            <a:ext cx="2990850" cy="1047896"/>
          </a:xfrm>
          <a:prstGeom prst="rect">
            <a:avLst/>
          </a:prstGeom>
        </xdr:spPr>
      </xdr:pic>
    </xdr:grpSp>
    <xdr:clientData/>
  </xdr:twoCellAnchor>
  <xdr:twoCellAnchor editAs="absolute">
    <xdr:from>
      <xdr:col>14</xdr:col>
      <xdr:colOff>2096861</xdr:colOff>
      <xdr:row>39</xdr:row>
      <xdr:rowOff>114300</xdr:rowOff>
    </xdr:from>
    <xdr:to>
      <xdr:col>32</xdr:col>
      <xdr:colOff>361950</xdr:colOff>
      <xdr:row>82</xdr:row>
      <xdr:rowOff>109950</xdr:rowOff>
    </xdr:to>
    <xdr:pic>
      <xdr:nvPicPr>
        <xdr:cNvPr id="15" name="図 1">
          <a:extLst>
            <a:ext uri="{FF2B5EF4-FFF2-40B4-BE49-F238E27FC236}">
              <a16:creationId xmlns:a16="http://schemas.microsoft.com/office/drawing/2014/main" id="{69E4D020-98FD-0ED0-422F-215EF10D6DA3}"/>
            </a:ext>
          </a:extLst>
        </xdr:cNvPr>
        <xdr:cNvPicPr>
          <a:picLocks noChangeAspect="1"/>
        </xdr:cNvPicPr>
      </xdr:nvPicPr>
      <xdr:blipFill>
        <a:blip xmlns:r="http://schemas.openxmlformats.org/officeDocument/2006/relationships" r:embed="rId3"/>
        <a:stretch>
          <a:fillRect/>
        </a:stretch>
      </xdr:blipFill>
      <xdr:spPr>
        <a:xfrm>
          <a:off x="13860236" y="8848725"/>
          <a:ext cx="7656739" cy="9349200"/>
        </a:xfrm>
        <a:prstGeom prst="rect">
          <a:avLst/>
        </a:prstGeom>
      </xdr:spPr>
    </xdr:pic>
    <xdr:clientData/>
  </xdr:twoCellAnchor>
  <xdr:twoCellAnchor editAs="absolute">
    <xdr:from>
      <xdr:col>14</xdr:col>
      <xdr:colOff>2211161</xdr:colOff>
      <xdr:row>83</xdr:row>
      <xdr:rowOff>28575</xdr:rowOff>
    </xdr:from>
    <xdr:to>
      <xdr:col>31</xdr:col>
      <xdr:colOff>666750</xdr:colOff>
      <xdr:row>116</xdr:row>
      <xdr:rowOff>34644</xdr:rowOff>
    </xdr:to>
    <xdr:pic>
      <xdr:nvPicPr>
        <xdr:cNvPr id="16" name="図 7">
          <a:extLst>
            <a:ext uri="{FF2B5EF4-FFF2-40B4-BE49-F238E27FC236}">
              <a16:creationId xmlns:a16="http://schemas.microsoft.com/office/drawing/2014/main" id="{FB53505C-A5F1-38A5-876A-3E4F827B2B10}"/>
            </a:ext>
          </a:extLst>
        </xdr:cNvPr>
        <xdr:cNvPicPr>
          <a:picLocks noChangeAspect="1"/>
        </xdr:cNvPicPr>
      </xdr:nvPicPr>
      <xdr:blipFill>
        <a:blip xmlns:r="http://schemas.openxmlformats.org/officeDocument/2006/relationships" r:embed="rId4"/>
        <a:stretch>
          <a:fillRect/>
        </a:stretch>
      </xdr:blipFill>
      <xdr:spPr>
        <a:xfrm>
          <a:off x="13974536" y="18364200"/>
          <a:ext cx="7161439" cy="7807044"/>
        </a:xfrm>
        <a:prstGeom prst="rect">
          <a:avLst/>
        </a:prstGeom>
      </xdr:spPr>
    </xdr:pic>
    <xdr:clientData/>
  </xdr:twoCellAnchor>
  <xdr:twoCellAnchor>
    <xdr:from>
      <xdr:col>14</xdr:col>
      <xdr:colOff>2133599</xdr:colOff>
      <xdr:row>12</xdr:row>
      <xdr:rowOff>104776</xdr:rowOff>
    </xdr:from>
    <xdr:to>
      <xdr:col>34</xdr:col>
      <xdr:colOff>142875</xdr:colOff>
      <xdr:row>36</xdr:row>
      <xdr:rowOff>238126</xdr:rowOff>
    </xdr:to>
    <xdr:grpSp>
      <xdr:nvGrpSpPr>
        <xdr:cNvPr id="12" name="グループ化 11">
          <a:extLst>
            <a:ext uri="{FF2B5EF4-FFF2-40B4-BE49-F238E27FC236}">
              <a16:creationId xmlns:a16="http://schemas.microsoft.com/office/drawing/2014/main" id="{F8402163-ABE8-3D4A-19F3-9548CEE216B7}"/>
            </a:ext>
          </a:extLst>
        </xdr:cNvPr>
        <xdr:cNvGrpSpPr/>
      </xdr:nvGrpSpPr>
      <xdr:grpSpPr>
        <a:xfrm>
          <a:off x="13899775" y="3474572"/>
          <a:ext cx="8752543" cy="5209614"/>
          <a:chOff x="6505575" y="3400852"/>
          <a:chExt cx="17545051" cy="4278926"/>
        </a:xfrm>
      </xdr:grpSpPr>
      <xdr:sp macro="" textlink="">
        <xdr:nvSpPr>
          <xdr:cNvPr id="11" name="吹き出し: 角を丸めた四角形 62">
            <a:extLst>
              <a:ext uri="{FF2B5EF4-FFF2-40B4-BE49-F238E27FC236}">
                <a16:creationId xmlns:a16="http://schemas.microsoft.com/office/drawing/2014/main" id="{A75D9DB4-18ED-0602-A94C-36B821635221}"/>
              </a:ext>
            </a:extLst>
          </xdr:cNvPr>
          <xdr:cNvSpPr/>
        </xdr:nvSpPr>
        <xdr:spPr>
          <a:xfrm>
            <a:off x="6505575" y="3400852"/>
            <a:ext cx="17545051" cy="4278926"/>
          </a:xfrm>
          <a:prstGeom prst="wedgeRoundRectCallout">
            <a:avLst>
              <a:gd name="adj1" fmla="val -46771"/>
              <a:gd name="adj2" fmla="val -763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系統接続検討状況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・再エネ発電設備の系統接続検討状況について、検討段階を回答してください。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・施設の系統接続のそれぞれの場合において、該当する内容を（単独の場合）と（一括プロセスの場合）のいずれかで、それぞれ検討状況を選択してください。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・系統接続の検討が不要である場合は、「検討不要」を選択ください。低圧で申込が完了している場合は「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低圧</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申込完了」を選択ください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・各検討状況の選択肢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0" name="図 9">
            <a:extLst>
              <a:ext uri="{FF2B5EF4-FFF2-40B4-BE49-F238E27FC236}">
                <a16:creationId xmlns:a16="http://schemas.microsoft.com/office/drawing/2014/main" id="{1CFBAAE3-4891-2C6D-6FC1-BC49CC47DA64}"/>
              </a:ext>
            </a:extLst>
          </xdr:cNvPr>
          <xdr:cNvPicPr>
            <a:picLocks noChangeAspect="1"/>
          </xdr:cNvPicPr>
        </xdr:nvPicPr>
        <xdr:blipFill>
          <a:blip xmlns:r="http://schemas.openxmlformats.org/officeDocument/2006/relationships" r:embed="rId5"/>
          <a:stretch>
            <a:fillRect/>
          </a:stretch>
        </xdr:blipFill>
        <xdr:spPr>
          <a:xfrm>
            <a:off x="7014697" y="5416408"/>
            <a:ext cx="16369179" cy="1911206"/>
          </a:xfrm>
          <a:prstGeom prst="rect">
            <a:avLst/>
          </a:prstGeom>
        </xdr:spPr>
      </xdr:pic>
    </xdr:grpSp>
    <xdr:clientData/>
  </xdr:twoCellAnchor>
  <xdr:twoCellAnchor editAs="absolute">
    <xdr:from>
      <xdr:col>8</xdr:col>
      <xdr:colOff>381000</xdr:colOff>
      <xdr:row>1</xdr:row>
      <xdr:rowOff>457200</xdr:rowOff>
    </xdr:from>
    <xdr:to>
      <xdr:col>13</xdr:col>
      <xdr:colOff>695325</xdr:colOff>
      <xdr:row>5</xdr:row>
      <xdr:rowOff>9525</xdr:rowOff>
    </xdr:to>
    <xdr:sp macro="" textlink="">
      <xdr:nvSpPr>
        <xdr:cNvPr id="4" name="四角形: 角を丸くする 3">
          <a:extLst>
            <a:ext uri="{FF2B5EF4-FFF2-40B4-BE49-F238E27FC236}">
              <a16:creationId xmlns:a16="http://schemas.microsoft.com/office/drawing/2014/main" id="{4FF7097B-C293-4310-960A-4DCBE3B245B4}"/>
            </a:ext>
          </a:extLst>
        </xdr:cNvPr>
        <xdr:cNvSpPr/>
      </xdr:nvSpPr>
      <xdr:spPr>
        <a:xfrm>
          <a:off x="5905500" y="762000"/>
          <a:ext cx="5476875" cy="8191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800100</xdr:colOff>
      <xdr:row>168</xdr:row>
      <xdr:rowOff>180975</xdr:rowOff>
    </xdr:from>
    <xdr:to>
      <xdr:col>14</xdr:col>
      <xdr:colOff>1562100</xdr:colOff>
      <xdr:row>175</xdr:row>
      <xdr:rowOff>161926</xdr:rowOff>
    </xdr:to>
    <xdr:sp macro="" textlink="">
      <xdr:nvSpPr>
        <xdr:cNvPr id="5" name="吹き出し: 角を丸めた四角形 62">
          <a:extLst>
            <a:ext uri="{FF2B5EF4-FFF2-40B4-BE49-F238E27FC236}">
              <a16:creationId xmlns:a16="http://schemas.microsoft.com/office/drawing/2014/main" id="{5299D519-FF7D-439F-9089-8550E657D59B}"/>
            </a:ext>
          </a:extLst>
        </xdr:cNvPr>
        <xdr:cNvSpPr/>
      </xdr:nvSpPr>
      <xdr:spPr>
        <a:xfrm>
          <a:off x="8258175" y="38404800"/>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1000125</xdr:colOff>
      <xdr:row>0</xdr:row>
      <xdr:rowOff>142875</xdr:rowOff>
    </xdr:from>
    <xdr:to>
      <xdr:col>17</xdr:col>
      <xdr:colOff>275166</xdr:colOff>
      <xdr:row>2</xdr:row>
      <xdr:rowOff>124317</xdr:rowOff>
    </xdr:to>
    <xdr:pic>
      <xdr:nvPicPr>
        <xdr:cNvPr id="2" name="図 1">
          <a:extLst>
            <a:ext uri="{FF2B5EF4-FFF2-40B4-BE49-F238E27FC236}">
              <a16:creationId xmlns:a16="http://schemas.microsoft.com/office/drawing/2014/main" id="{C39F2FAC-6606-4BFA-8E6E-7FE3E7365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16025" y="142875"/>
          <a:ext cx="2323041" cy="895842"/>
        </a:xfrm>
        <a:prstGeom prst="rect">
          <a:avLst/>
        </a:prstGeom>
      </xdr:spPr>
    </xdr:pic>
    <xdr:clientData/>
  </xdr:twoCellAnchor>
  <xdr:twoCellAnchor editAs="oneCell">
    <xdr:from>
      <xdr:col>0</xdr:col>
      <xdr:colOff>171450</xdr:colOff>
      <xdr:row>15</xdr:row>
      <xdr:rowOff>12927</xdr:rowOff>
    </xdr:from>
    <xdr:to>
      <xdr:col>7</xdr:col>
      <xdr:colOff>202871</xdr:colOff>
      <xdr:row>28</xdr:row>
      <xdr:rowOff>211690</xdr:rowOff>
    </xdr:to>
    <xdr:sp macro="" textlink="">
      <xdr:nvSpPr>
        <xdr:cNvPr id="3" name="吹き出し: 角を丸めた四角形 62">
          <a:extLst>
            <a:ext uri="{FF2B5EF4-FFF2-40B4-BE49-F238E27FC236}">
              <a16:creationId xmlns:a16="http://schemas.microsoft.com/office/drawing/2014/main" id="{0D740EED-BEF0-442B-B552-5AD8380A3202}"/>
            </a:ext>
          </a:extLst>
        </xdr:cNvPr>
        <xdr:cNvSpPr/>
      </xdr:nvSpPr>
      <xdr:spPr>
        <a:xfrm>
          <a:off x="171450" y="3832452"/>
          <a:ext cx="4612946" cy="2799088"/>
        </a:xfrm>
        <a:prstGeom prst="wedgeRoundRectCallout">
          <a:avLst>
            <a:gd name="adj1" fmla="val 31180"/>
            <a:gd name="adj2" fmla="val -1092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・選択された施設番号に紐付く「設置場所」「基幹設備」「施設数」「契約電力区分」「発電量（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266019</xdr:colOff>
      <xdr:row>15</xdr:row>
      <xdr:rowOff>172131</xdr:rowOff>
    </xdr:from>
    <xdr:to>
      <xdr:col>11</xdr:col>
      <xdr:colOff>1154743</xdr:colOff>
      <xdr:row>23</xdr:row>
      <xdr:rowOff>154689</xdr:rowOff>
    </xdr:to>
    <xdr:sp macro="" textlink="">
      <xdr:nvSpPr>
        <xdr:cNvPr id="4" name="吹き出し: 角を丸めた四角形 62">
          <a:extLst>
            <a:ext uri="{FF2B5EF4-FFF2-40B4-BE49-F238E27FC236}">
              <a16:creationId xmlns:a16="http://schemas.microsoft.com/office/drawing/2014/main" id="{C216F557-D1D8-4B4B-A9A8-56D8936524DB}"/>
            </a:ext>
          </a:extLst>
        </xdr:cNvPr>
        <xdr:cNvSpPr/>
      </xdr:nvSpPr>
      <xdr:spPr>
        <a:xfrm>
          <a:off x="4847544" y="3991656"/>
          <a:ext cx="4841599" cy="1639908"/>
        </a:xfrm>
        <a:prstGeom prst="wedgeRoundRectCallout">
          <a:avLst>
            <a:gd name="adj1" fmla="val 42011"/>
            <a:gd name="adj2" fmla="val -155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合意形成対象者</a:t>
          </a:r>
          <a:endParaRPr lang="en-US"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再エネ設備導入に向けて合意形成が必要な対象者を記載してください。対象者の人数に応じて、表の行を増やしてください。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（合意形成対象者の例）地権者、施設所有者、周辺住民等</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344941</xdr:colOff>
      <xdr:row>23</xdr:row>
      <xdr:rowOff>133350</xdr:rowOff>
    </xdr:from>
    <xdr:to>
      <xdr:col>15</xdr:col>
      <xdr:colOff>630157</xdr:colOff>
      <xdr:row>54</xdr:row>
      <xdr:rowOff>77408</xdr:rowOff>
    </xdr:to>
    <xdr:sp macro="" textlink="">
      <xdr:nvSpPr>
        <xdr:cNvPr id="5" name="吹き出し: 角を丸めた四角形 62">
          <a:extLst>
            <a:ext uri="{FF2B5EF4-FFF2-40B4-BE49-F238E27FC236}">
              <a16:creationId xmlns:a16="http://schemas.microsoft.com/office/drawing/2014/main" id="{17418D95-6F91-4AB7-BA71-183EDD366976}"/>
            </a:ext>
          </a:extLst>
        </xdr:cNvPr>
        <xdr:cNvSpPr/>
      </xdr:nvSpPr>
      <xdr:spPr>
        <a:xfrm>
          <a:off x="8879341" y="5610225"/>
          <a:ext cx="5743041" cy="6135308"/>
        </a:xfrm>
        <a:prstGeom prst="wedgeRoundRectCallout">
          <a:avLst>
            <a:gd name="adj1" fmla="val -7988"/>
            <a:gd name="adj2" fmla="val -102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合意形成に向けた主な説明事項</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・脱炭素先行地域のコンセプト：脱炭素先行地域に関する取組の方向性や考え方、取組の全体像に関する説明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・電源の詳細仕様：導入する再エネ発電設備の規模や導入場所等の説明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・周辺環境への影響と対策：再エネ発電設備導入にあたり想定される周辺環境への影響とその対策に関する説明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・導入コスト：再エネ設備導入に係る費用や費用負担に関する説明</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の項目について、それぞれ実施状況を以下の内容から選択してください。</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・未実施：合意形成対象者に当該説明項目に関して説明を実施していない段階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・説明済：合意形成対象者に説明会等で脱炭素先行地域の取組に関する情報共有や説明を実施した段階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・合意済：合意形成対象者と当該説明項目に関して合意形成が完了した段階</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979712</xdr:colOff>
      <xdr:row>10</xdr:row>
      <xdr:rowOff>190500</xdr:rowOff>
    </xdr:from>
    <xdr:to>
      <xdr:col>19</xdr:col>
      <xdr:colOff>338160</xdr:colOff>
      <xdr:row>22</xdr:row>
      <xdr:rowOff>171091</xdr:rowOff>
    </xdr:to>
    <xdr:sp macro="" textlink="">
      <xdr:nvSpPr>
        <xdr:cNvPr id="6" name="吹き出し: 角を丸めた四角形 62">
          <a:extLst>
            <a:ext uri="{FF2B5EF4-FFF2-40B4-BE49-F238E27FC236}">
              <a16:creationId xmlns:a16="http://schemas.microsoft.com/office/drawing/2014/main" id="{D2771F10-A151-459D-95DB-64FDC6E55FC0}"/>
            </a:ext>
          </a:extLst>
        </xdr:cNvPr>
        <xdr:cNvSpPr/>
      </xdr:nvSpPr>
      <xdr:spPr>
        <a:xfrm>
          <a:off x="11742962" y="3048000"/>
          <a:ext cx="5016298" cy="2361841"/>
        </a:xfrm>
        <a:prstGeom prst="wedgeRoundRectCallout">
          <a:avLst>
            <a:gd name="adj1" fmla="val 23066"/>
            <a:gd name="adj2" fmla="val -8418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再エネ設備導入における合意形成状況</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以下の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つから選択してください。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・未実施：合意形成対象者に再エネ設備導入について説明を実施していない段階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・合意形成に向けて協議中：合意形成対象者と合意形成に向けて協議が進んでいる段階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・合意済：合意形成対象者に関して合意形成が完了した段階</a:t>
          </a:r>
        </a:p>
        <a:p>
          <a:pPr algn="l"/>
          <a:endParaRPr kumimoji="1" lang="en-US" altLang="ja-JP" sz="2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36</xdr:col>
      <xdr:colOff>447675</xdr:colOff>
      <xdr:row>0</xdr:row>
      <xdr:rowOff>266700</xdr:rowOff>
    </xdr:from>
    <xdr:to>
      <xdr:col>49</xdr:col>
      <xdr:colOff>398707</xdr:colOff>
      <xdr:row>57</xdr:row>
      <xdr:rowOff>144306</xdr:rowOff>
    </xdr:to>
    <xdr:grpSp>
      <xdr:nvGrpSpPr>
        <xdr:cNvPr id="7" name="グループ化 6">
          <a:extLst>
            <a:ext uri="{FF2B5EF4-FFF2-40B4-BE49-F238E27FC236}">
              <a16:creationId xmlns:a16="http://schemas.microsoft.com/office/drawing/2014/main" id="{634AF1B4-FBE6-4DAA-9ED7-A90676F662C7}"/>
            </a:ext>
          </a:extLst>
        </xdr:cNvPr>
        <xdr:cNvGrpSpPr/>
      </xdr:nvGrpSpPr>
      <xdr:grpSpPr>
        <a:xfrm>
          <a:off x="17941925" y="266700"/>
          <a:ext cx="8898182" cy="11752106"/>
          <a:chOff x="18445766" y="3671505"/>
          <a:chExt cx="8895026" cy="11784395"/>
        </a:xfrm>
      </xdr:grpSpPr>
      <xdr:grpSp>
        <xdr:nvGrpSpPr>
          <xdr:cNvPr id="8" name="グループ化 7">
            <a:extLst>
              <a:ext uri="{FF2B5EF4-FFF2-40B4-BE49-F238E27FC236}">
                <a16:creationId xmlns:a16="http://schemas.microsoft.com/office/drawing/2014/main" id="{49DD7C1C-C0A1-1306-3EFF-E92C25B83140}"/>
              </a:ext>
            </a:extLst>
          </xdr:cNvPr>
          <xdr:cNvGrpSpPr/>
        </xdr:nvGrpSpPr>
        <xdr:grpSpPr>
          <a:xfrm>
            <a:off x="18445766" y="3671505"/>
            <a:ext cx="8895026" cy="11784395"/>
            <a:chOff x="18445766" y="3671505"/>
            <a:chExt cx="8895026" cy="11784395"/>
          </a:xfrm>
        </xdr:grpSpPr>
        <xdr:grpSp>
          <xdr:nvGrpSpPr>
            <xdr:cNvPr id="11" name="グループ化 10">
              <a:extLst>
                <a:ext uri="{FF2B5EF4-FFF2-40B4-BE49-F238E27FC236}">
                  <a16:creationId xmlns:a16="http://schemas.microsoft.com/office/drawing/2014/main" id="{941EB480-6A3E-105D-36CD-FE0E39D6C769}"/>
                </a:ext>
              </a:extLst>
            </xdr:cNvPr>
            <xdr:cNvGrpSpPr/>
          </xdr:nvGrpSpPr>
          <xdr:grpSpPr>
            <a:xfrm>
              <a:off x="18445766" y="3671505"/>
              <a:ext cx="8895026" cy="11784395"/>
              <a:chOff x="17892739" y="2517248"/>
              <a:chExt cx="8978730" cy="12030025"/>
            </a:xfrm>
          </xdr:grpSpPr>
          <xdr:sp macro="" textlink="">
            <xdr:nvSpPr>
              <xdr:cNvPr id="13" name="吹き出し: 角を丸めた四角形 62">
                <a:extLst>
                  <a:ext uri="{FF2B5EF4-FFF2-40B4-BE49-F238E27FC236}">
                    <a16:creationId xmlns:a16="http://schemas.microsoft.com/office/drawing/2014/main" id="{4F3BB41C-0887-319F-9038-FF8113A5FEB8}"/>
                  </a:ext>
                </a:extLst>
              </xdr:cNvPr>
              <xdr:cNvSpPr/>
            </xdr:nvSpPr>
            <xdr:spPr>
              <a:xfrm>
                <a:off x="17892739" y="2517248"/>
                <a:ext cx="8978730" cy="1203002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合意形成の進捗度の記載方法</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grpSp>
            <xdr:nvGrpSpPr>
              <xdr:cNvPr id="14" name="グループ化 13">
                <a:extLst>
                  <a:ext uri="{FF2B5EF4-FFF2-40B4-BE49-F238E27FC236}">
                    <a16:creationId xmlns:a16="http://schemas.microsoft.com/office/drawing/2014/main" id="{6695BDEF-DFEC-36CD-27CC-79E5F867BE76}"/>
                  </a:ext>
                </a:extLst>
              </xdr:cNvPr>
              <xdr:cNvGrpSpPr/>
            </xdr:nvGrpSpPr>
            <xdr:grpSpPr>
              <a:xfrm>
                <a:off x="18387163" y="3706091"/>
                <a:ext cx="7953221" cy="3115585"/>
                <a:chOff x="514349" y="355738"/>
                <a:chExt cx="7871369" cy="3215196"/>
              </a:xfrm>
            </xdr:grpSpPr>
            <xdr:pic>
              <xdr:nvPicPr>
                <xdr:cNvPr id="26" name="図 25">
                  <a:extLst>
                    <a:ext uri="{FF2B5EF4-FFF2-40B4-BE49-F238E27FC236}">
                      <a16:creationId xmlns:a16="http://schemas.microsoft.com/office/drawing/2014/main" id="{00169CCC-70D8-950D-B6DD-C2DF95778F19}"/>
                    </a:ext>
                  </a:extLst>
                </xdr:cNvPr>
                <xdr:cNvPicPr>
                  <a:picLocks noChangeAspect="1"/>
                </xdr:cNvPicPr>
              </xdr:nvPicPr>
              <xdr:blipFill>
                <a:blip xmlns:r="http://schemas.openxmlformats.org/officeDocument/2006/relationships" r:embed="rId2"/>
                <a:stretch>
                  <a:fillRect/>
                </a:stretch>
              </xdr:blipFill>
              <xdr:spPr>
                <a:xfrm>
                  <a:off x="514349" y="355738"/>
                  <a:ext cx="7871369" cy="3215196"/>
                </a:xfrm>
                <a:prstGeom prst="rect">
                  <a:avLst/>
                </a:prstGeom>
              </xdr:spPr>
            </xdr:pic>
            <xdr:sp macro="" textlink="">
              <xdr:nvSpPr>
                <xdr:cNvPr id="27" name="四角形: 角を丸くする 26">
                  <a:extLst>
                    <a:ext uri="{FF2B5EF4-FFF2-40B4-BE49-F238E27FC236}">
                      <a16:creationId xmlns:a16="http://schemas.microsoft.com/office/drawing/2014/main" id="{9E639E16-435E-6003-D028-0F7379FDCB0E}"/>
                    </a:ext>
                  </a:extLst>
                </xdr:cNvPr>
                <xdr:cNvSpPr/>
              </xdr:nvSpPr>
              <xdr:spPr>
                <a:xfrm>
                  <a:off x="1396586" y="972240"/>
                  <a:ext cx="1021936" cy="215348"/>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C0F5C26D-AB99-98A8-72FF-6E87BE20C876}"/>
                    </a:ext>
                  </a:extLst>
                </xdr:cNvPr>
                <xdr:cNvSpPr txBox="1"/>
              </xdr:nvSpPr>
              <xdr:spPr>
                <a:xfrm>
                  <a:off x="1832390" y="1303546"/>
                  <a:ext cx="3365346" cy="4838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施設番号をプルダウンから選択します。</a:t>
                  </a:r>
                </a:p>
              </xdr:txBody>
            </xdr:sp>
          </xdr:grpSp>
          <xdr:grpSp>
            <xdr:nvGrpSpPr>
              <xdr:cNvPr id="15" name="グループ化 14">
                <a:extLst>
                  <a:ext uri="{FF2B5EF4-FFF2-40B4-BE49-F238E27FC236}">
                    <a16:creationId xmlns:a16="http://schemas.microsoft.com/office/drawing/2014/main" id="{B1B8C656-696A-DDEC-1EB8-67FF15A6C396}"/>
                  </a:ext>
                </a:extLst>
              </xdr:cNvPr>
              <xdr:cNvGrpSpPr/>
            </xdr:nvGrpSpPr>
            <xdr:grpSpPr>
              <a:xfrm>
                <a:off x="18339954" y="6932085"/>
                <a:ext cx="8136651" cy="3174467"/>
                <a:chOff x="503445" y="3650698"/>
                <a:chExt cx="8053506" cy="3275523"/>
              </a:xfrm>
            </xdr:grpSpPr>
            <xdr:pic>
              <xdr:nvPicPr>
                <xdr:cNvPr id="20" name="図 19">
                  <a:extLst>
                    <a:ext uri="{FF2B5EF4-FFF2-40B4-BE49-F238E27FC236}">
                      <a16:creationId xmlns:a16="http://schemas.microsoft.com/office/drawing/2014/main" id="{A9223FA2-CCF2-C7FE-F5F8-A5451B1EDB51}"/>
                    </a:ext>
                  </a:extLst>
                </xdr:cNvPr>
                <xdr:cNvPicPr>
                  <a:picLocks noChangeAspect="1"/>
                </xdr:cNvPicPr>
              </xdr:nvPicPr>
              <xdr:blipFill>
                <a:blip xmlns:r="http://schemas.openxmlformats.org/officeDocument/2006/relationships" r:embed="rId3"/>
                <a:stretch>
                  <a:fillRect/>
                </a:stretch>
              </xdr:blipFill>
              <xdr:spPr>
                <a:xfrm>
                  <a:off x="503445" y="3650698"/>
                  <a:ext cx="7874544" cy="3275523"/>
                </a:xfrm>
                <a:prstGeom prst="rect">
                  <a:avLst/>
                </a:prstGeom>
              </xdr:spPr>
            </xdr:pic>
            <xdr:sp macro="" textlink="">
              <xdr:nvSpPr>
                <xdr:cNvPr id="21" name="四角形: 角を丸くする 20">
                  <a:extLst>
                    <a:ext uri="{FF2B5EF4-FFF2-40B4-BE49-F238E27FC236}">
                      <a16:creationId xmlns:a16="http://schemas.microsoft.com/office/drawing/2014/main" id="{CDE0F472-B254-AE98-0F30-F1174599D7C7}"/>
                    </a:ext>
                  </a:extLst>
                </xdr:cNvPr>
                <xdr:cNvSpPr/>
              </xdr:nvSpPr>
              <xdr:spPr>
                <a:xfrm>
                  <a:off x="4147792" y="4338155"/>
                  <a:ext cx="4217642" cy="258693"/>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F1B16267-D59D-269A-AEDC-99CCF139C974}"/>
                    </a:ext>
                  </a:extLst>
                </xdr:cNvPr>
                <xdr:cNvSpPr txBox="1"/>
              </xdr:nvSpPr>
              <xdr:spPr>
                <a:xfrm>
                  <a:off x="4068142" y="4702588"/>
                  <a:ext cx="4488809" cy="108722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・合意形成対象者との合意形成の進捗度を記載します。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・合意形成対象者が複数人いる場合は次の行に記載してください。</a:t>
                  </a:r>
                </a:p>
              </xdr:txBody>
            </xdr:sp>
            <xdr:sp macro="" textlink="">
              <xdr:nvSpPr>
                <xdr:cNvPr id="23" name="四角形: 角を丸くする 22">
                  <a:extLst>
                    <a:ext uri="{FF2B5EF4-FFF2-40B4-BE49-F238E27FC236}">
                      <a16:creationId xmlns:a16="http://schemas.microsoft.com/office/drawing/2014/main" id="{E6471DCB-71F3-D4B7-A902-644C50ECD2C9}"/>
                    </a:ext>
                  </a:extLst>
                </xdr:cNvPr>
                <xdr:cNvSpPr/>
              </xdr:nvSpPr>
              <xdr:spPr>
                <a:xfrm>
                  <a:off x="1454012" y="4329872"/>
                  <a:ext cx="878509" cy="26697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6D989645-51FE-10E3-89CE-9FC70846780F}"/>
                    </a:ext>
                  </a:extLst>
                </xdr:cNvPr>
                <xdr:cNvSpPr txBox="1"/>
              </xdr:nvSpPr>
              <xdr:spPr>
                <a:xfrm>
                  <a:off x="1273944" y="4809021"/>
                  <a:ext cx="2504860" cy="105223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合意形成者が複数人いる場合でも、施設番号の入力は最初の行のみとしてください。</a:t>
                  </a:r>
                  <a:endParaRPr kumimoji="1" lang="en-US" altLang="ja-JP" sz="1400">
                    <a:latin typeface="Meiryo UI" panose="020B0604030504040204" pitchFamily="50" charset="-128"/>
                    <a:ea typeface="Meiryo UI" panose="020B0604030504040204" pitchFamily="50" charset="-128"/>
                  </a:endParaRPr>
                </a:p>
              </xdr:txBody>
            </xdr:sp>
            <xdr:cxnSp macro="">
              <xdr:nvCxnSpPr>
                <xdr:cNvPr id="25" name="コネクタ: カギ線 24">
                  <a:extLst>
                    <a:ext uri="{FF2B5EF4-FFF2-40B4-BE49-F238E27FC236}">
                      <a16:creationId xmlns:a16="http://schemas.microsoft.com/office/drawing/2014/main" id="{67D608D4-20E6-0B9E-726F-70ACB0AB9139}"/>
                    </a:ext>
                  </a:extLst>
                </xdr:cNvPr>
                <xdr:cNvCxnSpPr/>
              </xdr:nvCxnSpPr>
              <xdr:spPr>
                <a:xfrm rot="10800000">
                  <a:off x="2322308" y="4470675"/>
                  <a:ext cx="589996" cy="338345"/>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グループ化 15">
                <a:extLst>
                  <a:ext uri="{FF2B5EF4-FFF2-40B4-BE49-F238E27FC236}">
                    <a16:creationId xmlns:a16="http://schemas.microsoft.com/office/drawing/2014/main" id="{0BF2B832-568E-96E5-65BD-3C367C495FAE}"/>
                  </a:ext>
                </a:extLst>
              </xdr:cNvPr>
              <xdr:cNvGrpSpPr/>
            </xdr:nvGrpSpPr>
            <xdr:grpSpPr>
              <a:xfrm>
                <a:off x="18405937" y="10367500"/>
                <a:ext cx="7962747" cy="3157000"/>
                <a:chOff x="526773" y="7254184"/>
                <a:chExt cx="7884070" cy="3266136"/>
              </a:xfrm>
            </xdr:grpSpPr>
            <xdr:pic>
              <xdr:nvPicPr>
                <xdr:cNvPr id="17" name="図 16">
                  <a:extLst>
                    <a:ext uri="{FF2B5EF4-FFF2-40B4-BE49-F238E27FC236}">
                      <a16:creationId xmlns:a16="http://schemas.microsoft.com/office/drawing/2014/main" id="{A2CE7F10-71BC-E5F9-C442-33856EAD7DB8}"/>
                    </a:ext>
                  </a:extLst>
                </xdr:cNvPr>
                <xdr:cNvPicPr>
                  <a:picLocks noChangeAspect="1"/>
                </xdr:cNvPicPr>
              </xdr:nvPicPr>
              <xdr:blipFill>
                <a:blip xmlns:r="http://schemas.openxmlformats.org/officeDocument/2006/relationships" r:embed="rId4"/>
                <a:stretch>
                  <a:fillRect/>
                </a:stretch>
              </xdr:blipFill>
              <xdr:spPr>
                <a:xfrm>
                  <a:off x="526773" y="7254184"/>
                  <a:ext cx="7884070" cy="3266136"/>
                </a:xfrm>
                <a:prstGeom prst="rect">
                  <a:avLst/>
                </a:prstGeom>
              </xdr:spPr>
            </xdr:pic>
            <xdr:sp macro="" textlink="">
              <xdr:nvSpPr>
                <xdr:cNvPr id="18" name="四角形: 角を丸くする 17">
                  <a:extLst>
                    <a:ext uri="{FF2B5EF4-FFF2-40B4-BE49-F238E27FC236}">
                      <a16:creationId xmlns:a16="http://schemas.microsoft.com/office/drawing/2014/main" id="{8DC74374-C079-B636-B177-0FA5A9BC68A2}"/>
                    </a:ext>
                  </a:extLst>
                </xdr:cNvPr>
                <xdr:cNvSpPr/>
              </xdr:nvSpPr>
              <xdr:spPr>
                <a:xfrm>
                  <a:off x="1472233" y="8115714"/>
                  <a:ext cx="878509" cy="19367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ECDC8E2-3C06-D99F-9A5F-22B6D0821284}"/>
                    </a:ext>
                  </a:extLst>
                </xdr:cNvPr>
                <xdr:cNvSpPr txBox="1"/>
              </xdr:nvSpPr>
              <xdr:spPr>
                <a:xfrm>
                  <a:off x="1482585" y="8380065"/>
                  <a:ext cx="4019360" cy="208484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・次の施設番号をプルダウンから選択します。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・設備情報シートに記載した設備をすべて本シートに記載し、</a:t>
                  </a:r>
                  <a:r>
                    <a:rPr kumimoji="1" lang="ja-JP" altLang="ja-JP" sz="1400">
                      <a:solidFill>
                        <a:schemeClr val="dk1"/>
                      </a:solidFill>
                      <a:effectLst/>
                      <a:latin typeface="Meiryo UI" panose="020B0604030504040204" pitchFamily="50" charset="-128"/>
                      <a:ea typeface="Meiryo UI" panose="020B0604030504040204" pitchFamily="50" charset="-128"/>
                      <a:cs typeface="+mn-cs"/>
                    </a:rPr>
                    <a:t>以降、手順１～２の繰り返しで</a:t>
                  </a:r>
                  <a:r>
                    <a:rPr kumimoji="1" lang="ja-JP" altLang="en-US" sz="1400">
                      <a:solidFill>
                        <a:schemeClr val="dk1"/>
                      </a:solidFill>
                      <a:effectLst/>
                      <a:latin typeface="Meiryo UI" panose="020B0604030504040204" pitchFamily="50" charset="-128"/>
                      <a:ea typeface="Meiryo UI" panose="020B0604030504040204" pitchFamily="50" charset="-128"/>
                      <a:cs typeface="+mn-cs"/>
                    </a:rPr>
                    <a:t>合意形成の進捗度を記載してください。</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・行が足りない場合は、</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行を追加する方法</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を参照して、行を追加してください。</a:t>
                  </a:r>
                </a:p>
              </xdr:txBody>
            </xdr:sp>
          </xdr:grpSp>
        </xdr:grpSp>
        <xdr:sp macro="" textlink="">
          <xdr:nvSpPr>
            <xdr:cNvPr id="12" name="テキスト ボックス 11">
              <a:extLst>
                <a:ext uri="{FF2B5EF4-FFF2-40B4-BE49-F238E27FC236}">
                  <a16:creationId xmlns:a16="http://schemas.microsoft.com/office/drawing/2014/main" id="{7CF731A6-D88C-6278-6C75-9F774CA0003F}"/>
                </a:ext>
              </a:extLst>
            </xdr:cNvPr>
            <xdr:cNvSpPr txBox="1"/>
          </xdr:nvSpPr>
          <xdr:spPr>
            <a:xfrm>
              <a:off x="19908287" y="4555886"/>
              <a:ext cx="783476" cy="355550"/>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手順１</a:t>
              </a:r>
            </a:p>
          </xdr:txBody>
        </xdr:sp>
      </xdr:grpSp>
      <xdr:sp macro="" textlink="">
        <xdr:nvSpPr>
          <xdr:cNvPr id="9" name="テキスト ボックス 8">
            <a:extLst>
              <a:ext uri="{FF2B5EF4-FFF2-40B4-BE49-F238E27FC236}">
                <a16:creationId xmlns:a16="http://schemas.microsoft.com/office/drawing/2014/main" id="{4F4659E5-D612-A15E-E836-6BDBE060F066}"/>
              </a:ext>
            </a:extLst>
          </xdr:cNvPr>
          <xdr:cNvSpPr txBox="1"/>
        </xdr:nvSpPr>
        <xdr:spPr>
          <a:xfrm>
            <a:off x="19835839" y="7820074"/>
            <a:ext cx="789826" cy="36132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手順２</a:t>
            </a:r>
          </a:p>
        </xdr:txBody>
      </xdr:sp>
      <xdr:sp macro="" textlink="">
        <xdr:nvSpPr>
          <xdr:cNvPr id="10" name="テキスト ボックス 9">
            <a:extLst>
              <a:ext uri="{FF2B5EF4-FFF2-40B4-BE49-F238E27FC236}">
                <a16:creationId xmlns:a16="http://schemas.microsoft.com/office/drawing/2014/main" id="{503DD3C2-FFA9-3190-020F-356B748993E1}"/>
              </a:ext>
            </a:extLst>
          </xdr:cNvPr>
          <xdr:cNvSpPr txBox="1"/>
        </xdr:nvSpPr>
        <xdr:spPr>
          <a:xfrm>
            <a:off x="19928780" y="11132755"/>
            <a:ext cx="789826" cy="35872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手順３</a:t>
            </a:r>
          </a:p>
        </xdr:txBody>
      </xdr:sp>
    </xdr:grpSp>
    <xdr:clientData/>
  </xdr:twoCellAnchor>
  <xdr:twoCellAnchor editAs="absolute">
    <xdr:from>
      <xdr:col>21</xdr:col>
      <xdr:colOff>0</xdr:colOff>
      <xdr:row>58</xdr:row>
      <xdr:rowOff>182336</xdr:rowOff>
    </xdr:from>
    <xdr:to>
      <xdr:col>48</xdr:col>
      <xdr:colOff>273218</xdr:colOff>
      <xdr:row>108</xdr:row>
      <xdr:rowOff>62959</xdr:rowOff>
    </xdr:to>
    <xdr:pic>
      <xdr:nvPicPr>
        <xdr:cNvPr id="29" name="図 28">
          <a:extLst>
            <a:ext uri="{FF2B5EF4-FFF2-40B4-BE49-F238E27FC236}">
              <a16:creationId xmlns:a16="http://schemas.microsoft.com/office/drawing/2014/main" id="{CE183E19-86F4-452D-B332-EE9C263B9B32}"/>
            </a:ext>
          </a:extLst>
        </xdr:cNvPr>
        <xdr:cNvPicPr>
          <a:picLocks noChangeAspect="1"/>
        </xdr:cNvPicPr>
      </xdr:nvPicPr>
      <xdr:blipFill>
        <a:blip xmlns:r="http://schemas.openxmlformats.org/officeDocument/2006/relationships" r:embed="rId5"/>
        <a:stretch>
          <a:fillRect/>
        </a:stretch>
      </xdr:blipFill>
      <xdr:spPr>
        <a:xfrm>
          <a:off x="17519503" y="12555311"/>
          <a:ext cx="8509315" cy="11053448"/>
        </a:xfrm>
        <a:prstGeom prst="roundRect">
          <a:avLst/>
        </a:prstGeom>
      </xdr:spPr>
    </xdr:pic>
    <xdr:clientData/>
  </xdr:twoCellAnchor>
  <xdr:twoCellAnchor editAs="absolute">
    <xdr:from>
      <xdr:col>20</xdr:col>
      <xdr:colOff>161925</xdr:colOff>
      <xdr:row>108</xdr:row>
      <xdr:rowOff>235158</xdr:rowOff>
    </xdr:from>
    <xdr:to>
      <xdr:col>48</xdr:col>
      <xdr:colOff>144910</xdr:colOff>
      <xdr:row>151</xdr:row>
      <xdr:rowOff>191861</xdr:rowOff>
    </xdr:to>
    <xdr:pic>
      <xdr:nvPicPr>
        <xdr:cNvPr id="30" name="図 5">
          <a:extLst>
            <a:ext uri="{FF2B5EF4-FFF2-40B4-BE49-F238E27FC236}">
              <a16:creationId xmlns:a16="http://schemas.microsoft.com/office/drawing/2014/main" id="{5CB9EB75-4B66-4884-B3C4-BB1A6611459B}"/>
            </a:ext>
          </a:extLst>
        </xdr:cNvPr>
        <xdr:cNvPicPr>
          <a:picLocks noChangeAspect="1"/>
        </xdr:cNvPicPr>
      </xdr:nvPicPr>
      <xdr:blipFill>
        <a:blip xmlns:r="http://schemas.openxmlformats.org/officeDocument/2006/relationships" r:embed="rId6"/>
        <a:stretch>
          <a:fillRect/>
        </a:stretch>
      </xdr:blipFill>
      <xdr:spPr>
        <a:xfrm>
          <a:off x="17440275" y="23780958"/>
          <a:ext cx="8460235" cy="10196078"/>
        </a:xfrm>
        <a:prstGeom prst="rect">
          <a:avLst/>
        </a:prstGeom>
      </xdr:spPr>
    </xdr:pic>
    <xdr:clientData/>
  </xdr:twoCellAnchor>
  <xdr:twoCellAnchor editAs="absolute">
    <xdr:from>
      <xdr:col>3</xdr:col>
      <xdr:colOff>57150</xdr:colOff>
      <xdr:row>1</xdr:row>
      <xdr:rowOff>504825</xdr:rowOff>
    </xdr:from>
    <xdr:to>
      <xdr:col>8</xdr:col>
      <xdr:colOff>528312</xdr:colOff>
      <xdr:row>3</xdr:row>
      <xdr:rowOff>93154</xdr:rowOff>
    </xdr:to>
    <xdr:sp macro="" textlink="">
      <xdr:nvSpPr>
        <xdr:cNvPr id="31" name="吹き出し: 角を丸めた四角形 4">
          <a:extLst>
            <a:ext uri="{FF2B5EF4-FFF2-40B4-BE49-F238E27FC236}">
              <a16:creationId xmlns:a16="http://schemas.microsoft.com/office/drawing/2014/main" id="{965D5D05-9088-4620-82F5-B9ADCEED2D9C}"/>
            </a:ext>
          </a:extLst>
        </xdr:cNvPr>
        <xdr:cNvSpPr/>
      </xdr:nvSpPr>
      <xdr:spPr>
        <a:xfrm>
          <a:off x="638175" y="80962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609600</xdr:colOff>
      <xdr:row>1</xdr:row>
      <xdr:rowOff>504825</xdr:rowOff>
    </xdr:from>
    <xdr:to>
      <xdr:col>12</xdr:col>
      <xdr:colOff>847725</xdr:colOff>
      <xdr:row>5</xdr:row>
      <xdr:rowOff>168088</xdr:rowOff>
    </xdr:to>
    <xdr:sp macro="" textlink="">
      <xdr:nvSpPr>
        <xdr:cNvPr id="33" name="四角形: 角を丸くする 32">
          <a:extLst>
            <a:ext uri="{FF2B5EF4-FFF2-40B4-BE49-F238E27FC236}">
              <a16:creationId xmlns:a16="http://schemas.microsoft.com/office/drawing/2014/main" id="{491290A8-2C59-4A3D-8FAC-557800F9B485}"/>
            </a:ext>
          </a:extLst>
        </xdr:cNvPr>
        <xdr:cNvSpPr/>
      </xdr:nvSpPr>
      <xdr:spPr>
        <a:xfrm>
          <a:off x="6134100" y="807384"/>
          <a:ext cx="5482478" cy="9295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838200</xdr:colOff>
      <xdr:row>177</xdr:row>
      <xdr:rowOff>0</xdr:rowOff>
    </xdr:from>
    <xdr:to>
      <xdr:col>14</xdr:col>
      <xdr:colOff>447675</xdr:colOff>
      <xdr:row>183</xdr:row>
      <xdr:rowOff>219076</xdr:rowOff>
    </xdr:to>
    <xdr:sp macro="" textlink="">
      <xdr:nvSpPr>
        <xdr:cNvPr id="32" name="吹き出し: 角を丸めた四角形 62">
          <a:extLst>
            <a:ext uri="{FF2B5EF4-FFF2-40B4-BE49-F238E27FC236}">
              <a16:creationId xmlns:a16="http://schemas.microsoft.com/office/drawing/2014/main" id="{052E39B8-ABC3-445F-A495-ED506B6CB6F6}"/>
            </a:ext>
          </a:extLst>
        </xdr:cNvPr>
        <xdr:cNvSpPr/>
      </xdr:nvSpPr>
      <xdr:spPr>
        <a:xfrm>
          <a:off x="8296275" y="40033575"/>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15</xdr:col>
      <xdr:colOff>847725</xdr:colOff>
      <xdr:row>24</xdr:row>
      <xdr:rowOff>76201</xdr:rowOff>
    </xdr:from>
    <xdr:to>
      <xdr:col>37</xdr:col>
      <xdr:colOff>25400</xdr:colOff>
      <xdr:row>32</xdr:row>
      <xdr:rowOff>0</xdr:rowOff>
    </xdr:to>
    <xdr:sp macro="" textlink="">
      <xdr:nvSpPr>
        <xdr:cNvPr id="34" name="吹き出し: 角を丸めた四角形 62">
          <a:extLst>
            <a:ext uri="{FF2B5EF4-FFF2-40B4-BE49-F238E27FC236}">
              <a16:creationId xmlns:a16="http://schemas.microsoft.com/office/drawing/2014/main" id="{E4A0E50B-255A-440F-B409-3D37C2AB52D5}"/>
            </a:ext>
          </a:extLst>
        </xdr:cNvPr>
        <xdr:cNvSpPr/>
      </xdr:nvSpPr>
      <xdr:spPr>
        <a:xfrm>
          <a:off x="14839950" y="5791201"/>
          <a:ext cx="3368675" cy="1600200"/>
        </a:xfrm>
        <a:prstGeom prst="wedgeRoundRectCallout">
          <a:avLst>
            <a:gd name="adj1" fmla="val 14945"/>
            <a:gd name="adj2" fmla="val -2718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合意形成対象者が、例えば、自治会長やその施設における代表者である場合は、「合意形成対象 代表者」に ○ を記入してください。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350921</xdr:colOff>
      <xdr:row>8</xdr:row>
      <xdr:rowOff>200526</xdr:rowOff>
    </xdr:from>
    <xdr:to>
      <xdr:col>28</xdr:col>
      <xdr:colOff>122007</xdr:colOff>
      <xdr:row>29</xdr:row>
      <xdr:rowOff>295942</xdr:rowOff>
    </xdr:to>
    <xdr:pic>
      <xdr:nvPicPr>
        <xdr:cNvPr id="17" name="図 16">
          <a:extLst>
            <a:ext uri="{FF2B5EF4-FFF2-40B4-BE49-F238E27FC236}">
              <a16:creationId xmlns:a16="http://schemas.microsoft.com/office/drawing/2014/main" id="{7FBDFE59-E8F7-8E23-707A-440134ED8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0526" y="3191710"/>
          <a:ext cx="13440297" cy="14951074"/>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457200</xdr:colOff>
      <xdr:row>1</xdr:row>
      <xdr:rowOff>292100</xdr:rowOff>
    </xdr:from>
    <xdr:to>
      <xdr:col>12</xdr:col>
      <xdr:colOff>62441</xdr:colOff>
      <xdr:row>3</xdr:row>
      <xdr:rowOff>375142</xdr:rowOff>
    </xdr:to>
    <xdr:pic>
      <xdr:nvPicPr>
        <xdr:cNvPr id="2" name="図 1">
          <a:extLst>
            <a:ext uri="{FF2B5EF4-FFF2-40B4-BE49-F238E27FC236}">
              <a16:creationId xmlns:a16="http://schemas.microsoft.com/office/drawing/2014/main" id="{9A5DEE68-F811-47E0-BCA1-7B890503C2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06400" y="533400"/>
          <a:ext cx="2323041" cy="895842"/>
        </a:xfrm>
        <a:prstGeom prst="rect">
          <a:avLst/>
        </a:prstGeom>
      </xdr:spPr>
    </xdr:pic>
    <xdr:clientData/>
  </xdr:twoCellAnchor>
  <xdr:twoCellAnchor editAs="oneCell">
    <xdr:from>
      <xdr:col>11</xdr:col>
      <xdr:colOff>80802</xdr:colOff>
      <xdr:row>12</xdr:row>
      <xdr:rowOff>706521</xdr:rowOff>
    </xdr:from>
    <xdr:to>
      <xdr:col>17</xdr:col>
      <xdr:colOff>278315</xdr:colOff>
      <xdr:row>13</xdr:row>
      <xdr:rowOff>820194</xdr:rowOff>
    </xdr:to>
    <xdr:sp macro="" textlink="">
      <xdr:nvSpPr>
        <xdr:cNvPr id="4" name="吹き出し: 角を丸めた四角形 62">
          <a:extLst>
            <a:ext uri="{FF2B5EF4-FFF2-40B4-BE49-F238E27FC236}">
              <a16:creationId xmlns:a16="http://schemas.microsoft.com/office/drawing/2014/main" id="{C327C0BA-7C22-4C63-B373-8C26CFC018FB}"/>
            </a:ext>
          </a:extLst>
        </xdr:cNvPr>
        <xdr:cNvSpPr/>
      </xdr:nvSpPr>
      <xdr:spPr>
        <a:xfrm>
          <a:off x="14401723" y="6020468"/>
          <a:ext cx="4558960" cy="156748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補足情報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・基幹設備の検討内容の詳細を記載してください。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・基幹設備が複数ある場合は、下方の空白の表に、各設備の検討内容をそれぞれ記載してください。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325753</xdr:colOff>
      <xdr:row>10</xdr:row>
      <xdr:rowOff>185138</xdr:rowOff>
    </xdr:from>
    <xdr:to>
      <xdr:col>35</xdr:col>
      <xdr:colOff>151582</xdr:colOff>
      <xdr:row>11</xdr:row>
      <xdr:rowOff>1126177</xdr:rowOff>
    </xdr:to>
    <xdr:sp macro="" textlink="">
      <xdr:nvSpPr>
        <xdr:cNvPr id="5" name="吹き出し: 角を丸めた四角形 62">
          <a:extLst>
            <a:ext uri="{FF2B5EF4-FFF2-40B4-BE49-F238E27FC236}">
              <a16:creationId xmlns:a16="http://schemas.microsoft.com/office/drawing/2014/main" id="{279AF0EA-8787-4853-B84B-C82F5169306C}"/>
            </a:ext>
          </a:extLst>
        </xdr:cNvPr>
        <xdr:cNvSpPr/>
      </xdr:nvSpPr>
      <xdr:spPr>
        <a:xfrm>
          <a:off x="26544569" y="3677638"/>
          <a:ext cx="4621750" cy="1308671"/>
        </a:xfrm>
        <a:prstGeom prst="wedgeRoundRectCallout">
          <a:avLst>
            <a:gd name="adj1" fmla="val -60821"/>
            <a:gd name="adj2" fmla="val 4473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基礎情報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指定設備として設定した施設の各シートの内容が自動的に記載されるため、特に入力は不要です。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12</xdr:row>
      <xdr:rowOff>863312</xdr:rowOff>
    </xdr:from>
    <xdr:to>
      <xdr:col>38</xdr:col>
      <xdr:colOff>17053</xdr:colOff>
      <xdr:row>13</xdr:row>
      <xdr:rowOff>945274</xdr:rowOff>
    </xdr:to>
    <xdr:sp macro="" textlink="">
      <xdr:nvSpPr>
        <xdr:cNvPr id="6" name="吹き出し: 角を丸めた四角形 62">
          <a:extLst>
            <a:ext uri="{FF2B5EF4-FFF2-40B4-BE49-F238E27FC236}">
              <a16:creationId xmlns:a16="http://schemas.microsoft.com/office/drawing/2014/main" id="{A853298C-FA39-4DF6-8790-1C6FE98E314D}"/>
            </a:ext>
          </a:extLst>
        </xdr:cNvPr>
        <xdr:cNvSpPr/>
      </xdr:nvSpPr>
      <xdr:spPr>
        <a:xfrm>
          <a:off x="26566602" y="6177259"/>
          <a:ext cx="6520583" cy="1535778"/>
        </a:xfrm>
        <a:prstGeom prst="wedgeRoundRectCallout">
          <a:avLst>
            <a:gd name="adj1" fmla="val -63008"/>
            <a:gd name="adj2" fmla="val 4387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調査の資料／実地調査の具体的な内容と結果</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・資料調査、実地調査それぞれにおいて確認した主な内容・調査結果、定量的な情報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・原材料調達の検討や調整を要する発電については、原材料の調達状況について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13</xdr:row>
      <xdr:rowOff>1162669</xdr:rowOff>
    </xdr:from>
    <xdr:to>
      <xdr:col>38</xdr:col>
      <xdr:colOff>36103</xdr:colOff>
      <xdr:row>14</xdr:row>
      <xdr:rowOff>1235106</xdr:rowOff>
    </xdr:to>
    <xdr:sp macro="" textlink="">
      <xdr:nvSpPr>
        <xdr:cNvPr id="7" name="吹き出し: 角を丸めた四角形 62">
          <a:extLst>
            <a:ext uri="{FF2B5EF4-FFF2-40B4-BE49-F238E27FC236}">
              <a16:creationId xmlns:a16="http://schemas.microsoft.com/office/drawing/2014/main" id="{2DBD44D2-7E13-44FC-9346-2CF8158DA5E3}"/>
            </a:ext>
          </a:extLst>
        </xdr:cNvPr>
        <xdr:cNvSpPr/>
      </xdr:nvSpPr>
      <xdr:spPr>
        <a:xfrm>
          <a:off x="26566602" y="7930432"/>
          <a:ext cx="6539633" cy="1526253"/>
        </a:xfrm>
        <a:prstGeom prst="wedgeRoundRectCallout">
          <a:avLst>
            <a:gd name="adj1" fmla="val -62803"/>
            <a:gd name="adj2" fmla="val 320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・さらに今後実施する予定がある場合、時期や調査事項等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15</xdr:row>
      <xdr:rowOff>52326</xdr:rowOff>
    </xdr:from>
    <xdr:to>
      <xdr:col>38</xdr:col>
      <xdr:colOff>29753</xdr:colOff>
      <xdr:row>16</xdr:row>
      <xdr:rowOff>115238</xdr:rowOff>
    </xdr:to>
    <xdr:sp macro="" textlink="">
      <xdr:nvSpPr>
        <xdr:cNvPr id="8" name="吹き出し: 角を丸めた四角形 62">
          <a:extLst>
            <a:ext uri="{FF2B5EF4-FFF2-40B4-BE49-F238E27FC236}">
              <a16:creationId xmlns:a16="http://schemas.microsoft.com/office/drawing/2014/main" id="{212A784E-F1B6-4D3E-A41B-5AECF0C0A0B4}"/>
            </a:ext>
          </a:extLst>
        </xdr:cNvPr>
        <xdr:cNvSpPr/>
      </xdr:nvSpPr>
      <xdr:spPr>
        <a:xfrm>
          <a:off x="26566602" y="9727721"/>
          <a:ext cx="6533283" cy="1516728"/>
        </a:xfrm>
        <a:prstGeom prst="wedgeRoundRectCallout">
          <a:avLst>
            <a:gd name="adj1" fmla="val -62577"/>
            <a:gd name="adj2" fmla="val 273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2 </a:t>
          </a:r>
          <a:r>
            <a:rPr kumimoji="1" lang="ja-JP" altLang="en-US" sz="1400" b="0">
              <a:solidFill>
                <a:sysClr val="windowText" lastClr="000000"/>
              </a:solidFill>
              <a:latin typeface="Meiryo UI" panose="020B0604030504040204" pitchFamily="50" charset="-128"/>
              <a:ea typeface="Meiryo UI" panose="020B0604030504040204" pitchFamily="50" charset="-128"/>
            </a:rPr>
            <a:t>系統協議における懸念事項と今後の予定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・事業見込みや懸念点、今後の予定、代替案等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16</xdr:row>
      <xdr:rowOff>346241</xdr:rowOff>
    </xdr:from>
    <xdr:to>
      <xdr:col>38</xdr:col>
      <xdr:colOff>20228</xdr:colOff>
      <xdr:row>17</xdr:row>
      <xdr:rowOff>396453</xdr:rowOff>
    </xdr:to>
    <xdr:sp macro="" textlink="">
      <xdr:nvSpPr>
        <xdr:cNvPr id="9" name="吹き出し: 角を丸めた四角形 62">
          <a:extLst>
            <a:ext uri="{FF2B5EF4-FFF2-40B4-BE49-F238E27FC236}">
              <a16:creationId xmlns:a16="http://schemas.microsoft.com/office/drawing/2014/main" id="{18142801-711C-40AA-8491-68D8C7B40A23}"/>
            </a:ext>
          </a:extLst>
        </xdr:cNvPr>
        <xdr:cNvSpPr/>
      </xdr:nvSpPr>
      <xdr:spPr>
        <a:xfrm>
          <a:off x="26566602" y="11475452"/>
          <a:ext cx="6523758" cy="1504027"/>
        </a:xfrm>
        <a:prstGeom prst="wedgeRoundRectCallout">
          <a:avLst>
            <a:gd name="adj1" fmla="val -61371"/>
            <a:gd name="adj2" fmla="val -17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合意形成の進捗状況の補足</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・説明会の開催日時、開催回数等詳細情報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・合意形成対象者の再エネ設備導入に対する反応</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17</xdr:row>
      <xdr:rowOff>594798</xdr:rowOff>
    </xdr:from>
    <xdr:to>
      <xdr:col>38</xdr:col>
      <xdr:colOff>58328</xdr:colOff>
      <xdr:row>20</xdr:row>
      <xdr:rowOff>87117</xdr:rowOff>
    </xdr:to>
    <xdr:sp macro="" textlink="">
      <xdr:nvSpPr>
        <xdr:cNvPr id="10" name="吹き出し: 角を丸めた四角形 62">
          <a:extLst>
            <a:ext uri="{FF2B5EF4-FFF2-40B4-BE49-F238E27FC236}">
              <a16:creationId xmlns:a16="http://schemas.microsoft.com/office/drawing/2014/main" id="{A2399D13-C564-4E4A-9C26-323C4BAA78C2}"/>
            </a:ext>
          </a:extLst>
        </xdr:cNvPr>
        <xdr:cNvSpPr/>
      </xdr:nvSpPr>
      <xdr:spPr>
        <a:xfrm>
          <a:off x="26604702" y="13177824"/>
          <a:ext cx="6523758" cy="1497582"/>
        </a:xfrm>
        <a:prstGeom prst="wedgeRoundRectCallout">
          <a:avLst>
            <a:gd name="adj1" fmla="val -62413"/>
            <a:gd name="adj2" fmla="val -427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・今後の合意形成の見通しと予定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20</xdr:row>
      <xdr:rowOff>247362</xdr:rowOff>
    </xdr:from>
    <xdr:to>
      <xdr:col>38</xdr:col>
      <xdr:colOff>58328</xdr:colOff>
      <xdr:row>24</xdr:row>
      <xdr:rowOff>304378</xdr:rowOff>
    </xdr:to>
    <xdr:sp macro="" textlink="">
      <xdr:nvSpPr>
        <xdr:cNvPr id="11" name="吹き出し: 角を丸めた四角形 62">
          <a:extLst>
            <a:ext uri="{FF2B5EF4-FFF2-40B4-BE49-F238E27FC236}">
              <a16:creationId xmlns:a16="http://schemas.microsoft.com/office/drawing/2014/main" id="{E79AD47A-7863-4E46-B793-C73A5F42B97F}"/>
            </a:ext>
          </a:extLst>
        </xdr:cNvPr>
        <xdr:cNvSpPr/>
      </xdr:nvSpPr>
      <xdr:spPr>
        <a:xfrm>
          <a:off x="26604702" y="14835651"/>
          <a:ext cx="6523758" cy="1527543"/>
        </a:xfrm>
        <a:prstGeom prst="wedgeRoundRectCallout">
          <a:avLst>
            <a:gd name="adj1" fmla="val -61483"/>
            <a:gd name="adj2" fmla="val -248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4 </a:t>
          </a:r>
          <a:r>
            <a:rPr kumimoji="1" lang="ja-JP" altLang="en-US" sz="1400" b="0">
              <a:solidFill>
                <a:sysClr val="windowText" lastClr="000000"/>
              </a:solidFill>
              <a:latin typeface="Meiryo UI" panose="020B0604030504040204" pitchFamily="50" charset="-128"/>
              <a:ea typeface="Meiryo UI" panose="020B0604030504040204" pitchFamily="50" charset="-128"/>
            </a:rPr>
            <a:t>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調査を進めた上で生じた懸念事項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・合意形成を進めた上で生じた懸念事項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24</xdr:row>
      <xdr:rowOff>533567</xdr:rowOff>
    </xdr:from>
    <xdr:to>
      <xdr:col>38</xdr:col>
      <xdr:colOff>122282</xdr:colOff>
      <xdr:row>29</xdr:row>
      <xdr:rowOff>231353</xdr:rowOff>
    </xdr:to>
    <xdr:sp macro="" textlink="">
      <xdr:nvSpPr>
        <xdr:cNvPr id="12" name="吹き出し: 角を丸めた四角形 62">
          <a:extLst>
            <a:ext uri="{FF2B5EF4-FFF2-40B4-BE49-F238E27FC236}">
              <a16:creationId xmlns:a16="http://schemas.microsoft.com/office/drawing/2014/main" id="{885108C0-C10B-4CAC-A56D-C7F3F5EF9D3B}"/>
            </a:ext>
          </a:extLst>
        </xdr:cNvPr>
        <xdr:cNvSpPr/>
      </xdr:nvSpPr>
      <xdr:spPr>
        <a:xfrm>
          <a:off x="26604702" y="16592383"/>
          <a:ext cx="6587712" cy="1485812"/>
        </a:xfrm>
        <a:prstGeom prst="wedgeRoundRectCallout">
          <a:avLst>
            <a:gd name="adj1" fmla="val -60575"/>
            <a:gd name="adj2" fmla="val -435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5 </a:t>
          </a:r>
          <a:r>
            <a:rPr kumimoji="1" lang="ja-JP" altLang="en-US" sz="1400" b="0">
              <a:solidFill>
                <a:sysClr val="windowText" lastClr="000000"/>
              </a:solidFill>
              <a:latin typeface="Meiryo UI" panose="020B0604030504040204" pitchFamily="50" charset="-128"/>
              <a:ea typeface="Meiryo UI" panose="020B0604030504040204" pitchFamily="50" charset="-128"/>
            </a:rPr>
            <a:t>対策案・代替案の検討状況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・対策案・代替案の検討内容やその状況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・代替案への切り替え判断の時期</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419100</xdr:colOff>
      <xdr:row>4</xdr:row>
      <xdr:rowOff>152400</xdr:rowOff>
    </xdr:from>
    <xdr:to>
      <xdr:col>28</xdr:col>
      <xdr:colOff>38100</xdr:colOff>
      <xdr:row>7</xdr:row>
      <xdr:rowOff>126711</xdr:rowOff>
    </xdr:to>
    <xdr:sp macro="" textlink="">
      <xdr:nvSpPr>
        <xdr:cNvPr id="13" name="吹き出し: 角を丸めた四角形 62">
          <a:extLst>
            <a:ext uri="{FF2B5EF4-FFF2-40B4-BE49-F238E27FC236}">
              <a16:creationId xmlns:a16="http://schemas.microsoft.com/office/drawing/2014/main" id="{538DD3AF-09BD-45D3-8874-80C734759754}"/>
            </a:ext>
          </a:extLst>
        </xdr:cNvPr>
        <xdr:cNvSpPr/>
      </xdr:nvSpPr>
      <xdr:spPr>
        <a:xfrm>
          <a:off x="13068300" y="1663700"/>
          <a:ext cx="13309600" cy="1333211"/>
        </a:xfrm>
        <a:prstGeom prst="wedgeRoundRectCallout">
          <a:avLst>
            <a:gd name="adj1" fmla="val -44094"/>
            <a:gd name="adj2" fmla="val 1165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別表シートについて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新規再エネ導入予定（設備情報）において、「基幹設備」となる設備の各情報について</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、別表の記入をお願いします。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4.1(2)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新規再エネ導入予定の「設備情報」、「</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FS</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調査、系統接続検討情報」の各シートの入力情報が自動で反映された入力シートが生成されます。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本シートの様式１への貼り付けは不要です。</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1258661</xdr:colOff>
      <xdr:row>1</xdr:row>
      <xdr:rowOff>126546</xdr:rowOff>
    </xdr:from>
    <xdr:to>
      <xdr:col>13</xdr:col>
      <xdr:colOff>1389591</xdr:colOff>
      <xdr:row>3</xdr:row>
      <xdr:rowOff>192352</xdr:rowOff>
    </xdr:to>
    <xdr:pic>
      <xdr:nvPicPr>
        <xdr:cNvPr id="2" name="図 1">
          <a:extLst>
            <a:ext uri="{FF2B5EF4-FFF2-40B4-BE49-F238E27FC236}">
              <a16:creationId xmlns:a16="http://schemas.microsoft.com/office/drawing/2014/main" id="{C5CE76A7-6B48-4898-9DE0-0FE85D7C8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5161" y="431346"/>
          <a:ext cx="2321680" cy="894481"/>
        </a:xfrm>
        <a:prstGeom prst="rect">
          <a:avLst/>
        </a:prstGeom>
      </xdr:spPr>
    </xdr:pic>
    <xdr:clientData/>
  </xdr:twoCellAnchor>
  <xdr:twoCellAnchor editAs="oneCell">
    <xdr:from>
      <xdr:col>5</xdr:col>
      <xdr:colOff>295275</xdr:colOff>
      <xdr:row>10</xdr:row>
      <xdr:rowOff>35300</xdr:rowOff>
    </xdr:from>
    <xdr:to>
      <xdr:col>6</xdr:col>
      <xdr:colOff>1732133</xdr:colOff>
      <xdr:row>13</xdr:row>
      <xdr:rowOff>152401</xdr:rowOff>
    </xdr:to>
    <xdr:sp macro="" textlink="">
      <xdr:nvSpPr>
        <xdr:cNvPr id="3" name="吹き出し: 角を丸めた四角形 62">
          <a:extLst>
            <a:ext uri="{FF2B5EF4-FFF2-40B4-BE49-F238E27FC236}">
              <a16:creationId xmlns:a16="http://schemas.microsoft.com/office/drawing/2014/main" id="{9E21806E-B211-4D8A-8174-AB91B4383B8E}"/>
            </a:ext>
          </a:extLst>
        </xdr:cNvPr>
        <xdr:cNvSpPr/>
      </xdr:nvSpPr>
      <xdr:spPr>
        <a:xfrm>
          <a:off x="5105400" y="2959475"/>
          <a:ext cx="2351258" cy="831476"/>
        </a:xfrm>
        <a:prstGeom prst="wedgeRoundRectCallout">
          <a:avLst>
            <a:gd name="adj1" fmla="val -37618"/>
            <a:gd name="adj2" fmla="val -884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数量は、単位もつけて記入してください。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2056358</xdr:colOff>
      <xdr:row>11</xdr:row>
      <xdr:rowOff>103654</xdr:rowOff>
    </xdr:from>
    <xdr:to>
      <xdr:col>8</xdr:col>
      <xdr:colOff>1362206</xdr:colOff>
      <xdr:row>18</xdr:row>
      <xdr:rowOff>137271</xdr:rowOff>
    </xdr:to>
    <xdr:sp macro="" textlink="">
      <xdr:nvSpPr>
        <xdr:cNvPr id="4" name="吹き出し: 角を丸めた四角形 62">
          <a:extLst>
            <a:ext uri="{FF2B5EF4-FFF2-40B4-BE49-F238E27FC236}">
              <a16:creationId xmlns:a16="http://schemas.microsoft.com/office/drawing/2014/main" id="{D7BE7B64-1E6E-4EAD-A279-97DF58827505}"/>
            </a:ext>
          </a:extLst>
        </xdr:cNvPr>
        <xdr:cNvSpPr/>
      </xdr:nvSpPr>
      <xdr:spPr>
        <a:xfrm>
          <a:off x="7780883" y="3265954"/>
          <a:ext cx="2896773" cy="1652867"/>
        </a:xfrm>
        <a:prstGeom prst="wedgeRoundRectCallout">
          <a:avLst>
            <a:gd name="adj1" fmla="val -32597"/>
            <a:gd name="adj2" fmla="val -9589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設備能力、発電量、先行地域へ供給する電力量は、単位をつけず、数値のみを記入してください。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1016934</xdr:colOff>
      <xdr:row>11</xdr:row>
      <xdr:rowOff>58830</xdr:rowOff>
    </xdr:from>
    <xdr:to>
      <xdr:col>12</xdr:col>
      <xdr:colOff>205333</xdr:colOff>
      <xdr:row>18</xdr:row>
      <xdr:rowOff>92447</xdr:rowOff>
    </xdr:to>
    <xdr:sp macro="" textlink="">
      <xdr:nvSpPr>
        <xdr:cNvPr id="5" name="吹き出し: 角を丸めた四角形 62">
          <a:extLst>
            <a:ext uri="{FF2B5EF4-FFF2-40B4-BE49-F238E27FC236}">
              <a16:creationId xmlns:a16="http://schemas.microsoft.com/office/drawing/2014/main" id="{F000C6E7-4F59-4DA6-BBCE-541D20E3214D}"/>
            </a:ext>
          </a:extLst>
        </xdr:cNvPr>
        <xdr:cNvSpPr/>
      </xdr:nvSpPr>
      <xdr:spPr>
        <a:xfrm>
          <a:off x="11732559" y="3221130"/>
          <a:ext cx="2379274" cy="1652867"/>
        </a:xfrm>
        <a:prstGeom prst="wedgeRoundRectCallout">
          <a:avLst>
            <a:gd name="adj1" fmla="val 35218"/>
            <a:gd name="adj2" fmla="val -884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非</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電源等、利用状況を記入してください。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399381</xdr:colOff>
      <xdr:row>11</xdr:row>
      <xdr:rowOff>47625</xdr:rowOff>
    </xdr:from>
    <xdr:to>
      <xdr:col>15</xdr:col>
      <xdr:colOff>167037</xdr:colOff>
      <xdr:row>18</xdr:row>
      <xdr:rowOff>87592</xdr:rowOff>
    </xdr:to>
    <xdr:sp macro="" textlink="">
      <xdr:nvSpPr>
        <xdr:cNvPr id="6" name="吹き出し: 角を丸めた四角形 62">
          <a:extLst>
            <a:ext uri="{FF2B5EF4-FFF2-40B4-BE49-F238E27FC236}">
              <a16:creationId xmlns:a16="http://schemas.microsoft.com/office/drawing/2014/main" id="{1392CB05-5738-431D-B4B4-F93160F5C82A}"/>
            </a:ext>
          </a:extLst>
        </xdr:cNvPr>
        <xdr:cNvSpPr/>
      </xdr:nvSpPr>
      <xdr:spPr>
        <a:xfrm>
          <a:off x="14305881" y="3209925"/>
          <a:ext cx="3711006" cy="1659217"/>
        </a:xfrm>
        <a:prstGeom prst="wedgeRoundRectCallout">
          <a:avLst>
            <a:gd name="adj1" fmla="val -26657"/>
            <a:gd name="adj2" fmla="val -893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供給方法・主体について記載してください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（小売電気事業者○○）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304611</xdr:colOff>
      <xdr:row>44</xdr:row>
      <xdr:rowOff>80289</xdr:rowOff>
    </xdr:from>
    <xdr:to>
      <xdr:col>12</xdr:col>
      <xdr:colOff>614992</xdr:colOff>
      <xdr:row>48</xdr:row>
      <xdr:rowOff>247569</xdr:rowOff>
    </xdr:to>
    <xdr:sp macro="" textlink="">
      <xdr:nvSpPr>
        <xdr:cNvPr id="7" name="吹き出し: 角を丸めた四角形 62">
          <a:extLst>
            <a:ext uri="{FF2B5EF4-FFF2-40B4-BE49-F238E27FC236}">
              <a16:creationId xmlns:a16="http://schemas.microsoft.com/office/drawing/2014/main" id="{C150B6F1-D647-4DF8-ABD1-02E48E209BE9}"/>
            </a:ext>
          </a:extLst>
        </xdr:cNvPr>
        <xdr:cNvSpPr/>
      </xdr:nvSpPr>
      <xdr:spPr>
        <a:xfrm>
          <a:off x="11020236" y="11443614"/>
          <a:ext cx="3501256" cy="1100730"/>
        </a:xfrm>
        <a:prstGeom prst="wedgeRoundRectCallout">
          <a:avLst>
            <a:gd name="adj1" fmla="val -43210"/>
            <a:gd name="adj2" fmla="val -8434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ガイドブック、計画提案書記載例を確認の上、</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計上する発電量を記載してください。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195587</xdr:colOff>
      <xdr:row>3</xdr:row>
      <xdr:rowOff>180975</xdr:rowOff>
    </xdr:from>
    <xdr:to>
      <xdr:col>6</xdr:col>
      <xdr:colOff>85724</xdr:colOff>
      <xdr:row>5</xdr:row>
      <xdr:rowOff>159829</xdr:rowOff>
    </xdr:to>
    <xdr:sp macro="" textlink="">
      <xdr:nvSpPr>
        <xdr:cNvPr id="8" name="吹き出し: 角を丸めた四角形 4">
          <a:extLst>
            <a:ext uri="{FF2B5EF4-FFF2-40B4-BE49-F238E27FC236}">
              <a16:creationId xmlns:a16="http://schemas.microsoft.com/office/drawing/2014/main" id="{3F7CB0D3-E6FF-4641-8743-ED8D6F20BFD2}"/>
            </a:ext>
          </a:extLst>
        </xdr:cNvPr>
        <xdr:cNvSpPr/>
      </xdr:nvSpPr>
      <xdr:spPr>
        <a:xfrm>
          <a:off x="395612" y="124777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685801</xdr:colOff>
      <xdr:row>0</xdr:row>
      <xdr:rowOff>57149</xdr:rowOff>
    </xdr:from>
    <xdr:to>
      <xdr:col>8</xdr:col>
      <xdr:colOff>285750</xdr:colOff>
      <xdr:row>2</xdr:row>
      <xdr:rowOff>217165</xdr:rowOff>
    </xdr:to>
    <xdr:pic>
      <xdr:nvPicPr>
        <xdr:cNvPr id="2" name="図 1">
          <a:extLst>
            <a:ext uri="{FF2B5EF4-FFF2-40B4-BE49-F238E27FC236}">
              <a16:creationId xmlns:a16="http://schemas.microsoft.com/office/drawing/2014/main" id="{4F62AE23-4DF3-49E7-9F54-11C48F809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1" y="57149"/>
          <a:ext cx="1724024" cy="664841"/>
        </a:xfrm>
        <a:prstGeom prst="rect">
          <a:avLst/>
        </a:prstGeom>
      </xdr:spPr>
    </xdr:pic>
    <xdr:clientData/>
  </xdr:twoCellAnchor>
  <xdr:twoCellAnchor editAs="absolute">
    <xdr:from>
      <xdr:col>0</xdr:col>
      <xdr:colOff>47625</xdr:colOff>
      <xdr:row>2</xdr:row>
      <xdr:rowOff>37353</xdr:rowOff>
    </xdr:from>
    <xdr:to>
      <xdr:col>5</xdr:col>
      <xdr:colOff>1645711</xdr:colOff>
      <xdr:row>3</xdr:row>
      <xdr:rowOff>190500</xdr:rowOff>
    </xdr:to>
    <xdr:sp macro="" textlink="">
      <xdr:nvSpPr>
        <xdr:cNvPr id="3" name="吹き出し: 角を丸めた四角形 21">
          <a:extLst>
            <a:ext uri="{FF2B5EF4-FFF2-40B4-BE49-F238E27FC236}">
              <a16:creationId xmlns:a16="http://schemas.microsoft.com/office/drawing/2014/main" id="{0DA4A84F-1C86-4E0F-8723-7DF8F1A7A624}"/>
            </a:ext>
          </a:extLst>
        </xdr:cNvPr>
        <xdr:cNvSpPr/>
      </xdr:nvSpPr>
      <xdr:spPr>
        <a:xfrm>
          <a:off x="47625" y="542178"/>
          <a:ext cx="4598461" cy="94372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本シートの数値は後続の電力供給状況、需要量、削減量のシートを入力することで自動的に反映されます</a:t>
          </a:r>
        </a:p>
      </xdr:txBody>
    </xdr:sp>
    <xdr:clientData/>
  </xdr:twoCellAnchor>
  <xdr:twoCellAnchor editAs="absolute">
    <xdr:from>
      <xdr:col>6</xdr:col>
      <xdr:colOff>226911</xdr:colOff>
      <xdr:row>1</xdr:row>
      <xdr:rowOff>57149</xdr:rowOff>
    </xdr:from>
    <xdr:to>
      <xdr:col>9</xdr:col>
      <xdr:colOff>495587</xdr:colOff>
      <xdr:row>4</xdr:row>
      <xdr:rowOff>19049</xdr:rowOff>
    </xdr:to>
    <xdr:sp macro="" textlink="">
      <xdr:nvSpPr>
        <xdr:cNvPr id="4" name="吹き出し: 角を丸めた四角形 3">
          <a:extLst>
            <a:ext uri="{FF2B5EF4-FFF2-40B4-BE49-F238E27FC236}">
              <a16:creationId xmlns:a16="http://schemas.microsoft.com/office/drawing/2014/main" id="{AE8AD43C-DB7D-422A-A63E-48EAF639965D}"/>
            </a:ext>
          </a:extLst>
        </xdr:cNvPr>
        <xdr:cNvSpPr/>
      </xdr:nvSpPr>
      <xdr:spPr>
        <a:xfrm>
          <a:off x="5379936" y="323849"/>
          <a:ext cx="3211901" cy="1228725"/>
        </a:xfrm>
        <a:prstGeom prst="wedgeRoundRectCallout">
          <a:avLst>
            <a:gd name="adj1" fmla="val -61952"/>
            <a:gd name="adj2" fmla="val 750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シートに入力した電力供給量が</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1</xdr:col>
      <xdr:colOff>33903</xdr:colOff>
      <xdr:row>17</xdr:row>
      <xdr:rowOff>87619</xdr:rowOff>
    </xdr:from>
    <xdr:to>
      <xdr:col>8</xdr:col>
      <xdr:colOff>180975</xdr:colOff>
      <xdr:row>19</xdr:row>
      <xdr:rowOff>38100</xdr:rowOff>
    </xdr:to>
    <xdr:sp macro="" textlink="">
      <xdr:nvSpPr>
        <xdr:cNvPr id="5" name="四角形: 角を丸くする 4">
          <a:extLst>
            <a:ext uri="{FF2B5EF4-FFF2-40B4-BE49-F238E27FC236}">
              <a16:creationId xmlns:a16="http://schemas.microsoft.com/office/drawing/2014/main" id="{6704BA2B-2FDD-47C3-BC45-5406CBD442BA}"/>
            </a:ext>
          </a:extLst>
        </xdr:cNvPr>
        <xdr:cNvSpPr/>
      </xdr:nvSpPr>
      <xdr:spPr>
        <a:xfrm>
          <a:off x="157728" y="6574144"/>
          <a:ext cx="7805172" cy="44578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300482</xdr:colOff>
      <xdr:row>5</xdr:row>
      <xdr:rowOff>180658</xdr:rowOff>
    </xdr:from>
    <xdr:to>
      <xdr:col>22</xdr:col>
      <xdr:colOff>601930</xdr:colOff>
      <xdr:row>8</xdr:row>
      <xdr:rowOff>266699</xdr:rowOff>
    </xdr:to>
    <xdr:sp macro="" textlink="">
      <xdr:nvSpPr>
        <xdr:cNvPr id="6" name="吹き出し: 角を丸めた四角形 4">
          <a:extLst>
            <a:ext uri="{FF2B5EF4-FFF2-40B4-BE49-F238E27FC236}">
              <a16:creationId xmlns:a16="http://schemas.microsoft.com/office/drawing/2014/main" id="{00500D87-46C3-4F84-A4A8-AE50D8B69DBF}"/>
            </a:ext>
          </a:extLst>
        </xdr:cNvPr>
        <xdr:cNvSpPr/>
      </xdr:nvSpPr>
      <xdr:spPr>
        <a:xfrm>
          <a:off x="8082407" y="2161858"/>
          <a:ext cx="4378148" cy="943291"/>
        </a:xfrm>
        <a:prstGeom prst="wedgeRoundRectCallout">
          <a:avLst>
            <a:gd name="adj1" fmla="val -61583"/>
            <a:gd name="adj2" fmla="val -98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電力削減量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省エネによる電力削減量が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46389</xdr:colOff>
      <xdr:row>8</xdr:row>
      <xdr:rowOff>282863</xdr:rowOff>
    </xdr:from>
    <xdr:to>
      <xdr:col>27</xdr:col>
      <xdr:colOff>617079</xdr:colOff>
      <xdr:row>27</xdr:row>
      <xdr:rowOff>194869</xdr:rowOff>
    </xdr:to>
    <xdr:pic>
      <xdr:nvPicPr>
        <xdr:cNvPr id="7" name="図 15">
          <a:extLst>
            <a:ext uri="{FF2B5EF4-FFF2-40B4-BE49-F238E27FC236}">
              <a16:creationId xmlns:a16="http://schemas.microsoft.com/office/drawing/2014/main" id="{7400BF45-F59E-4C98-B734-966E8409564B}"/>
            </a:ext>
          </a:extLst>
        </xdr:cNvPr>
        <xdr:cNvPicPr>
          <a:picLocks noChangeAspect="1"/>
        </xdr:cNvPicPr>
      </xdr:nvPicPr>
      <xdr:blipFill>
        <a:blip xmlns:r="http://schemas.openxmlformats.org/officeDocument/2006/relationships" r:embed="rId2"/>
        <a:stretch>
          <a:fillRect/>
        </a:stretch>
      </xdr:blipFill>
      <xdr:spPr>
        <a:xfrm>
          <a:off x="7828314" y="3121313"/>
          <a:ext cx="8076390" cy="5960381"/>
        </a:xfrm>
        <a:prstGeom prst="rect">
          <a:avLst/>
        </a:prstGeom>
      </xdr:spPr>
    </xdr:pic>
    <xdr:clientData/>
  </xdr:twoCellAnchor>
  <xdr:twoCellAnchor editAs="absolute">
    <xdr:from>
      <xdr:col>9</xdr:col>
      <xdr:colOff>960873</xdr:colOff>
      <xdr:row>1</xdr:row>
      <xdr:rowOff>56243</xdr:rowOff>
    </xdr:from>
    <xdr:to>
      <xdr:col>24</xdr:col>
      <xdr:colOff>318607</xdr:colOff>
      <xdr:row>4</xdr:row>
      <xdr:rowOff>400050</xdr:rowOff>
    </xdr:to>
    <xdr:sp macro="" textlink="">
      <xdr:nvSpPr>
        <xdr:cNvPr id="8" name="四角形: 角を丸くする 7">
          <a:extLst>
            <a:ext uri="{FF2B5EF4-FFF2-40B4-BE49-F238E27FC236}">
              <a16:creationId xmlns:a16="http://schemas.microsoft.com/office/drawing/2014/main" id="{FD1AB346-ACEB-4D04-A9C1-F2777C896F8D}"/>
            </a:ext>
          </a:extLst>
        </xdr:cNvPr>
        <xdr:cNvSpPr/>
      </xdr:nvSpPr>
      <xdr:spPr>
        <a:xfrm>
          <a:off x="9057123" y="322943"/>
          <a:ext cx="4491709" cy="161063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「実質ゼロ」の計算式は左辺＝右辺となります。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再エネ等の電力供給量は、脱炭素先行地域内の電力需要量を上回って発電する場合でも、当該先行地域内の電力需要に供給される量のみを記載してください。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66675</xdr:colOff>
      <xdr:row>8</xdr:row>
      <xdr:rowOff>209549</xdr:rowOff>
    </xdr:from>
    <xdr:to>
      <xdr:col>5</xdr:col>
      <xdr:colOff>549315</xdr:colOff>
      <xdr:row>11</xdr:row>
      <xdr:rowOff>66674</xdr:rowOff>
    </xdr:to>
    <xdr:sp macro="" textlink="">
      <xdr:nvSpPr>
        <xdr:cNvPr id="9" name="吹き出し: 角を丸めた四角形 3">
          <a:extLst>
            <a:ext uri="{FF2B5EF4-FFF2-40B4-BE49-F238E27FC236}">
              <a16:creationId xmlns:a16="http://schemas.microsoft.com/office/drawing/2014/main" id="{CB083084-057D-460D-8DA2-762AAA2DC596}"/>
            </a:ext>
          </a:extLst>
        </xdr:cNvPr>
        <xdr:cNvSpPr/>
      </xdr:nvSpPr>
      <xdr:spPr>
        <a:xfrm>
          <a:off x="190500" y="3047999"/>
          <a:ext cx="3359190" cy="1019175"/>
        </a:xfrm>
        <a:prstGeom prst="wedgeRoundRectCallout">
          <a:avLst>
            <a:gd name="adj1" fmla="val 2600"/>
            <a:gd name="adj2" fmla="val -11643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756707</xdr:colOff>
      <xdr:row>2</xdr:row>
      <xdr:rowOff>219352</xdr:rowOff>
    </xdr:from>
    <xdr:to>
      <xdr:col>9</xdr:col>
      <xdr:colOff>19050</xdr:colOff>
      <xdr:row>6</xdr:row>
      <xdr:rowOff>107240</xdr:rowOff>
    </xdr:to>
    <xdr:pic>
      <xdr:nvPicPr>
        <xdr:cNvPr id="66" name="図 65">
          <a:extLst>
            <a:ext uri="{FF2B5EF4-FFF2-40B4-BE49-F238E27FC236}">
              <a16:creationId xmlns:a16="http://schemas.microsoft.com/office/drawing/2014/main" id="{06984F09-D25F-4661-96BA-A28B8487BC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1107" y="724177"/>
          <a:ext cx="2243668" cy="868963"/>
        </a:xfrm>
        <a:prstGeom prst="rect">
          <a:avLst/>
        </a:prstGeom>
      </xdr:spPr>
    </xdr:pic>
    <xdr:clientData/>
  </xdr:twoCellAnchor>
  <xdr:twoCellAnchor editAs="absolute">
    <xdr:from>
      <xdr:col>4</xdr:col>
      <xdr:colOff>1085850</xdr:colOff>
      <xdr:row>1</xdr:row>
      <xdr:rowOff>161925</xdr:rowOff>
    </xdr:from>
    <xdr:to>
      <xdr:col>6</xdr:col>
      <xdr:colOff>473723</xdr:colOff>
      <xdr:row>4</xdr:row>
      <xdr:rowOff>132470</xdr:rowOff>
    </xdr:to>
    <xdr:sp macro="" textlink="">
      <xdr:nvSpPr>
        <xdr:cNvPr id="2" name="吹き出し: 角を丸めた四角形 13">
          <a:extLst>
            <a:ext uri="{FF2B5EF4-FFF2-40B4-BE49-F238E27FC236}">
              <a16:creationId xmlns:a16="http://schemas.microsoft.com/office/drawing/2014/main" id="{F6A123E9-A035-42D5-BA68-92E0D0502873}"/>
            </a:ext>
          </a:extLst>
        </xdr:cNvPr>
        <xdr:cNvSpPr/>
      </xdr:nvSpPr>
      <xdr:spPr>
        <a:xfrm>
          <a:off x="2809875" y="400050"/>
          <a:ext cx="2388248" cy="742070"/>
        </a:xfrm>
        <a:prstGeom prst="wedgeRoundRectCallout">
          <a:avLst>
            <a:gd name="adj1" fmla="val 50311"/>
            <a:gd name="adj2" fmla="val 11899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割合（</a:t>
          </a:r>
          <a:r>
            <a:rPr kumimoji="1" lang="en-US" altLang="ja-JP" sz="1400" b="0">
              <a:solidFill>
                <a:sysClr val="windowText" lastClr="000000"/>
              </a:solidFill>
              <a:latin typeface="Meiryo UI" panose="020B0604030504040204" pitchFamily="50" charset="-128"/>
              <a:ea typeface="Meiryo UI" panose="020B0604030504040204" pitchFamily="50" charset="-128"/>
            </a:rPr>
            <a:t>G</a:t>
          </a:r>
          <a:r>
            <a:rPr kumimoji="1" lang="ja-JP" altLang="en-US" sz="1400" b="0">
              <a:solidFill>
                <a:sysClr val="windowText" lastClr="000000"/>
              </a:solidFill>
              <a:latin typeface="Meiryo UI" panose="020B0604030504040204" pitchFamily="50" charset="-128"/>
              <a:ea typeface="Meiryo UI" panose="020B0604030504040204" pitchFamily="50" charset="-128"/>
            </a:rPr>
            <a:t>列）は自動計算されるため入力は不要です。</a:t>
          </a:r>
        </a:p>
      </xdr:txBody>
    </xdr:sp>
    <xdr:clientData/>
  </xdr:twoCellAnchor>
  <xdr:twoCellAnchor editAs="absolute">
    <xdr:from>
      <xdr:col>0</xdr:col>
      <xdr:colOff>95250</xdr:colOff>
      <xdr:row>17</xdr:row>
      <xdr:rowOff>19050</xdr:rowOff>
    </xdr:from>
    <xdr:to>
      <xdr:col>10</xdr:col>
      <xdr:colOff>676336</xdr:colOff>
      <xdr:row>24</xdr:row>
      <xdr:rowOff>171450</xdr:rowOff>
    </xdr:to>
    <xdr:sp macro="" textlink="">
      <xdr:nvSpPr>
        <xdr:cNvPr id="3" name="吹き出し: 角を丸めた四角形 13">
          <a:extLst>
            <a:ext uri="{FF2B5EF4-FFF2-40B4-BE49-F238E27FC236}">
              <a16:creationId xmlns:a16="http://schemas.microsoft.com/office/drawing/2014/main" id="{3936588F-F013-4F7B-B73E-7806FDE92A2C}"/>
            </a:ext>
          </a:extLst>
        </xdr:cNvPr>
        <xdr:cNvSpPr/>
      </xdr:nvSpPr>
      <xdr:spPr>
        <a:xfrm>
          <a:off x="95250" y="6067425"/>
          <a:ext cx="8486836" cy="3657600"/>
        </a:xfrm>
        <a:prstGeom prst="roundRect">
          <a:avLst>
            <a:gd name="adj" fmla="val 10959"/>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表の項目について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各項目の”単位”に注意をいただきながら、欄には</a:t>
          </a:r>
          <a:r>
            <a:rPr kumimoji="1" lang="ja-JP" altLang="en-US" sz="1400" b="0">
              <a:solidFill>
                <a:srgbClr val="FF0000"/>
              </a:solidFill>
              <a:latin typeface="Meiryo UI" panose="020B0604030504040204" pitchFamily="50" charset="-128"/>
              <a:ea typeface="Meiryo UI" panose="020B0604030504040204" pitchFamily="50" charset="-128"/>
            </a:rPr>
            <a:t>”数値のみ”を記入ください。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■取組の規模</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脱炭素先行地域の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エリア面積、対象の民生需要家数、民生需要家の合計電力需要量を記入してください。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■提案地方公共団体内全域の数値</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貴団体全域の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エリア面積、全域の民生需要家数、全域の民生需要家の合計電力需要量を記入してください。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■民生需要家「その他」について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他のいずれの部門にも帰属しないエネルギー消費があればその他に記載してください。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なければ行削除して頂いて構いません。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7</xdr:col>
      <xdr:colOff>1447800</xdr:colOff>
      <xdr:row>0</xdr:row>
      <xdr:rowOff>104775</xdr:rowOff>
    </xdr:from>
    <xdr:to>
      <xdr:col>23</xdr:col>
      <xdr:colOff>283921</xdr:colOff>
      <xdr:row>17</xdr:row>
      <xdr:rowOff>155090</xdr:rowOff>
    </xdr:to>
    <xdr:pic>
      <xdr:nvPicPr>
        <xdr:cNvPr id="4" name="図 2">
          <a:extLst>
            <a:ext uri="{FF2B5EF4-FFF2-40B4-BE49-F238E27FC236}">
              <a16:creationId xmlns:a16="http://schemas.microsoft.com/office/drawing/2014/main" id="{DDE2011A-D51A-4A5E-B022-90769C29A313}"/>
            </a:ext>
          </a:extLst>
        </xdr:cNvPr>
        <xdr:cNvPicPr>
          <a:picLocks noChangeAspect="1"/>
        </xdr:cNvPicPr>
      </xdr:nvPicPr>
      <xdr:blipFill>
        <a:blip xmlns:r="http://schemas.openxmlformats.org/officeDocument/2006/relationships" r:embed="rId2"/>
        <a:stretch>
          <a:fillRect/>
        </a:stretch>
      </xdr:blipFill>
      <xdr:spPr>
        <a:xfrm>
          <a:off x="7629525" y="104775"/>
          <a:ext cx="8103946" cy="6098690"/>
        </a:xfrm>
        <a:prstGeom prst="rect">
          <a:avLst/>
        </a:prstGeom>
      </xdr:spPr>
    </xdr:pic>
    <xdr:clientData/>
  </xdr:twoCellAnchor>
  <xdr:twoCellAnchor editAs="absolute">
    <xdr:from>
      <xdr:col>1</xdr:col>
      <xdr:colOff>19050</xdr:colOff>
      <xdr:row>14</xdr:row>
      <xdr:rowOff>428625</xdr:rowOff>
    </xdr:from>
    <xdr:to>
      <xdr:col>6</xdr:col>
      <xdr:colOff>1119661</xdr:colOff>
      <xdr:row>16</xdr:row>
      <xdr:rowOff>261803</xdr:rowOff>
    </xdr:to>
    <xdr:sp macro="" textlink="">
      <xdr:nvSpPr>
        <xdr:cNvPr id="5" name="吹き出し: 角を丸めた四角形 4">
          <a:extLst>
            <a:ext uri="{FF2B5EF4-FFF2-40B4-BE49-F238E27FC236}">
              <a16:creationId xmlns:a16="http://schemas.microsoft.com/office/drawing/2014/main" id="{60096A72-B779-4394-8B77-7FC9A424C245}"/>
            </a:ext>
          </a:extLst>
        </xdr:cNvPr>
        <xdr:cNvSpPr/>
      </xdr:nvSpPr>
      <xdr:spPr>
        <a:xfrm>
          <a:off x="257175" y="533400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476250</xdr:colOff>
      <xdr:row>0</xdr:row>
      <xdr:rowOff>137583</xdr:rowOff>
    </xdr:from>
    <xdr:to>
      <xdr:col>13</xdr:col>
      <xdr:colOff>52916</xdr:colOff>
      <xdr:row>4</xdr:row>
      <xdr:rowOff>122056</xdr:rowOff>
    </xdr:to>
    <xdr:pic>
      <xdr:nvPicPr>
        <xdr:cNvPr id="2" name="図 1">
          <a:extLst>
            <a:ext uri="{FF2B5EF4-FFF2-40B4-BE49-F238E27FC236}">
              <a16:creationId xmlns:a16="http://schemas.microsoft.com/office/drawing/2014/main" id="{177CB845-B228-4A37-9008-195EF63523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33" y="137583"/>
          <a:ext cx="2444750" cy="958140"/>
        </a:xfrm>
        <a:prstGeom prst="rect">
          <a:avLst/>
        </a:prstGeom>
      </xdr:spPr>
    </xdr:pic>
    <xdr:clientData/>
  </xdr:twoCellAnchor>
  <xdr:twoCellAnchor editAs="absolute">
    <xdr:from>
      <xdr:col>1</xdr:col>
      <xdr:colOff>38030</xdr:colOff>
      <xdr:row>2</xdr:row>
      <xdr:rowOff>136073</xdr:rowOff>
    </xdr:from>
    <xdr:to>
      <xdr:col>6</xdr:col>
      <xdr:colOff>714375</xdr:colOff>
      <xdr:row>5</xdr:row>
      <xdr:rowOff>183500</xdr:rowOff>
    </xdr:to>
    <xdr:sp macro="" textlink="">
      <xdr:nvSpPr>
        <xdr:cNvPr id="4" name="吹き出し: 角を丸めた四角形 21">
          <a:extLst>
            <a:ext uri="{FF2B5EF4-FFF2-40B4-BE49-F238E27FC236}">
              <a16:creationId xmlns:a16="http://schemas.microsoft.com/office/drawing/2014/main" id="{17AFD556-08DC-4763-9949-AD55A5D1CE77}"/>
            </a:ext>
          </a:extLst>
        </xdr:cNvPr>
        <xdr:cNvSpPr/>
      </xdr:nvSpPr>
      <xdr:spPr>
        <a:xfrm>
          <a:off x="219005" y="612323"/>
          <a:ext cx="4695895" cy="76180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本シートの数値は後続の電力供給状況、需要量、削減量のシートを入力することで自動的に反映されます</a:t>
          </a:r>
        </a:p>
      </xdr:txBody>
    </xdr:sp>
    <xdr:clientData/>
  </xdr:twoCellAnchor>
  <xdr:twoCellAnchor editAs="absolute">
    <xdr:from>
      <xdr:col>12</xdr:col>
      <xdr:colOff>958150</xdr:colOff>
      <xdr:row>0</xdr:row>
      <xdr:rowOff>219075</xdr:rowOff>
    </xdr:from>
    <xdr:to>
      <xdr:col>34</xdr:col>
      <xdr:colOff>140834</xdr:colOff>
      <xdr:row>19</xdr:row>
      <xdr:rowOff>131796</xdr:rowOff>
    </xdr:to>
    <xdr:pic>
      <xdr:nvPicPr>
        <xdr:cNvPr id="5" name="図 2">
          <a:extLst>
            <a:ext uri="{FF2B5EF4-FFF2-40B4-BE49-F238E27FC236}">
              <a16:creationId xmlns:a16="http://schemas.microsoft.com/office/drawing/2014/main" id="{878C539B-6C73-4873-B955-5CEA49AA7749}"/>
            </a:ext>
          </a:extLst>
        </xdr:cNvPr>
        <xdr:cNvPicPr>
          <a:picLocks noChangeAspect="1"/>
        </xdr:cNvPicPr>
      </xdr:nvPicPr>
      <xdr:blipFill>
        <a:blip xmlns:r="http://schemas.openxmlformats.org/officeDocument/2006/relationships" r:embed="rId2"/>
        <a:stretch>
          <a:fillRect/>
        </a:stretch>
      </xdr:blipFill>
      <xdr:spPr>
        <a:xfrm>
          <a:off x="12283375" y="219075"/>
          <a:ext cx="7907584" cy="6294471"/>
        </a:xfrm>
        <a:prstGeom prst="rect">
          <a:avLst/>
        </a:prstGeom>
      </xdr:spPr>
    </xdr:pic>
    <xdr:clientData/>
  </xdr:twoCellAnchor>
  <xdr:twoCellAnchor editAs="absolute">
    <xdr:from>
      <xdr:col>4</xdr:col>
      <xdr:colOff>503465</xdr:colOff>
      <xdr:row>20</xdr:row>
      <xdr:rowOff>9802</xdr:rowOff>
    </xdr:from>
    <xdr:to>
      <xdr:col>7</xdr:col>
      <xdr:colOff>434192</xdr:colOff>
      <xdr:row>23</xdr:row>
      <xdr:rowOff>228600</xdr:rowOff>
    </xdr:to>
    <xdr:sp macro="" textlink="">
      <xdr:nvSpPr>
        <xdr:cNvPr id="6" name="吹き出し: 角を丸めた四角形 21">
          <a:extLst>
            <a:ext uri="{FF2B5EF4-FFF2-40B4-BE49-F238E27FC236}">
              <a16:creationId xmlns:a16="http://schemas.microsoft.com/office/drawing/2014/main" id="{3E48BBE0-CB5D-4845-AFE4-DB98FA9805EA}"/>
            </a:ext>
          </a:extLst>
        </xdr:cNvPr>
        <xdr:cNvSpPr/>
      </xdr:nvSpPr>
      <xdr:spPr>
        <a:xfrm>
          <a:off x="1370240" y="6629677"/>
          <a:ext cx="4150302" cy="1237973"/>
        </a:xfrm>
        <a:prstGeom prst="wedgeRoundRectCallout">
          <a:avLst>
            <a:gd name="adj1" fmla="val 27968"/>
            <a:gd name="adj2" fmla="val -1759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各需要家の</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数量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その他の数値に関する項目は他シートに入力する値を参照しているため、入力は不要です</a:t>
          </a:r>
        </a:p>
      </xdr:txBody>
    </xdr:sp>
    <xdr:clientData/>
  </xdr:twoCellAnchor>
  <xdr:twoCellAnchor editAs="absolute">
    <xdr:from>
      <xdr:col>6</xdr:col>
      <xdr:colOff>820718</xdr:colOff>
      <xdr:row>3</xdr:row>
      <xdr:rowOff>116476</xdr:rowOff>
    </xdr:from>
    <xdr:to>
      <xdr:col>11</xdr:col>
      <xdr:colOff>488497</xdr:colOff>
      <xdr:row>5</xdr:row>
      <xdr:rowOff>164647</xdr:rowOff>
    </xdr:to>
    <xdr:sp macro="" textlink="">
      <xdr:nvSpPr>
        <xdr:cNvPr id="7" name="吹き出し: 角を丸めた四角形 4">
          <a:extLst>
            <a:ext uri="{FF2B5EF4-FFF2-40B4-BE49-F238E27FC236}">
              <a16:creationId xmlns:a16="http://schemas.microsoft.com/office/drawing/2014/main" id="{4A9665D9-50FC-4E27-893D-7C2A1FEC5F1D}"/>
            </a:ext>
          </a:extLst>
        </xdr:cNvPr>
        <xdr:cNvSpPr/>
      </xdr:nvSpPr>
      <xdr:spPr>
        <a:xfrm>
          <a:off x="5021243" y="830851"/>
          <a:ext cx="5582804" cy="52442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7</xdr:col>
      <xdr:colOff>1038556</xdr:colOff>
      <xdr:row>19</xdr:row>
      <xdr:rowOff>117338</xdr:rowOff>
    </xdr:from>
    <xdr:to>
      <xdr:col>10</xdr:col>
      <xdr:colOff>780020</xdr:colOff>
      <xdr:row>22</xdr:row>
      <xdr:rowOff>39779</xdr:rowOff>
    </xdr:to>
    <xdr:sp macro="" textlink="">
      <xdr:nvSpPr>
        <xdr:cNvPr id="8" name="吹き出し: 角を丸めた四角形 7">
          <a:extLst>
            <a:ext uri="{FF2B5EF4-FFF2-40B4-BE49-F238E27FC236}">
              <a16:creationId xmlns:a16="http://schemas.microsoft.com/office/drawing/2014/main" id="{014264C9-06A9-4379-B0AE-6D49F1C4A9D0}"/>
            </a:ext>
          </a:extLst>
        </xdr:cNvPr>
        <xdr:cNvSpPr/>
      </xdr:nvSpPr>
      <xdr:spPr>
        <a:xfrm>
          <a:off x="6124906" y="6499088"/>
          <a:ext cx="3560989" cy="941616"/>
        </a:xfrm>
        <a:prstGeom prst="wedgeRoundRectCallout">
          <a:avLst>
            <a:gd name="adj1" fmla="val -48172"/>
            <a:gd name="adj2" fmla="val -910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割合が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100</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％となるように、電力需要量、再エネ等の供給量、電力削減量を検討してください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355985</xdr:colOff>
      <xdr:row>2</xdr:row>
      <xdr:rowOff>147331</xdr:rowOff>
    </xdr:from>
    <xdr:to>
      <xdr:col>12</xdr:col>
      <xdr:colOff>547505</xdr:colOff>
      <xdr:row>5</xdr:row>
      <xdr:rowOff>165626</xdr:rowOff>
    </xdr:to>
    <xdr:pic>
      <xdr:nvPicPr>
        <xdr:cNvPr id="3" name="図 2">
          <a:extLst>
            <a:ext uri="{FF2B5EF4-FFF2-40B4-BE49-F238E27FC236}">
              <a16:creationId xmlns:a16="http://schemas.microsoft.com/office/drawing/2014/main" id="{4F7A3D80-62F1-498F-8999-1DCDB1A04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0833" y="628392"/>
          <a:ext cx="2049320" cy="807234"/>
        </a:xfrm>
        <a:prstGeom prst="rect">
          <a:avLst/>
        </a:prstGeom>
      </xdr:spPr>
    </xdr:pic>
    <xdr:clientData/>
  </xdr:twoCellAnchor>
  <xdr:twoCellAnchor editAs="oneCell">
    <xdr:from>
      <xdr:col>4</xdr:col>
      <xdr:colOff>1686378</xdr:colOff>
      <xdr:row>36</xdr:row>
      <xdr:rowOff>82551</xdr:rowOff>
    </xdr:from>
    <xdr:to>
      <xdr:col>8</xdr:col>
      <xdr:colOff>688013</xdr:colOff>
      <xdr:row>42</xdr:row>
      <xdr:rowOff>28576</xdr:rowOff>
    </xdr:to>
    <xdr:sp macro="" textlink="">
      <xdr:nvSpPr>
        <xdr:cNvPr id="8" name="吹き出し: 角を丸めた四角形 2">
          <a:extLst>
            <a:ext uri="{FF2B5EF4-FFF2-40B4-BE49-F238E27FC236}">
              <a16:creationId xmlns:a16="http://schemas.microsoft.com/office/drawing/2014/main" id="{35E67294-6497-4F85-8CEA-EACF380A25C0}"/>
            </a:ext>
          </a:extLst>
        </xdr:cNvPr>
        <xdr:cNvSpPr/>
      </xdr:nvSpPr>
      <xdr:spPr>
        <a:xfrm>
          <a:off x="2686503" y="7550151"/>
          <a:ext cx="3949779" cy="1136650"/>
        </a:xfrm>
        <a:prstGeom prst="wedgeRoundRectCallout">
          <a:avLst>
            <a:gd name="adj1" fmla="val -99437"/>
            <a:gd name="adj2" fmla="val -829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71663</xdr:colOff>
      <xdr:row>45</xdr:row>
      <xdr:rowOff>28573</xdr:rowOff>
    </xdr:from>
    <xdr:to>
      <xdr:col>7</xdr:col>
      <xdr:colOff>571500</xdr:colOff>
      <xdr:row>50</xdr:row>
      <xdr:rowOff>257174</xdr:rowOff>
    </xdr:to>
    <xdr:sp macro="" textlink="">
      <xdr:nvSpPr>
        <xdr:cNvPr id="10" name="吹き出し: 角を丸めた四角形 15">
          <a:extLst>
            <a:ext uri="{FF2B5EF4-FFF2-40B4-BE49-F238E27FC236}">
              <a16:creationId xmlns:a16="http://schemas.microsoft.com/office/drawing/2014/main" id="{4C8FE1CD-849F-4B2B-9612-13C873C243CD}"/>
            </a:ext>
          </a:extLst>
        </xdr:cNvPr>
        <xdr:cNvSpPr/>
      </xdr:nvSpPr>
      <xdr:spPr>
        <a:xfrm>
          <a:off x="3243488" y="9163048"/>
          <a:ext cx="2119087" cy="1276351"/>
        </a:xfrm>
        <a:prstGeom prst="wedgeRoundRectCallout">
          <a:avLst>
            <a:gd name="adj1" fmla="val -33762"/>
            <a:gd name="adj2" fmla="val -740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公共の場合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xdr:from>
      <xdr:col>9</xdr:col>
      <xdr:colOff>452992</xdr:colOff>
      <xdr:row>25</xdr:row>
      <xdr:rowOff>83343</xdr:rowOff>
    </xdr:from>
    <xdr:to>
      <xdr:col>27</xdr:col>
      <xdr:colOff>185509</xdr:colOff>
      <xdr:row>48</xdr:row>
      <xdr:rowOff>66671</xdr:rowOff>
    </xdr:to>
    <xdr:grpSp>
      <xdr:nvGrpSpPr>
        <xdr:cNvPr id="11" name="グループ化 10">
          <a:extLst>
            <a:ext uri="{FF2B5EF4-FFF2-40B4-BE49-F238E27FC236}">
              <a16:creationId xmlns:a16="http://schemas.microsoft.com/office/drawing/2014/main" id="{D727B252-58E6-4E34-A802-1A4A9B64EE03}"/>
            </a:ext>
          </a:extLst>
        </xdr:cNvPr>
        <xdr:cNvGrpSpPr/>
      </xdr:nvGrpSpPr>
      <xdr:grpSpPr>
        <a:xfrm>
          <a:off x="7422117" y="5249068"/>
          <a:ext cx="4275942" cy="4326728"/>
          <a:chOff x="7007728" y="4517133"/>
          <a:chExt cx="4068758" cy="4214892"/>
        </a:xfrm>
      </xdr:grpSpPr>
      <xdr:sp macro="" textlink="">
        <xdr:nvSpPr>
          <xdr:cNvPr id="12" name="吹き出し: 角を丸めた四角形 15">
            <a:extLst>
              <a:ext uri="{FF2B5EF4-FFF2-40B4-BE49-F238E27FC236}">
                <a16:creationId xmlns:a16="http://schemas.microsoft.com/office/drawing/2014/main" id="{88DC9CFA-FB32-99F9-5CAD-7159A6731B9D}"/>
              </a:ext>
            </a:extLst>
          </xdr:cNvPr>
          <xdr:cNvSpPr/>
        </xdr:nvSpPr>
        <xdr:spPr>
          <a:xfrm>
            <a:off x="7007728" y="4517133"/>
            <a:ext cx="4068758" cy="4214892"/>
          </a:xfrm>
          <a:prstGeom prst="wedgeRoundRectCallout">
            <a:avLst>
              <a:gd name="adj1" fmla="val -40983"/>
              <a:gd name="adj2" fmla="val -1216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施設の立地を</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範囲内</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範囲外</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から選択してください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範囲内：主として取組を実施する範囲</a:t>
            </a: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範囲外：範囲外に別に付加された施設群</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grpSp>
        <xdr:nvGrpSpPr>
          <xdr:cNvPr id="13" name="グループ化 12">
            <a:extLst>
              <a:ext uri="{FF2B5EF4-FFF2-40B4-BE49-F238E27FC236}">
                <a16:creationId xmlns:a16="http://schemas.microsoft.com/office/drawing/2014/main" id="{6A26B983-0B3C-5F6D-D5DA-3356462A0D45}"/>
              </a:ext>
            </a:extLst>
          </xdr:cNvPr>
          <xdr:cNvGrpSpPr/>
        </xdr:nvGrpSpPr>
        <xdr:grpSpPr>
          <a:xfrm>
            <a:off x="7648163" y="5848630"/>
            <a:ext cx="2735982" cy="2036976"/>
            <a:chOff x="4922747" y="7765974"/>
            <a:chExt cx="2250793" cy="1708764"/>
          </a:xfrm>
        </xdr:grpSpPr>
        <xdr:sp macro="" textlink="">
          <xdr:nvSpPr>
            <xdr:cNvPr id="17" name="正方形/長方形 16">
              <a:extLst>
                <a:ext uri="{FF2B5EF4-FFF2-40B4-BE49-F238E27FC236}">
                  <a16:creationId xmlns:a16="http://schemas.microsoft.com/office/drawing/2014/main" id="{CDF83E78-E731-2D03-D7DB-6F22B64FFA9E}"/>
                </a:ext>
              </a:extLst>
            </xdr:cNvPr>
            <xdr:cNvSpPr/>
          </xdr:nvSpPr>
          <xdr:spPr>
            <a:xfrm>
              <a:off x="5326409" y="7794825"/>
              <a:ext cx="1767189" cy="825893"/>
            </a:xfrm>
            <a:prstGeom prst="rect">
              <a:avLst/>
            </a:prstGeom>
            <a:solidFill>
              <a:srgbClr val="6CB97E"/>
            </a:solidFill>
            <a:ln w="12700" cap="flat" cmpd="sng" algn="ctr">
              <a:noFill/>
              <a:prstDash val="solid"/>
              <a:miter lim="800000"/>
            </a:ln>
            <a:effectLst/>
          </xdr:spPr>
          <xdr:txBody>
            <a:bodyPr wrap="square" lIns="0" tIns="0" rIns="0" bIns="0" rtlCol="0" anchor="t"/>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rPr>
                <a:t>主として取組を実施する範囲</a:t>
              </a:r>
              <a:endParaRPr kumimoji="0" 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正方形/長方形 17">
              <a:extLst>
                <a:ext uri="{FF2B5EF4-FFF2-40B4-BE49-F238E27FC236}">
                  <a16:creationId xmlns:a16="http://schemas.microsoft.com/office/drawing/2014/main" id="{59616D7B-FC28-BF7B-6E2B-745C0F8B5618}"/>
                </a:ext>
              </a:extLst>
            </xdr:cNvPr>
            <xdr:cNvSpPr/>
          </xdr:nvSpPr>
          <xdr:spPr>
            <a:xfrm>
              <a:off x="4922747" y="7765974"/>
              <a:ext cx="2229253" cy="1662978"/>
            </a:xfrm>
            <a:prstGeom prst="rect">
              <a:avLst/>
            </a:prstGeom>
            <a:noFill/>
            <a:ln w="19050" cap="flat" cmpd="sng" algn="ctr">
              <a:solidFill>
                <a:srgbClr val="6CB97E"/>
              </a:solidFill>
              <a:prstDash val="solid"/>
              <a:miter lim="800000"/>
              <a:headEnd type="none" w="med" len="med"/>
              <a:tailEnd type="none" w="med" len="med"/>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正方形/長方形 18">
              <a:extLst>
                <a:ext uri="{FF2B5EF4-FFF2-40B4-BE49-F238E27FC236}">
                  <a16:creationId xmlns:a16="http://schemas.microsoft.com/office/drawing/2014/main" id="{B8792924-83A5-3EB7-4E67-2935DD24D7BE}"/>
                </a:ext>
              </a:extLst>
            </xdr:cNvPr>
            <xdr:cNvSpPr/>
          </xdr:nvSpPr>
          <xdr:spPr>
            <a:xfrm>
              <a:off x="5020478" y="8677213"/>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正方形/長方形 19">
              <a:extLst>
                <a:ext uri="{FF2B5EF4-FFF2-40B4-BE49-F238E27FC236}">
                  <a16:creationId xmlns:a16="http://schemas.microsoft.com/office/drawing/2014/main" id="{A8734326-C067-CD6A-B280-39FC919B2A78}"/>
                </a:ext>
              </a:extLst>
            </xdr:cNvPr>
            <xdr:cNvSpPr/>
          </xdr:nvSpPr>
          <xdr:spPr>
            <a:xfrm>
              <a:off x="5448781" y="882487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正方形/長方形 20">
              <a:extLst>
                <a:ext uri="{FF2B5EF4-FFF2-40B4-BE49-F238E27FC236}">
                  <a16:creationId xmlns:a16="http://schemas.microsoft.com/office/drawing/2014/main" id="{9731D8ED-1625-21E2-397F-995102F49B15}"/>
                </a:ext>
              </a:extLst>
            </xdr:cNvPr>
            <xdr:cNvSpPr/>
          </xdr:nvSpPr>
          <xdr:spPr>
            <a:xfrm>
              <a:off x="5877047" y="896298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正方形/長方形 21">
              <a:extLst>
                <a:ext uri="{FF2B5EF4-FFF2-40B4-BE49-F238E27FC236}">
                  <a16:creationId xmlns:a16="http://schemas.microsoft.com/office/drawing/2014/main" id="{8A2B2C56-637B-BD48-7929-FE5C32500974}"/>
                </a:ext>
              </a:extLst>
            </xdr:cNvPr>
            <xdr:cNvSpPr/>
          </xdr:nvSpPr>
          <xdr:spPr>
            <a:xfrm>
              <a:off x="6097058" y="9072170"/>
              <a:ext cx="608872" cy="402568"/>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rPr>
                <a:t>…</a:t>
              </a:r>
              <a:endParaRPr kumimoji="0" lang="en-US"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3" name="正方形/長方形 22">
              <a:extLst>
                <a:ext uri="{FF2B5EF4-FFF2-40B4-BE49-F238E27FC236}">
                  <a16:creationId xmlns:a16="http://schemas.microsoft.com/office/drawing/2014/main" id="{16EDA9A3-0CA8-BACD-D8CF-035C9707B1B0}"/>
                </a:ext>
              </a:extLst>
            </xdr:cNvPr>
            <xdr:cNvSpPr/>
          </xdr:nvSpPr>
          <xdr:spPr>
            <a:xfrm>
              <a:off x="5416771"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4" name="正方形/長方形 23">
              <a:extLst>
                <a:ext uri="{FF2B5EF4-FFF2-40B4-BE49-F238E27FC236}">
                  <a16:creationId xmlns:a16="http://schemas.microsoft.com/office/drawing/2014/main" id="{7323645E-7FC7-E05A-D461-9C2AC0C8A1D4}"/>
                </a:ext>
              </a:extLst>
            </xdr:cNvPr>
            <xdr:cNvSpPr/>
          </xdr:nvSpPr>
          <xdr:spPr>
            <a:xfrm>
              <a:off x="5726276"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5" name="正方形/長方形 24">
              <a:extLst>
                <a:ext uri="{FF2B5EF4-FFF2-40B4-BE49-F238E27FC236}">
                  <a16:creationId xmlns:a16="http://schemas.microsoft.com/office/drawing/2014/main" id="{4D5A56E9-993C-0814-0346-1684E1CDD541}"/>
                </a:ext>
              </a:extLst>
            </xdr:cNvPr>
            <xdr:cNvSpPr/>
          </xdr:nvSpPr>
          <xdr:spPr>
            <a:xfrm>
              <a:off x="6362879"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6" name="正方形/長方形 25">
              <a:extLst>
                <a:ext uri="{FF2B5EF4-FFF2-40B4-BE49-F238E27FC236}">
                  <a16:creationId xmlns:a16="http://schemas.microsoft.com/office/drawing/2014/main" id="{0B18FE0F-9D38-ADFF-E839-89CADF128706}"/>
                </a:ext>
              </a:extLst>
            </xdr:cNvPr>
            <xdr:cNvSpPr/>
          </xdr:nvSpPr>
          <xdr:spPr>
            <a:xfrm>
              <a:off x="6675809"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7" name="正方形/長方形 26">
              <a:extLst>
                <a:ext uri="{FF2B5EF4-FFF2-40B4-BE49-F238E27FC236}">
                  <a16:creationId xmlns:a16="http://schemas.microsoft.com/office/drawing/2014/main" id="{0B79C9F5-968E-682A-221A-A48C6CF99EBB}"/>
                </a:ext>
              </a:extLst>
            </xdr:cNvPr>
            <xdr:cNvSpPr/>
          </xdr:nvSpPr>
          <xdr:spPr>
            <a:xfrm>
              <a:off x="5957250"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8" name="正方形/長方形 27">
              <a:extLst>
                <a:ext uri="{FF2B5EF4-FFF2-40B4-BE49-F238E27FC236}">
                  <a16:creationId xmlns:a16="http://schemas.microsoft.com/office/drawing/2014/main" id="{3D78AD0D-7803-20FA-4CC2-A235079EDEAA}"/>
                </a:ext>
              </a:extLst>
            </xdr:cNvPr>
            <xdr:cNvSpPr/>
          </xdr:nvSpPr>
          <xdr:spPr>
            <a:xfrm>
              <a:off x="6870188"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4" name="四角形: 角を丸くする 13">
            <a:extLst>
              <a:ext uri="{FF2B5EF4-FFF2-40B4-BE49-F238E27FC236}">
                <a16:creationId xmlns:a16="http://schemas.microsoft.com/office/drawing/2014/main" id="{437FA9F6-2640-94E5-810C-74764829D24C}"/>
              </a:ext>
            </a:extLst>
          </xdr:cNvPr>
          <xdr:cNvSpPr/>
        </xdr:nvSpPr>
        <xdr:spPr>
          <a:xfrm>
            <a:off x="7704306" y="6894384"/>
            <a:ext cx="1963068" cy="888243"/>
          </a:xfrm>
          <a:prstGeom prst="roundRect">
            <a:avLst/>
          </a:prstGeom>
          <a:noFill/>
          <a:ln w="63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sp macro="" textlink="">
        <xdr:nvSpPr>
          <xdr:cNvPr id="15" name="テキスト ボックス 42">
            <a:extLst>
              <a:ext uri="{FF2B5EF4-FFF2-40B4-BE49-F238E27FC236}">
                <a16:creationId xmlns:a16="http://schemas.microsoft.com/office/drawing/2014/main" id="{0AD3ECAB-85CC-F601-7FDD-2F511E55560C}"/>
              </a:ext>
            </a:extLst>
          </xdr:cNvPr>
          <xdr:cNvSpPr txBox="1"/>
        </xdr:nvSpPr>
        <xdr:spPr>
          <a:xfrm>
            <a:off x="7563568" y="7915746"/>
            <a:ext cx="3055939" cy="583959"/>
          </a:xfrm>
          <a:prstGeom prst="rect">
            <a:avLst/>
          </a:prstGeom>
          <a:no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ja-JP" altLang="en-US" sz="1050" u="sng">
                <a:solidFill>
                  <a:srgbClr val="FF0000"/>
                </a:solidFill>
                <a:latin typeface="Meiryo UI" panose="020B0604030504040204" pitchFamily="50" charset="-128"/>
                <a:ea typeface="Meiryo UI" panose="020B0604030504040204" pitchFamily="50" charset="-128"/>
              </a:rPr>
              <a:t>範囲外に別に付加された施設群</a:t>
            </a:r>
            <a:endParaRPr kumimoji="1" lang="en-US" altLang="ja-JP" sz="1050" u="sng">
              <a:solidFill>
                <a:srgbClr val="FF0000"/>
              </a:solidFill>
              <a:latin typeface="Meiryo UI" panose="020B0604030504040204" pitchFamily="50" charset="-128"/>
              <a:ea typeface="Meiryo UI" panose="020B0604030504040204" pitchFamily="50" charset="-128"/>
            </a:endParaRPr>
          </a:p>
          <a:p>
            <a:pPr algn="l"/>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電力需要量を公共施設は</a:t>
            </a:r>
            <a:r>
              <a:rPr kumimoji="1" lang="en-US" altLang="ja-JP" sz="1000">
                <a:solidFill>
                  <a:sysClr val="windowText" lastClr="000000"/>
                </a:solidFill>
                <a:latin typeface="Meiryo UI" panose="020B0604030504040204" pitchFamily="50" charset="-128"/>
                <a:ea typeface="Meiryo UI" panose="020B0604030504040204" pitchFamily="50" charset="-128"/>
              </a:rPr>
              <a:t>50</a:t>
            </a:r>
            <a:r>
              <a:rPr kumimoji="1" lang="ja-JP" altLang="en-US" sz="1000">
                <a:solidFill>
                  <a:sysClr val="windowText" lastClr="000000"/>
                </a:solidFill>
                <a:latin typeface="Meiryo UI" panose="020B0604030504040204" pitchFamily="50" charset="-128"/>
                <a:ea typeface="Meiryo UI" panose="020B0604030504040204" pitchFamily="50" charset="-128"/>
              </a:rPr>
              <a:t>％、民間施設は</a:t>
            </a:r>
            <a:r>
              <a:rPr kumimoji="1" lang="en-US" altLang="ja-JP" sz="1000">
                <a:solidFill>
                  <a:sysClr val="windowText" lastClr="000000"/>
                </a:solidFill>
                <a:latin typeface="Meiryo UI" panose="020B0604030504040204" pitchFamily="50" charset="-128"/>
                <a:ea typeface="Meiryo UI" panose="020B0604030504040204" pitchFamily="50" charset="-128"/>
              </a:rPr>
              <a:t>25</a:t>
            </a:r>
            <a:r>
              <a:rPr kumimoji="1" lang="ja-JP" altLang="en-US" sz="1000">
                <a:solidFill>
                  <a:sysClr val="windowText" lastClr="000000"/>
                </a:solidFill>
                <a:latin typeface="Meiryo UI" panose="020B0604030504040204" pitchFamily="50" charset="-128"/>
                <a:ea typeface="Meiryo UI" panose="020B0604030504040204" pitchFamily="50" charset="-128"/>
              </a:rPr>
              <a:t>％ 割り引いて評価することがあります</a:t>
            </a:r>
            <a:r>
              <a:rPr kumimoji="1" lang="en-US" altLang="ja-JP" sz="1000">
                <a:solidFill>
                  <a:sysClr val="windowText" lastClr="000000"/>
                </a:solidFill>
                <a:latin typeface="Meiryo UI" panose="020B0604030504040204" pitchFamily="50" charset="-128"/>
                <a:ea typeface="Meiryo UI" panose="020B0604030504040204" pitchFamily="50" charset="-128"/>
              </a:rPr>
              <a:t>)</a:t>
            </a:r>
            <a:endParaRPr lang="ja-JP" altLang="en-US" sz="1000">
              <a:solidFill>
                <a:sysClr val="windowText" lastClr="000000"/>
              </a:solidFill>
            </a:endParaRPr>
          </a:p>
        </xdr:txBody>
      </xdr:sp>
      <xdr:cxnSp macro="">
        <xdr:nvCxnSpPr>
          <xdr:cNvPr id="16" name="直線矢印コネクタ 15">
            <a:extLst>
              <a:ext uri="{FF2B5EF4-FFF2-40B4-BE49-F238E27FC236}">
                <a16:creationId xmlns:a16="http://schemas.microsoft.com/office/drawing/2014/main" id="{3E491029-F318-6AE3-7BC8-E0767FEF14D3}"/>
              </a:ext>
            </a:extLst>
          </xdr:cNvPr>
          <xdr:cNvCxnSpPr/>
        </xdr:nvCxnSpPr>
        <xdr:spPr>
          <a:xfrm flipH="1" flipV="1">
            <a:off x="8724314" y="7771189"/>
            <a:ext cx="16576" cy="1800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30</xdr:col>
      <xdr:colOff>197439</xdr:colOff>
      <xdr:row>7</xdr:row>
      <xdr:rowOff>421481</xdr:rowOff>
    </xdr:from>
    <xdr:to>
      <xdr:col>42</xdr:col>
      <xdr:colOff>262956</xdr:colOff>
      <xdr:row>55</xdr:row>
      <xdr:rowOff>123650</xdr:rowOff>
    </xdr:to>
    <xdr:pic>
      <xdr:nvPicPr>
        <xdr:cNvPr id="29" name="図 1">
          <a:extLst>
            <a:ext uri="{FF2B5EF4-FFF2-40B4-BE49-F238E27FC236}">
              <a16:creationId xmlns:a16="http://schemas.microsoft.com/office/drawing/2014/main" id="{6EE6A701-69A1-4D99-872B-1C60DAB7753B}"/>
            </a:ext>
          </a:extLst>
        </xdr:cNvPr>
        <xdr:cNvPicPr>
          <a:picLocks noChangeAspect="1"/>
        </xdr:cNvPicPr>
      </xdr:nvPicPr>
      <xdr:blipFill>
        <a:blip xmlns:r="http://schemas.openxmlformats.org/officeDocument/2006/relationships" r:embed="rId2"/>
        <a:stretch>
          <a:fillRect/>
        </a:stretch>
      </xdr:blipFill>
      <xdr:spPr>
        <a:xfrm>
          <a:off x="13818189" y="1981200"/>
          <a:ext cx="8352267" cy="9631981"/>
        </a:xfrm>
        <a:prstGeom prst="rect">
          <a:avLst/>
        </a:prstGeom>
      </xdr:spPr>
    </xdr:pic>
    <xdr:clientData/>
  </xdr:twoCellAnchor>
  <xdr:twoCellAnchor editAs="absolute">
    <xdr:from>
      <xdr:col>30</xdr:col>
      <xdr:colOff>242821</xdr:colOff>
      <xdr:row>56</xdr:row>
      <xdr:rowOff>1120</xdr:rowOff>
    </xdr:from>
    <xdr:to>
      <xdr:col>42</xdr:col>
      <xdr:colOff>256844</xdr:colOff>
      <xdr:row>93</xdr:row>
      <xdr:rowOff>36961</xdr:rowOff>
    </xdr:to>
    <xdr:pic>
      <xdr:nvPicPr>
        <xdr:cNvPr id="30" name="図 3">
          <a:extLst>
            <a:ext uri="{FF2B5EF4-FFF2-40B4-BE49-F238E27FC236}">
              <a16:creationId xmlns:a16="http://schemas.microsoft.com/office/drawing/2014/main" id="{D2ED20F3-CA9D-4760-839B-41178223EF31}"/>
            </a:ext>
          </a:extLst>
        </xdr:cNvPr>
        <xdr:cNvPicPr>
          <a:picLocks noChangeAspect="1"/>
        </xdr:cNvPicPr>
      </xdr:nvPicPr>
      <xdr:blipFill>
        <a:blip xmlns:r="http://schemas.openxmlformats.org/officeDocument/2006/relationships" r:embed="rId3"/>
        <a:stretch>
          <a:fillRect/>
        </a:stretch>
      </xdr:blipFill>
      <xdr:spPr>
        <a:xfrm>
          <a:off x="13863571" y="11728776"/>
          <a:ext cx="8300773" cy="8846466"/>
        </a:xfrm>
        <a:prstGeom prst="rect">
          <a:avLst/>
        </a:prstGeom>
      </xdr:spPr>
    </xdr:pic>
    <xdr:clientData/>
  </xdr:twoCellAnchor>
  <xdr:oneCellAnchor>
    <xdr:from>
      <xdr:col>27</xdr:col>
      <xdr:colOff>47625</xdr:colOff>
      <xdr:row>1</xdr:row>
      <xdr:rowOff>228600</xdr:rowOff>
    </xdr:from>
    <xdr:ext cx="5987845" cy="1339850"/>
    <xdr:sp macro="" textlink="">
      <xdr:nvSpPr>
        <xdr:cNvPr id="35" name="吹き出し: 角を丸めた四角形 69">
          <a:extLst>
            <a:ext uri="{FF2B5EF4-FFF2-40B4-BE49-F238E27FC236}">
              <a16:creationId xmlns:a16="http://schemas.microsoft.com/office/drawing/2014/main" id="{B79E4770-4E04-4B5E-9C82-969CECB73430}"/>
            </a:ext>
          </a:extLst>
        </xdr:cNvPr>
        <xdr:cNvSpPr/>
      </xdr:nvSpPr>
      <xdr:spPr>
        <a:xfrm>
          <a:off x="10868025" y="466725"/>
          <a:ext cx="5987845" cy="1339850"/>
        </a:xfrm>
        <a:prstGeom prst="wedgeRoundRectCallout">
          <a:avLst>
            <a:gd name="adj1" fmla="val -61369"/>
            <a:gd name="adj2" fmla="val 511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現在の合意形成進捗度</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後続の「</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」を入力することで、自動で進捗度が反映されます。</a:t>
          </a:r>
        </a:p>
      </xdr:txBody>
    </xdr:sp>
    <xdr:clientData/>
  </xdr:oneCellAnchor>
  <xdr:twoCellAnchor editAs="oneCell">
    <xdr:from>
      <xdr:col>4</xdr:col>
      <xdr:colOff>15770</xdr:colOff>
      <xdr:row>15</xdr:row>
      <xdr:rowOff>58673</xdr:rowOff>
    </xdr:from>
    <xdr:to>
      <xdr:col>4</xdr:col>
      <xdr:colOff>2141659</xdr:colOff>
      <xdr:row>21</xdr:row>
      <xdr:rowOff>38979</xdr:rowOff>
    </xdr:to>
    <xdr:sp macro="" textlink="">
      <xdr:nvSpPr>
        <xdr:cNvPr id="4" name="吹き出し: 角を丸めた四角形 16">
          <a:extLst>
            <a:ext uri="{FF2B5EF4-FFF2-40B4-BE49-F238E27FC236}">
              <a16:creationId xmlns:a16="http://schemas.microsoft.com/office/drawing/2014/main" id="{8E55C4A1-C421-4F4B-9159-9A395779F655}"/>
            </a:ext>
          </a:extLst>
        </xdr:cNvPr>
        <xdr:cNvSpPr/>
      </xdr:nvSpPr>
      <xdr:spPr>
        <a:xfrm>
          <a:off x="1024299" y="3454055"/>
          <a:ext cx="2125889" cy="1156924"/>
        </a:xfrm>
        <a:prstGeom prst="wedgeRoundRectCallout">
          <a:avLst>
            <a:gd name="adj1" fmla="val 60035"/>
            <a:gd name="adj2" fmla="val -2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民生・家庭の場合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既存住宅</a:t>
          </a:r>
          <a:r>
            <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新築住宅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を選択してください</a:t>
          </a:r>
        </a:p>
      </xdr:txBody>
    </xdr:sp>
    <xdr:clientData/>
  </xdr:twoCellAnchor>
  <xdr:twoCellAnchor editAs="oneCell">
    <xdr:from>
      <xdr:col>8</xdr:col>
      <xdr:colOff>96185</xdr:colOff>
      <xdr:row>2</xdr:row>
      <xdr:rowOff>168088</xdr:rowOff>
    </xdr:from>
    <xdr:to>
      <xdr:col>10</xdr:col>
      <xdr:colOff>379203</xdr:colOff>
      <xdr:row>5</xdr:row>
      <xdr:rowOff>200427</xdr:rowOff>
    </xdr:to>
    <xdr:sp macro="" textlink="">
      <xdr:nvSpPr>
        <xdr:cNvPr id="5" name="吹き出し: 角を丸めた四角形 1">
          <a:extLst>
            <a:ext uri="{FF2B5EF4-FFF2-40B4-BE49-F238E27FC236}">
              <a16:creationId xmlns:a16="http://schemas.microsoft.com/office/drawing/2014/main" id="{CA1CEEB6-02CB-4253-8A5F-FC200D24444E}"/>
            </a:ext>
          </a:extLst>
        </xdr:cNvPr>
        <xdr:cNvSpPr/>
      </xdr:nvSpPr>
      <xdr:spPr>
        <a:xfrm>
          <a:off x="6068920" y="638735"/>
          <a:ext cx="2322489" cy="805545"/>
        </a:xfrm>
        <a:prstGeom prst="wedgeRoundRectCallout">
          <a:avLst>
            <a:gd name="adj1" fmla="val 40233"/>
            <a:gd name="adj2" fmla="val 81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K</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4</xdr:col>
      <xdr:colOff>340980</xdr:colOff>
      <xdr:row>21</xdr:row>
      <xdr:rowOff>72680</xdr:rowOff>
    </xdr:from>
    <xdr:to>
      <xdr:col>5</xdr:col>
      <xdr:colOff>140074</xdr:colOff>
      <xdr:row>33</xdr:row>
      <xdr:rowOff>62595</xdr:rowOff>
    </xdr:to>
    <xdr:sp macro="" textlink="">
      <xdr:nvSpPr>
        <xdr:cNvPr id="6" name="吹き出し: 角を丸めた四角形 62">
          <a:extLst>
            <a:ext uri="{FF2B5EF4-FFF2-40B4-BE49-F238E27FC236}">
              <a16:creationId xmlns:a16="http://schemas.microsoft.com/office/drawing/2014/main" id="{78E165FA-C3B9-465D-859E-D2001454D319}"/>
            </a:ext>
          </a:extLst>
        </xdr:cNvPr>
        <xdr:cNvSpPr/>
      </xdr:nvSpPr>
      <xdr:spPr>
        <a:xfrm>
          <a:off x="1349509" y="4644680"/>
          <a:ext cx="1973036" cy="2343150"/>
        </a:xfrm>
        <a:prstGeom prst="wedgeRoundRectCallout">
          <a:avLst>
            <a:gd name="adj1" fmla="val -107250"/>
            <a:gd name="adj2" fmla="val -432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149492</xdr:colOff>
      <xdr:row>28</xdr:row>
      <xdr:rowOff>135351</xdr:rowOff>
    </xdr:from>
    <xdr:to>
      <xdr:col>8</xdr:col>
      <xdr:colOff>369688</xdr:colOff>
      <xdr:row>36</xdr:row>
      <xdr:rowOff>16089</xdr:rowOff>
    </xdr:to>
    <xdr:sp macro="" textlink="">
      <xdr:nvSpPr>
        <xdr:cNvPr id="7" name="吹き出し: 角を丸めた四角形 17">
          <a:extLst>
            <a:ext uri="{FF2B5EF4-FFF2-40B4-BE49-F238E27FC236}">
              <a16:creationId xmlns:a16="http://schemas.microsoft.com/office/drawing/2014/main" id="{DEB9E380-197E-4BAD-82EB-D10CE6C1249E}"/>
            </a:ext>
          </a:extLst>
        </xdr:cNvPr>
        <xdr:cNvSpPr/>
      </xdr:nvSpPr>
      <xdr:spPr>
        <a:xfrm>
          <a:off x="4161198" y="6119292"/>
          <a:ext cx="2181225" cy="1292679"/>
        </a:xfrm>
        <a:prstGeom prst="wedgeRoundRectCallout">
          <a:avLst>
            <a:gd name="adj1" fmla="val -65257"/>
            <a:gd name="adj2" fmla="val -265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editAs="absolute">
    <xdr:from>
      <xdr:col>0</xdr:col>
      <xdr:colOff>179295</xdr:colOff>
      <xdr:row>4</xdr:row>
      <xdr:rowOff>198186</xdr:rowOff>
    </xdr:from>
    <xdr:to>
      <xdr:col>7</xdr:col>
      <xdr:colOff>958857</xdr:colOff>
      <xdr:row>7</xdr:row>
      <xdr:rowOff>131096</xdr:rowOff>
    </xdr:to>
    <xdr:sp macro="" textlink="">
      <xdr:nvSpPr>
        <xdr:cNvPr id="9" name="吹き出し: 角を丸めた四角形 4">
          <a:extLst>
            <a:ext uri="{FF2B5EF4-FFF2-40B4-BE49-F238E27FC236}">
              <a16:creationId xmlns:a16="http://schemas.microsoft.com/office/drawing/2014/main" id="{AFECA84D-9BE0-464E-8C0B-1194664D84B2}"/>
            </a:ext>
          </a:extLst>
        </xdr:cNvPr>
        <xdr:cNvSpPr/>
      </xdr:nvSpPr>
      <xdr:spPr>
        <a:xfrm>
          <a:off x="179295" y="113948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180416</xdr:colOff>
      <xdr:row>10</xdr:row>
      <xdr:rowOff>95092</xdr:rowOff>
    </xdr:from>
    <xdr:to>
      <xdr:col>5</xdr:col>
      <xdr:colOff>252107</xdr:colOff>
      <xdr:row>13</xdr:row>
      <xdr:rowOff>103496</xdr:rowOff>
    </xdr:to>
    <xdr:sp macro="" textlink="">
      <xdr:nvSpPr>
        <xdr:cNvPr id="32" name="吹き出し: 角を丸めた四角形 2">
          <a:extLst>
            <a:ext uri="{FF2B5EF4-FFF2-40B4-BE49-F238E27FC236}">
              <a16:creationId xmlns:a16="http://schemas.microsoft.com/office/drawing/2014/main" id="{C761BDCB-9CFE-4E60-BFBE-D27ECC21C068}"/>
            </a:ext>
          </a:extLst>
        </xdr:cNvPr>
        <xdr:cNvSpPr/>
      </xdr:nvSpPr>
      <xdr:spPr>
        <a:xfrm>
          <a:off x="1188945" y="2549180"/>
          <a:ext cx="2245633" cy="714375"/>
        </a:xfrm>
        <a:prstGeom prst="wedgeRoundRectCallout">
          <a:avLst>
            <a:gd name="adj1" fmla="val -75871"/>
            <a:gd name="adj2" fmla="val -350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"1_1,1_2 </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のように、施設</a:t>
          </a:r>
          <a:r>
            <a:rPr kumimoji="1" lang="en-US" altLang="ja-JP" sz="1400" b="0">
              <a:solidFill>
                <a:sysClr val="windowText" lastClr="000000"/>
              </a:solidFill>
              <a:latin typeface="Meiryo UI" panose="020B0604030504040204" pitchFamily="50" charset="-128"/>
              <a:ea typeface="Meiryo UI" panose="020B0604030504040204" pitchFamily="50" charset="-128"/>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oneCellAnchor>
    <xdr:from>
      <xdr:col>5</xdr:col>
      <xdr:colOff>378199</xdr:colOff>
      <xdr:row>7</xdr:row>
      <xdr:rowOff>469368</xdr:rowOff>
    </xdr:from>
    <xdr:ext cx="3908771" cy="4057649"/>
    <xdr:sp macro="" textlink="">
      <xdr:nvSpPr>
        <xdr:cNvPr id="33" name="四角形: 角を丸くする 32">
          <a:extLst>
            <a:ext uri="{FF2B5EF4-FFF2-40B4-BE49-F238E27FC236}">
              <a16:creationId xmlns:a16="http://schemas.microsoft.com/office/drawing/2014/main" id="{4FE93FB6-9183-4D06-BD55-A79BE0C80831}"/>
            </a:ext>
          </a:extLst>
        </xdr:cNvPr>
        <xdr:cNvSpPr/>
      </xdr:nvSpPr>
      <xdr:spPr>
        <a:xfrm>
          <a:off x="3560670" y="2015780"/>
          <a:ext cx="3908771" cy="405764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以下（ア）（イ）（ウ）の各カテゴリで合計施設数が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施設以内に収まるよう、同じ進捗度のものはまとめてご記載ください。</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（ア）</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戸建住宅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（イ）</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オフィスビル</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商業施設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（ウ）</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0">
              <a:solidFill>
                <a:sysClr val="windowText" lastClr="000000"/>
              </a:solidFill>
              <a:effectLst/>
              <a:latin typeface="+mn-lt"/>
              <a:ea typeface="+mn-ea"/>
              <a:cs typeface="+mn-cs"/>
            </a:rPr>
            <a:t>どうしても</a:t>
          </a:r>
          <a:r>
            <a:rPr kumimoji="1" lang="en-US" altLang="ja-JP" sz="1400" b="0">
              <a:solidFill>
                <a:sysClr val="windowText" lastClr="000000"/>
              </a:solidFill>
              <a:effectLst/>
              <a:latin typeface="+mn-lt"/>
              <a:ea typeface="+mn-ea"/>
              <a:cs typeface="+mn-cs"/>
            </a:rPr>
            <a:t>30</a:t>
          </a:r>
          <a:r>
            <a:rPr kumimoji="1" lang="ja-JP" altLang="ja-JP" sz="1400" b="0">
              <a:solidFill>
                <a:sysClr val="windowText" lastClr="000000"/>
              </a:solidFill>
              <a:effectLst/>
              <a:latin typeface="+mn-lt"/>
              <a:ea typeface="+mn-ea"/>
              <a:cs typeface="+mn-cs"/>
            </a:rPr>
            <a:t>施設以内にまとめることが難しい場合は、</a:t>
          </a:r>
          <a:r>
            <a:rPr kumimoji="1" lang="ja-JP" altLang="en-US" sz="1400" b="0">
              <a:solidFill>
                <a:sysClr val="windowText" lastClr="000000"/>
              </a:solidFill>
              <a:effectLst/>
              <a:latin typeface="+mn-lt"/>
              <a:ea typeface="+mn-ea"/>
              <a:cs typeface="+mn-cs"/>
            </a:rPr>
            <a:t>環境省へお問い合わせください。</a:t>
          </a:r>
        </a:p>
      </xdr:txBody>
    </xdr:sp>
    <xdr:clientData/>
  </xdr:oneCellAnchor>
  <xdr:twoCellAnchor>
    <xdr:from>
      <xdr:col>11</xdr:col>
      <xdr:colOff>273844</xdr:colOff>
      <xdr:row>10</xdr:row>
      <xdr:rowOff>23812</xdr:rowOff>
    </xdr:from>
    <xdr:to>
      <xdr:col>30</xdr:col>
      <xdr:colOff>125424</xdr:colOff>
      <xdr:row>22</xdr:row>
      <xdr:rowOff>178593</xdr:rowOff>
    </xdr:to>
    <xdr:sp macro="" textlink="">
      <xdr:nvSpPr>
        <xdr:cNvPr id="31" name="吹き出し: 角を丸めた四角形 15">
          <a:extLst>
            <a:ext uri="{FF2B5EF4-FFF2-40B4-BE49-F238E27FC236}">
              <a16:creationId xmlns:a16="http://schemas.microsoft.com/office/drawing/2014/main" id="{78F8276D-7C2B-40C1-8160-C704B2C55A8C}"/>
            </a:ext>
          </a:extLst>
        </xdr:cNvPr>
        <xdr:cNvSpPr/>
      </xdr:nvSpPr>
      <xdr:spPr>
        <a:xfrm>
          <a:off x="9453563" y="2500312"/>
          <a:ext cx="4292611" cy="2536031"/>
        </a:xfrm>
        <a:prstGeom prst="wedgeRoundRectCallout">
          <a:avLst>
            <a:gd name="adj1" fmla="val -41815"/>
            <a:gd name="adj2" fmla="val -6736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r>
            <a:rPr lang="ja-JP" altLang="ja-JP" sz="1400" b="0">
              <a:solidFill>
                <a:sysClr val="windowText" lastClr="000000"/>
              </a:solidFill>
              <a:effectLst/>
              <a:latin typeface="+mn-lt"/>
              <a:ea typeface="+mn-ea"/>
              <a:cs typeface="+mn-cs"/>
            </a:rPr>
            <a:t>合意形成対象者の総数を記載ください。</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例</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：マンション</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オーナーが</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名、世帯主が</a:t>
          </a:r>
          <a:r>
            <a:rPr lang="en-US" altLang="ja-JP" sz="1400" b="0">
              <a:solidFill>
                <a:sysClr val="windowText" lastClr="000000"/>
              </a:solidFill>
              <a:effectLst/>
              <a:latin typeface="+mn-lt"/>
              <a:ea typeface="+mn-ea"/>
              <a:cs typeface="+mn-cs"/>
            </a:rPr>
            <a:t>33</a:t>
          </a:r>
          <a:r>
            <a:rPr lang="ja-JP" altLang="ja-JP" sz="1400" b="0">
              <a:solidFill>
                <a:sysClr val="windowText" lastClr="000000"/>
              </a:solidFill>
              <a:effectLst/>
              <a:latin typeface="+mn-lt"/>
              <a:ea typeface="+mn-ea"/>
              <a:cs typeface="+mn-cs"/>
            </a:rPr>
            <a:t>名の場合、</a:t>
          </a:r>
          <a:endParaRPr lang="ja-JP" altLang="ja-JP" sz="1800" b="0">
            <a:solidFill>
              <a:sysClr val="windowText" lastClr="000000"/>
            </a:solidFill>
            <a:effectLst/>
          </a:endParaRPr>
        </a:p>
        <a:p>
          <a:r>
            <a:rPr lang="en-US" altLang="ja-JP" sz="1400" b="0">
              <a:solidFill>
                <a:sysClr val="windowText" lastClr="000000"/>
              </a:solidFill>
              <a:effectLst/>
              <a:latin typeface="+mn-lt"/>
              <a:ea typeface="+mn-ea"/>
              <a:cs typeface="+mn-cs"/>
            </a:rPr>
            <a:t>1+33=34</a:t>
          </a:r>
          <a:r>
            <a:rPr lang="ja-JP" altLang="ja-JP" sz="1400" b="0">
              <a:solidFill>
                <a:sysClr val="windowText" lastClr="000000"/>
              </a:solidFill>
              <a:effectLst/>
              <a:latin typeface="+mn-lt"/>
              <a:ea typeface="+mn-ea"/>
              <a:cs typeface="+mn-cs"/>
            </a:rPr>
            <a:t>となります。</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例２：商業施設</a:t>
          </a:r>
          <a:endParaRPr lang="ja-JP" altLang="ja-JP" sz="1800" b="0">
            <a:solidFill>
              <a:sysClr val="windowText" lastClr="000000"/>
            </a:solidFill>
            <a:effectLst/>
          </a:endParaRPr>
        </a:p>
        <a:p>
          <a:r>
            <a:rPr lang="ja-JP" altLang="ja-JP" sz="1400" b="0">
              <a:solidFill>
                <a:sysClr val="windowText" lastClr="000000"/>
              </a:solidFill>
              <a:effectLst/>
              <a:latin typeface="+mn-lt"/>
              <a:ea typeface="+mn-ea"/>
              <a:cs typeface="+mn-cs"/>
            </a:rPr>
            <a:t>オーナーが</a:t>
          </a:r>
          <a:r>
            <a:rPr lang="en-US" altLang="ja-JP" sz="1400" b="0">
              <a:solidFill>
                <a:sysClr val="windowText" lastClr="000000"/>
              </a:solidFill>
              <a:effectLst/>
              <a:latin typeface="+mn-lt"/>
              <a:ea typeface="+mn-ea"/>
              <a:cs typeface="+mn-cs"/>
            </a:rPr>
            <a:t>1</a:t>
          </a:r>
          <a:r>
            <a:rPr lang="ja-JP" altLang="ja-JP" sz="1400" b="0">
              <a:solidFill>
                <a:sysClr val="windowText" lastClr="000000"/>
              </a:solidFill>
              <a:effectLst/>
              <a:latin typeface="+mn-lt"/>
              <a:ea typeface="+mn-ea"/>
              <a:cs typeface="+mn-cs"/>
            </a:rPr>
            <a:t>名、テナントが</a:t>
          </a:r>
          <a:r>
            <a:rPr lang="en-US" altLang="ja-JP" sz="1400" b="0">
              <a:solidFill>
                <a:sysClr val="windowText" lastClr="000000"/>
              </a:solidFill>
              <a:effectLst/>
              <a:latin typeface="+mn-lt"/>
              <a:ea typeface="+mn-ea"/>
              <a:cs typeface="+mn-cs"/>
            </a:rPr>
            <a:t>25</a:t>
          </a:r>
          <a:r>
            <a:rPr lang="ja-JP" altLang="ja-JP" sz="1400" b="0">
              <a:solidFill>
                <a:sysClr val="windowText" lastClr="000000"/>
              </a:solidFill>
              <a:effectLst/>
              <a:latin typeface="+mn-lt"/>
              <a:ea typeface="+mn-ea"/>
              <a:cs typeface="+mn-cs"/>
            </a:rPr>
            <a:t>件の場合、</a:t>
          </a:r>
          <a:endParaRPr lang="ja-JP" altLang="ja-JP" sz="1800" b="0">
            <a:solidFill>
              <a:sysClr val="windowText" lastClr="000000"/>
            </a:solidFill>
            <a:effectLst/>
          </a:endParaRPr>
        </a:p>
        <a:p>
          <a:r>
            <a:rPr lang="en-US" altLang="ja-JP" sz="1400" b="0">
              <a:solidFill>
                <a:sysClr val="windowText" lastClr="000000"/>
              </a:solidFill>
              <a:effectLst/>
              <a:latin typeface="+mn-lt"/>
              <a:ea typeface="+mn-ea"/>
              <a:cs typeface="+mn-cs"/>
            </a:rPr>
            <a:t>1+25=26</a:t>
          </a:r>
          <a:r>
            <a:rPr lang="ja-JP" altLang="ja-JP" sz="1400" b="0">
              <a:solidFill>
                <a:sysClr val="windowText" lastClr="000000"/>
              </a:solidFill>
              <a:effectLst/>
              <a:latin typeface="+mn-lt"/>
              <a:ea typeface="+mn-ea"/>
              <a:cs typeface="+mn-cs"/>
            </a:rPr>
            <a:t>となります。</a:t>
          </a:r>
          <a:endParaRPr lang="ja-JP" altLang="ja-JP" sz="1800" b="0">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655487</xdr:colOff>
      <xdr:row>15</xdr:row>
      <xdr:rowOff>184354</xdr:rowOff>
    </xdr:from>
    <xdr:to>
      <xdr:col>2</xdr:col>
      <xdr:colOff>2700513</xdr:colOff>
      <xdr:row>19</xdr:row>
      <xdr:rowOff>30726</xdr:rowOff>
    </xdr:to>
    <xdr:pic>
      <xdr:nvPicPr>
        <xdr:cNvPr id="10" name="図 9">
          <a:extLst>
            <a:ext uri="{FF2B5EF4-FFF2-40B4-BE49-F238E27FC236}">
              <a16:creationId xmlns:a16="http://schemas.microsoft.com/office/drawing/2014/main" id="{C5006AF5-6460-495C-A4B1-A2557B9E6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4842" y="3246693"/>
          <a:ext cx="2045026" cy="788630"/>
        </a:xfrm>
        <a:prstGeom prst="rect">
          <a:avLst/>
        </a:prstGeom>
      </xdr:spPr>
    </xdr:pic>
    <xdr:clientData/>
  </xdr:twoCellAnchor>
  <xdr:twoCellAnchor>
    <xdr:from>
      <xdr:col>4</xdr:col>
      <xdr:colOff>326756</xdr:colOff>
      <xdr:row>0</xdr:row>
      <xdr:rowOff>180366</xdr:rowOff>
    </xdr:from>
    <xdr:to>
      <xdr:col>20</xdr:col>
      <xdr:colOff>218281</xdr:colOff>
      <xdr:row>35</xdr:row>
      <xdr:rowOff>142875</xdr:rowOff>
    </xdr:to>
    <xdr:grpSp>
      <xdr:nvGrpSpPr>
        <xdr:cNvPr id="15" name="グループ化 14">
          <a:extLst>
            <a:ext uri="{FF2B5EF4-FFF2-40B4-BE49-F238E27FC236}">
              <a16:creationId xmlns:a16="http://schemas.microsoft.com/office/drawing/2014/main" id="{EBA9591C-6C3B-2437-41F1-7B80A33FA2F6}"/>
            </a:ext>
          </a:extLst>
        </xdr:cNvPr>
        <xdr:cNvGrpSpPr/>
      </xdr:nvGrpSpPr>
      <xdr:grpSpPr>
        <a:xfrm>
          <a:off x="7072697" y="183541"/>
          <a:ext cx="10148083" cy="7800277"/>
          <a:chOff x="7079981" y="180366"/>
          <a:chExt cx="10178525" cy="8296884"/>
        </a:xfrm>
      </xdr:grpSpPr>
      <xdr:sp macro="" textlink="">
        <xdr:nvSpPr>
          <xdr:cNvPr id="3" name="吹き出し: 角を丸めた四角形 2">
            <a:extLst>
              <a:ext uri="{FF2B5EF4-FFF2-40B4-BE49-F238E27FC236}">
                <a16:creationId xmlns:a16="http://schemas.microsoft.com/office/drawing/2014/main" id="{4902AEED-BBBC-7C3D-2807-07261B3C1BEA}"/>
              </a:ext>
            </a:extLst>
          </xdr:cNvPr>
          <xdr:cNvSpPr/>
        </xdr:nvSpPr>
        <xdr:spPr>
          <a:xfrm>
            <a:off x="7079981" y="180366"/>
            <a:ext cx="10178525" cy="8296884"/>
          </a:xfrm>
          <a:prstGeom prst="wedgeRoundRectCallout">
            <a:avLst>
              <a:gd name="adj1" fmla="val -58823"/>
              <a:gd name="adj2" fmla="val -194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作成日と自治体名、共同提案者名を入力してください。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都道府県が主たる提案者の場合</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」の両方に</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都道府県名を記載ください。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rgbClr val="FF0000"/>
                </a:solidFill>
                <a:latin typeface="Meiryo UI" panose="020B0604030504040204" pitchFamily="50" charset="-128"/>
                <a:ea typeface="Meiryo UI" panose="020B0604030504040204" pitchFamily="50" charset="-128"/>
                <a:cs typeface="+mn-cs"/>
              </a:rPr>
              <a:t>市区町村が主たる提案者の場合</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は、</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」に都道府県名を</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」に市区町村名</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を記載ください。</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例えば、〇〇県〇〇市の場合、</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都道府県</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」に〇〇県</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「主たる提案者</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市区町村</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」に〇〇市</a:t>
            </a:r>
          </a:p>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該当</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のない欄は</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空欄</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で構いません。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①複製したい行全体をコピー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②コピーした行を「コピーしたセルを挿入」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・法人名や団体名は略称などを使わず、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正式名称で記載ください。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 ～～～（株）</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a:solidFill>
                  <a:sysClr val="windowText" lastClr="000000"/>
                </a:solidFill>
                <a:latin typeface="Meiryo UI" panose="020B0604030504040204" pitchFamily="50" charset="-128"/>
                <a:ea typeface="Meiryo UI" panose="020B0604030504040204" pitchFamily="50" charset="-128"/>
              </a:rPr>
              <a:t>～～～株式会社</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・法人名や団体名は、様式１（</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の記載内容と一致するように記載ください</a:t>
            </a:r>
          </a:p>
        </xdr:txBody>
      </xdr:sp>
      <xdr:pic>
        <xdr:nvPicPr>
          <xdr:cNvPr id="4" name="図 3">
            <a:extLst>
              <a:ext uri="{FF2B5EF4-FFF2-40B4-BE49-F238E27FC236}">
                <a16:creationId xmlns:a16="http://schemas.microsoft.com/office/drawing/2014/main" id="{83B6D3D5-F403-EDCF-695B-988E85B813ED}"/>
              </a:ext>
            </a:extLst>
          </xdr:cNvPr>
          <xdr:cNvPicPr>
            <a:picLocks noChangeAspect="1"/>
          </xdr:cNvPicPr>
        </xdr:nvPicPr>
        <xdr:blipFill>
          <a:blip xmlns:r="http://schemas.openxmlformats.org/officeDocument/2006/relationships" r:embed="rId2"/>
          <a:stretch>
            <a:fillRect/>
          </a:stretch>
        </xdr:blipFill>
        <xdr:spPr>
          <a:xfrm>
            <a:off x="14059622" y="3312216"/>
            <a:ext cx="2802154" cy="4194252"/>
          </a:xfrm>
          <a:prstGeom prst="rect">
            <a:avLst/>
          </a:prstGeom>
        </xdr:spPr>
      </xdr:pic>
      <xdr:pic>
        <xdr:nvPicPr>
          <xdr:cNvPr id="5" name="図 4">
            <a:extLst>
              <a:ext uri="{FF2B5EF4-FFF2-40B4-BE49-F238E27FC236}">
                <a16:creationId xmlns:a16="http://schemas.microsoft.com/office/drawing/2014/main" id="{932AA3E1-74A0-598F-FE6F-5AD38F87BFDF}"/>
              </a:ext>
            </a:extLst>
          </xdr:cNvPr>
          <xdr:cNvPicPr>
            <a:picLocks noChangeAspect="1"/>
          </xdr:cNvPicPr>
        </xdr:nvPicPr>
        <xdr:blipFill>
          <a:blip xmlns:r="http://schemas.openxmlformats.org/officeDocument/2006/relationships" r:embed="rId3"/>
          <a:stretch>
            <a:fillRect/>
          </a:stretch>
        </xdr:blipFill>
        <xdr:spPr>
          <a:xfrm>
            <a:off x="11044925" y="3325589"/>
            <a:ext cx="2785422" cy="4185719"/>
          </a:xfrm>
          <a:prstGeom prst="rect">
            <a:avLst/>
          </a:prstGeom>
        </xdr:spPr>
      </xdr:pic>
      <xdr:sp macro="" textlink="">
        <xdr:nvSpPr>
          <xdr:cNvPr id="6" name="テキスト ボックス 5">
            <a:extLst>
              <a:ext uri="{FF2B5EF4-FFF2-40B4-BE49-F238E27FC236}">
                <a16:creationId xmlns:a16="http://schemas.microsoft.com/office/drawing/2014/main" id="{EB6E55A2-01BF-1CF1-EC14-531241409F2C}"/>
              </a:ext>
            </a:extLst>
          </xdr:cNvPr>
          <xdr:cNvSpPr txBox="1"/>
        </xdr:nvSpPr>
        <xdr:spPr>
          <a:xfrm>
            <a:off x="11032489" y="2947641"/>
            <a:ext cx="1979420" cy="360302"/>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①複製したい行全体をコピー</a:t>
            </a:r>
          </a:p>
        </xdr:txBody>
      </xdr:sp>
      <xdr:sp macro="" textlink="">
        <xdr:nvSpPr>
          <xdr:cNvPr id="7" name="テキスト ボックス 6">
            <a:extLst>
              <a:ext uri="{FF2B5EF4-FFF2-40B4-BE49-F238E27FC236}">
                <a16:creationId xmlns:a16="http://schemas.microsoft.com/office/drawing/2014/main" id="{0226CBE1-483F-E561-6EF4-B155321084AA}"/>
              </a:ext>
            </a:extLst>
          </xdr:cNvPr>
          <xdr:cNvSpPr txBox="1"/>
        </xdr:nvSpPr>
        <xdr:spPr>
          <a:xfrm>
            <a:off x="14072357" y="2976428"/>
            <a:ext cx="2466776" cy="360302"/>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②コピーした行を「コピーしたセルを挿入」</a:t>
            </a:r>
          </a:p>
        </xdr:txBody>
      </xdr:sp>
      <xdr:sp macro="" textlink="">
        <xdr:nvSpPr>
          <xdr:cNvPr id="8" name="四角形: 角を丸くする 7">
            <a:extLst>
              <a:ext uri="{FF2B5EF4-FFF2-40B4-BE49-F238E27FC236}">
                <a16:creationId xmlns:a16="http://schemas.microsoft.com/office/drawing/2014/main" id="{ECEDBD2D-9D30-3144-CAC8-4A5DD3F1BDDC}"/>
              </a:ext>
            </a:extLst>
          </xdr:cNvPr>
          <xdr:cNvSpPr/>
        </xdr:nvSpPr>
        <xdr:spPr>
          <a:xfrm>
            <a:off x="11063081" y="5126832"/>
            <a:ext cx="960458" cy="158978"/>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D53678BF-255E-BF5A-C70C-5F79B9A471A1}"/>
              </a:ext>
            </a:extLst>
          </xdr:cNvPr>
          <xdr:cNvSpPr/>
        </xdr:nvSpPr>
        <xdr:spPr>
          <a:xfrm>
            <a:off x="14079201" y="5711228"/>
            <a:ext cx="1012106" cy="15897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14F81968-F160-FF17-4BB0-FD397AE33ABC}"/>
              </a:ext>
            </a:extLst>
          </xdr:cNvPr>
          <xdr:cNvSpPr/>
        </xdr:nvSpPr>
        <xdr:spPr>
          <a:xfrm>
            <a:off x="10877748" y="2814240"/>
            <a:ext cx="6128346" cy="4783137"/>
          </a:xfrm>
          <a:prstGeom prst="rect">
            <a:avLst/>
          </a:prstGeom>
          <a:noFill/>
          <a:ln w="1270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sp macro="" textlink="">
        <xdr:nvSpPr>
          <xdr:cNvPr id="16" name="右大かっこ 15">
            <a:extLst>
              <a:ext uri="{FF2B5EF4-FFF2-40B4-BE49-F238E27FC236}">
                <a16:creationId xmlns:a16="http://schemas.microsoft.com/office/drawing/2014/main" id="{C1127F2B-BF45-0EB4-A6C9-6299179DE8FA}"/>
              </a:ext>
            </a:extLst>
          </xdr:cNvPr>
          <xdr:cNvSpPr/>
        </xdr:nvSpPr>
        <xdr:spPr>
          <a:xfrm>
            <a:off x="10474856" y="5054997"/>
            <a:ext cx="120913" cy="1062434"/>
          </a:xfrm>
          <a:prstGeom prst="rightBracket">
            <a:avLst/>
          </a:prstGeom>
          <a:ln>
            <a:solidFill>
              <a:schemeClr val="accent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8" name="右大かっこ 17">
            <a:extLst>
              <a:ext uri="{FF2B5EF4-FFF2-40B4-BE49-F238E27FC236}">
                <a16:creationId xmlns:a16="http://schemas.microsoft.com/office/drawing/2014/main" id="{F78E49ED-4C92-40E7-812F-61E83F7EAEA0}"/>
              </a:ext>
            </a:extLst>
          </xdr:cNvPr>
          <xdr:cNvSpPr/>
        </xdr:nvSpPr>
        <xdr:spPr>
          <a:xfrm flipH="1">
            <a:off x="7442984" y="5047641"/>
            <a:ext cx="103995" cy="1062434"/>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8B6F0A9E-6C18-77BD-0AE0-1BE99122D5DB}"/>
              </a:ext>
            </a:extLst>
          </xdr:cNvPr>
          <xdr:cNvCxnSpPr>
            <a:stCxn id="16" idx="2"/>
          </xdr:cNvCxnSpPr>
        </xdr:nvCxnSpPr>
        <xdr:spPr>
          <a:xfrm>
            <a:off x="10595769" y="5586609"/>
            <a:ext cx="289217" cy="1369"/>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13</xdr:row>
      <xdr:rowOff>205041</xdr:rowOff>
    </xdr:from>
    <xdr:to>
      <xdr:col>4</xdr:col>
      <xdr:colOff>1480434</xdr:colOff>
      <xdr:row>17</xdr:row>
      <xdr:rowOff>144720</xdr:rowOff>
    </xdr:to>
    <xdr:sp macro="" textlink="">
      <xdr:nvSpPr>
        <xdr:cNvPr id="6" name="吹き出し: 角を丸めた四角形 62">
          <a:extLst>
            <a:ext uri="{FF2B5EF4-FFF2-40B4-BE49-F238E27FC236}">
              <a16:creationId xmlns:a16="http://schemas.microsoft.com/office/drawing/2014/main" id="{90B97B95-52A6-470A-B21B-4DE5BF52BCF9}"/>
            </a:ext>
          </a:extLst>
        </xdr:cNvPr>
        <xdr:cNvSpPr/>
      </xdr:nvSpPr>
      <xdr:spPr>
        <a:xfrm>
          <a:off x="0" y="3408905"/>
          <a:ext cx="3966830" cy="1584906"/>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9</xdr:col>
      <xdr:colOff>684322</xdr:colOff>
      <xdr:row>1</xdr:row>
      <xdr:rowOff>237709</xdr:rowOff>
    </xdr:from>
    <xdr:to>
      <xdr:col>12</xdr:col>
      <xdr:colOff>9249</xdr:colOff>
      <xdr:row>4</xdr:row>
      <xdr:rowOff>212144</xdr:rowOff>
    </xdr:to>
    <xdr:pic>
      <xdr:nvPicPr>
        <xdr:cNvPr id="2" name="図 1">
          <a:extLst>
            <a:ext uri="{FF2B5EF4-FFF2-40B4-BE49-F238E27FC236}">
              <a16:creationId xmlns:a16="http://schemas.microsoft.com/office/drawing/2014/main" id="{81AEA176-E855-4415-8574-0F2994E1E1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5220" y="478146"/>
          <a:ext cx="1766286" cy="695746"/>
        </a:xfrm>
        <a:prstGeom prst="rect">
          <a:avLst/>
        </a:prstGeom>
      </xdr:spPr>
    </xdr:pic>
    <xdr:clientData/>
  </xdr:twoCellAnchor>
  <xdr:twoCellAnchor editAs="absolute">
    <xdr:from>
      <xdr:col>12</xdr:col>
      <xdr:colOff>166470</xdr:colOff>
      <xdr:row>7</xdr:row>
      <xdr:rowOff>152400</xdr:rowOff>
    </xdr:from>
    <xdr:to>
      <xdr:col>30</xdr:col>
      <xdr:colOff>129200</xdr:colOff>
      <xdr:row>10</xdr:row>
      <xdr:rowOff>240713</xdr:rowOff>
    </xdr:to>
    <xdr:sp macro="" textlink="">
      <xdr:nvSpPr>
        <xdr:cNvPr id="3" name="吹き出し: 角を丸めた四角形 21">
          <a:extLst>
            <a:ext uri="{FF2B5EF4-FFF2-40B4-BE49-F238E27FC236}">
              <a16:creationId xmlns:a16="http://schemas.microsoft.com/office/drawing/2014/main" id="{C56C27A0-241D-45E8-8318-42E4424ED313}"/>
            </a:ext>
          </a:extLst>
        </xdr:cNvPr>
        <xdr:cNvSpPr/>
      </xdr:nvSpPr>
      <xdr:spPr>
        <a:xfrm flipH="1">
          <a:off x="11548845" y="1695450"/>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oneCellAnchor>
    <xdr:from>
      <xdr:col>12</xdr:col>
      <xdr:colOff>158810</xdr:colOff>
      <xdr:row>10</xdr:row>
      <xdr:rowOff>552449</xdr:rowOff>
    </xdr:from>
    <xdr:ext cx="5038050" cy="885825"/>
    <xdr:sp macro="" textlink="">
      <xdr:nvSpPr>
        <xdr:cNvPr id="10" name="吹き出し: 角を丸めた四角形 63">
          <a:extLst>
            <a:ext uri="{FF2B5EF4-FFF2-40B4-BE49-F238E27FC236}">
              <a16:creationId xmlns:a16="http://schemas.microsoft.com/office/drawing/2014/main" id="{8E32B6F8-6402-41AF-9CB1-41CB5EB6EEFB}"/>
            </a:ext>
          </a:extLst>
        </xdr:cNvPr>
        <xdr:cNvSpPr/>
      </xdr:nvSpPr>
      <xdr:spPr>
        <a:xfrm>
          <a:off x="11541185" y="2571749"/>
          <a:ext cx="5038050"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11</xdr:col>
      <xdr:colOff>46235</xdr:colOff>
      <xdr:row>10</xdr:row>
      <xdr:rowOff>730557</xdr:rowOff>
    </xdr:from>
    <xdr:to>
      <xdr:col>12</xdr:col>
      <xdr:colOff>88260</xdr:colOff>
      <xdr:row>13</xdr:row>
      <xdr:rowOff>240436</xdr:rowOff>
    </xdr:to>
    <xdr:sp macro="" textlink="">
      <xdr:nvSpPr>
        <xdr:cNvPr id="11" name="左中かっこ 36">
          <a:extLst>
            <a:ext uri="{FF2B5EF4-FFF2-40B4-BE49-F238E27FC236}">
              <a16:creationId xmlns:a16="http://schemas.microsoft.com/office/drawing/2014/main" id="{675A3C86-2764-47A4-B4E8-4CDD626CFD68}"/>
            </a:ext>
          </a:extLst>
        </xdr:cNvPr>
        <xdr:cNvSpPr/>
      </xdr:nvSpPr>
      <xdr:spPr>
        <a:xfrm flipH="1">
          <a:off x="11300531" y="276502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314417</xdr:colOff>
      <xdr:row>16</xdr:row>
      <xdr:rowOff>860024</xdr:rowOff>
    </xdr:from>
    <xdr:to>
      <xdr:col>31</xdr:col>
      <xdr:colOff>25974</xdr:colOff>
      <xdr:row>17</xdr:row>
      <xdr:rowOff>1046683</xdr:rowOff>
    </xdr:to>
    <xdr:sp macro="" textlink="">
      <xdr:nvSpPr>
        <xdr:cNvPr id="12" name="吹き出し: 角を丸めた四角形 62">
          <a:extLst>
            <a:ext uri="{FF2B5EF4-FFF2-40B4-BE49-F238E27FC236}">
              <a16:creationId xmlns:a16="http://schemas.microsoft.com/office/drawing/2014/main" id="{22F5A3BD-2075-49A4-A805-4CB4BB23FA3D}"/>
            </a:ext>
          </a:extLst>
        </xdr:cNvPr>
        <xdr:cNvSpPr/>
      </xdr:nvSpPr>
      <xdr:spPr>
        <a:xfrm>
          <a:off x="11716674" y="430012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oneCell">
    <xdr:from>
      <xdr:col>5</xdr:col>
      <xdr:colOff>68347</xdr:colOff>
      <xdr:row>14</xdr:row>
      <xdr:rowOff>86857</xdr:rowOff>
    </xdr:from>
    <xdr:to>
      <xdr:col>8</xdr:col>
      <xdr:colOff>630816</xdr:colOff>
      <xdr:row>17</xdr:row>
      <xdr:rowOff>456993</xdr:rowOff>
    </xdr:to>
    <xdr:sp macro="" textlink="">
      <xdr:nvSpPr>
        <xdr:cNvPr id="7" name="吹き出し: 角を丸めた四角形 62">
          <a:extLst>
            <a:ext uri="{FF2B5EF4-FFF2-40B4-BE49-F238E27FC236}">
              <a16:creationId xmlns:a16="http://schemas.microsoft.com/office/drawing/2014/main" id="{C20EB671-F066-40F5-B7E5-6164A6AB2DDB}"/>
            </a:ext>
          </a:extLst>
        </xdr:cNvPr>
        <xdr:cNvSpPr/>
      </xdr:nvSpPr>
      <xdr:spPr>
        <a:xfrm>
          <a:off x="4435003" y="3525753"/>
          <a:ext cx="3976625" cy="1780331"/>
        </a:xfrm>
        <a:prstGeom prst="wedgeRoundRectCallout">
          <a:avLst>
            <a:gd name="adj1" fmla="val -55928"/>
            <a:gd name="adj2" fmla="val -779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・地区代表者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・住民</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としています。上記以外の合意形成対象者がいる場合は行を追加して記載してください。</a:t>
          </a:r>
        </a:p>
      </xdr:txBody>
    </xdr:sp>
    <xdr:clientData/>
  </xdr:twoCellAnchor>
  <xdr:twoCellAnchor editAs="absolute">
    <xdr:from>
      <xdr:col>1</xdr:col>
      <xdr:colOff>28856</xdr:colOff>
      <xdr:row>3</xdr:row>
      <xdr:rowOff>0</xdr:rowOff>
    </xdr:from>
    <xdr:to>
      <xdr:col>6</xdr:col>
      <xdr:colOff>270551</xdr:colOff>
      <xdr:row>5</xdr:row>
      <xdr:rowOff>61028</xdr:rowOff>
    </xdr:to>
    <xdr:sp macro="" textlink="">
      <xdr:nvSpPr>
        <xdr:cNvPr id="8" name="吹き出し: 角を丸めた四角形 4">
          <a:extLst>
            <a:ext uri="{FF2B5EF4-FFF2-40B4-BE49-F238E27FC236}">
              <a16:creationId xmlns:a16="http://schemas.microsoft.com/office/drawing/2014/main" id="{CB1D3B53-B609-4B51-B13B-1E334AA95274}"/>
            </a:ext>
          </a:extLst>
        </xdr:cNvPr>
        <xdr:cNvSpPr/>
      </xdr:nvSpPr>
      <xdr:spPr>
        <a:xfrm>
          <a:off x="189668" y="705097"/>
          <a:ext cx="5585591" cy="53109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676275</xdr:colOff>
      <xdr:row>1</xdr:row>
      <xdr:rowOff>85725</xdr:rowOff>
    </xdr:from>
    <xdr:to>
      <xdr:col>13</xdr:col>
      <xdr:colOff>4161</xdr:colOff>
      <xdr:row>4</xdr:row>
      <xdr:rowOff>67096</xdr:rowOff>
    </xdr:to>
    <xdr:pic>
      <xdr:nvPicPr>
        <xdr:cNvPr id="2" name="図 1">
          <a:extLst>
            <a:ext uri="{FF2B5EF4-FFF2-40B4-BE49-F238E27FC236}">
              <a16:creationId xmlns:a16="http://schemas.microsoft.com/office/drawing/2014/main" id="{38A9CAE5-C848-40FC-8404-F60D92C69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53825" y="323850"/>
          <a:ext cx="1766286" cy="695746"/>
        </a:xfrm>
        <a:prstGeom prst="rect">
          <a:avLst/>
        </a:prstGeom>
      </xdr:spPr>
    </xdr:pic>
    <xdr:clientData/>
  </xdr:twoCellAnchor>
  <xdr:oneCellAnchor>
    <xdr:from>
      <xdr:col>13</xdr:col>
      <xdr:colOff>132454</xdr:colOff>
      <xdr:row>10</xdr:row>
      <xdr:rowOff>571499</xdr:rowOff>
    </xdr:from>
    <xdr:ext cx="5038050" cy="981075"/>
    <xdr:sp macro="" textlink="">
      <xdr:nvSpPr>
        <xdr:cNvPr id="6" name="吹き出し: 角を丸めた四角形 63">
          <a:extLst>
            <a:ext uri="{FF2B5EF4-FFF2-40B4-BE49-F238E27FC236}">
              <a16:creationId xmlns:a16="http://schemas.microsoft.com/office/drawing/2014/main" id="{6C53E520-7FF9-4387-A9FD-AADB79F09F91}"/>
            </a:ext>
          </a:extLst>
        </xdr:cNvPr>
        <xdr:cNvSpPr/>
      </xdr:nvSpPr>
      <xdr:spPr>
        <a:xfrm>
          <a:off x="13448404" y="2600324"/>
          <a:ext cx="5038050" cy="98107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12</xdr:col>
      <xdr:colOff>33843</xdr:colOff>
      <xdr:row>12</xdr:row>
      <xdr:rowOff>88143</xdr:rowOff>
    </xdr:from>
    <xdr:to>
      <xdr:col>13</xdr:col>
      <xdr:colOff>71429</xdr:colOff>
      <xdr:row>14</xdr:row>
      <xdr:rowOff>102015</xdr:rowOff>
    </xdr:to>
    <xdr:sp macro="" textlink="">
      <xdr:nvSpPr>
        <xdr:cNvPr id="7" name="左中かっこ 36">
          <a:extLst>
            <a:ext uri="{FF2B5EF4-FFF2-40B4-BE49-F238E27FC236}">
              <a16:creationId xmlns:a16="http://schemas.microsoft.com/office/drawing/2014/main" id="{456E65C4-278D-4D48-9723-6448EF5CA3A2}"/>
            </a:ext>
          </a:extLst>
        </xdr:cNvPr>
        <xdr:cNvSpPr/>
      </xdr:nvSpPr>
      <xdr:spPr>
        <a:xfrm flipH="1">
          <a:off x="13197393" y="292659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145186</xdr:colOff>
      <xdr:row>17</xdr:row>
      <xdr:rowOff>851716</xdr:rowOff>
    </xdr:from>
    <xdr:to>
      <xdr:col>30</xdr:col>
      <xdr:colOff>371273</xdr:colOff>
      <xdr:row>18</xdr:row>
      <xdr:rowOff>944606</xdr:rowOff>
    </xdr:to>
    <xdr:sp macro="" textlink="">
      <xdr:nvSpPr>
        <xdr:cNvPr id="8" name="吹き出し: 角を丸めた四角形 62">
          <a:extLst>
            <a:ext uri="{FF2B5EF4-FFF2-40B4-BE49-F238E27FC236}">
              <a16:creationId xmlns:a16="http://schemas.microsoft.com/office/drawing/2014/main" id="{9D5709FF-B73E-4BE7-9D8C-9D6908E11C34}"/>
            </a:ext>
          </a:extLst>
        </xdr:cNvPr>
        <xdr:cNvSpPr/>
      </xdr:nvSpPr>
      <xdr:spPr>
        <a:xfrm>
          <a:off x="13308736" y="472839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endParaRPr kumimoji="1" lang="ja-JP" altLang="en-US" sz="1400" b="0">
            <a:solidFill>
              <a:srgbClr val="FF99FF"/>
            </a:solidFill>
            <a:latin typeface="Meiryo UI" panose="020B0604030504040204" pitchFamily="50" charset="-128"/>
            <a:ea typeface="Meiryo UI" panose="020B0604030504040204" pitchFamily="50" charset="-128"/>
          </a:endParaRPr>
        </a:p>
      </xdr:txBody>
    </xdr:sp>
    <xdr:clientData/>
  </xdr:twoCellAnchor>
  <xdr:twoCellAnchor editAs="absolute">
    <xdr:from>
      <xdr:col>13</xdr:col>
      <xdr:colOff>123825</xdr:colOff>
      <xdr:row>7</xdr:row>
      <xdr:rowOff>152400</xdr:rowOff>
    </xdr:from>
    <xdr:to>
      <xdr:col>30</xdr:col>
      <xdr:colOff>94843</xdr:colOff>
      <xdr:row>10</xdr:row>
      <xdr:rowOff>240713</xdr:rowOff>
    </xdr:to>
    <xdr:sp macro="" textlink="">
      <xdr:nvSpPr>
        <xdr:cNvPr id="5" name="吹き出し: 角を丸めた四角形 21">
          <a:extLst>
            <a:ext uri="{FF2B5EF4-FFF2-40B4-BE49-F238E27FC236}">
              <a16:creationId xmlns:a16="http://schemas.microsoft.com/office/drawing/2014/main" id="{540D878A-F63B-4381-883F-4610D742C23E}"/>
            </a:ext>
          </a:extLst>
        </xdr:cNvPr>
        <xdr:cNvSpPr/>
      </xdr:nvSpPr>
      <xdr:spPr>
        <a:xfrm flipH="1">
          <a:off x="13439775" y="1704975"/>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1</xdr:col>
      <xdr:colOff>0</xdr:colOff>
      <xdr:row>13</xdr:row>
      <xdr:rowOff>150276</xdr:rowOff>
    </xdr:from>
    <xdr:to>
      <xdr:col>4</xdr:col>
      <xdr:colOff>1634500</xdr:colOff>
      <xdr:row>17</xdr:row>
      <xdr:rowOff>934343</xdr:rowOff>
    </xdr:to>
    <xdr:sp macro="" textlink="">
      <xdr:nvSpPr>
        <xdr:cNvPr id="19" name="吹き出し: 角を丸めた四角形 62">
          <a:extLst>
            <a:ext uri="{FF2B5EF4-FFF2-40B4-BE49-F238E27FC236}">
              <a16:creationId xmlns:a16="http://schemas.microsoft.com/office/drawing/2014/main" id="{9D78C837-D29F-4358-871F-D747BFE4D0D5}"/>
            </a:ext>
          </a:extLst>
        </xdr:cNvPr>
        <xdr:cNvSpPr/>
      </xdr:nvSpPr>
      <xdr:spPr>
        <a:xfrm>
          <a:off x="161925" y="3464976"/>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absolute">
    <xdr:from>
      <xdr:col>1</xdr:col>
      <xdr:colOff>70374</xdr:colOff>
      <xdr:row>3</xdr:row>
      <xdr:rowOff>9525</xdr:rowOff>
    </xdr:from>
    <xdr:to>
      <xdr:col>5</xdr:col>
      <xdr:colOff>656635</xdr:colOff>
      <xdr:row>5</xdr:row>
      <xdr:rowOff>137978</xdr:rowOff>
    </xdr:to>
    <xdr:sp macro="" textlink="">
      <xdr:nvSpPr>
        <xdr:cNvPr id="20" name="吹き出し: 角を丸めた四角形 4">
          <a:extLst>
            <a:ext uri="{FF2B5EF4-FFF2-40B4-BE49-F238E27FC236}">
              <a16:creationId xmlns:a16="http://schemas.microsoft.com/office/drawing/2014/main" id="{E6FD86E2-DC64-4B36-90AA-20E05C95CF9B}"/>
            </a:ext>
          </a:extLst>
        </xdr:cNvPr>
        <xdr:cNvSpPr/>
      </xdr:nvSpPr>
      <xdr:spPr>
        <a:xfrm>
          <a:off x="232299" y="72390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2143125</xdr:colOff>
      <xdr:row>15</xdr:row>
      <xdr:rowOff>49737</xdr:rowOff>
    </xdr:from>
    <xdr:to>
      <xdr:col>8</xdr:col>
      <xdr:colOff>25277</xdr:colOff>
      <xdr:row>18</xdr:row>
      <xdr:rowOff>525987</xdr:rowOff>
    </xdr:to>
    <xdr:sp macro="" textlink="">
      <xdr:nvSpPr>
        <xdr:cNvPr id="21" name="吹き出し: 角を丸めた四角形 62">
          <a:extLst>
            <a:ext uri="{FF2B5EF4-FFF2-40B4-BE49-F238E27FC236}">
              <a16:creationId xmlns:a16="http://schemas.microsoft.com/office/drawing/2014/main" id="{A007A96D-21AE-4535-A857-C0EDBCABD744}"/>
            </a:ext>
          </a:extLst>
        </xdr:cNvPr>
        <xdr:cNvSpPr/>
      </xdr:nvSpPr>
      <xdr:spPr>
        <a:xfrm>
          <a:off x="4638675" y="3840687"/>
          <a:ext cx="3978152" cy="2114550"/>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133350</xdr:colOff>
      <xdr:row>1</xdr:row>
      <xdr:rowOff>228599</xdr:rowOff>
    </xdr:from>
    <xdr:to>
      <xdr:col>13</xdr:col>
      <xdr:colOff>10463</xdr:colOff>
      <xdr:row>6</xdr:row>
      <xdr:rowOff>38099</xdr:rowOff>
    </xdr:to>
    <xdr:pic>
      <xdr:nvPicPr>
        <xdr:cNvPr id="2" name="図 1">
          <a:extLst>
            <a:ext uri="{FF2B5EF4-FFF2-40B4-BE49-F238E27FC236}">
              <a16:creationId xmlns:a16="http://schemas.microsoft.com/office/drawing/2014/main" id="{A40B9494-A291-4DA6-9DFF-566AD55C1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77300" y="466724"/>
          <a:ext cx="2248838" cy="885825"/>
        </a:xfrm>
        <a:prstGeom prst="rect">
          <a:avLst/>
        </a:prstGeom>
      </xdr:spPr>
    </xdr:pic>
    <xdr:clientData/>
  </xdr:twoCellAnchor>
  <xdr:twoCellAnchor>
    <xdr:from>
      <xdr:col>8</xdr:col>
      <xdr:colOff>62418</xdr:colOff>
      <xdr:row>13</xdr:row>
      <xdr:rowOff>97668</xdr:rowOff>
    </xdr:from>
    <xdr:to>
      <xdr:col>9</xdr:col>
      <xdr:colOff>100004</xdr:colOff>
      <xdr:row>15</xdr:row>
      <xdr:rowOff>111540</xdr:rowOff>
    </xdr:to>
    <xdr:sp macro="" textlink="">
      <xdr:nvSpPr>
        <xdr:cNvPr id="8" name="左中かっこ 36">
          <a:extLst>
            <a:ext uri="{FF2B5EF4-FFF2-40B4-BE49-F238E27FC236}">
              <a16:creationId xmlns:a16="http://schemas.microsoft.com/office/drawing/2014/main" id="{F0C886F7-7E7F-44F7-958E-C3CA64A8981B}"/>
            </a:ext>
          </a:extLst>
        </xdr:cNvPr>
        <xdr:cNvSpPr/>
      </xdr:nvSpPr>
      <xdr:spPr>
        <a:xfrm flipH="1">
          <a:off x="8653968" y="2936118"/>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9</xdr:col>
      <xdr:colOff>166350</xdr:colOff>
      <xdr:row>10</xdr:row>
      <xdr:rowOff>34768</xdr:rowOff>
    </xdr:from>
    <xdr:to>
      <xdr:col>16</xdr:col>
      <xdr:colOff>134419</xdr:colOff>
      <xdr:row>11</xdr:row>
      <xdr:rowOff>607338</xdr:rowOff>
    </xdr:to>
    <xdr:sp macro="" textlink="">
      <xdr:nvSpPr>
        <xdr:cNvPr id="12" name="吹き出し: 角を丸めた四角形 21">
          <a:extLst>
            <a:ext uri="{FF2B5EF4-FFF2-40B4-BE49-F238E27FC236}">
              <a16:creationId xmlns:a16="http://schemas.microsoft.com/office/drawing/2014/main" id="{3EA32694-9246-498B-B1BF-8C07C511F30F}"/>
            </a:ext>
          </a:extLst>
        </xdr:cNvPr>
        <xdr:cNvSpPr/>
      </xdr:nvSpPr>
      <xdr:spPr>
        <a:xfrm flipH="1">
          <a:off x="8910300" y="2301718"/>
          <a:ext cx="4397194" cy="81069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endParaRPr kumimoji="1" lang="en-US" altLang="ja-JP" sz="140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151422</xdr:colOff>
      <xdr:row>13</xdr:row>
      <xdr:rowOff>93125</xdr:rowOff>
    </xdr:from>
    <xdr:to>
      <xdr:col>4</xdr:col>
      <xdr:colOff>1629440</xdr:colOff>
      <xdr:row>18</xdr:row>
      <xdr:rowOff>765614</xdr:rowOff>
    </xdr:to>
    <xdr:sp macro="" textlink="">
      <xdr:nvSpPr>
        <xdr:cNvPr id="13" name="吹き出し: 角を丸めた四角形 62">
          <a:extLst>
            <a:ext uri="{FF2B5EF4-FFF2-40B4-BE49-F238E27FC236}">
              <a16:creationId xmlns:a16="http://schemas.microsoft.com/office/drawing/2014/main" id="{03DB16CB-417E-4CFC-9145-FAC7A0DA5349}"/>
            </a:ext>
          </a:extLst>
        </xdr:cNvPr>
        <xdr:cNvSpPr/>
      </xdr:nvSpPr>
      <xdr:spPr>
        <a:xfrm>
          <a:off x="151422" y="3481304"/>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oneCellAnchor>
    <xdr:from>
      <xdr:col>9</xdr:col>
      <xdr:colOff>168215</xdr:colOff>
      <xdr:row>11</xdr:row>
      <xdr:rowOff>666138</xdr:rowOff>
    </xdr:from>
    <xdr:ext cx="4403785" cy="885825"/>
    <xdr:sp macro="" textlink="">
      <xdr:nvSpPr>
        <xdr:cNvPr id="14" name="吹き出し: 角を丸めた四角形 63">
          <a:extLst>
            <a:ext uri="{FF2B5EF4-FFF2-40B4-BE49-F238E27FC236}">
              <a16:creationId xmlns:a16="http://schemas.microsoft.com/office/drawing/2014/main" id="{47AA8A4A-0B32-41F8-8046-026922BEC293}"/>
            </a:ext>
          </a:extLst>
        </xdr:cNvPr>
        <xdr:cNvSpPr/>
      </xdr:nvSpPr>
      <xdr:spPr>
        <a:xfrm>
          <a:off x="8904001" y="3237888"/>
          <a:ext cx="4403785"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editAs="oneCell">
    <xdr:from>
      <xdr:col>10</xdr:col>
      <xdr:colOff>48958</xdr:colOff>
      <xdr:row>18</xdr:row>
      <xdr:rowOff>1027999</xdr:rowOff>
    </xdr:from>
    <xdr:to>
      <xdr:col>16</xdr:col>
      <xdr:colOff>122464</xdr:colOff>
      <xdr:row>19</xdr:row>
      <xdr:rowOff>1115446</xdr:rowOff>
    </xdr:to>
    <xdr:sp macro="" textlink="">
      <xdr:nvSpPr>
        <xdr:cNvPr id="15" name="吹き出し: 角を丸めた四角形 62">
          <a:extLst>
            <a:ext uri="{FF2B5EF4-FFF2-40B4-BE49-F238E27FC236}">
              <a16:creationId xmlns:a16="http://schemas.microsoft.com/office/drawing/2014/main" id="{970DB5AA-4859-4383-A37C-1A2ADEB053C3}"/>
            </a:ext>
          </a:extLst>
        </xdr:cNvPr>
        <xdr:cNvSpPr/>
      </xdr:nvSpPr>
      <xdr:spPr>
        <a:xfrm>
          <a:off x="9097708" y="5327856"/>
          <a:ext cx="4155649"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absolute">
    <xdr:from>
      <xdr:col>0</xdr:col>
      <xdr:colOff>136071</xdr:colOff>
      <xdr:row>3</xdr:row>
      <xdr:rowOff>81642</xdr:rowOff>
    </xdr:from>
    <xdr:to>
      <xdr:col>5</xdr:col>
      <xdr:colOff>565850</xdr:colOff>
      <xdr:row>6</xdr:row>
      <xdr:rowOff>7349</xdr:rowOff>
    </xdr:to>
    <xdr:sp macro="" textlink="">
      <xdr:nvSpPr>
        <xdr:cNvPr id="16" name="吹き出し: 角を丸めた四角形 4">
          <a:extLst>
            <a:ext uri="{FF2B5EF4-FFF2-40B4-BE49-F238E27FC236}">
              <a16:creationId xmlns:a16="http://schemas.microsoft.com/office/drawing/2014/main" id="{CFC6767C-8562-4412-80DB-DFE60C778FE9}"/>
            </a:ext>
          </a:extLst>
        </xdr:cNvPr>
        <xdr:cNvSpPr/>
      </xdr:nvSpPr>
      <xdr:spPr>
        <a:xfrm>
          <a:off x="136071" y="816428"/>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1976140</xdr:colOff>
      <xdr:row>14</xdr:row>
      <xdr:rowOff>157233</xdr:rowOff>
    </xdr:from>
    <xdr:to>
      <xdr:col>7</xdr:col>
      <xdr:colOff>1001292</xdr:colOff>
      <xdr:row>19</xdr:row>
      <xdr:rowOff>285140</xdr:rowOff>
    </xdr:to>
    <xdr:sp macro="" textlink="">
      <xdr:nvSpPr>
        <xdr:cNvPr id="17" name="吹き出し: 角を丸めた四角形 62">
          <a:extLst>
            <a:ext uri="{FF2B5EF4-FFF2-40B4-BE49-F238E27FC236}">
              <a16:creationId xmlns:a16="http://schemas.microsoft.com/office/drawing/2014/main" id="{63174CCB-94A6-4D2F-AD16-EA0A9DBC1523}"/>
            </a:ext>
          </a:extLst>
        </xdr:cNvPr>
        <xdr:cNvSpPr/>
      </xdr:nvSpPr>
      <xdr:spPr>
        <a:xfrm>
          <a:off x="4471690" y="3710058"/>
          <a:ext cx="3978152" cy="2090057"/>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9</xdr:col>
      <xdr:colOff>357136</xdr:colOff>
      <xdr:row>14</xdr:row>
      <xdr:rowOff>201706</xdr:rowOff>
    </xdr:from>
    <xdr:ext cx="5313816" cy="3641725"/>
    <xdr:sp macro="" textlink="">
      <xdr:nvSpPr>
        <xdr:cNvPr id="262" name="吹き出し: 角を丸めた四角形 62">
          <a:extLst>
            <a:ext uri="{FF2B5EF4-FFF2-40B4-BE49-F238E27FC236}">
              <a16:creationId xmlns:a16="http://schemas.microsoft.com/office/drawing/2014/main" id="{A0D47F5C-E6E8-4ED2-A115-7FB7CC2DBB41}"/>
            </a:ext>
          </a:extLst>
        </xdr:cNvPr>
        <xdr:cNvSpPr/>
      </xdr:nvSpPr>
      <xdr:spPr>
        <a:xfrm>
          <a:off x="9030489" y="3810000"/>
          <a:ext cx="5313816" cy="3641725"/>
        </a:xfrm>
        <a:prstGeom prst="wedgeRoundRectCallout">
          <a:avLst>
            <a:gd name="adj1" fmla="val -17033"/>
            <a:gd name="adj2" fmla="val -816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3</xdr:col>
      <xdr:colOff>1180353</xdr:colOff>
      <xdr:row>17</xdr:row>
      <xdr:rowOff>10402</xdr:rowOff>
    </xdr:from>
    <xdr:ext cx="4514373" cy="982530"/>
    <xdr:sp macro="" textlink="">
      <xdr:nvSpPr>
        <xdr:cNvPr id="265" name="吹き出し: 角を丸めた四角形 62">
          <a:extLst>
            <a:ext uri="{FF2B5EF4-FFF2-40B4-BE49-F238E27FC236}">
              <a16:creationId xmlns:a16="http://schemas.microsoft.com/office/drawing/2014/main" id="{9E22092B-7D90-45AA-9E49-755DD90B1B07}"/>
            </a:ext>
          </a:extLst>
        </xdr:cNvPr>
        <xdr:cNvSpPr/>
      </xdr:nvSpPr>
      <xdr:spPr>
        <a:xfrm>
          <a:off x="2334559" y="4313461"/>
          <a:ext cx="4514373" cy="982530"/>
        </a:xfrm>
        <a:prstGeom prst="wedgeRoundRectCallout">
          <a:avLst>
            <a:gd name="adj1" fmla="val -96786"/>
            <a:gd name="adj2" fmla="val -1312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editAs="oneCell">
    <xdr:from>
      <xdr:col>15</xdr:col>
      <xdr:colOff>65847</xdr:colOff>
      <xdr:row>0</xdr:row>
      <xdr:rowOff>82825</xdr:rowOff>
    </xdr:from>
    <xdr:to>
      <xdr:col>17</xdr:col>
      <xdr:colOff>3886</xdr:colOff>
      <xdr:row>3</xdr:row>
      <xdr:rowOff>72203</xdr:rowOff>
    </xdr:to>
    <xdr:pic>
      <xdr:nvPicPr>
        <xdr:cNvPr id="2" name="図 1">
          <a:extLst>
            <a:ext uri="{FF2B5EF4-FFF2-40B4-BE49-F238E27FC236}">
              <a16:creationId xmlns:a16="http://schemas.microsoft.com/office/drawing/2014/main" id="{45F46FD8-628D-4766-B476-EB5E1EE98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122" y="82825"/>
          <a:ext cx="1766839" cy="703753"/>
        </a:xfrm>
        <a:prstGeom prst="rect">
          <a:avLst/>
        </a:prstGeom>
      </xdr:spPr>
    </xdr:pic>
    <xdr:clientData/>
  </xdr:twoCellAnchor>
  <xdr:twoCellAnchor>
    <xdr:from>
      <xdr:col>6</xdr:col>
      <xdr:colOff>904989</xdr:colOff>
      <xdr:row>100</xdr:row>
      <xdr:rowOff>155120</xdr:rowOff>
    </xdr:from>
    <xdr:to>
      <xdr:col>8</xdr:col>
      <xdr:colOff>323749</xdr:colOff>
      <xdr:row>103</xdr:row>
      <xdr:rowOff>179955</xdr:rowOff>
    </xdr:to>
    <xdr:sp macro="" textlink="">
      <xdr:nvSpPr>
        <xdr:cNvPr id="4" name="矢印: 右 3">
          <a:extLst>
            <a:ext uri="{FF2B5EF4-FFF2-40B4-BE49-F238E27FC236}">
              <a16:creationId xmlns:a16="http://schemas.microsoft.com/office/drawing/2014/main" id="{DFD7295B-CEA2-4615-8820-6B610EF4B7FC}"/>
            </a:ext>
          </a:extLst>
        </xdr:cNvPr>
        <xdr:cNvSpPr/>
      </xdr:nvSpPr>
      <xdr:spPr>
        <a:xfrm rot="2256696">
          <a:off x="5581764" y="23005595"/>
          <a:ext cx="1476160" cy="739210"/>
        </a:xfrm>
        <a:prstGeom prst="rightArrow">
          <a:avLst>
            <a:gd name="adj1" fmla="val 50000"/>
            <a:gd name="adj2" fmla="val 0"/>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143396</xdr:colOff>
      <xdr:row>77</xdr:row>
      <xdr:rowOff>154498</xdr:rowOff>
    </xdr:from>
    <xdr:to>
      <xdr:col>3</xdr:col>
      <xdr:colOff>1294811</xdr:colOff>
      <xdr:row>92</xdr:row>
      <xdr:rowOff>31945</xdr:rowOff>
    </xdr:to>
    <xdr:sp macro="" textlink="">
      <xdr:nvSpPr>
        <xdr:cNvPr id="5" name="正方形/長方形 4">
          <a:extLst>
            <a:ext uri="{FF2B5EF4-FFF2-40B4-BE49-F238E27FC236}">
              <a16:creationId xmlns:a16="http://schemas.microsoft.com/office/drawing/2014/main" id="{FEDF00A9-9BAE-4E9E-80DA-363409DBCE3F}"/>
            </a:ext>
          </a:extLst>
        </xdr:cNvPr>
        <xdr:cNvSpPr/>
      </xdr:nvSpPr>
      <xdr:spPr>
        <a:xfrm>
          <a:off x="429146" y="17528098"/>
          <a:ext cx="2008665" cy="344932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市内再エネ</a:t>
          </a:r>
        </a:p>
      </xdr:txBody>
    </xdr:sp>
    <xdr:clientData/>
  </xdr:twoCellAnchor>
  <xdr:oneCellAnchor>
    <xdr:from>
      <xdr:col>3</xdr:col>
      <xdr:colOff>353936</xdr:colOff>
      <xdr:row>84</xdr:row>
      <xdr:rowOff>223215</xdr:rowOff>
    </xdr:from>
    <xdr:ext cx="780636" cy="1002560"/>
    <xdr:pic>
      <xdr:nvPicPr>
        <xdr:cNvPr id="6" name="グラフィックス 240">
          <a:extLst>
            <a:ext uri="{FF2B5EF4-FFF2-40B4-BE49-F238E27FC236}">
              <a16:creationId xmlns:a16="http://schemas.microsoft.com/office/drawing/2014/main" id="{C56F391F-E530-4926-93CE-C3E811035FF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96936" y="19263690"/>
          <a:ext cx="780636" cy="1002560"/>
        </a:xfrm>
        <a:prstGeom prst="rect">
          <a:avLst/>
        </a:prstGeom>
      </xdr:spPr>
    </xdr:pic>
    <xdr:clientData/>
  </xdr:oneCellAnchor>
  <xdr:twoCellAnchor>
    <xdr:from>
      <xdr:col>1</xdr:col>
      <xdr:colOff>143396</xdr:colOff>
      <xdr:row>92</xdr:row>
      <xdr:rowOff>180920</xdr:rowOff>
    </xdr:from>
    <xdr:to>
      <xdr:col>3</xdr:col>
      <xdr:colOff>1294811</xdr:colOff>
      <xdr:row>106</xdr:row>
      <xdr:rowOff>9857</xdr:rowOff>
    </xdr:to>
    <xdr:sp macro="" textlink="">
      <xdr:nvSpPr>
        <xdr:cNvPr id="7" name="正方形/長方形 6">
          <a:extLst>
            <a:ext uri="{FF2B5EF4-FFF2-40B4-BE49-F238E27FC236}">
              <a16:creationId xmlns:a16="http://schemas.microsoft.com/office/drawing/2014/main" id="{4BF9A4BB-DDE9-485C-85FF-575CB9B09892}"/>
            </a:ext>
          </a:extLst>
        </xdr:cNvPr>
        <xdr:cNvSpPr/>
      </xdr:nvSpPr>
      <xdr:spPr>
        <a:xfrm>
          <a:off x="429146" y="21126395"/>
          <a:ext cx="2008665" cy="3162687"/>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市外再エネ</a:t>
          </a:r>
        </a:p>
      </xdr:txBody>
    </xdr:sp>
    <xdr:clientData/>
  </xdr:twoCellAnchor>
  <xdr:twoCellAnchor>
    <xdr:from>
      <xdr:col>2</xdr:col>
      <xdr:colOff>1501</xdr:colOff>
      <xdr:row>84</xdr:row>
      <xdr:rowOff>188128</xdr:rowOff>
    </xdr:from>
    <xdr:to>
      <xdr:col>3</xdr:col>
      <xdr:colOff>241250</xdr:colOff>
      <xdr:row>89</xdr:row>
      <xdr:rowOff>112946</xdr:rowOff>
    </xdr:to>
    <xdr:grpSp>
      <xdr:nvGrpSpPr>
        <xdr:cNvPr id="8" name="グループ化 7">
          <a:extLst>
            <a:ext uri="{FF2B5EF4-FFF2-40B4-BE49-F238E27FC236}">
              <a16:creationId xmlns:a16="http://schemas.microsoft.com/office/drawing/2014/main" id="{58071E6A-4411-4BDB-9F78-E6CED4574804}"/>
            </a:ext>
          </a:extLst>
        </xdr:cNvPr>
        <xdr:cNvGrpSpPr>
          <a:grpSpLocks noChangeAspect="1"/>
        </xdr:cNvGrpSpPr>
      </xdr:nvGrpSpPr>
      <xdr:grpSpPr>
        <a:xfrm>
          <a:off x="555683" y="19151537"/>
          <a:ext cx="842710" cy="1050500"/>
          <a:chOff x="0" y="0"/>
          <a:chExt cx="1982439" cy="2343105"/>
        </a:xfrm>
        <a:solidFill>
          <a:schemeClr val="accent6">
            <a:lumMod val="75000"/>
          </a:schemeClr>
        </a:solidFill>
      </xdr:grpSpPr>
      <xdr:sp macro="" textlink="">
        <xdr:nvSpPr>
          <xdr:cNvPr id="9" name="Freeform 12">
            <a:extLst>
              <a:ext uri="{FF2B5EF4-FFF2-40B4-BE49-F238E27FC236}">
                <a16:creationId xmlns:a16="http://schemas.microsoft.com/office/drawing/2014/main" id="{C1A89EA6-DC12-4BE0-C196-83E787676E93}"/>
              </a:ext>
            </a:extLst>
          </xdr:cNvPr>
          <xdr:cNvSpPr>
            <a:spLocks noEditPoints="1"/>
          </xdr:cNvSpPr>
        </xdr:nvSpPr>
        <xdr:spPr bwMode="auto">
          <a:xfrm>
            <a:off x="884738" y="0"/>
            <a:ext cx="1097701" cy="1455947"/>
          </a:xfrm>
          <a:custGeom>
            <a:avLst/>
            <a:gdLst>
              <a:gd name="T0" fmla="*/ 98 w 203"/>
              <a:gd name="T1" fmla="*/ 22 h 274"/>
              <a:gd name="T2" fmla="*/ 109 w 203"/>
              <a:gd name="T3" fmla="*/ 90 h 274"/>
              <a:gd name="T4" fmla="*/ 159 w 203"/>
              <a:gd name="T5" fmla="*/ 221 h 274"/>
              <a:gd name="T6" fmla="*/ 100 w 203"/>
              <a:gd name="T7" fmla="*/ 274 h 274"/>
              <a:gd name="T8" fmla="*/ 1 w 203"/>
              <a:gd name="T9" fmla="*/ 61 h 274"/>
              <a:gd name="T10" fmla="*/ 129 w 203"/>
              <a:gd name="T11" fmla="*/ 60 h 274"/>
              <a:gd name="T12" fmla="*/ 159 w 203"/>
              <a:gd name="T13" fmla="*/ 64 h 274"/>
              <a:gd name="T14" fmla="*/ 101 w 203"/>
              <a:gd name="T15" fmla="*/ 84 h 274"/>
              <a:gd name="T16" fmla="*/ 99 w 203"/>
              <a:gd name="T17" fmla="*/ 77 h 274"/>
              <a:gd name="T18" fmla="*/ 74 w 203"/>
              <a:gd name="T19" fmla="*/ 62 h 274"/>
              <a:gd name="T20" fmla="*/ 85 w 203"/>
              <a:gd name="T21" fmla="*/ 79 h 274"/>
              <a:gd name="T22" fmla="*/ 107 w 203"/>
              <a:gd name="T23" fmla="*/ 58 h 274"/>
              <a:gd name="T24" fmla="*/ 124 w 203"/>
              <a:gd name="T25" fmla="*/ 32 h 274"/>
              <a:gd name="T26" fmla="*/ 109 w 203"/>
              <a:gd name="T27" fmla="*/ 35 h 274"/>
              <a:gd name="T28" fmla="*/ 47 w 203"/>
              <a:gd name="T29" fmla="*/ 62 h 274"/>
              <a:gd name="T30" fmla="*/ 79 w 203"/>
              <a:gd name="T31" fmla="*/ 51 h 274"/>
              <a:gd name="T32" fmla="*/ 8 w 203"/>
              <a:gd name="T33" fmla="*/ 181 h 274"/>
              <a:gd name="T34" fmla="*/ 18 w 203"/>
              <a:gd name="T35" fmla="*/ 180 h 274"/>
              <a:gd name="T36" fmla="*/ 18 w 203"/>
              <a:gd name="T37" fmla="*/ 127 h 274"/>
              <a:gd name="T38" fmla="*/ 8 w 203"/>
              <a:gd name="T39" fmla="*/ 115 h 274"/>
              <a:gd name="T40" fmla="*/ 18 w 203"/>
              <a:gd name="T41" fmla="*/ 87 h 274"/>
              <a:gd name="T42" fmla="*/ 26 w 203"/>
              <a:gd name="T43" fmla="*/ 171 h 274"/>
              <a:gd name="T44" fmla="*/ 36 w 203"/>
              <a:gd name="T45" fmla="*/ 170 h 274"/>
              <a:gd name="T46" fmla="*/ 36 w 203"/>
              <a:gd name="T47" fmla="*/ 117 h 274"/>
              <a:gd name="T48" fmla="*/ 26 w 203"/>
              <a:gd name="T49" fmla="*/ 105 h 274"/>
              <a:gd name="T50" fmla="*/ 54 w 203"/>
              <a:gd name="T51" fmla="*/ 206 h 274"/>
              <a:gd name="T52" fmla="*/ 44 w 203"/>
              <a:gd name="T53" fmla="*/ 161 h 274"/>
              <a:gd name="T54" fmla="*/ 54 w 203"/>
              <a:gd name="T55" fmla="*/ 160 h 274"/>
              <a:gd name="T56" fmla="*/ 54 w 203"/>
              <a:gd name="T57" fmla="*/ 107 h 274"/>
              <a:gd name="T58" fmla="*/ 62 w 203"/>
              <a:gd name="T59" fmla="*/ 225 h 274"/>
              <a:gd name="T60" fmla="*/ 71 w 203"/>
              <a:gd name="T61" fmla="*/ 196 h 274"/>
              <a:gd name="T62" fmla="*/ 62 w 203"/>
              <a:gd name="T63" fmla="*/ 151 h 274"/>
              <a:gd name="T64" fmla="*/ 71 w 203"/>
              <a:gd name="T65" fmla="*/ 150 h 274"/>
              <a:gd name="T66" fmla="*/ 89 w 203"/>
              <a:gd name="T67" fmla="*/ 226 h 274"/>
              <a:gd name="T68" fmla="*/ 79 w 203"/>
              <a:gd name="T69" fmla="*/ 215 h 274"/>
              <a:gd name="T70" fmla="*/ 89 w 203"/>
              <a:gd name="T71" fmla="*/ 186 h 274"/>
              <a:gd name="T72" fmla="*/ 79 w 203"/>
              <a:gd name="T73" fmla="*/ 141 h 274"/>
              <a:gd name="T74" fmla="*/ 89 w 203"/>
              <a:gd name="T75" fmla="*/ 140 h 274"/>
              <a:gd name="T76" fmla="*/ 12 w 203"/>
              <a:gd name="T77" fmla="*/ 65 h 274"/>
              <a:gd name="T78" fmla="*/ 103 w 203"/>
              <a:gd name="T79" fmla="*/ 119 h 274"/>
              <a:gd name="T80" fmla="*/ 115 w 203"/>
              <a:gd name="T81" fmla="*/ 205 h 274"/>
              <a:gd name="T82" fmla="*/ 125 w 203"/>
              <a:gd name="T83" fmla="*/ 193 h 274"/>
              <a:gd name="T84" fmla="*/ 125 w 203"/>
              <a:gd name="T85" fmla="*/ 140 h 274"/>
              <a:gd name="T86" fmla="*/ 115 w 203"/>
              <a:gd name="T87" fmla="*/ 139 h 274"/>
              <a:gd name="T88" fmla="*/ 142 w 203"/>
              <a:gd name="T89" fmla="*/ 209 h 274"/>
              <a:gd name="T90" fmla="*/ 133 w 203"/>
              <a:gd name="T91" fmla="*/ 175 h 274"/>
              <a:gd name="T92" fmla="*/ 142 w 203"/>
              <a:gd name="T93" fmla="*/ 163 h 274"/>
              <a:gd name="T94" fmla="*/ 142 w 203"/>
              <a:gd name="T95" fmla="*/ 110 h 274"/>
              <a:gd name="T96" fmla="*/ 150 w 203"/>
              <a:gd name="T97" fmla="*/ 219 h 274"/>
              <a:gd name="T98" fmla="*/ 160 w 203"/>
              <a:gd name="T99" fmla="*/ 179 h 274"/>
              <a:gd name="T100" fmla="*/ 150 w 203"/>
              <a:gd name="T101" fmla="*/ 145 h 274"/>
              <a:gd name="T102" fmla="*/ 160 w 203"/>
              <a:gd name="T103" fmla="*/ 134 h 274"/>
              <a:gd name="T104" fmla="*/ 178 w 203"/>
              <a:gd name="T105" fmla="*/ 189 h 274"/>
              <a:gd name="T106" fmla="*/ 168 w 203"/>
              <a:gd name="T107" fmla="*/ 189 h 274"/>
              <a:gd name="T108" fmla="*/ 178 w 203"/>
              <a:gd name="T109" fmla="*/ 149 h 274"/>
              <a:gd name="T110" fmla="*/ 168 w 203"/>
              <a:gd name="T111" fmla="*/ 115 h 274"/>
              <a:gd name="T112" fmla="*/ 178 w 203"/>
              <a:gd name="T113" fmla="*/ 104 h 274"/>
              <a:gd name="T114" fmla="*/ 196 w 203"/>
              <a:gd name="T115" fmla="*/ 159 h 274"/>
              <a:gd name="T116" fmla="*/ 186 w 203"/>
              <a:gd name="T117" fmla="*/ 159 h 274"/>
              <a:gd name="T118" fmla="*/ 196 w 203"/>
              <a:gd name="T119" fmla="*/ 120 h 274"/>
              <a:gd name="T120" fmla="*/ 186 w 203"/>
              <a:gd name="T121" fmla="*/ 85 h 274"/>
              <a:gd name="T122" fmla="*/ 94 w 203"/>
              <a:gd name="T123" fmla="*/ 54 h 274"/>
              <a:gd name="T124" fmla="*/ 75 w 203"/>
              <a:gd name="T125" fmla="*/ 51 h 2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03" h="274">
                <a:moveTo>
                  <a:pt x="115" y="58"/>
                </a:moveTo>
                <a:cubicBezTo>
                  <a:pt x="108" y="46"/>
                  <a:pt x="108" y="46"/>
                  <a:pt x="108" y="46"/>
                </a:cubicBezTo>
                <a:cubicBezTo>
                  <a:pt x="124" y="36"/>
                  <a:pt x="124" y="36"/>
                  <a:pt x="124" y="36"/>
                </a:cubicBezTo>
                <a:cubicBezTo>
                  <a:pt x="131" y="48"/>
                  <a:pt x="131" y="48"/>
                  <a:pt x="131" y="48"/>
                </a:cubicBezTo>
                <a:lnTo>
                  <a:pt x="115" y="58"/>
                </a:lnTo>
                <a:close/>
                <a:moveTo>
                  <a:pt x="105" y="34"/>
                </a:moveTo>
                <a:cubicBezTo>
                  <a:pt x="98" y="22"/>
                  <a:pt x="98" y="22"/>
                  <a:pt x="98" y="22"/>
                </a:cubicBezTo>
                <a:cubicBezTo>
                  <a:pt x="82" y="32"/>
                  <a:pt x="82" y="32"/>
                  <a:pt x="82" y="32"/>
                </a:cubicBezTo>
                <a:cubicBezTo>
                  <a:pt x="89" y="44"/>
                  <a:pt x="89" y="44"/>
                  <a:pt x="89" y="44"/>
                </a:cubicBezTo>
                <a:lnTo>
                  <a:pt x="105" y="34"/>
                </a:lnTo>
                <a:close/>
                <a:moveTo>
                  <a:pt x="125" y="80"/>
                </a:moveTo>
                <a:cubicBezTo>
                  <a:pt x="118" y="68"/>
                  <a:pt x="118" y="68"/>
                  <a:pt x="118" y="68"/>
                </a:cubicBezTo>
                <a:cubicBezTo>
                  <a:pt x="102" y="78"/>
                  <a:pt x="102" y="78"/>
                  <a:pt x="102" y="78"/>
                </a:cubicBezTo>
                <a:cubicBezTo>
                  <a:pt x="109" y="90"/>
                  <a:pt x="109" y="90"/>
                  <a:pt x="109" y="90"/>
                </a:cubicBezTo>
                <a:lnTo>
                  <a:pt x="125" y="80"/>
                </a:lnTo>
                <a:close/>
                <a:moveTo>
                  <a:pt x="203" y="61"/>
                </a:moveTo>
                <a:cubicBezTo>
                  <a:pt x="203" y="215"/>
                  <a:pt x="203" y="215"/>
                  <a:pt x="203" y="215"/>
                </a:cubicBezTo>
                <a:cubicBezTo>
                  <a:pt x="203" y="216"/>
                  <a:pt x="203" y="217"/>
                  <a:pt x="202" y="217"/>
                </a:cubicBezTo>
                <a:cubicBezTo>
                  <a:pt x="174" y="233"/>
                  <a:pt x="174" y="233"/>
                  <a:pt x="174" y="233"/>
                </a:cubicBezTo>
                <a:cubicBezTo>
                  <a:pt x="174" y="213"/>
                  <a:pt x="174" y="213"/>
                  <a:pt x="174" y="213"/>
                </a:cubicBezTo>
                <a:cubicBezTo>
                  <a:pt x="159" y="221"/>
                  <a:pt x="159" y="221"/>
                  <a:pt x="159" y="221"/>
                </a:cubicBezTo>
                <a:cubicBezTo>
                  <a:pt x="159" y="241"/>
                  <a:pt x="159" y="241"/>
                  <a:pt x="159" y="241"/>
                </a:cubicBezTo>
                <a:cubicBezTo>
                  <a:pt x="155" y="244"/>
                  <a:pt x="155" y="244"/>
                  <a:pt x="155" y="244"/>
                </a:cubicBezTo>
                <a:cubicBezTo>
                  <a:pt x="155" y="223"/>
                  <a:pt x="155" y="223"/>
                  <a:pt x="155" y="223"/>
                </a:cubicBezTo>
                <a:cubicBezTo>
                  <a:pt x="139" y="233"/>
                  <a:pt x="139" y="233"/>
                  <a:pt x="139" y="233"/>
                </a:cubicBezTo>
                <a:cubicBezTo>
                  <a:pt x="139" y="253"/>
                  <a:pt x="139" y="253"/>
                  <a:pt x="139" y="253"/>
                </a:cubicBezTo>
                <a:cubicBezTo>
                  <a:pt x="102" y="274"/>
                  <a:pt x="102" y="274"/>
                  <a:pt x="102" y="274"/>
                </a:cubicBezTo>
                <a:cubicBezTo>
                  <a:pt x="102" y="274"/>
                  <a:pt x="101" y="274"/>
                  <a:pt x="100" y="274"/>
                </a:cubicBezTo>
                <a:cubicBezTo>
                  <a:pt x="1" y="219"/>
                  <a:pt x="1" y="219"/>
                  <a:pt x="1" y="219"/>
                </a:cubicBezTo>
                <a:cubicBezTo>
                  <a:pt x="1" y="218"/>
                  <a:pt x="0" y="218"/>
                  <a:pt x="0" y="217"/>
                </a:cubicBezTo>
                <a:cubicBezTo>
                  <a:pt x="0" y="62"/>
                  <a:pt x="0" y="62"/>
                  <a:pt x="0" y="62"/>
                </a:cubicBezTo>
                <a:cubicBezTo>
                  <a:pt x="0" y="62"/>
                  <a:pt x="1" y="61"/>
                  <a:pt x="1" y="61"/>
                </a:cubicBezTo>
                <a:cubicBezTo>
                  <a:pt x="1" y="61"/>
                  <a:pt x="1" y="61"/>
                  <a:pt x="1" y="61"/>
                </a:cubicBezTo>
                <a:cubicBezTo>
                  <a:pt x="1" y="61"/>
                  <a:pt x="1" y="61"/>
                  <a:pt x="1" y="61"/>
                </a:cubicBezTo>
                <a:cubicBezTo>
                  <a:pt x="1" y="61"/>
                  <a:pt x="1" y="61"/>
                  <a:pt x="1" y="61"/>
                </a:cubicBezTo>
                <a:cubicBezTo>
                  <a:pt x="101" y="1"/>
                  <a:pt x="101" y="1"/>
                  <a:pt x="101" y="1"/>
                </a:cubicBezTo>
                <a:cubicBezTo>
                  <a:pt x="102" y="0"/>
                  <a:pt x="102" y="0"/>
                  <a:pt x="103" y="1"/>
                </a:cubicBezTo>
                <a:cubicBezTo>
                  <a:pt x="202" y="59"/>
                  <a:pt x="202" y="59"/>
                  <a:pt x="202" y="59"/>
                </a:cubicBezTo>
                <a:cubicBezTo>
                  <a:pt x="203" y="59"/>
                  <a:pt x="203" y="60"/>
                  <a:pt x="203" y="61"/>
                </a:cubicBezTo>
                <a:close/>
                <a:moveTo>
                  <a:pt x="149" y="47"/>
                </a:moveTo>
                <a:cubicBezTo>
                  <a:pt x="129" y="59"/>
                  <a:pt x="129" y="59"/>
                  <a:pt x="129" y="59"/>
                </a:cubicBezTo>
                <a:cubicBezTo>
                  <a:pt x="129" y="59"/>
                  <a:pt x="129" y="59"/>
                  <a:pt x="129" y="60"/>
                </a:cubicBezTo>
                <a:cubicBezTo>
                  <a:pt x="129" y="72"/>
                  <a:pt x="129" y="72"/>
                  <a:pt x="129" y="72"/>
                </a:cubicBezTo>
                <a:cubicBezTo>
                  <a:pt x="129" y="73"/>
                  <a:pt x="129" y="74"/>
                  <a:pt x="130" y="74"/>
                </a:cubicBezTo>
                <a:cubicBezTo>
                  <a:pt x="131" y="74"/>
                  <a:pt x="132" y="73"/>
                  <a:pt x="132" y="72"/>
                </a:cubicBezTo>
                <a:cubicBezTo>
                  <a:pt x="132" y="66"/>
                  <a:pt x="132" y="66"/>
                  <a:pt x="132" y="66"/>
                </a:cubicBezTo>
                <a:cubicBezTo>
                  <a:pt x="138" y="75"/>
                  <a:pt x="138" y="75"/>
                  <a:pt x="138" y="75"/>
                </a:cubicBezTo>
                <a:cubicBezTo>
                  <a:pt x="138" y="76"/>
                  <a:pt x="139" y="76"/>
                  <a:pt x="140" y="76"/>
                </a:cubicBezTo>
                <a:cubicBezTo>
                  <a:pt x="159" y="64"/>
                  <a:pt x="159" y="64"/>
                  <a:pt x="159" y="64"/>
                </a:cubicBezTo>
                <a:cubicBezTo>
                  <a:pt x="160" y="63"/>
                  <a:pt x="160" y="62"/>
                  <a:pt x="160" y="62"/>
                </a:cubicBezTo>
                <a:cubicBezTo>
                  <a:pt x="151" y="47"/>
                  <a:pt x="151" y="47"/>
                  <a:pt x="151" y="47"/>
                </a:cubicBezTo>
                <a:cubicBezTo>
                  <a:pt x="151" y="46"/>
                  <a:pt x="150" y="46"/>
                  <a:pt x="149" y="47"/>
                </a:cubicBezTo>
                <a:close/>
                <a:moveTo>
                  <a:pt x="98" y="90"/>
                </a:moveTo>
                <a:cubicBezTo>
                  <a:pt x="98" y="91"/>
                  <a:pt x="99" y="91"/>
                  <a:pt x="100" y="91"/>
                </a:cubicBezTo>
                <a:cubicBezTo>
                  <a:pt x="100" y="91"/>
                  <a:pt x="101" y="91"/>
                  <a:pt x="101" y="90"/>
                </a:cubicBezTo>
                <a:cubicBezTo>
                  <a:pt x="101" y="84"/>
                  <a:pt x="101" y="84"/>
                  <a:pt x="101" y="84"/>
                </a:cubicBezTo>
                <a:cubicBezTo>
                  <a:pt x="107" y="93"/>
                  <a:pt x="107" y="93"/>
                  <a:pt x="107" y="93"/>
                </a:cubicBezTo>
                <a:cubicBezTo>
                  <a:pt x="108" y="94"/>
                  <a:pt x="109" y="94"/>
                  <a:pt x="109" y="94"/>
                </a:cubicBezTo>
                <a:cubicBezTo>
                  <a:pt x="129" y="82"/>
                  <a:pt x="129" y="82"/>
                  <a:pt x="129" y="82"/>
                </a:cubicBezTo>
                <a:cubicBezTo>
                  <a:pt x="129" y="81"/>
                  <a:pt x="130" y="80"/>
                  <a:pt x="129" y="79"/>
                </a:cubicBezTo>
                <a:cubicBezTo>
                  <a:pt x="120" y="65"/>
                  <a:pt x="120" y="65"/>
                  <a:pt x="120" y="65"/>
                </a:cubicBezTo>
                <a:cubicBezTo>
                  <a:pt x="120" y="64"/>
                  <a:pt x="119" y="64"/>
                  <a:pt x="118" y="65"/>
                </a:cubicBezTo>
                <a:cubicBezTo>
                  <a:pt x="99" y="77"/>
                  <a:pt x="99" y="77"/>
                  <a:pt x="99" y="77"/>
                </a:cubicBezTo>
                <a:cubicBezTo>
                  <a:pt x="98" y="77"/>
                  <a:pt x="98" y="77"/>
                  <a:pt x="98" y="78"/>
                </a:cubicBezTo>
                <a:lnTo>
                  <a:pt x="98" y="90"/>
                </a:lnTo>
                <a:close/>
                <a:moveTo>
                  <a:pt x="104" y="67"/>
                </a:moveTo>
                <a:cubicBezTo>
                  <a:pt x="105" y="67"/>
                  <a:pt x="105" y="66"/>
                  <a:pt x="105" y="65"/>
                </a:cubicBezTo>
                <a:cubicBezTo>
                  <a:pt x="96" y="51"/>
                  <a:pt x="96" y="51"/>
                  <a:pt x="96" y="51"/>
                </a:cubicBezTo>
                <a:cubicBezTo>
                  <a:pt x="95" y="50"/>
                  <a:pt x="94" y="50"/>
                  <a:pt x="93" y="50"/>
                </a:cubicBezTo>
                <a:cubicBezTo>
                  <a:pt x="74" y="62"/>
                  <a:pt x="74" y="62"/>
                  <a:pt x="74" y="62"/>
                </a:cubicBezTo>
                <a:cubicBezTo>
                  <a:pt x="73" y="63"/>
                  <a:pt x="73" y="63"/>
                  <a:pt x="73" y="64"/>
                </a:cubicBezTo>
                <a:cubicBezTo>
                  <a:pt x="73" y="76"/>
                  <a:pt x="73" y="76"/>
                  <a:pt x="73" y="76"/>
                </a:cubicBezTo>
                <a:cubicBezTo>
                  <a:pt x="73" y="77"/>
                  <a:pt x="74" y="77"/>
                  <a:pt x="75" y="77"/>
                </a:cubicBezTo>
                <a:cubicBezTo>
                  <a:pt x="76" y="77"/>
                  <a:pt x="76" y="77"/>
                  <a:pt x="76" y="76"/>
                </a:cubicBezTo>
                <a:cubicBezTo>
                  <a:pt x="76" y="69"/>
                  <a:pt x="76" y="69"/>
                  <a:pt x="76" y="69"/>
                </a:cubicBezTo>
                <a:cubicBezTo>
                  <a:pt x="82" y="79"/>
                  <a:pt x="82" y="79"/>
                  <a:pt x="82" y="79"/>
                </a:cubicBezTo>
                <a:cubicBezTo>
                  <a:pt x="83" y="80"/>
                  <a:pt x="84" y="80"/>
                  <a:pt x="85" y="79"/>
                </a:cubicBezTo>
                <a:lnTo>
                  <a:pt x="104" y="67"/>
                </a:lnTo>
                <a:close/>
                <a:moveTo>
                  <a:pt x="124" y="32"/>
                </a:moveTo>
                <a:cubicBezTo>
                  <a:pt x="105" y="44"/>
                  <a:pt x="105" y="44"/>
                  <a:pt x="105" y="44"/>
                </a:cubicBezTo>
                <a:cubicBezTo>
                  <a:pt x="104" y="45"/>
                  <a:pt x="104" y="45"/>
                  <a:pt x="104" y="46"/>
                </a:cubicBezTo>
                <a:cubicBezTo>
                  <a:pt x="104" y="58"/>
                  <a:pt x="104" y="58"/>
                  <a:pt x="104" y="58"/>
                </a:cubicBezTo>
                <a:cubicBezTo>
                  <a:pt x="104" y="59"/>
                  <a:pt x="105" y="59"/>
                  <a:pt x="105" y="59"/>
                </a:cubicBezTo>
                <a:cubicBezTo>
                  <a:pt x="106" y="59"/>
                  <a:pt x="107" y="59"/>
                  <a:pt x="107" y="58"/>
                </a:cubicBezTo>
                <a:cubicBezTo>
                  <a:pt x="107" y="51"/>
                  <a:pt x="107" y="51"/>
                  <a:pt x="107" y="51"/>
                </a:cubicBezTo>
                <a:cubicBezTo>
                  <a:pt x="113" y="61"/>
                  <a:pt x="113" y="61"/>
                  <a:pt x="113" y="61"/>
                </a:cubicBezTo>
                <a:cubicBezTo>
                  <a:pt x="114" y="62"/>
                  <a:pt x="115" y="62"/>
                  <a:pt x="115" y="62"/>
                </a:cubicBezTo>
                <a:cubicBezTo>
                  <a:pt x="135" y="50"/>
                  <a:pt x="135" y="50"/>
                  <a:pt x="135" y="50"/>
                </a:cubicBezTo>
                <a:cubicBezTo>
                  <a:pt x="135" y="49"/>
                  <a:pt x="136" y="48"/>
                  <a:pt x="135" y="47"/>
                </a:cubicBezTo>
                <a:cubicBezTo>
                  <a:pt x="126" y="33"/>
                  <a:pt x="126" y="33"/>
                  <a:pt x="126" y="33"/>
                </a:cubicBezTo>
                <a:cubicBezTo>
                  <a:pt x="126" y="32"/>
                  <a:pt x="125" y="32"/>
                  <a:pt x="124" y="32"/>
                </a:cubicBezTo>
                <a:close/>
                <a:moveTo>
                  <a:pt x="78" y="44"/>
                </a:moveTo>
                <a:cubicBezTo>
                  <a:pt x="78" y="45"/>
                  <a:pt x="79" y="45"/>
                  <a:pt x="80" y="45"/>
                </a:cubicBezTo>
                <a:cubicBezTo>
                  <a:pt x="80" y="45"/>
                  <a:pt x="81" y="45"/>
                  <a:pt x="81" y="44"/>
                </a:cubicBezTo>
                <a:cubicBezTo>
                  <a:pt x="81" y="37"/>
                  <a:pt x="81" y="37"/>
                  <a:pt x="81" y="37"/>
                </a:cubicBezTo>
                <a:cubicBezTo>
                  <a:pt x="87" y="47"/>
                  <a:pt x="87" y="47"/>
                  <a:pt x="87" y="47"/>
                </a:cubicBezTo>
                <a:cubicBezTo>
                  <a:pt x="88" y="48"/>
                  <a:pt x="89" y="48"/>
                  <a:pt x="89" y="47"/>
                </a:cubicBezTo>
                <a:cubicBezTo>
                  <a:pt x="109" y="35"/>
                  <a:pt x="109" y="35"/>
                  <a:pt x="109" y="35"/>
                </a:cubicBezTo>
                <a:cubicBezTo>
                  <a:pt x="109" y="35"/>
                  <a:pt x="110" y="34"/>
                  <a:pt x="109" y="33"/>
                </a:cubicBezTo>
                <a:cubicBezTo>
                  <a:pt x="100" y="19"/>
                  <a:pt x="100" y="19"/>
                  <a:pt x="100" y="19"/>
                </a:cubicBezTo>
                <a:cubicBezTo>
                  <a:pt x="100" y="18"/>
                  <a:pt x="99" y="18"/>
                  <a:pt x="98" y="18"/>
                </a:cubicBezTo>
                <a:cubicBezTo>
                  <a:pt x="79" y="30"/>
                  <a:pt x="79" y="30"/>
                  <a:pt x="79" y="30"/>
                </a:cubicBezTo>
                <a:cubicBezTo>
                  <a:pt x="78" y="31"/>
                  <a:pt x="78" y="31"/>
                  <a:pt x="78" y="32"/>
                </a:cubicBezTo>
                <a:lnTo>
                  <a:pt x="78" y="44"/>
                </a:lnTo>
                <a:close/>
                <a:moveTo>
                  <a:pt x="47" y="62"/>
                </a:moveTo>
                <a:cubicBezTo>
                  <a:pt x="47" y="62"/>
                  <a:pt x="48" y="63"/>
                  <a:pt x="49" y="63"/>
                </a:cubicBezTo>
                <a:cubicBezTo>
                  <a:pt x="50" y="63"/>
                  <a:pt x="51" y="62"/>
                  <a:pt x="51" y="62"/>
                </a:cubicBezTo>
                <a:cubicBezTo>
                  <a:pt x="51" y="55"/>
                  <a:pt x="51" y="55"/>
                  <a:pt x="51" y="55"/>
                </a:cubicBezTo>
                <a:cubicBezTo>
                  <a:pt x="57" y="65"/>
                  <a:pt x="57" y="65"/>
                  <a:pt x="57" y="65"/>
                </a:cubicBezTo>
                <a:cubicBezTo>
                  <a:pt x="57" y="66"/>
                  <a:pt x="58" y="66"/>
                  <a:pt x="59" y="65"/>
                </a:cubicBezTo>
                <a:cubicBezTo>
                  <a:pt x="78" y="53"/>
                  <a:pt x="78" y="53"/>
                  <a:pt x="78" y="53"/>
                </a:cubicBezTo>
                <a:cubicBezTo>
                  <a:pt x="79" y="53"/>
                  <a:pt x="79" y="52"/>
                  <a:pt x="79" y="51"/>
                </a:cubicBezTo>
                <a:cubicBezTo>
                  <a:pt x="70" y="37"/>
                  <a:pt x="70" y="37"/>
                  <a:pt x="70" y="37"/>
                </a:cubicBezTo>
                <a:cubicBezTo>
                  <a:pt x="69" y="36"/>
                  <a:pt x="69" y="36"/>
                  <a:pt x="68" y="36"/>
                </a:cubicBezTo>
                <a:cubicBezTo>
                  <a:pt x="48" y="48"/>
                  <a:pt x="48" y="48"/>
                  <a:pt x="48" y="48"/>
                </a:cubicBezTo>
                <a:cubicBezTo>
                  <a:pt x="48" y="49"/>
                  <a:pt x="47" y="49"/>
                  <a:pt x="47" y="50"/>
                </a:cubicBezTo>
                <a:lnTo>
                  <a:pt x="47" y="62"/>
                </a:lnTo>
                <a:close/>
                <a:moveTo>
                  <a:pt x="18" y="187"/>
                </a:moveTo>
                <a:cubicBezTo>
                  <a:pt x="8" y="181"/>
                  <a:pt x="8" y="181"/>
                  <a:pt x="8" y="181"/>
                </a:cubicBezTo>
                <a:cubicBezTo>
                  <a:pt x="8" y="195"/>
                  <a:pt x="8" y="195"/>
                  <a:pt x="8" y="195"/>
                </a:cubicBezTo>
                <a:cubicBezTo>
                  <a:pt x="18" y="200"/>
                  <a:pt x="18" y="200"/>
                  <a:pt x="18" y="200"/>
                </a:cubicBezTo>
                <a:lnTo>
                  <a:pt x="18" y="187"/>
                </a:lnTo>
                <a:close/>
                <a:moveTo>
                  <a:pt x="18" y="167"/>
                </a:moveTo>
                <a:cubicBezTo>
                  <a:pt x="8" y="161"/>
                  <a:pt x="8" y="161"/>
                  <a:pt x="8" y="161"/>
                </a:cubicBezTo>
                <a:cubicBezTo>
                  <a:pt x="8" y="175"/>
                  <a:pt x="8" y="175"/>
                  <a:pt x="8" y="175"/>
                </a:cubicBezTo>
                <a:cubicBezTo>
                  <a:pt x="18" y="180"/>
                  <a:pt x="18" y="180"/>
                  <a:pt x="18" y="180"/>
                </a:cubicBezTo>
                <a:lnTo>
                  <a:pt x="18" y="167"/>
                </a:lnTo>
                <a:close/>
                <a:moveTo>
                  <a:pt x="18" y="147"/>
                </a:moveTo>
                <a:cubicBezTo>
                  <a:pt x="8" y="141"/>
                  <a:pt x="8" y="141"/>
                  <a:pt x="8" y="141"/>
                </a:cubicBezTo>
                <a:cubicBezTo>
                  <a:pt x="8" y="155"/>
                  <a:pt x="8" y="155"/>
                  <a:pt x="8" y="155"/>
                </a:cubicBezTo>
                <a:cubicBezTo>
                  <a:pt x="18" y="161"/>
                  <a:pt x="18" y="161"/>
                  <a:pt x="18" y="161"/>
                </a:cubicBezTo>
                <a:lnTo>
                  <a:pt x="18" y="147"/>
                </a:lnTo>
                <a:close/>
                <a:moveTo>
                  <a:pt x="18" y="127"/>
                </a:moveTo>
                <a:cubicBezTo>
                  <a:pt x="8" y="122"/>
                  <a:pt x="8" y="122"/>
                  <a:pt x="8" y="122"/>
                </a:cubicBezTo>
                <a:cubicBezTo>
                  <a:pt x="8" y="135"/>
                  <a:pt x="8" y="135"/>
                  <a:pt x="8" y="135"/>
                </a:cubicBezTo>
                <a:cubicBezTo>
                  <a:pt x="18" y="141"/>
                  <a:pt x="18" y="141"/>
                  <a:pt x="18" y="141"/>
                </a:cubicBezTo>
                <a:lnTo>
                  <a:pt x="18" y="127"/>
                </a:lnTo>
                <a:close/>
                <a:moveTo>
                  <a:pt x="18" y="107"/>
                </a:moveTo>
                <a:cubicBezTo>
                  <a:pt x="8" y="102"/>
                  <a:pt x="8" y="102"/>
                  <a:pt x="8" y="102"/>
                </a:cubicBezTo>
                <a:cubicBezTo>
                  <a:pt x="8" y="115"/>
                  <a:pt x="8" y="115"/>
                  <a:pt x="8" y="115"/>
                </a:cubicBezTo>
                <a:cubicBezTo>
                  <a:pt x="18" y="121"/>
                  <a:pt x="18" y="121"/>
                  <a:pt x="18" y="121"/>
                </a:cubicBezTo>
                <a:lnTo>
                  <a:pt x="18" y="107"/>
                </a:lnTo>
                <a:close/>
                <a:moveTo>
                  <a:pt x="18" y="87"/>
                </a:moveTo>
                <a:cubicBezTo>
                  <a:pt x="8" y="82"/>
                  <a:pt x="8" y="82"/>
                  <a:pt x="8" y="82"/>
                </a:cubicBezTo>
                <a:cubicBezTo>
                  <a:pt x="8" y="96"/>
                  <a:pt x="8" y="96"/>
                  <a:pt x="8" y="96"/>
                </a:cubicBezTo>
                <a:cubicBezTo>
                  <a:pt x="18" y="101"/>
                  <a:pt x="18" y="101"/>
                  <a:pt x="18" y="101"/>
                </a:cubicBezTo>
                <a:lnTo>
                  <a:pt x="18" y="87"/>
                </a:lnTo>
                <a:close/>
                <a:moveTo>
                  <a:pt x="36" y="196"/>
                </a:moveTo>
                <a:cubicBezTo>
                  <a:pt x="26" y="191"/>
                  <a:pt x="26" y="191"/>
                  <a:pt x="26" y="191"/>
                </a:cubicBezTo>
                <a:cubicBezTo>
                  <a:pt x="26" y="205"/>
                  <a:pt x="26" y="205"/>
                  <a:pt x="26" y="205"/>
                </a:cubicBezTo>
                <a:cubicBezTo>
                  <a:pt x="36" y="210"/>
                  <a:pt x="36" y="210"/>
                  <a:pt x="36" y="210"/>
                </a:cubicBezTo>
                <a:lnTo>
                  <a:pt x="36" y="196"/>
                </a:lnTo>
                <a:close/>
                <a:moveTo>
                  <a:pt x="36" y="177"/>
                </a:moveTo>
                <a:cubicBezTo>
                  <a:pt x="26" y="171"/>
                  <a:pt x="26" y="171"/>
                  <a:pt x="26" y="171"/>
                </a:cubicBezTo>
                <a:cubicBezTo>
                  <a:pt x="26" y="185"/>
                  <a:pt x="26" y="185"/>
                  <a:pt x="26" y="185"/>
                </a:cubicBezTo>
                <a:cubicBezTo>
                  <a:pt x="36" y="190"/>
                  <a:pt x="36" y="190"/>
                  <a:pt x="36" y="190"/>
                </a:cubicBezTo>
                <a:lnTo>
                  <a:pt x="36" y="177"/>
                </a:lnTo>
                <a:close/>
                <a:moveTo>
                  <a:pt x="36" y="157"/>
                </a:moveTo>
                <a:cubicBezTo>
                  <a:pt x="26" y="151"/>
                  <a:pt x="26" y="151"/>
                  <a:pt x="26" y="151"/>
                </a:cubicBezTo>
                <a:cubicBezTo>
                  <a:pt x="26" y="165"/>
                  <a:pt x="26" y="165"/>
                  <a:pt x="26" y="165"/>
                </a:cubicBezTo>
                <a:cubicBezTo>
                  <a:pt x="36" y="170"/>
                  <a:pt x="36" y="170"/>
                  <a:pt x="36" y="170"/>
                </a:cubicBezTo>
                <a:lnTo>
                  <a:pt x="36" y="157"/>
                </a:lnTo>
                <a:close/>
                <a:moveTo>
                  <a:pt x="36" y="137"/>
                </a:moveTo>
                <a:cubicBezTo>
                  <a:pt x="26" y="131"/>
                  <a:pt x="26" y="131"/>
                  <a:pt x="26" y="131"/>
                </a:cubicBezTo>
                <a:cubicBezTo>
                  <a:pt x="26" y="145"/>
                  <a:pt x="26" y="145"/>
                  <a:pt x="26" y="145"/>
                </a:cubicBezTo>
                <a:cubicBezTo>
                  <a:pt x="36" y="151"/>
                  <a:pt x="36" y="151"/>
                  <a:pt x="36" y="151"/>
                </a:cubicBezTo>
                <a:lnTo>
                  <a:pt x="36" y="137"/>
                </a:lnTo>
                <a:close/>
                <a:moveTo>
                  <a:pt x="36" y="117"/>
                </a:moveTo>
                <a:cubicBezTo>
                  <a:pt x="26" y="112"/>
                  <a:pt x="26" y="112"/>
                  <a:pt x="26" y="112"/>
                </a:cubicBezTo>
                <a:cubicBezTo>
                  <a:pt x="26" y="125"/>
                  <a:pt x="26" y="125"/>
                  <a:pt x="26" y="125"/>
                </a:cubicBezTo>
                <a:cubicBezTo>
                  <a:pt x="36" y="131"/>
                  <a:pt x="36" y="131"/>
                  <a:pt x="36" y="131"/>
                </a:cubicBezTo>
                <a:lnTo>
                  <a:pt x="36" y="117"/>
                </a:lnTo>
                <a:close/>
                <a:moveTo>
                  <a:pt x="36" y="97"/>
                </a:moveTo>
                <a:cubicBezTo>
                  <a:pt x="26" y="92"/>
                  <a:pt x="26" y="92"/>
                  <a:pt x="26" y="92"/>
                </a:cubicBezTo>
                <a:cubicBezTo>
                  <a:pt x="26" y="105"/>
                  <a:pt x="26" y="105"/>
                  <a:pt x="26" y="105"/>
                </a:cubicBezTo>
                <a:cubicBezTo>
                  <a:pt x="36" y="111"/>
                  <a:pt x="36" y="111"/>
                  <a:pt x="36" y="111"/>
                </a:cubicBezTo>
                <a:lnTo>
                  <a:pt x="36" y="97"/>
                </a:lnTo>
                <a:close/>
                <a:moveTo>
                  <a:pt x="54" y="206"/>
                </a:moveTo>
                <a:cubicBezTo>
                  <a:pt x="44" y="201"/>
                  <a:pt x="44" y="201"/>
                  <a:pt x="44" y="201"/>
                </a:cubicBezTo>
                <a:cubicBezTo>
                  <a:pt x="44" y="215"/>
                  <a:pt x="44" y="215"/>
                  <a:pt x="44" y="215"/>
                </a:cubicBezTo>
                <a:cubicBezTo>
                  <a:pt x="54" y="220"/>
                  <a:pt x="54" y="220"/>
                  <a:pt x="54" y="220"/>
                </a:cubicBezTo>
                <a:lnTo>
                  <a:pt x="54" y="206"/>
                </a:lnTo>
                <a:close/>
                <a:moveTo>
                  <a:pt x="54" y="186"/>
                </a:moveTo>
                <a:cubicBezTo>
                  <a:pt x="44" y="181"/>
                  <a:pt x="44" y="181"/>
                  <a:pt x="44" y="181"/>
                </a:cubicBezTo>
                <a:cubicBezTo>
                  <a:pt x="44" y="195"/>
                  <a:pt x="44" y="195"/>
                  <a:pt x="44" y="195"/>
                </a:cubicBezTo>
                <a:cubicBezTo>
                  <a:pt x="54" y="200"/>
                  <a:pt x="54" y="200"/>
                  <a:pt x="54" y="200"/>
                </a:cubicBezTo>
                <a:lnTo>
                  <a:pt x="54" y="186"/>
                </a:lnTo>
                <a:close/>
                <a:moveTo>
                  <a:pt x="54" y="167"/>
                </a:moveTo>
                <a:cubicBezTo>
                  <a:pt x="44" y="161"/>
                  <a:pt x="44" y="161"/>
                  <a:pt x="44" y="161"/>
                </a:cubicBezTo>
                <a:cubicBezTo>
                  <a:pt x="44" y="175"/>
                  <a:pt x="44" y="175"/>
                  <a:pt x="44" y="175"/>
                </a:cubicBezTo>
                <a:cubicBezTo>
                  <a:pt x="54" y="180"/>
                  <a:pt x="54" y="180"/>
                  <a:pt x="54" y="180"/>
                </a:cubicBezTo>
                <a:lnTo>
                  <a:pt x="54" y="167"/>
                </a:lnTo>
                <a:close/>
                <a:moveTo>
                  <a:pt x="54" y="147"/>
                </a:moveTo>
                <a:cubicBezTo>
                  <a:pt x="44" y="141"/>
                  <a:pt x="44" y="141"/>
                  <a:pt x="44" y="141"/>
                </a:cubicBezTo>
                <a:cubicBezTo>
                  <a:pt x="44" y="155"/>
                  <a:pt x="44" y="155"/>
                  <a:pt x="44" y="155"/>
                </a:cubicBezTo>
                <a:cubicBezTo>
                  <a:pt x="54" y="160"/>
                  <a:pt x="54" y="160"/>
                  <a:pt x="54" y="160"/>
                </a:cubicBezTo>
                <a:lnTo>
                  <a:pt x="54" y="147"/>
                </a:lnTo>
                <a:close/>
                <a:moveTo>
                  <a:pt x="54" y="127"/>
                </a:moveTo>
                <a:cubicBezTo>
                  <a:pt x="44" y="121"/>
                  <a:pt x="44" y="121"/>
                  <a:pt x="44" y="121"/>
                </a:cubicBezTo>
                <a:cubicBezTo>
                  <a:pt x="44" y="135"/>
                  <a:pt x="44" y="135"/>
                  <a:pt x="44" y="135"/>
                </a:cubicBezTo>
                <a:cubicBezTo>
                  <a:pt x="54" y="141"/>
                  <a:pt x="54" y="141"/>
                  <a:pt x="54" y="141"/>
                </a:cubicBezTo>
                <a:lnTo>
                  <a:pt x="54" y="127"/>
                </a:lnTo>
                <a:close/>
                <a:moveTo>
                  <a:pt x="54" y="107"/>
                </a:moveTo>
                <a:cubicBezTo>
                  <a:pt x="44" y="102"/>
                  <a:pt x="44" y="102"/>
                  <a:pt x="44" y="102"/>
                </a:cubicBezTo>
                <a:cubicBezTo>
                  <a:pt x="44" y="115"/>
                  <a:pt x="44" y="115"/>
                  <a:pt x="44" y="115"/>
                </a:cubicBezTo>
                <a:cubicBezTo>
                  <a:pt x="54" y="121"/>
                  <a:pt x="54" y="121"/>
                  <a:pt x="54" y="121"/>
                </a:cubicBezTo>
                <a:lnTo>
                  <a:pt x="54" y="107"/>
                </a:lnTo>
                <a:close/>
                <a:moveTo>
                  <a:pt x="71" y="216"/>
                </a:moveTo>
                <a:cubicBezTo>
                  <a:pt x="62" y="211"/>
                  <a:pt x="62" y="211"/>
                  <a:pt x="62" y="211"/>
                </a:cubicBezTo>
                <a:cubicBezTo>
                  <a:pt x="62" y="225"/>
                  <a:pt x="62" y="225"/>
                  <a:pt x="62" y="225"/>
                </a:cubicBezTo>
                <a:cubicBezTo>
                  <a:pt x="71" y="230"/>
                  <a:pt x="71" y="230"/>
                  <a:pt x="71" y="230"/>
                </a:cubicBezTo>
                <a:lnTo>
                  <a:pt x="71" y="216"/>
                </a:lnTo>
                <a:close/>
                <a:moveTo>
                  <a:pt x="71" y="196"/>
                </a:moveTo>
                <a:cubicBezTo>
                  <a:pt x="62" y="191"/>
                  <a:pt x="62" y="191"/>
                  <a:pt x="62" y="191"/>
                </a:cubicBezTo>
                <a:cubicBezTo>
                  <a:pt x="62" y="205"/>
                  <a:pt x="62" y="205"/>
                  <a:pt x="62" y="205"/>
                </a:cubicBezTo>
                <a:cubicBezTo>
                  <a:pt x="71" y="210"/>
                  <a:pt x="71" y="210"/>
                  <a:pt x="71" y="210"/>
                </a:cubicBezTo>
                <a:lnTo>
                  <a:pt x="71" y="196"/>
                </a:lnTo>
                <a:close/>
                <a:moveTo>
                  <a:pt x="71" y="176"/>
                </a:moveTo>
                <a:cubicBezTo>
                  <a:pt x="62" y="171"/>
                  <a:pt x="62" y="171"/>
                  <a:pt x="62" y="171"/>
                </a:cubicBezTo>
                <a:cubicBezTo>
                  <a:pt x="62" y="185"/>
                  <a:pt x="62" y="185"/>
                  <a:pt x="62" y="185"/>
                </a:cubicBezTo>
                <a:cubicBezTo>
                  <a:pt x="71" y="190"/>
                  <a:pt x="71" y="190"/>
                  <a:pt x="71" y="190"/>
                </a:cubicBezTo>
                <a:lnTo>
                  <a:pt x="71" y="176"/>
                </a:lnTo>
                <a:close/>
                <a:moveTo>
                  <a:pt x="71" y="157"/>
                </a:moveTo>
                <a:cubicBezTo>
                  <a:pt x="62" y="151"/>
                  <a:pt x="62" y="151"/>
                  <a:pt x="62" y="151"/>
                </a:cubicBezTo>
                <a:cubicBezTo>
                  <a:pt x="62" y="165"/>
                  <a:pt x="62" y="165"/>
                  <a:pt x="62" y="165"/>
                </a:cubicBezTo>
                <a:cubicBezTo>
                  <a:pt x="71" y="170"/>
                  <a:pt x="71" y="170"/>
                  <a:pt x="71" y="170"/>
                </a:cubicBezTo>
                <a:lnTo>
                  <a:pt x="71" y="157"/>
                </a:lnTo>
                <a:close/>
                <a:moveTo>
                  <a:pt x="71" y="137"/>
                </a:moveTo>
                <a:cubicBezTo>
                  <a:pt x="62" y="131"/>
                  <a:pt x="62" y="131"/>
                  <a:pt x="62" y="131"/>
                </a:cubicBezTo>
                <a:cubicBezTo>
                  <a:pt x="62" y="145"/>
                  <a:pt x="62" y="145"/>
                  <a:pt x="62" y="145"/>
                </a:cubicBezTo>
                <a:cubicBezTo>
                  <a:pt x="71" y="150"/>
                  <a:pt x="71" y="150"/>
                  <a:pt x="71" y="150"/>
                </a:cubicBezTo>
                <a:lnTo>
                  <a:pt x="71" y="137"/>
                </a:lnTo>
                <a:close/>
                <a:moveTo>
                  <a:pt x="71" y="117"/>
                </a:moveTo>
                <a:cubicBezTo>
                  <a:pt x="62" y="111"/>
                  <a:pt x="62" y="111"/>
                  <a:pt x="62" y="111"/>
                </a:cubicBezTo>
                <a:cubicBezTo>
                  <a:pt x="62" y="125"/>
                  <a:pt x="62" y="125"/>
                  <a:pt x="62" y="125"/>
                </a:cubicBezTo>
                <a:cubicBezTo>
                  <a:pt x="71" y="131"/>
                  <a:pt x="71" y="131"/>
                  <a:pt x="71" y="131"/>
                </a:cubicBezTo>
                <a:lnTo>
                  <a:pt x="71" y="117"/>
                </a:lnTo>
                <a:close/>
                <a:moveTo>
                  <a:pt x="89" y="226"/>
                </a:moveTo>
                <a:cubicBezTo>
                  <a:pt x="79" y="221"/>
                  <a:pt x="79" y="221"/>
                  <a:pt x="79" y="221"/>
                </a:cubicBezTo>
                <a:cubicBezTo>
                  <a:pt x="79" y="234"/>
                  <a:pt x="79" y="234"/>
                  <a:pt x="79" y="234"/>
                </a:cubicBezTo>
                <a:cubicBezTo>
                  <a:pt x="89" y="240"/>
                  <a:pt x="89" y="240"/>
                  <a:pt x="89" y="240"/>
                </a:cubicBezTo>
                <a:lnTo>
                  <a:pt x="89" y="226"/>
                </a:lnTo>
                <a:close/>
                <a:moveTo>
                  <a:pt x="89" y="206"/>
                </a:moveTo>
                <a:cubicBezTo>
                  <a:pt x="79" y="201"/>
                  <a:pt x="79" y="201"/>
                  <a:pt x="79" y="201"/>
                </a:cubicBezTo>
                <a:cubicBezTo>
                  <a:pt x="79" y="215"/>
                  <a:pt x="79" y="215"/>
                  <a:pt x="79" y="215"/>
                </a:cubicBezTo>
                <a:cubicBezTo>
                  <a:pt x="89" y="220"/>
                  <a:pt x="89" y="220"/>
                  <a:pt x="89" y="220"/>
                </a:cubicBezTo>
                <a:lnTo>
                  <a:pt x="89" y="206"/>
                </a:lnTo>
                <a:close/>
                <a:moveTo>
                  <a:pt x="89" y="186"/>
                </a:moveTo>
                <a:cubicBezTo>
                  <a:pt x="79" y="181"/>
                  <a:pt x="79" y="181"/>
                  <a:pt x="79" y="181"/>
                </a:cubicBezTo>
                <a:cubicBezTo>
                  <a:pt x="79" y="195"/>
                  <a:pt x="79" y="195"/>
                  <a:pt x="79" y="195"/>
                </a:cubicBezTo>
                <a:cubicBezTo>
                  <a:pt x="89" y="200"/>
                  <a:pt x="89" y="200"/>
                  <a:pt x="89" y="200"/>
                </a:cubicBezTo>
                <a:lnTo>
                  <a:pt x="89" y="186"/>
                </a:lnTo>
                <a:close/>
                <a:moveTo>
                  <a:pt x="89" y="166"/>
                </a:moveTo>
                <a:cubicBezTo>
                  <a:pt x="79" y="161"/>
                  <a:pt x="79" y="161"/>
                  <a:pt x="79" y="161"/>
                </a:cubicBezTo>
                <a:cubicBezTo>
                  <a:pt x="79" y="175"/>
                  <a:pt x="79" y="175"/>
                  <a:pt x="79" y="175"/>
                </a:cubicBezTo>
                <a:cubicBezTo>
                  <a:pt x="89" y="180"/>
                  <a:pt x="89" y="180"/>
                  <a:pt x="89" y="180"/>
                </a:cubicBezTo>
                <a:lnTo>
                  <a:pt x="89" y="166"/>
                </a:lnTo>
                <a:close/>
                <a:moveTo>
                  <a:pt x="89" y="147"/>
                </a:moveTo>
                <a:cubicBezTo>
                  <a:pt x="79" y="141"/>
                  <a:pt x="79" y="141"/>
                  <a:pt x="79" y="141"/>
                </a:cubicBezTo>
                <a:cubicBezTo>
                  <a:pt x="79" y="155"/>
                  <a:pt x="79" y="155"/>
                  <a:pt x="79" y="155"/>
                </a:cubicBezTo>
                <a:cubicBezTo>
                  <a:pt x="89" y="160"/>
                  <a:pt x="89" y="160"/>
                  <a:pt x="89" y="160"/>
                </a:cubicBezTo>
                <a:lnTo>
                  <a:pt x="89" y="147"/>
                </a:lnTo>
                <a:close/>
                <a:moveTo>
                  <a:pt x="89" y="127"/>
                </a:moveTo>
                <a:cubicBezTo>
                  <a:pt x="79" y="121"/>
                  <a:pt x="79" y="121"/>
                  <a:pt x="79" y="121"/>
                </a:cubicBezTo>
                <a:cubicBezTo>
                  <a:pt x="79" y="135"/>
                  <a:pt x="79" y="135"/>
                  <a:pt x="79" y="135"/>
                </a:cubicBezTo>
                <a:cubicBezTo>
                  <a:pt x="89" y="140"/>
                  <a:pt x="89" y="140"/>
                  <a:pt x="89" y="140"/>
                </a:cubicBezTo>
                <a:lnTo>
                  <a:pt x="89" y="127"/>
                </a:lnTo>
                <a:close/>
                <a:moveTo>
                  <a:pt x="103" y="119"/>
                </a:moveTo>
                <a:cubicBezTo>
                  <a:pt x="194" y="67"/>
                  <a:pt x="194" y="67"/>
                  <a:pt x="194" y="67"/>
                </a:cubicBezTo>
                <a:cubicBezTo>
                  <a:pt x="195" y="67"/>
                  <a:pt x="195" y="66"/>
                  <a:pt x="195" y="65"/>
                </a:cubicBezTo>
                <a:cubicBezTo>
                  <a:pt x="194" y="64"/>
                  <a:pt x="193" y="63"/>
                  <a:pt x="192" y="64"/>
                </a:cubicBezTo>
                <a:cubicBezTo>
                  <a:pt x="101" y="115"/>
                  <a:pt x="101" y="115"/>
                  <a:pt x="101" y="115"/>
                </a:cubicBezTo>
                <a:cubicBezTo>
                  <a:pt x="12" y="65"/>
                  <a:pt x="12" y="65"/>
                  <a:pt x="12" y="65"/>
                </a:cubicBezTo>
                <a:cubicBezTo>
                  <a:pt x="11" y="65"/>
                  <a:pt x="9" y="65"/>
                  <a:pt x="9" y="66"/>
                </a:cubicBezTo>
                <a:cubicBezTo>
                  <a:pt x="8" y="67"/>
                  <a:pt x="9" y="68"/>
                  <a:pt x="10" y="69"/>
                </a:cubicBezTo>
                <a:cubicBezTo>
                  <a:pt x="99" y="119"/>
                  <a:pt x="99" y="119"/>
                  <a:pt x="99" y="119"/>
                </a:cubicBezTo>
                <a:cubicBezTo>
                  <a:pt x="99" y="265"/>
                  <a:pt x="99" y="265"/>
                  <a:pt x="99" y="265"/>
                </a:cubicBezTo>
                <a:cubicBezTo>
                  <a:pt x="99" y="266"/>
                  <a:pt x="100" y="267"/>
                  <a:pt x="101" y="267"/>
                </a:cubicBezTo>
                <a:cubicBezTo>
                  <a:pt x="102" y="267"/>
                  <a:pt x="103" y="266"/>
                  <a:pt x="103" y="265"/>
                </a:cubicBezTo>
                <a:lnTo>
                  <a:pt x="103" y="119"/>
                </a:lnTo>
                <a:close/>
                <a:moveTo>
                  <a:pt x="125" y="219"/>
                </a:moveTo>
                <a:cubicBezTo>
                  <a:pt x="115" y="225"/>
                  <a:pt x="115" y="225"/>
                  <a:pt x="115" y="225"/>
                </a:cubicBezTo>
                <a:cubicBezTo>
                  <a:pt x="115" y="239"/>
                  <a:pt x="115" y="239"/>
                  <a:pt x="115" y="239"/>
                </a:cubicBezTo>
                <a:cubicBezTo>
                  <a:pt x="125" y="233"/>
                  <a:pt x="125" y="233"/>
                  <a:pt x="125" y="233"/>
                </a:cubicBezTo>
                <a:lnTo>
                  <a:pt x="125" y="219"/>
                </a:lnTo>
                <a:close/>
                <a:moveTo>
                  <a:pt x="125" y="199"/>
                </a:moveTo>
                <a:cubicBezTo>
                  <a:pt x="115" y="205"/>
                  <a:pt x="115" y="205"/>
                  <a:pt x="115" y="205"/>
                </a:cubicBezTo>
                <a:cubicBezTo>
                  <a:pt x="115" y="219"/>
                  <a:pt x="115" y="219"/>
                  <a:pt x="115" y="219"/>
                </a:cubicBezTo>
                <a:cubicBezTo>
                  <a:pt x="125" y="213"/>
                  <a:pt x="125" y="213"/>
                  <a:pt x="125" y="213"/>
                </a:cubicBezTo>
                <a:lnTo>
                  <a:pt x="125" y="199"/>
                </a:lnTo>
                <a:close/>
                <a:moveTo>
                  <a:pt x="125" y="180"/>
                </a:moveTo>
                <a:cubicBezTo>
                  <a:pt x="115" y="185"/>
                  <a:pt x="115" y="185"/>
                  <a:pt x="115" y="185"/>
                </a:cubicBezTo>
                <a:cubicBezTo>
                  <a:pt x="115" y="199"/>
                  <a:pt x="115" y="199"/>
                  <a:pt x="115" y="199"/>
                </a:cubicBezTo>
                <a:cubicBezTo>
                  <a:pt x="125" y="193"/>
                  <a:pt x="125" y="193"/>
                  <a:pt x="125" y="193"/>
                </a:cubicBezTo>
                <a:lnTo>
                  <a:pt x="125" y="180"/>
                </a:lnTo>
                <a:close/>
                <a:moveTo>
                  <a:pt x="125" y="160"/>
                </a:moveTo>
                <a:cubicBezTo>
                  <a:pt x="115" y="165"/>
                  <a:pt x="115" y="165"/>
                  <a:pt x="115" y="165"/>
                </a:cubicBezTo>
                <a:cubicBezTo>
                  <a:pt x="115" y="179"/>
                  <a:pt x="115" y="179"/>
                  <a:pt x="115" y="179"/>
                </a:cubicBezTo>
                <a:cubicBezTo>
                  <a:pt x="125" y="173"/>
                  <a:pt x="125" y="173"/>
                  <a:pt x="125" y="173"/>
                </a:cubicBezTo>
                <a:lnTo>
                  <a:pt x="125" y="160"/>
                </a:lnTo>
                <a:close/>
                <a:moveTo>
                  <a:pt x="125" y="140"/>
                </a:moveTo>
                <a:cubicBezTo>
                  <a:pt x="115" y="145"/>
                  <a:pt x="115" y="145"/>
                  <a:pt x="115" y="145"/>
                </a:cubicBezTo>
                <a:cubicBezTo>
                  <a:pt x="115" y="159"/>
                  <a:pt x="115" y="159"/>
                  <a:pt x="115" y="159"/>
                </a:cubicBezTo>
                <a:cubicBezTo>
                  <a:pt x="125" y="154"/>
                  <a:pt x="125" y="154"/>
                  <a:pt x="125" y="154"/>
                </a:cubicBezTo>
                <a:lnTo>
                  <a:pt x="125" y="140"/>
                </a:lnTo>
                <a:close/>
                <a:moveTo>
                  <a:pt x="125" y="120"/>
                </a:moveTo>
                <a:cubicBezTo>
                  <a:pt x="115" y="125"/>
                  <a:pt x="115" y="125"/>
                  <a:pt x="115" y="125"/>
                </a:cubicBezTo>
                <a:cubicBezTo>
                  <a:pt x="115" y="139"/>
                  <a:pt x="115" y="139"/>
                  <a:pt x="115" y="139"/>
                </a:cubicBezTo>
                <a:cubicBezTo>
                  <a:pt x="125" y="134"/>
                  <a:pt x="125" y="134"/>
                  <a:pt x="125" y="134"/>
                </a:cubicBezTo>
                <a:lnTo>
                  <a:pt x="125" y="120"/>
                </a:lnTo>
                <a:close/>
                <a:moveTo>
                  <a:pt x="142" y="209"/>
                </a:moveTo>
                <a:cubicBezTo>
                  <a:pt x="133" y="215"/>
                  <a:pt x="133" y="215"/>
                  <a:pt x="133" y="215"/>
                </a:cubicBezTo>
                <a:cubicBezTo>
                  <a:pt x="133" y="229"/>
                  <a:pt x="133" y="229"/>
                  <a:pt x="133" y="229"/>
                </a:cubicBezTo>
                <a:cubicBezTo>
                  <a:pt x="142" y="223"/>
                  <a:pt x="142" y="223"/>
                  <a:pt x="142" y="223"/>
                </a:cubicBezTo>
                <a:lnTo>
                  <a:pt x="142" y="209"/>
                </a:lnTo>
                <a:close/>
                <a:moveTo>
                  <a:pt x="142" y="189"/>
                </a:moveTo>
                <a:cubicBezTo>
                  <a:pt x="133" y="195"/>
                  <a:pt x="133" y="195"/>
                  <a:pt x="133" y="195"/>
                </a:cubicBezTo>
                <a:cubicBezTo>
                  <a:pt x="133" y="209"/>
                  <a:pt x="133" y="209"/>
                  <a:pt x="133" y="209"/>
                </a:cubicBezTo>
                <a:cubicBezTo>
                  <a:pt x="142" y="203"/>
                  <a:pt x="142" y="203"/>
                  <a:pt x="142" y="203"/>
                </a:cubicBezTo>
                <a:lnTo>
                  <a:pt x="142" y="189"/>
                </a:lnTo>
                <a:close/>
                <a:moveTo>
                  <a:pt x="142" y="170"/>
                </a:moveTo>
                <a:cubicBezTo>
                  <a:pt x="133" y="175"/>
                  <a:pt x="133" y="175"/>
                  <a:pt x="133" y="175"/>
                </a:cubicBezTo>
                <a:cubicBezTo>
                  <a:pt x="133" y="189"/>
                  <a:pt x="133" y="189"/>
                  <a:pt x="133" y="189"/>
                </a:cubicBezTo>
                <a:cubicBezTo>
                  <a:pt x="142" y="183"/>
                  <a:pt x="142" y="183"/>
                  <a:pt x="142" y="183"/>
                </a:cubicBezTo>
                <a:lnTo>
                  <a:pt x="142" y="170"/>
                </a:lnTo>
                <a:close/>
                <a:moveTo>
                  <a:pt x="142" y="150"/>
                </a:moveTo>
                <a:cubicBezTo>
                  <a:pt x="133" y="155"/>
                  <a:pt x="133" y="155"/>
                  <a:pt x="133" y="155"/>
                </a:cubicBezTo>
                <a:cubicBezTo>
                  <a:pt x="133" y="169"/>
                  <a:pt x="133" y="169"/>
                  <a:pt x="133" y="169"/>
                </a:cubicBezTo>
                <a:cubicBezTo>
                  <a:pt x="142" y="163"/>
                  <a:pt x="142" y="163"/>
                  <a:pt x="142" y="163"/>
                </a:cubicBezTo>
                <a:lnTo>
                  <a:pt x="142" y="150"/>
                </a:lnTo>
                <a:close/>
                <a:moveTo>
                  <a:pt x="142" y="130"/>
                </a:moveTo>
                <a:cubicBezTo>
                  <a:pt x="133" y="135"/>
                  <a:pt x="133" y="135"/>
                  <a:pt x="133" y="135"/>
                </a:cubicBezTo>
                <a:cubicBezTo>
                  <a:pt x="133" y="149"/>
                  <a:pt x="133" y="149"/>
                  <a:pt x="133" y="149"/>
                </a:cubicBezTo>
                <a:cubicBezTo>
                  <a:pt x="142" y="144"/>
                  <a:pt x="142" y="144"/>
                  <a:pt x="142" y="144"/>
                </a:cubicBezTo>
                <a:lnTo>
                  <a:pt x="142" y="130"/>
                </a:lnTo>
                <a:close/>
                <a:moveTo>
                  <a:pt x="142" y="110"/>
                </a:moveTo>
                <a:cubicBezTo>
                  <a:pt x="133" y="115"/>
                  <a:pt x="133" y="115"/>
                  <a:pt x="133" y="115"/>
                </a:cubicBezTo>
                <a:cubicBezTo>
                  <a:pt x="133" y="129"/>
                  <a:pt x="133" y="129"/>
                  <a:pt x="133" y="129"/>
                </a:cubicBezTo>
                <a:cubicBezTo>
                  <a:pt x="142" y="124"/>
                  <a:pt x="142" y="124"/>
                  <a:pt x="142" y="124"/>
                </a:cubicBezTo>
                <a:lnTo>
                  <a:pt x="142" y="110"/>
                </a:lnTo>
                <a:close/>
                <a:moveTo>
                  <a:pt x="160" y="199"/>
                </a:moveTo>
                <a:cubicBezTo>
                  <a:pt x="150" y="205"/>
                  <a:pt x="150" y="205"/>
                  <a:pt x="150" y="205"/>
                </a:cubicBezTo>
                <a:cubicBezTo>
                  <a:pt x="150" y="219"/>
                  <a:pt x="150" y="219"/>
                  <a:pt x="150" y="219"/>
                </a:cubicBezTo>
                <a:cubicBezTo>
                  <a:pt x="160" y="213"/>
                  <a:pt x="160" y="213"/>
                  <a:pt x="160" y="213"/>
                </a:cubicBezTo>
                <a:lnTo>
                  <a:pt x="160" y="199"/>
                </a:lnTo>
                <a:close/>
                <a:moveTo>
                  <a:pt x="160" y="179"/>
                </a:moveTo>
                <a:cubicBezTo>
                  <a:pt x="150" y="185"/>
                  <a:pt x="150" y="185"/>
                  <a:pt x="150" y="185"/>
                </a:cubicBezTo>
                <a:cubicBezTo>
                  <a:pt x="150" y="199"/>
                  <a:pt x="150" y="199"/>
                  <a:pt x="150" y="199"/>
                </a:cubicBezTo>
                <a:cubicBezTo>
                  <a:pt x="160" y="193"/>
                  <a:pt x="160" y="193"/>
                  <a:pt x="160" y="193"/>
                </a:cubicBezTo>
                <a:lnTo>
                  <a:pt x="160" y="179"/>
                </a:lnTo>
                <a:close/>
                <a:moveTo>
                  <a:pt x="160" y="159"/>
                </a:moveTo>
                <a:cubicBezTo>
                  <a:pt x="150" y="165"/>
                  <a:pt x="150" y="165"/>
                  <a:pt x="150" y="165"/>
                </a:cubicBezTo>
                <a:cubicBezTo>
                  <a:pt x="150" y="179"/>
                  <a:pt x="150" y="179"/>
                  <a:pt x="150" y="179"/>
                </a:cubicBezTo>
                <a:cubicBezTo>
                  <a:pt x="160" y="173"/>
                  <a:pt x="160" y="173"/>
                  <a:pt x="160" y="173"/>
                </a:cubicBezTo>
                <a:lnTo>
                  <a:pt x="160" y="159"/>
                </a:lnTo>
                <a:close/>
                <a:moveTo>
                  <a:pt x="160" y="140"/>
                </a:moveTo>
                <a:cubicBezTo>
                  <a:pt x="150" y="145"/>
                  <a:pt x="150" y="145"/>
                  <a:pt x="150" y="145"/>
                </a:cubicBezTo>
                <a:cubicBezTo>
                  <a:pt x="150" y="159"/>
                  <a:pt x="150" y="159"/>
                  <a:pt x="150" y="159"/>
                </a:cubicBezTo>
                <a:cubicBezTo>
                  <a:pt x="160" y="153"/>
                  <a:pt x="160" y="153"/>
                  <a:pt x="160" y="153"/>
                </a:cubicBezTo>
                <a:lnTo>
                  <a:pt x="160" y="140"/>
                </a:lnTo>
                <a:close/>
                <a:moveTo>
                  <a:pt x="160" y="120"/>
                </a:moveTo>
                <a:cubicBezTo>
                  <a:pt x="150" y="125"/>
                  <a:pt x="150" y="125"/>
                  <a:pt x="150" y="125"/>
                </a:cubicBezTo>
                <a:cubicBezTo>
                  <a:pt x="150" y="139"/>
                  <a:pt x="150" y="139"/>
                  <a:pt x="150" y="139"/>
                </a:cubicBezTo>
                <a:cubicBezTo>
                  <a:pt x="160" y="134"/>
                  <a:pt x="160" y="134"/>
                  <a:pt x="160" y="134"/>
                </a:cubicBezTo>
                <a:lnTo>
                  <a:pt x="160" y="120"/>
                </a:lnTo>
                <a:close/>
                <a:moveTo>
                  <a:pt x="160" y="100"/>
                </a:moveTo>
                <a:cubicBezTo>
                  <a:pt x="150" y="105"/>
                  <a:pt x="150" y="105"/>
                  <a:pt x="150" y="105"/>
                </a:cubicBezTo>
                <a:cubicBezTo>
                  <a:pt x="150" y="119"/>
                  <a:pt x="150" y="119"/>
                  <a:pt x="150" y="119"/>
                </a:cubicBezTo>
                <a:cubicBezTo>
                  <a:pt x="160" y="114"/>
                  <a:pt x="160" y="114"/>
                  <a:pt x="160" y="114"/>
                </a:cubicBezTo>
                <a:lnTo>
                  <a:pt x="160" y="100"/>
                </a:lnTo>
                <a:close/>
                <a:moveTo>
                  <a:pt x="178" y="189"/>
                </a:moveTo>
                <a:cubicBezTo>
                  <a:pt x="168" y="195"/>
                  <a:pt x="168" y="195"/>
                  <a:pt x="168" y="195"/>
                </a:cubicBezTo>
                <a:cubicBezTo>
                  <a:pt x="168" y="208"/>
                  <a:pt x="168" y="208"/>
                  <a:pt x="168" y="208"/>
                </a:cubicBezTo>
                <a:cubicBezTo>
                  <a:pt x="178" y="203"/>
                  <a:pt x="178" y="203"/>
                  <a:pt x="178" y="203"/>
                </a:cubicBezTo>
                <a:lnTo>
                  <a:pt x="178" y="189"/>
                </a:lnTo>
                <a:close/>
                <a:moveTo>
                  <a:pt x="178" y="169"/>
                </a:moveTo>
                <a:cubicBezTo>
                  <a:pt x="168" y="175"/>
                  <a:pt x="168" y="175"/>
                  <a:pt x="168" y="175"/>
                </a:cubicBezTo>
                <a:cubicBezTo>
                  <a:pt x="168" y="189"/>
                  <a:pt x="168" y="189"/>
                  <a:pt x="168" y="189"/>
                </a:cubicBezTo>
                <a:cubicBezTo>
                  <a:pt x="178" y="183"/>
                  <a:pt x="178" y="183"/>
                  <a:pt x="178" y="183"/>
                </a:cubicBezTo>
                <a:lnTo>
                  <a:pt x="178" y="169"/>
                </a:lnTo>
                <a:close/>
                <a:moveTo>
                  <a:pt x="178" y="149"/>
                </a:moveTo>
                <a:cubicBezTo>
                  <a:pt x="168" y="155"/>
                  <a:pt x="168" y="155"/>
                  <a:pt x="168" y="155"/>
                </a:cubicBezTo>
                <a:cubicBezTo>
                  <a:pt x="168" y="169"/>
                  <a:pt x="168" y="169"/>
                  <a:pt x="168" y="169"/>
                </a:cubicBezTo>
                <a:cubicBezTo>
                  <a:pt x="178" y="163"/>
                  <a:pt x="178" y="163"/>
                  <a:pt x="178" y="163"/>
                </a:cubicBezTo>
                <a:lnTo>
                  <a:pt x="178" y="149"/>
                </a:lnTo>
                <a:close/>
                <a:moveTo>
                  <a:pt x="178" y="130"/>
                </a:moveTo>
                <a:cubicBezTo>
                  <a:pt x="168" y="135"/>
                  <a:pt x="168" y="135"/>
                  <a:pt x="168" y="135"/>
                </a:cubicBezTo>
                <a:cubicBezTo>
                  <a:pt x="168" y="149"/>
                  <a:pt x="168" y="149"/>
                  <a:pt x="168" y="149"/>
                </a:cubicBezTo>
                <a:cubicBezTo>
                  <a:pt x="178" y="143"/>
                  <a:pt x="178" y="143"/>
                  <a:pt x="178" y="143"/>
                </a:cubicBezTo>
                <a:lnTo>
                  <a:pt x="178" y="130"/>
                </a:lnTo>
                <a:close/>
                <a:moveTo>
                  <a:pt x="178" y="110"/>
                </a:moveTo>
                <a:cubicBezTo>
                  <a:pt x="168" y="115"/>
                  <a:pt x="168" y="115"/>
                  <a:pt x="168" y="115"/>
                </a:cubicBezTo>
                <a:cubicBezTo>
                  <a:pt x="168" y="129"/>
                  <a:pt x="168" y="129"/>
                  <a:pt x="168" y="129"/>
                </a:cubicBezTo>
                <a:cubicBezTo>
                  <a:pt x="178" y="123"/>
                  <a:pt x="178" y="123"/>
                  <a:pt x="178" y="123"/>
                </a:cubicBezTo>
                <a:lnTo>
                  <a:pt x="178" y="110"/>
                </a:lnTo>
                <a:close/>
                <a:moveTo>
                  <a:pt x="178" y="90"/>
                </a:moveTo>
                <a:cubicBezTo>
                  <a:pt x="168" y="95"/>
                  <a:pt x="168" y="95"/>
                  <a:pt x="168" y="95"/>
                </a:cubicBezTo>
                <a:cubicBezTo>
                  <a:pt x="168" y="109"/>
                  <a:pt x="168" y="109"/>
                  <a:pt x="168" y="109"/>
                </a:cubicBezTo>
                <a:cubicBezTo>
                  <a:pt x="178" y="104"/>
                  <a:pt x="178" y="104"/>
                  <a:pt x="178" y="104"/>
                </a:cubicBezTo>
                <a:lnTo>
                  <a:pt x="178" y="90"/>
                </a:lnTo>
                <a:close/>
                <a:moveTo>
                  <a:pt x="196" y="179"/>
                </a:moveTo>
                <a:cubicBezTo>
                  <a:pt x="186" y="185"/>
                  <a:pt x="186" y="185"/>
                  <a:pt x="186" y="185"/>
                </a:cubicBezTo>
                <a:cubicBezTo>
                  <a:pt x="186" y="198"/>
                  <a:pt x="186" y="198"/>
                  <a:pt x="186" y="198"/>
                </a:cubicBezTo>
                <a:cubicBezTo>
                  <a:pt x="196" y="193"/>
                  <a:pt x="196" y="193"/>
                  <a:pt x="196" y="193"/>
                </a:cubicBezTo>
                <a:lnTo>
                  <a:pt x="196" y="179"/>
                </a:lnTo>
                <a:close/>
                <a:moveTo>
                  <a:pt x="196" y="159"/>
                </a:moveTo>
                <a:cubicBezTo>
                  <a:pt x="186" y="165"/>
                  <a:pt x="186" y="165"/>
                  <a:pt x="186" y="165"/>
                </a:cubicBezTo>
                <a:cubicBezTo>
                  <a:pt x="186" y="179"/>
                  <a:pt x="186" y="179"/>
                  <a:pt x="186" y="179"/>
                </a:cubicBezTo>
                <a:cubicBezTo>
                  <a:pt x="196" y="173"/>
                  <a:pt x="196" y="173"/>
                  <a:pt x="196" y="173"/>
                </a:cubicBezTo>
                <a:lnTo>
                  <a:pt x="196" y="159"/>
                </a:lnTo>
                <a:close/>
                <a:moveTo>
                  <a:pt x="196" y="139"/>
                </a:moveTo>
                <a:cubicBezTo>
                  <a:pt x="186" y="145"/>
                  <a:pt x="186" y="145"/>
                  <a:pt x="186" y="145"/>
                </a:cubicBezTo>
                <a:cubicBezTo>
                  <a:pt x="186" y="159"/>
                  <a:pt x="186" y="159"/>
                  <a:pt x="186" y="159"/>
                </a:cubicBezTo>
                <a:cubicBezTo>
                  <a:pt x="196" y="153"/>
                  <a:pt x="196" y="153"/>
                  <a:pt x="196" y="153"/>
                </a:cubicBezTo>
                <a:lnTo>
                  <a:pt x="196" y="139"/>
                </a:lnTo>
                <a:close/>
                <a:moveTo>
                  <a:pt x="196" y="120"/>
                </a:moveTo>
                <a:cubicBezTo>
                  <a:pt x="186" y="125"/>
                  <a:pt x="186" y="125"/>
                  <a:pt x="186" y="125"/>
                </a:cubicBezTo>
                <a:cubicBezTo>
                  <a:pt x="186" y="139"/>
                  <a:pt x="186" y="139"/>
                  <a:pt x="186" y="139"/>
                </a:cubicBezTo>
                <a:cubicBezTo>
                  <a:pt x="196" y="133"/>
                  <a:pt x="196" y="133"/>
                  <a:pt x="196" y="133"/>
                </a:cubicBezTo>
                <a:lnTo>
                  <a:pt x="196" y="120"/>
                </a:lnTo>
                <a:close/>
                <a:moveTo>
                  <a:pt x="196" y="100"/>
                </a:moveTo>
                <a:cubicBezTo>
                  <a:pt x="186" y="105"/>
                  <a:pt x="186" y="105"/>
                  <a:pt x="186" y="105"/>
                </a:cubicBezTo>
                <a:cubicBezTo>
                  <a:pt x="186" y="119"/>
                  <a:pt x="186" y="119"/>
                  <a:pt x="186" y="119"/>
                </a:cubicBezTo>
                <a:cubicBezTo>
                  <a:pt x="196" y="113"/>
                  <a:pt x="196" y="113"/>
                  <a:pt x="196" y="113"/>
                </a:cubicBezTo>
                <a:lnTo>
                  <a:pt x="196" y="100"/>
                </a:lnTo>
                <a:close/>
                <a:moveTo>
                  <a:pt x="196" y="80"/>
                </a:moveTo>
                <a:cubicBezTo>
                  <a:pt x="186" y="85"/>
                  <a:pt x="186" y="85"/>
                  <a:pt x="186" y="85"/>
                </a:cubicBezTo>
                <a:cubicBezTo>
                  <a:pt x="186" y="99"/>
                  <a:pt x="186" y="99"/>
                  <a:pt x="186" y="99"/>
                </a:cubicBezTo>
                <a:cubicBezTo>
                  <a:pt x="196" y="94"/>
                  <a:pt x="196" y="94"/>
                  <a:pt x="196" y="94"/>
                </a:cubicBezTo>
                <a:lnTo>
                  <a:pt x="196" y="80"/>
                </a:lnTo>
                <a:close/>
                <a:moveTo>
                  <a:pt x="77" y="64"/>
                </a:moveTo>
                <a:cubicBezTo>
                  <a:pt x="84" y="76"/>
                  <a:pt x="84" y="76"/>
                  <a:pt x="84" y="76"/>
                </a:cubicBezTo>
                <a:cubicBezTo>
                  <a:pt x="101" y="66"/>
                  <a:pt x="101" y="66"/>
                  <a:pt x="101" y="66"/>
                </a:cubicBezTo>
                <a:cubicBezTo>
                  <a:pt x="94" y="54"/>
                  <a:pt x="94" y="54"/>
                  <a:pt x="94" y="54"/>
                </a:cubicBezTo>
                <a:lnTo>
                  <a:pt x="77" y="64"/>
                </a:lnTo>
                <a:close/>
                <a:moveTo>
                  <a:pt x="156" y="62"/>
                </a:moveTo>
                <a:cubicBezTo>
                  <a:pt x="149" y="50"/>
                  <a:pt x="149" y="50"/>
                  <a:pt x="149" y="50"/>
                </a:cubicBezTo>
                <a:cubicBezTo>
                  <a:pt x="133" y="61"/>
                  <a:pt x="133" y="61"/>
                  <a:pt x="133" y="61"/>
                </a:cubicBezTo>
                <a:cubicBezTo>
                  <a:pt x="140" y="72"/>
                  <a:pt x="140" y="72"/>
                  <a:pt x="140" y="72"/>
                </a:cubicBezTo>
                <a:lnTo>
                  <a:pt x="156" y="62"/>
                </a:lnTo>
                <a:close/>
                <a:moveTo>
                  <a:pt x="75" y="51"/>
                </a:moveTo>
                <a:cubicBezTo>
                  <a:pt x="68" y="40"/>
                  <a:pt x="68" y="40"/>
                  <a:pt x="68" y="40"/>
                </a:cubicBezTo>
                <a:cubicBezTo>
                  <a:pt x="51" y="50"/>
                  <a:pt x="51" y="50"/>
                  <a:pt x="51" y="50"/>
                </a:cubicBezTo>
                <a:cubicBezTo>
                  <a:pt x="58" y="62"/>
                  <a:pt x="58" y="62"/>
                  <a:pt x="58" y="62"/>
                </a:cubicBezTo>
                <a:lnTo>
                  <a:pt x="75" y="51"/>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 name="グループ化 9">
            <a:extLst>
              <a:ext uri="{FF2B5EF4-FFF2-40B4-BE49-F238E27FC236}">
                <a16:creationId xmlns:a16="http://schemas.microsoft.com/office/drawing/2014/main" id="{8213BCC1-EB76-4BBE-47FC-F05CA008A67C}"/>
              </a:ext>
            </a:extLst>
          </xdr:cNvPr>
          <xdr:cNvGrpSpPr/>
        </xdr:nvGrpSpPr>
        <xdr:grpSpPr>
          <a:xfrm>
            <a:off x="0" y="1142122"/>
            <a:ext cx="1528189" cy="1200983"/>
            <a:chOff x="0" y="1142124"/>
            <a:chExt cx="1380068" cy="1084578"/>
          </a:xfrm>
          <a:grpFill/>
        </xdr:grpSpPr>
        <xdr:grpSp>
          <xdr:nvGrpSpPr>
            <xdr:cNvPr id="11" name="グループ化 10">
              <a:extLst>
                <a:ext uri="{FF2B5EF4-FFF2-40B4-BE49-F238E27FC236}">
                  <a16:creationId xmlns:a16="http://schemas.microsoft.com/office/drawing/2014/main" id="{11E8A0E9-4254-9FE1-CFA1-33DA332A6358}"/>
                </a:ext>
              </a:extLst>
            </xdr:cNvPr>
            <xdr:cNvGrpSpPr/>
          </xdr:nvGrpSpPr>
          <xdr:grpSpPr>
            <a:xfrm>
              <a:off x="475666" y="1412450"/>
              <a:ext cx="904402" cy="814252"/>
              <a:chOff x="475668" y="1412450"/>
              <a:chExt cx="822601" cy="740604"/>
            </a:xfrm>
            <a:grpFill/>
          </xdr:grpSpPr>
          <xdr:sp macro="" textlink="">
            <xdr:nvSpPr>
              <xdr:cNvPr id="25" name="Freeform 48">
                <a:extLst>
                  <a:ext uri="{FF2B5EF4-FFF2-40B4-BE49-F238E27FC236}">
                    <a16:creationId xmlns:a16="http://schemas.microsoft.com/office/drawing/2014/main" id="{23670307-45D3-D652-7856-0FB4E2CC7D56}"/>
                  </a:ext>
                </a:extLst>
              </xdr:cNvPr>
              <xdr:cNvSpPr>
                <a:spLocks noEditPoints="1"/>
              </xdr:cNvSpPr>
            </xdr:nvSpPr>
            <xdr:spPr bwMode="auto">
              <a:xfrm>
                <a:off x="657363" y="1729672"/>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6" name="Freeform 47">
                <a:extLst>
                  <a:ext uri="{FF2B5EF4-FFF2-40B4-BE49-F238E27FC236}">
                    <a16:creationId xmlns:a16="http://schemas.microsoft.com/office/drawing/2014/main" id="{9278552F-EABF-EF5B-7F55-8FEADAE86E75}"/>
                  </a:ext>
                </a:extLst>
              </xdr:cNvPr>
              <xdr:cNvSpPr>
                <a:spLocks noEditPoints="1"/>
              </xdr:cNvSpPr>
            </xdr:nvSpPr>
            <xdr:spPr bwMode="auto">
              <a:xfrm>
                <a:off x="877522" y="1567448"/>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7" name="グループ化 26">
                <a:extLst>
                  <a:ext uri="{FF2B5EF4-FFF2-40B4-BE49-F238E27FC236}">
                    <a16:creationId xmlns:a16="http://schemas.microsoft.com/office/drawing/2014/main" id="{04328D4E-B2B3-D234-D0BB-4E428FF41817}"/>
                  </a:ext>
                </a:extLst>
              </xdr:cNvPr>
              <xdr:cNvGrpSpPr/>
            </xdr:nvGrpSpPr>
            <xdr:grpSpPr>
              <a:xfrm>
                <a:off x="475668" y="1412450"/>
                <a:ext cx="822601" cy="740604"/>
                <a:chOff x="475668" y="1412450"/>
                <a:chExt cx="493713" cy="444500"/>
              </a:xfrm>
              <a:grpFill/>
            </xdr:grpSpPr>
            <xdr:sp macro="" textlink="">
              <xdr:nvSpPr>
                <xdr:cNvPr id="28" name="Freeform 49">
                  <a:extLst>
                    <a:ext uri="{FF2B5EF4-FFF2-40B4-BE49-F238E27FC236}">
                      <a16:creationId xmlns:a16="http://schemas.microsoft.com/office/drawing/2014/main" id="{1C38A6DB-9534-51C0-E7E0-76EC4E3EF114}"/>
                    </a:ext>
                  </a:extLst>
                </xdr:cNvPr>
                <xdr:cNvSpPr>
                  <a:spLocks/>
                </xdr:cNvSpPr>
              </xdr:nvSpPr>
              <xdr:spPr bwMode="auto">
                <a:xfrm>
                  <a:off x="495438" y="1423562"/>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9" name="グループ化 28">
                  <a:extLst>
                    <a:ext uri="{FF2B5EF4-FFF2-40B4-BE49-F238E27FC236}">
                      <a16:creationId xmlns:a16="http://schemas.microsoft.com/office/drawing/2014/main" id="{CDC4F0C9-4BAB-E1DC-4312-DF7A335C110C}"/>
                    </a:ext>
                  </a:extLst>
                </xdr:cNvPr>
                <xdr:cNvGrpSpPr/>
              </xdr:nvGrpSpPr>
              <xdr:grpSpPr>
                <a:xfrm>
                  <a:off x="475668" y="1412450"/>
                  <a:ext cx="493713" cy="444500"/>
                  <a:chOff x="475668" y="1412450"/>
                  <a:chExt cx="493713" cy="444500"/>
                </a:xfrm>
                <a:grpFill/>
              </xdr:grpSpPr>
              <xdr:sp macro="" textlink="">
                <xdr:nvSpPr>
                  <xdr:cNvPr id="30" name="Freeform 50">
                    <a:extLst>
                      <a:ext uri="{FF2B5EF4-FFF2-40B4-BE49-F238E27FC236}">
                        <a16:creationId xmlns:a16="http://schemas.microsoft.com/office/drawing/2014/main" id="{9AF7FE3C-9D6C-2ED7-9A43-83EF176B4F7C}"/>
                      </a:ext>
                    </a:extLst>
                  </xdr:cNvPr>
                  <xdr:cNvSpPr>
                    <a:spLocks noEditPoints="1"/>
                  </xdr:cNvSpPr>
                </xdr:nvSpPr>
                <xdr:spPr bwMode="auto">
                  <a:xfrm>
                    <a:off x="475668" y="1412450"/>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1" name="Freeform 51">
                    <a:extLst>
                      <a:ext uri="{FF2B5EF4-FFF2-40B4-BE49-F238E27FC236}">
                        <a16:creationId xmlns:a16="http://schemas.microsoft.com/office/drawing/2014/main" id="{7343D9B8-8CF4-AB99-6E7E-0389271C76F0}"/>
                      </a:ext>
                    </a:extLst>
                  </xdr:cNvPr>
                  <xdr:cNvSpPr>
                    <a:spLocks/>
                  </xdr:cNvSpPr>
                </xdr:nvSpPr>
                <xdr:spPr bwMode="auto">
                  <a:xfrm>
                    <a:off x="567743" y="1585487"/>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2" name="Freeform 52">
                    <a:extLst>
                      <a:ext uri="{FF2B5EF4-FFF2-40B4-BE49-F238E27FC236}">
                        <a16:creationId xmlns:a16="http://schemas.microsoft.com/office/drawing/2014/main" id="{BC854D74-66F9-59FE-3FB2-C79D39BE8A0C}"/>
                      </a:ext>
                    </a:extLst>
                  </xdr:cNvPr>
                  <xdr:cNvSpPr>
                    <a:spLocks/>
                  </xdr:cNvSpPr>
                </xdr:nvSpPr>
                <xdr:spPr bwMode="auto">
                  <a:xfrm>
                    <a:off x="677281" y="1509287"/>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3" name="Freeform 53">
                    <a:extLst>
                      <a:ext uri="{FF2B5EF4-FFF2-40B4-BE49-F238E27FC236}">
                        <a16:creationId xmlns:a16="http://schemas.microsoft.com/office/drawing/2014/main" id="{66DB908C-48FD-3898-AE76-BFA4D948E275}"/>
                      </a:ext>
                    </a:extLst>
                  </xdr:cNvPr>
                  <xdr:cNvSpPr>
                    <a:spLocks/>
                  </xdr:cNvSpPr>
                </xdr:nvSpPr>
                <xdr:spPr bwMode="auto">
                  <a:xfrm>
                    <a:off x="623306" y="1547387"/>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4" name="Freeform 54">
                    <a:extLst>
                      <a:ext uri="{FF2B5EF4-FFF2-40B4-BE49-F238E27FC236}">
                        <a16:creationId xmlns:a16="http://schemas.microsoft.com/office/drawing/2014/main" id="{E2AEA665-0C1F-2CF9-BDD0-7A4E76B84758}"/>
                      </a:ext>
                    </a:extLst>
                  </xdr:cNvPr>
                  <xdr:cNvSpPr>
                    <a:spLocks/>
                  </xdr:cNvSpPr>
                </xdr:nvSpPr>
                <xdr:spPr bwMode="auto">
                  <a:xfrm>
                    <a:off x="510593" y="1625175"/>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5" name="Freeform 55">
                    <a:extLst>
                      <a:ext uri="{FF2B5EF4-FFF2-40B4-BE49-F238E27FC236}">
                        <a16:creationId xmlns:a16="http://schemas.microsoft.com/office/drawing/2014/main" id="{18E2ECC3-F7F0-6670-F2A7-F0F289F445B7}"/>
                      </a:ext>
                    </a:extLst>
                  </xdr:cNvPr>
                  <xdr:cNvSpPr>
                    <a:spLocks/>
                  </xdr:cNvSpPr>
                </xdr:nvSpPr>
                <xdr:spPr bwMode="auto">
                  <a:xfrm>
                    <a:off x="786818" y="1433087"/>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6" name="Freeform 56">
                    <a:extLst>
                      <a:ext uri="{FF2B5EF4-FFF2-40B4-BE49-F238E27FC236}">
                        <a16:creationId xmlns:a16="http://schemas.microsoft.com/office/drawing/2014/main" id="{440E49A4-3514-2F38-C3D0-32A477DE2C4F}"/>
                      </a:ext>
                    </a:extLst>
                  </xdr:cNvPr>
                  <xdr:cNvSpPr>
                    <a:spLocks/>
                  </xdr:cNvSpPr>
                </xdr:nvSpPr>
                <xdr:spPr bwMode="auto">
                  <a:xfrm>
                    <a:off x="731256" y="1468012"/>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nvGrpSpPr>
            <xdr:cNvPr id="12" name="グループ化 11">
              <a:extLst>
                <a:ext uri="{FF2B5EF4-FFF2-40B4-BE49-F238E27FC236}">
                  <a16:creationId xmlns:a16="http://schemas.microsoft.com/office/drawing/2014/main" id="{3736A177-3CE5-4CEF-6B69-269F65F3AE46}"/>
                </a:ext>
              </a:extLst>
            </xdr:cNvPr>
            <xdr:cNvGrpSpPr/>
          </xdr:nvGrpSpPr>
          <xdr:grpSpPr>
            <a:xfrm>
              <a:off x="0" y="1142124"/>
              <a:ext cx="904402" cy="814252"/>
              <a:chOff x="0" y="1142125"/>
              <a:chExt cx="822601" cy="740604"/>
            </a:xfrm>
            <a:grpFill/>
          </xdr:grpSpPr>
          <xdr:sp macro="" textlink="">
            <xdr:nvSpPr>
              <xdr:cNvPr id="13" name="Freeform 48">
                <a:extLst>
                  <a:ext uri="{FF2B5EF4-FFF2-40B4-BE49-F238E27FC236}">
                    <a16:creationId xmlns:a16="http://schemas.microsoft.com/office/drawing/2014/main" id="{39AEE3B5-9F49-9C50-C106-9D98E7572091}"/>
                  </a:ext>
                </a:extLst>
              </xdr:cNvPr>
              <xdr:cNvSpPr>
                <a:spLocks noEditPoints="1"/>
              </xdr:cNvSpPr>
            </xdr:nvSpPr>
            <xdr:spPr bwMode="auto">
              <a:xfrm>
                <a:off x="181695" y="1459347"/>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4" name="Freeform 47">
                <a:extLst>
                  <a:ext uri="{FF2B5EF4-FFF2-40B4-BE49-F238E27FC236}">
                    <a16:creationId xmlns:a16="http://schemas.microsoft.com/office/drawing/2014/main" id="{39724550-3FFF-4272-756B-34CB04FEBA76}"/>
                  </a:ext>
                </a:extLst>
              </xdr:cNvPr>
              <xdr:cNvSpPr>
                <a:spLocks noEditPoints="1"/>
              </xdr:cNvSpPr>
            </xdr:nvSpPr>
            <xdr:spPr bwMode="auto">
              <a:xfrm>
                <a:off x="401854" y="1297123"/>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5" name="グループ化 14">
                <a:extLst>
                  <a:ext uri="{FF2B5EF4-FFF2-40B4-BE49-F238E27FC236}">
                    <a16:creationId xmlns:a16="http://schemas.microsoft.com/office/drawing/2014/main" id="{D8D2FE5C-8249-51BA-ACC3-6ABF6082C2E7}"/>
                  </a:ext>
                </a:extLst>
              </xdr:cNvPr>
              <xdr:cNvGrpSpPr/>
            </xdr:nvGrpSpPr>
            <xdr:grpSpPr>
              <a:xfrm>
                <a:off x="0" y="1142125"/>
                <a:ext cx="822601" cy="740604"/>
                <a:chOff x="0" y="1142125"/>
                <a:chExt cx="493713" cy="444500"/>
              </a:xfrm>
              <a:grpFill/>
            </xdr:grpSpPr>
            <xdr:sp macro="" textlink="">
              <xdr:nvSpPr>
                <xdr:cNvPr id="16" name="Freeform 49">
                  <a:extLst>
                    <a:ext uri="{FF2B5EF4-FFF2-40B4-BE49-F238E27FC236}">
                      <a16:creationId xmlns:a16="http://schemas.microsoft.com/office/drawing/2014/main" id="{107B6165-1FB9-0BC4-78EE-8AD8E250FA28}"/>
                    </a:ext>
                  </a:extLst>
                </xdr:cNvPr>
                <xdr:cNvSpPr>
                  <a:spLocks/>
                </xdr:cNvSpPr>
              </xdr:nvSpPr>
              <xdr:spPr bwMode="auto">
                <a:xfrm>
                  <a:off x="19770" y="1153237"/>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7" name="グループ化 16">
                  <a:extLst>
                    <a:ext uri="{FF2B5EF4-FFF2-40B4-BE49-F238E27FC236}">
                      <a16:creationId xmlns:a16="http://schemas.microsoft.com/office/drawing/2014/main" id="{A571ADDF-71B7-93ED-55AD-41C0BF7B677F}"/>
                    </a:ext>
                  </a:extLst>
                </xdr:cNvPr>
                <xdr:cNvGrpSpPr/>
              </xdr:nvGrpSpPr>
              <xdr:grpSpPr>
                <a:xfrm>
                  <a:off x="0" y="1142125"/>
                  <a:ext cx="493713" cy="444500"/>
                  <a:chOff x="0" y="1142125"/>
                  <a:chExt cx="493713" cy="444500"/>
                </a:xfrm>
                <a:grpFill/>
              </xdr:grpSpPr>
              <xdr:sp macro="" textlink="">
                <xdr:nvSpPr>
                  <xdr:cNvPr id="18" name="Freeform 50">
                    <a:extLst>
                      <a:ext uri="{FF2B5EF4-FFF2-40B4-BE49-F238E27FC236}">
                        <a16:creationId xmlns:a16="http://schemas.microsoft.com/office/drawing/2014/main" id="{59DA2C6A-D66E-AC9F-99C7-0774F2F65309}"/>
                      </a:ext>
                    </a:extLst>
                  </xdr:cNvPr>
                  <xdr:cNvSpPr>
                    <a:spLocks noEditPoints="1"/>
                  </xdr:cNvSpPr>
                </xdr:nvSpPr>
                <xdr:spPr bwMode="auto">
                  <a:xfrm>
                    <a:off x="0" y="1142125"/>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9" name="Freeform 51">
                    <a:extLst>
                      <a:ext uri="{FF2B5EF4-FFF2-40B4-BE49-F238E27FC236}">
                        <a16:creationId xmlns:a16="http://schemas.microsoft.com/office/drawing/2014/main" id="{FF75776A-F2A3-0CA7-1D15-1D887EEB33E6}"/>
                      </a:ext>
                    </a:extLst>
                  </xdr:cNvPr>
                  <xdr:cNvSpPr>
                    <a:spLocks/>
                  </xdr:cNvSpPr>
                </xdr:nvSpPr>
                <xdr:spPr bwMode="auto">
                  <a:xfrm>
                    <a:off x="92075" y="1315162"/>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0" name="Freeform 52">
                    <a:extLst>
                      <a:ext uri="{FF2B5EF4-FFF2-40B4-BE49-F238E27FC236}">
                        <a16:creationId xmlns:a16="http://schemas.microsoft.com/office/drawing/2014/main" id="{9C06603D-4EDA-1386-9EF5-1F2961B6704B}"/>
                      </a:ext>
                    </a:extLst>
                  </xdr:cNvPr>
                  <xdr:cNvSpPr>
                    <a:spLocks/>
                  </xdr:cNvSpPr>
                </xdr:nvSpPr>
                <xdr:spPr bwMode="auto">
                  <a:xfrm>
                    <a:off x="201613" y="1238962"/>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1" name="Freeform 53">
                    <a:extLst>
                      <a:ext uri="{FF2B5EF4-FFF2-40B4-BE49-F238E27FC236}">
                        <a16:creationId xmlns:a16="http://schemas.microsoft.com/office/drawing/2014/main" id="{1256E51F-11DE-2AB7-B7EE-1999C9CD0DDA}"/>
                      </a:ext>
                    </a:extLst>
                  </xdr:cNvPr>
                  <xdr:cNvSpPr>
                    <a:spLocks/>
                  </xdr:cNvSpPr>
                </xdr:nvSpPr>
                <xdr:spPr bwMode="auto">
                  <a:xfrm>
                    <a:off x="147638" y="1277062"/>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2" name="Freeform 54">
                    <a:extLst>
                      <a:ext uri="{FF2B5EF4-FFF2-40B4-BE49-F238E27FC236}">
                        <a16:creationId xmlns:a16="http://schemas.microsoft.com/office/drawing/2014/main" id="{2BA31BBC-F407-AFAD-7C08-A7CDF5D6839D}"/>
                      </a:ext>
                    </a:extLst>
                  </xdr:cNvPr>
                  <xdr:cNvSpPr>
                    <a:spLocks/>
                  </xdr:cNvSpPr>
                </xdr:nvSpPr>
                <xdr:spPr bwMode="auto">
                  <a:xfrm>
                    <a:off x="34925" y="1354850"/>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3" name="Freeform 55">
                    <a:extLst>
                      <a:ext uri="{FF2B5EF4-FFF2-40B4-BE49-F238E27FC236}">
                        <a16:creationId xmlns:a16="http://schemas.microsoft.com/office/drawing/2014/main" id="{8BB32B6D-D29D-61B9-A4A1-6DDCD93D582C}"/>
                      </a:ext>
                    </a:extLst>
                  </xdr:cNvPr>
                  <xdr:cNvSpPr>
                    <a:spLocks/>
                  </xdr:cNvSpPr>
                </xdr:nvSpPr>
                <xdr:spPr bwMode="auto">
                  <a:xfrm>
                    <a:off x="311150" y="1162762"/>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4" name="Freeform 56">
                    <a:extLst>
                      <a:ext uri="{FF2B5EF4-FFF2-40B4-BE49-F238E27FC236}">
                        <a16:creationId xmlns:a16="http://schemas.microsoft.com/office/drawing/2014/main" id="{244A364C-AF25-C2BB-3B22-0E95A9E6B1B0}"/>
                      </a:ext>
                    </a:extLst>
                  </xdr:cNvPr>
                  <xdr:cNvSpPr>
                    <a:spLocks/>
                  </xdr:cNvSpPr>
                </xdr:nvSpPr>
                <xdr:spPr bwMode="auto">
                  <a:xfrm>
                    <a:off x="255588" y="1197687"/>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grpSp>
    <xdr:clientData/>
  </xdr:twoCellAnchor>
  <xdr:twoCellAnchor>
    <xdr:from>
      <xdr:col>2</xdr:col>
      <xdr:colOff>373054</xdr:colOff>
      <xdr:row>79</xdr:row>
      <xdr:rowOff>61974</xdr:rowOff>
    </xdr:from>
    <xdr:to>
      <xdr:col>3</xdr:col>
      <xdr:colOff>713166</xdr:colOff>
      <xdr:row>82</xdr:row>
      <xdr:rowOff>156395</xdr:rowOff>
    </xdr:to>
    <xdr:grpSp>
      <xdr:nvGrpSpPr>
        <xdr:cNvPr id="37" name="グラフィックス 420">
          <a:extLst>
            <a:ext uri="{FF2B5EF4-FFF2-40B4-BE49-F238E27FC236}">
              <a16:creationId xmlns:a16="http://schemas.microsoft.com/office/drawing/2014/main" id="{56D8961A-5876-4914-825E-58F084FB2350}"/>
            </a:ext>
          </a:extLst>
        </xdr:cNvPr>
        <xdr:cNvGrpSpPr>
          <a:grpSpLocks noChangeAspect="1"/>
        </xdr:cNvGrpSpPr>
      </xdr:nvGrpSpPr>
      <xdr:grpSpPr>
        <a:xfrm>
          <a:off x="924061" y="17902876"/>
          <a:ext cx="952598" cy="769830"/>
          <a:chOff x="0" y="0"/>
          <a:chExt cx="1271017" cy="925262"/>
        </a:xfrm>
        <a:solidFill>
          <a:schemeClr val="accent6">
            <a:lumMod val="75000"/>
          </a:schemeClr>
        </a:solidFill>
      </xdr:grpSpPr>
      <xdr:sp macro="" textlink="">
        <xdr:nvSpPr>
          <xdr:cNvPr id="38" name="フリーフォーム: 図形 37">
            <a:extLst>
              <a:ext uri="{FF2B5EF4-FFF2-40B4-BE49-F238E27FC236}">
                <a16:creationId xmlns:a16="http://schemas.microsoft.com/office/drawing/2014/main" id="{C9811163-5DA2-4B12-9E41-5EB559C0C090}"/>
              </a:ext>
            </a:extLst>
          </xdr:cNvPr>
          <xdr:cNvSpPr/>
        </xdr:nvSpPr>
        <xdr:spPr>
          <a:xfrm>
            <a:off x="5200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 name="フリーフォーム: 図形 38">
            <a:extLst>
              <a:ext uri="{FF2B5EF4-FFF2-40B4-BE49-F238E27FC236}">
                <a16:creationId xmlns:a16="http://schemas.microsoft.com/office/drawing/2014/main" id="{166B3073-B639-C0A3-1CBF-0113C266FF9D}"/>
              </a:ext>
            </a:extLst>
          </xdr:cNvPr>
          <xdr:cNvSpPr/>
        </xdr:nvSpPr>
        <xdr:spPr>
          <a:xfrm>
            <a:off x="9052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 name="フリーフォーム: 図形 39">
            <a:extLst>
              <a:ext uri="{FF2B5EF4-FFF2-40B4-BE49-F238E27FC236}">
                <a16:creationId xmlns:a16="http://schemas.microsoft.com/office/drawing/2014/main" id="{CA21BAC8-8090-CBDF-1EA8-B6013BBBE8D1}"/>
              </a:ext>
            </a:extLst>
          </xdr:cNvPr>
          <xdr:cNvSpPr/>
        </xdr:nvSpPr>
        <xdr:spPr>
          <a:xfrm>
            <a:off x="12904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1" name="フリーフォーム: 図形 40">
            <a:extLst>
              <a:ext uri="{FF2B5EF4-FFF2-40B4-BE49-F238E27FC236}">
                <a16:creationId xmlns:a16="http://schemas.microsoft.com/office/drawing/2014/main" id="{DCA52C7E-D8C6-B971-76BA-C1DB4DDD9537}"/>
              </a:ext>
            </a:extLst>
          </xdr:cNvPr>
          <xdr:cNvSpPr/>
        </xdr:nvSpPr>
        <xdr:spPr>
          <a:xfrm>
            <a:off x="30582" y="827525"/>
            <a:ext cx="150964" cy="19479"/>
          </a:xfrm>
          <a:custGeom>
            <a:avLst/>
            <a:gdLst>
              <a:gd name="connsiteX0" fmla="*/ 3652 w 150963"/>
              <a:gd name="connsiteY0" fmla="*/ 3652 h 19479"/>
              <a:gd name="connsiteX1" fmla="*/ 149503 w 150963"/>
              <a:gd name="connsiteY1" fmla="*/ 3652 h 19479"/>
              <a:gd name="connsiteX2" fmla="*/ 149503 w 150963"/>
              <a:gd name="connsiteY2" fmla="*/ 19577 h 19479"/>
              <a:gd name="connsiteX3" fmla="*/ 3652 w 150963"/>
              <a:gd name="connsiteY3" fmla="*/ 19577 h 19479"/>
            </a:gdLst>
            <a:ahLst/>
            <a:cxnLst>
              <a:cxn ang="0">
                <a:pos x="connsiteX0" y="connsiteY0"/>
              </a:cxn>
              <a:cxn ang="0">
                <a:pos x="connsiteX1" y="connsiteY1"/>
              </a:cxn>
              <a:cxn ang="0">
                <a:pos x="connsiteX2" y="connsiteY2"/>
              </a:cxn>
              <a:cxn ang="0">
                <a:pos x="connsiteX3" y="connsiteY3"/>
              </a:cxn>
            </a:cxnLst>
            <a:rect l="l" t="t" r="r" b="b"/>
            <a:pathLst>
              <a:path w="150963" h="19479">
                <a:moveTo>
                  <a:pt x="3652" y="3652"/>
                </a:moveTo>
                <a:lnTo>
                  <a:pt x="149503" y="3652"/>
                </a:lnTo>
                <a:lnTo>
                  <a:pt x="149503" y="19577"/>
                </a:lnTo>
                <a:lnTo>
                  <a:pt x="3652" y="1957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 name="フリーフォーム: 図形 41">
            <a:extLst>
              <a:ext uri="{FF2B5EF4-FFF2-40B4-BE49-F238E27FC236}">
                <a16:creationId xmlns:a16="http://schemas.microsoft.com/office/drawing/2014/main" id="{2EF812CF-E89C-6BE0-EC3F-3AEE7E20F229}"/>
              </a:ext>
            </a:extLst>
          </xdr:cNvPr>
          <xdr:cNvSpPr/>
        </xdr:nvSpPr>
        <xdr:spPr>
          <a:xfrm>
            <a:off x="0" y="0"/>
            <a:ext cx="1271017" cy="925262"/>
          </a:xfrm>
          <a:custGeom>
            <a:avLst/>
            <a:gdLst>
              <a:gd name="connsiteX0" fmla="*/ 1268923 w 1271016"/>
              <a:gd name="connsiteY0" fmla="*/ 671984 h 925261"/>
              <a:gd name="connsiteX1" fmla="*/ 1243746 w 1271016"/>
              <a:gd name="connsiteY1" fmla="*/ 660345 h 925261"/>
              <a:gd name="connsiteX2" fmla="*/ 1240288 w 1271016"/>
              <a:gd name="connsiteY2" fmla="*/ 658738 h 925261"/>
              <a:gd name="connsiteX3" fmla="*/ 1240288 w 1271016"/>
              <a:gd name="connsiteY3" fmla="*/ 539476 h 925261"/>
              <a:gd name="connsiteX4" fmla="*/ 1236880 w 1271016"/>
              <a:gd name="connsiteY4" fmla="*/ 535970 h 925261"/>
              <a:gd name="connsiteX5" fmla="*/ 893608 w 1271016"/>
              <a:gd name="connsiteY5" fmla="*/ 535970 h 925261"/>
              <a:gd name="connsiteX6" fmla="*/ 890247 w 1271016"/>
              <a:gd name="connsiteY6" fmla="*/ 539476 h 925261"/>
              <a:gd name="connsiteX7" fmla="*/ 890247 w 1271016"/>
              <a:gd name="connsiteY7" fmla="*/ 643349 h 925261"/>
              <a:gd name="connsiteX8" fmla="*/ 893608 w 1271016"/>
              <a:gd name="connsiteY8" fmla="*/ 644956 h 925261"/>
              <a:gd name="connsiteX9" fmla="*/ 895507 w 1271016"/>
              <a:gd name="connsiteY9" fmla="*/ 645881 h 925261"/>
              <a:gd name="connsiteX10" fmla="*/ 893656 w 1271016"/>
              <a:gd name="connsiteY10" fmla="*/ 645005 h 925261"/>
              <a:gd name="connsiteX11" fmla="*/ 890199 w 1271016"/>
              <a:gd name="connsiteY11" fmla="*/ 643398 h 925261"/>
              <a:gd name="connsiteX12" fmla="*/ 886741 w 1271016"/>
              <a:gd name="connsiteY12" fmla="*/ 641791 h 925261"/>
              <a:gd name="connsiteX13" fmla="*/ 867944 w 1271016"/>
              <a:gd name="connsiteY13" fmla="*/ 633123 h 925261"/>
              <a:gd name="connsiteX14" fmla="*/ 867652 w 1271016"/>
              <a:gd name="connsiteY14" fmla="*/ 480308 h 925261"/>
              <a:gd name="connsiteX15" fmla="*/ 845738 w 1271016"/>
              <a:gd name="connsiteY15" fmla="*/ 448362 h 925261"/>
              <a:gd name="connsiteX16" fmla="*/ 845494 w 1271016"/>
              <a:gd name="connsiteY16" fmla="*/ 433412 h 925261"/>
              <a:gd name="connsiteX17" fmla="*/ 807364 w 1271016"/>
              <a:gd name="connsiteY17" fmla="*/ 400103 h 925261"/>
              <a:gd name="connsiteX18" fmla="*/ 783648 w 1271016"/>
              <a:gd name="connsiteY18" fmla="*/ 444320 h 925261"/>
              <a:gd name="connsiteX19" fmla="*/ 783648 w 1271016"/>
              <a:gd name="connsiteY19" fmla="*/ 549703 h 925261"/>
              <a:gd name="connsiteX20" fmla="*/ 773908 w 1271016"/>
              <a:gd name="connsiteY20" fmla="*/ 549703 h 925261"/>
              <a:gd name="connsiteX21" fmla="*/ 770645 w 1271016"/>
              <a:gd name="connsiteY21" fmla="*/ 548534 h 925261"/>
              <a:gd name="connsiteX22" fmla="*/ 766896 w 1271016"/>
              <a:gd name="connsiteY22" fmla="*/ 524916 h 925261"/>
              <a:gd name="connsiteX23" fmla="*/ 766896 w 1271016"/>
              <a:gd name="connsiteY23" fmla="*/ 358076 h 925261"/>
              <a:gd name="connsiteX24" fmla="*/ 727840 w 1271016"/>
              <a:gd name="connsiteY24" fmla="*/ 310644 h 925261"/>
              <a:gd name="connsiteX25" fmla="*/ 686106 w 1271016"/>
              <a:gd name="connsiteY25" fmla="*/ 355349 h 925261"/>
              <a:gd name="connsiteX26" fmla="*/ 657033 w 1271016"/>
              <a:gd name="connsiteY26" fmla="*/ 394356 h 925261"/>
              <a:gd name="connsiteX27" fmla="*/ 656643 w 1271016"/>
              <a:gd name="connsiteY27" fmla="*/ 657666 h 925261"/>
              <a:gd name="connsiteX28" fmla="*/ 636093 w 1271016"/>
              <a:gd name="connsiteY28" fmla="*/ 667162 h 925261"/>
              <a:gd name="connsiteX29" fmla="*/ 635703 w 1271016"/>
              <a:gd name="connsiteY29" fmla="*/ 516832 h 925261"/>
              <a:gd name="connsiteX30" fmla="*/ 602929 w 1271016"/>
              <a:gd name="connsiteY30" fmla="*/ 477727 h 925261"/>
              <a:gd name="connsiteX31" fmla="*/ 602929 w 1271016"/>
              <a:gd name="connsiteY31" fmla="*/ 462874 h 925261"/>
              <a:gd name="connsiteX32" fmla="*/ 567721 w 1271016"/>
              <a:gd name="connsiteY32" fmla="*/ 434532 h 925261"/>
              <a:gd name="connsiteX33" fmla="*/ 530321 w 1271016"/>
              <a:gd name="connsiteY33" fmla="*/ 464628 h 925261"/>
              <a:gd name="connsiteX34" fmla="*/ 530321 w 1271016"/>
              <a:gd name="connsiteY34" fmla="*/ 648073 h 925261"/>
              <a:gd name="connsiteX35" fmla="*/ 530370 w 1271016"/>
              <a:gd name="connsiteY35" fmla="*/ 650313 h 925261"/>
              <a:gd name="connsiteX36" fmla="*/ 527545 w 1271016"/>
              <a:gd name="connsiteY36" fmla="*/ 663315 h 925261"/>
              <a:gd name="connsiteX37" fmla="*/ 520338 w 1271016"/>
              <a:gd name="connsiteY37" fmla="*/ 666529 h 925261"/>
              <a:gd name="connsiteX38" fmla="*/ 520338 w 1271016"/>
              <a:gd name="connsiteY38" fmla="*/ 577217 h 925261"/>
              <a:gd name="connsiteX39" fmla="*/ 520386 w 1271016"/>
              <a:gd name="connsiteY39" fmla="*/ 577071 h 925261"/>
              <a:gd name="connsiteX40" fmla="*/ 489658 w 1271016"/>
              <a:gd name="connsiteY40" fmla="*/ 530565 h 925261"/>
              <a:gd name="connsiteX41" fmla="*/ 465553 w 1271016"/>
              <a:gd name="connsiteY41" fmla="*/ 530565 h 925261"/>
              <a:gd name="connsiteX42" fmla="*/ 465553 w 1271016"/>
              <a:gd name="connsiteY42" fmla="*/ 184711 h 925261"/>
              <a:gd name="connsiteX43" fmla="*/ 460391 w 1271016"/>
              <a:gd name="connsiteY43" fmla="*/ 179549 h 925261"/>
              <a:gd name="connsiteX44" fmla="*/ 427617 w 1271016"/>
              <a:gd name="connsiteY44" fmla="*/ 179549 h 925261"/>
              <a:gd name="connsiteX45" fmla="*/ 427617 w 1271016"/>
              <a:gd name="connsiteY45" fmla="*/ 113856 h 925261"/>
              <a:gd name="connsiteX46" fmla="*/ 427617 w 1271016"/>
              <a:gd name="connsiteY46" fmla="*/ 8814 h 925261"/>
              <a:gd name="connsiteX47" fmla="*/ 422455 w 1271016"/>
              <a:gd name="connsiteY47" fmla="*/ 3652 h 925261"/>
              <a:gd name="connsiteX48" fmla="*/ 363482 w 1271016"/>
              <a:gd name="connsiteY48" fmla="*/ 3652 h 925261"/>
              <a:gd name="connsiteX49" fmla="*/ 358320 w 1271016"/>
              <a:gd name="connsiteY49" fmla="*/ 8814 h 925261"/>
              <a:gd name="connsiteX50" fmla="*/ 358320 w 1271016"/>
              <a:gd name="connsiteY50" fmla="*/ 113856 h 925261"/>
              <a:gd name="connsiteX51" fmla="*/ 358320 w 1271016"/>
              <a:gd name="connsiteY51" fmla="*/ 179501 h 925261"/>
              <a:gd name="connsiteX52" fmla="*/ 324377 w 1271016"/>
              <a:gd name="connsiteY52" fmla="*/ 179501 h 925261"/>
              <a:gd name="connsiteX53" fmla="*/ 319215 w 1271016"/>
              <a:gd name="connsiteY53" fmla="*/ 184663 h 925261"/>
              <a:gd name="connsiteX54" fmla="*/ 319215 w 1271016"/>
              <a:gd name="connsiteY54" fmla="*/ 530516 h 925261"/>
              <a:gd name="connsiteX55" fmla="*/ 283958 w 1271016"/>
              <a:gd name="connsiteY55" fmla="*/ 530516 h 925261"/>
              <a:gd name="connsiteX56" fmla="*/ 283958 w 1271016"/>
              <a:gd name="connsiteY56" fmla="*/ 506264 h 925261"/>
              <a:gd name="connsiteX57" fmla="*/ 278796 w 1271016"/>
              <a:gd name="connsiteY57" fmla="*/ 501102 h 925261"/>
              <a:gd name="connsiteX58" fmla="*/ 250892 w 1271016"/>
              <a:gd name="connsiteY58" fmla="*/ 501102 h 925261"/>
              <a:gd name="connsiteX59" fmla="*/ 245730 w 1271016"/>
              <a:gd name="connsiteY59" fmla="*/ 506264 h 925261"/>
              <a:gd name="connsiteX60" fmla="*/ 245730 w 1271016"/>
              <a:gd name="connsiteY60" fmla="*/ 530516 h 925261"/>
              <a:gd name="connsiteX61" fmla="*/ 182812 w 1271016"/>
              <a:gd name="connsiteY61" fmla="*/ 530516 h 925261"/>
              <a:gd name="connsiteX62" fmla="*/ 152084 w 1271016"/>
              <a:gd name="connsiteY62" fmla="*/ 576730 h 925261"/>
              <a:gd name="connsiteX63" fmla="*/ 152035 w 1271016"/>
              <a:gd name="connsiteY63" fmla="*/ 576876 h 925261"/>
              <a:gd name="connsiteX64" fmla="*/ 149746 w 1271016"/>
              <a:gd name="connsiteY64" fmla="*/ 701008 h 925261"/>
              <a:gd name="connsiteX65" fmla="*/ 110301 w 1271016"/>
              <a:gd name="connsiteY65" fmla="*/ 701008 h 925261"/>
              <a:gd name="connsiteX66" fmla="*/ 107866 w 1271016"/>
              <a:gd name="connsiteY66" fmla="*/ 700375 h 925261"/>
              <a:gd name="connsiteX67" fmla="*/ 104165 w 1271016"/>
              <a:gd name="connsiteY67" fmla="*/ 702128 h 925261"/>
              <a:gd name="connsiteX68" fmla="*/ 4967 w 1271016"/>
              <a:gd name="connsiteY68" fmla="*/ 814036 h 925261"/>
              <a:gd name="connsiteX69" fmla="*/ 3652 w 1271016"/>
              <a:gd name="connsiteY69" fmla="*/ 817493 h 925261"/>
              <a:gd name="connsiteX70" fmla="*/ 3652 w 1271016"/>
              <a:gd name="connsiteY70" fmla="*/ 916009 h 925261"/>
              <a:gd name="connsiteX71" fmla="*/ 8814 w 1271016"/>
              <a:gd name="connsiteY71" fmla="*/ 921171 h 925261"/>
              <a:gd name="connsiteX72" fmla="*/ 204872 w 1271016"/>
              <a:gd name="connsiteY72" fmla="*/ 921171 h 925261"/>
              <a:gd name="connsiteX73" fmla="*/ 207259 w 1271016"/>
              <a:gd name="connsiteY73" fmla="*/ 921804 h 925261"/>
              <a:gd name="connsiteX74" fmla="*/ 622409 w 1271016"/>
              <a:gd name="connsiteY74" fmla="*/ 921804 h 925261"/>
              <a:gd name="connsiteX75" fmla="*/ 940942 w 1271016"/>
              <a:gd name="connsiteY75" fmla="*/ 921804 h 925261"/>
              <a:gd name="connsiteX76" fmla="*/ 949902 w 1271016"/>
              <a:gd name="connsiteY76" fmla="*/ 921804 h 925261"/>
              <a:gd name="connsiteX77" fmla="*/ 953701 w 1271016"/>
              <a:gd name="connsiteY77" fmla="*/ 921804 h 925261"/>
              <a:gd name="connsiteX78" fmla="*/ 1213845 w 1271016"/>
              <a:gd name="connsiteY78" fmla="*/ 921804 h 925261"/>
              <a:gd name="connsiteX79" fmla="*/ 1266731 w 1271016"/>
              <a:gd name="connsiteY79" fmla="*/ 921804 h 925261"/>
              <a:gd name="connsiteX80" fmla="*/ 1271893 w 1271016"/>
              <a:gd name="connsiteY80" fmla="*/ 916642 h 925261"/>
              <a:gd name="connsiteX81" fmla="*/ 1271893 w 1271016"/>
              <a:gd name="connsiteY81" fmla="*/ 676659 h 925261"/>
              <a:gd name="connsiteX82" fmla="*/ 1268923 w 1271016"/>
              <a:gd name="connsiteY82" fmla="*/ 671984 h 925261"/>
              <a:gd name="connsiteX83" fmla="*/ 797527 w 1271016"/>
              <a:gd name="connsiteY83" fmla="*/ 444369 h 925261"/>
              <a:gd name="connsiteX84" fmla="*/ 807997 w 1271016"/>
              <a:gd name="connsiteY84" fmla="*/ 413933 h 925261"/>
              <a:gd name="connsiteX85" fmla="*/ 831761 w 1271016"/>
              <a:gd name="connsiteY85" fmla="*/ 434289 h 925261"/>
              <a:gd name="connsiteX86" fmla="*/ 831956 w 1271016"/>
              <a:gd name="connsiteY86" fmla="*/ 448265 h 925261"/>
              <a:gd name="connsiteX87" fmla="*/ 809555 w 1271016"/>
              <a:gd name="connsiteY87" fmla="*/ 480357 h 925261"/>
              <a:gd name="connsiteX88" fmla="*/ 809409 w 1271016"/>
              <a:gd name="connsiteY88" fmla="*/ 549703 h 925261"/>
              <a:gd name="connsiteX89" fmla="*/ 797478 w 1271016"/>
              <a:gd name="connsiteY89" fmla="*/ 549703 h 925261"/>
              <a:gd name="connsiteX90" fmla="*/ 797478 w 1271016"/>
              <a:gd name="connsiteY90" fmla="*/ 444369 h 925261"/>
              <a:gd name="connsiteX91" fmla="*/ 797527 w 1271016"/>
              <a:gd name="connsiteY91" fmla="*/ 563533 h 925261"/>
              <a:gd name="connsiteX92" fmla="*/ 809409 w 1271016"/>
              <a:gd name="connsiteY92" fmla="*/ 563533 h 925261"/>
              <a:gd name="connsiteX93" fmla="*/ 809311 w 1271016"/>
              <a:gd name="connsiteY93" fmla="*/ 606144 h 925261"/>
              <a:gd name="connsiteX94" fmla="*/ 797527 w 1271016"/>
              <a:gd name="connsiteY94" fmla="*/ 600690 h 925261"/>
              <a:gd name="connsiteX95" fmla="*/ 797527 w 1271016"/>
              <a:gd name="connsiteY95" fmla="*/ 563533 h 925261"/>
              <a:gd name="connsiteX96" fmla="*/ 727888 w 1271016"/>
              <a:gd name="connsiteY96" fmla="*/ 324523 h 925261"/>
              <a:gd name="connsiteX97" fmla="*/ 753163 w 1271016"/>
              <a:gd name="connsiteY97" fmla="*/ 358125 h 925261"/>
              <a:gd name="connsiteX98" fmla="*/ 753163 w 1271016"/>
              <a:gd name="connsiteY98" fmla="*/ 522189 h 925261"/>
              <a:gd name="connsiteX99" fmla="*/ 753163 w 1271016"/>
              <a:gd name="connsiteY99" fmla="*/ 524867 h 925261"/>
              <a:gd name="connsiteX100" fmla="*/ 760906 w 1271016"/>
              <a:gd name="connsiteY100" fmla="*/ 558274 h 925261"/>
              <a:gd name="connsiteX101" fmla="*/ 773957 w 1271016"/>
              <a:gd name="connsiteY101" fmla="*/ 563484 h 925261"/>
              <a:gd name="connsiteX102" fmla="*/ 783696 w 1271016"/>
              <a:gd name="connsiteY102" fmla="*/ 563484 h 925261"/>
              <a:gd name="connsiteX103" fmla="*/ 783696 w 1271016"/>
              <a:gd name="connsiteY103" fmla="*/ 599083 h 925261"/>
              <a:gd name="connsiteX104" fmla="*/ 729106 w 1271016"/>
              <a:gd name="connsiteY104" fmla="*/ 624260 h 925261"/>
              <a:gd name="connsiteX105" fmla="*/ 728765 w 1271016"/>
              <a:gd name="connsiteY105" fmla="*/ 394356 h 925261"/>
              <a:gd name="connsiteX106" fmla="*/ 699985 w 1271016"/>
              <a:gd name="connsiteY106" fmla="*/ 355398 h 925261"/>
              <a:gd name="connsiteX107" fmla="*/ 727888 w 1271016"/>
              <a:gd name="connsiteY107" fmla="*/ 324523 h 925261"/>
              <a:gd name="connsiteX108" fmla="*/ 520435 w 1271016"/>
              <a:gd name="connsiteY108" fmla="*/ 680408 h 925261"/>
              <a:gd name="connsiteX109" fmla="*/ 537528 w 1271016"/>
              <a:gd name="connsiteY109" fmla="*/ 672909 h 925261"/>
              <a:gd name="connsiteX110" fmla="*/ 544248 w 1271016"/>
              <a:gd name="connsiteY110" fmla="*/ 649923 h 925261"/>
              <a:gd name="connsiteX111" fmla="*/ 544200 w 1271016"/>
              <a:gd name="connsiteY111" fmla="*/ 648024 h 925261"/>
              <a:gd name="connsiteX112" fmla="*/ 544200 w 1271016"/>
              <a:gd name="connsiteY112" fmla="*/ 464579 h 925261"/>
              <a:gd name="connsiteX113" fmla="*/ 567770 w 1271016"/>
              <a:gd name="connsiteY113" fmla="*/ 448314 h 925261"/>
              <a:gd name="connsiteX114" fmla="*/ 589148 w 1271016"/>
              <a:gd name="connsiteY114" fmla="*/ 462874 h 925261"/>
              <a:gd name="connsiteX115" fmla="*/ 589148 w 1271016"/>
              <a:gd name="connsiteY115" fmla="*/ 477776 h 925261"/>
              <a:gd name="connsiteX116" fmla="*/ 556326 w 1271016"/>
              <a:gd name="connsiteY116" fmla="*/ 516880 h 925261"/>
              <a:gd name="connsiteX117" fmla="*/ 555839 w 1271016"/>
              <a:gd name="connsiteY117" fmla="*/ 700813 h 925261"/>
              <a:gd name="connsiteX118" fmla="*/ 520386 w 1271016"/>
              <a:gd name="connsiteY118" fmla="*/ 700813 h 925261"/>
              <a:gd name="connsiteX119" fmla="*/ 520386 w 1271016"/>
              <a:gd name="connsiteY119" fmla="*/ 680408 h 925261"/>
              <a:gd name="connsiteX120" fmla="*/ 427666 w 1271016"/>
              <a:gd name="connsiteY120" fmla="*/ 189873 h 925261"/>
              <a:gd name="connsiteX121" fmla="*/ 450602 w 1271016"/>
              <a:gd name="connsiteY121" fmla="*/ 189873 h 925261"/>
              <a:gd name="connsiteX122" fmla="*/ 427666 w 1271016"/>
              <a:gd name="connsiteY122" fmla="*/ 217631 h 925261"/>
              <a:gd name="connsiteX123" fmla="*/ 427666 w 1271016"/>
              <a:gd name="connsiteY123" fmla="*/ 189873 h 925261"/>
              <a:gd name="connsiteX124" fmla="*/ 427666 w 1271016"/>
              <a:gd name="connsiteY124" fmla="*/ 233896 h 925261"/>
              <a:gd name="connsiteX125" fmla="*/ 455277 w 1271016"/>
              <a:gd name="connsiteY125" fmla="*/ 200490 h 925261"/>
              <a:gd name="connsiteX126" fmla="*/ 455277 w 1271016"/>
              <a:gd name="connsiteY126" fmla="*/ 335042 h 925261"/>
              <a:gd name="connsiteX127" fmla="*/ 427666 w 1271016"/>
              <a:gd name="connsiteY127" fmla="*/ 301635 h 925261"/>
              <a:gd name="connsiteX128" fmla="*/ 427666 w 1271016"/>
              <a:gd name="connsiteY128" fmla="*/ 233896 h 925261"/>
              <a:gd name="connsiteX129" fmla="*/ 427666 w 1271016"/>
              <a:gd name="connsiteY129" fmla="*/ 323939 h 925261"/>
              <a:gd name="connsiteX130" fmla="*/ 427666 w 1271016"/>
              <a:gd name="connsiteY130" fmla="*/ 317852 h 925261"/>
              <a:gd name="connsiteX131" fmla="*/ 454888 w 1271016"/>
              <a:gd name="connsiteY131" fmla="*/ 350772 h 925261"/>
              <a:gd name="connsiteX132" fmla="*/ 427666 w 1271016"/>
              <a:gd name="connsiteY132" fmla="*/ 383691 h 925261"/>
              <a:gd name="connsiteX133" fmla="*/ 427666 w 1271016"/>
              <a:gd name="connsiteY133" fmla="*/ 323939 h 925261"/>
              <a:gd name="connsiteX134" fmla="*/ 427666 w 1271016"/>
              <a:gd name="connsiteY134" fmla="*/ 428932 h 925261"/>
              <a:gd name="connsiteX135" fmla="*/ 427666 w 1271016"/>
              <a:gd name="connsiteY135" fmla="*/ 399957 h 925261"/>
              <a:gd name="connsiteX136" fmla="*/ 455277 w 1271016"/>
              <a:gd name="connsiteY136" fmla="*/ 366550 h 925261"/>
              <a:gd name="connsiteX137" fmla="*/ 455277 w 1271016"/>
              <a:gd name="connsiteY137" fmla="*/ 501102 h 925261"/>
              <a:gd name="connsiteX138" fmla="*/ 427666 w 1271016"/>
              <a:gd name="connsiteY138" fmla="*/ 467696 h 925261"/>
              <a:gd name="connsiteX139" fmla="*/ 427666 w 1271016"/>
              <a:gd name="connsiteY139" fmla="*/ 428932 h 925261"/>
              <a:gd name="connsiteX140" fmla="*/ 427666 w 1271016"/>
              <a:gd name="connsiteY140" fmla="*/ 483961 h 925261"/>
              <a:gd name="connsiteX141" fmla="*/ 455277 w 1271016"/>
              <a:gd name="connsiteY141" fmla="*/ 517367 h 925261"/>
              <a:gd name="connsiteX142" fmla="*/ 455277 w 1271016"/>
              <a:gd name="connsiteY142" fmla="*/ 528811 h 925261"/>
              <a:gd name="connsiteX143" fmla="*/ 429419 w 1271016"/>
              <a:gd name="connsiteY143" fmla="*/ 528811 h 925261"/>
              <a:gd name="connsiteX144" fmla="*/ 429419 w 1271016"/>
              <a:gd name="connsiteY144" fmla="*/ 506264 h 925261"/>
              <a:gd name="connsiteX145" fmla="*/ 427714 w 1271016"/>
              <a:gd name="connsiteY145" fmla="*/ 502466 h 925261"/>
              <a:gd name="connsiteX146" fmla="*/ 427714 w 1271016"/>
              <a:gd name="connsiteY146" fmla="*/ 483961 h 925261"/>
              <a:gd name="connsiteX147" fmla="*/ 419046 w 1271016"/>
              <a:gd name="connsiteY147" fmla="*/ 511426 h 925261"/>
              <a:gd name="connsiteX148" fmla="*/ 419046 w 1271016"/>
              <a:gd name="connsiteY148" fmla="*/ 528763 h 925261"/>
              <a:gd name="connsiteX149" fmla="*/ 417342 w 1271016"/>
              <a:gd name="connsiteY149" fmla="*/ 528763 h 925261"/>
              <a:gd name="connsiteX150" fmla="*/ 401466 w 1271016"/>
              <a:gd name="connsiteY150" fmla="*/ 528763 h 925261"/>
              <a:gd name="connsiteX151" fmla="*/ 401466 w 1271016"/>
              <a:gd name="connsiteY151" fmla="*/ 511426 h 925261"/>
              <a:gd name="connsiteX152" fmla="*/ 417342 w 1271016"/>
              <a:gd name="connsiteY152" fmla="*/ 511426 h 925261"/>
              <a:gd name="connsiteX153" fmla="*/ 419046 w 1271016"/>
              <a:gd name="connsiteY153" fmla="*/ 511426 h 925261"/>
              <a:gd name="connsiteX154" fmla="*/ 417342 w 1271016"/>
              <a:gd name="connsiteY154" fmla="*/ 455131 h 925261"/>
              <a:gd name="connsiteX155" fmla="*/ 399956 w 1271016"/>
              <a:gd name="connsiteY155" fmla="*/ 434094 h 925261"/>
              <a:gd name="connsiteX156" fmla="*/ 417342 w 1271016"/>
              <a:gd name="connsiteY156" fmla="*/ 434094 h 925261"/>
              <a:gd name="connsiteX157" fmla="*/ 417342 w 1271016"/>
              <a:gd name="connsiteY157" fmla="*/ 455131 h 925261"/>
              <a:gd name="connsiteX158" fmla="*/ 417342 w 1271016"/>
              <a:gd name="connsiteY158" fmla="*/ 289071 h 925261"/>
              <a:gd name="connsiteX159" fmla="*/ 399713 w 1271016"/>
              <a:gd name="connsiteY159" fmla="*/ 267742 h 925261"/>
              <a:gd name="connsiteX160" fmla="*/ 417342 w 1271016"/>
              <a:gd name="connsiteY160" fmla="*/ 246412 h 925261"/>
              <a:gd name="connsiteX161" fmla="*/ 417342 w 1271016"/>
              <a:gd name="connsiteY161" fmla="*/ 289071 h 925261"/>
              <a:gd name="connsiteX162" fmla="*/ 368692 w 1271016"/>
              <a:gd name="connsiteY162" fmla="*/ 14025 h 925261"/>
              <a:gd name="connsiteX163" fmla="*/ 417342 w 1271016"/>
              <a:gd name="connsiteY163" fmla="*/ 14025 h 925261"/>
              <a:gd name="connsiteX164" fmla="*/ 417342 w 1271016"/>
              <a:gd name="connsiteY164" fmla="*/ 108694 h 925261"/>
              <a:gd name="connsiteX165" fmla="*/ 368692 w 1271016"/>
              <a:gd name="connsiteY165" fmla="*/ 108694 h 925261"/>
              <a:gd name="connsiteX166" fmla="*/ 368692 w 1271016"/>
              <a:gd name="connsiteY166" fmla="*/ 14025 h 925261"/>
              <a:gd name="connsiteX167" fmla="*/ 368692 w 1271016"/>
              <a:gd name="connsiteY167" fmla="*/ 224059 h 925261"/>
              <a:gd name="connsiteX168" fmla="*/ 417342 w 1271016"/>
              <a:gd name="connsiteY168" fmla="*/ 224059 h 925261"/>
              <a:gd name="connsiteX169" fmla="*/ 417342 w 1271016"/>
              <a:gd name="connsiteY169" fmla="*/ 230147 h 925261"/>
              <a:gd name="connsiteX170" fmla="*/ 392993 w 1271016"/>
              <a:gd name="connsiteY170" fmla="*/ 259609 h 925261"/>
              <a:gd name="connsiteX171" fmla="*/ 368692 w 1271016"/>
              <a:gd name="connsiteY171" fmla="*/ 230147 h 925261"/>
              <a:gd name="connsiteX172" fmla="*/ 368692 w 1271016"/>
              <a:gd name="connsiteY172" fmla="*/ 224059 h 925261"/>
              <a:gd name="connsiteX173" fmla="*/ 368692 w 1271016"/>
              <a:gd name="connsiteY173" fmla="*/ 246412 h 925261"/>
              <a:gd name="connsiteX174" fmla="*/ 386321 w 1271016"/>
              <a:gd name="connsiteY174" fmla="*/ 267742 h 925261"/>
              <a:gd name="connsiteX175" fmla="*/ 368692 w 1271016"/>
              <a:gd name="connsiteY175" fmla="*/ 289071 h 925261"/>
              <a:gd name="connsiteX176" fmla="*/ 368692 w 1271016"/>
              <a:gd name="connsiteY176" fmla="*/ 246412 h 925261"/>
              <a:gd name="connsiteX177" fmla="*/ 368692 w 1271016"/>
              <a:gd name="connsiteY177" fmla="*/ 305288 h 925261"/>
              <a:gd name="connsiteX178" fmla="*/ 392993 w 1271016"/>
              <a:gd name="connsiteY178" fmla="*/ 275825 h 925261"/>
              <a:gd name="connsiteX179" fmla="*/ 417342 w 1271016"/>
              <a:gd name="connsiteY179" fmla="*/ 305288 h 925261"/>
              <a:gd name="connsiteX180" fmla="*/ 417342 w 1271016"/>
              <a:gd name="connsiteY180" fmla="*/ 318728 h 925261"/>
              <a:gd name="connsiteX181" fmla="*/ 368692 w 1271016"/>
              <a:gd name="connsiteY181" fmla="*/ 318728 h 925261"/>
              <a:gd name="connsiteX182" fmla="*/ 368692 w 1271016"/>
              <a:gd name="connsiteY182" fmla="*/ 305288 h 925261"/>
              <a:gd name="connsiteX183" fmla="*/ 368692 w 1271016"/>
              <a:gd name="connsiteY183" fmla="*/ 434143 h 925261"/>
              <a:gd name="connsiteX184" fmla="*/ 386077 w 1271016"/>
              <a:gd name="connsiteY184" fmla="*/ 434143 h 925261"/>
              <a:gd name="connsiteX185" fmla="*/ 368692 w 1271016"/>
              <a:gd name="connsiteY185" fmla="*/ 455180 h 925261"/>
              <a:gd name="connsiteX186" fmla="*/ 368692 w 1271016"/>
              <a:gd name="connsiteY186" fmla="*/ 434143 h 925261"/>
              <a:gd name="connsiteX187" fmla="*/ 368692 w 1271016"/>
              <a:gd name="connsiteY187" fmla="*/ 471397 h 925261"/>
              <a:gd name="connsiteX188" fmla="*/ 392993 w 1271016"/>
              <a:gd name="connsiteY188" fmla="*/ 441934 h 925261"/>
              <a:gd name="connsiteX189" fmla="*/ 417342 w 1271016"/>
              <a:gd name="connsiteY189" fmla="*/ 471397 h 925261"/>
              <a:gd name="connsiteX190" fmla="*/ 417342 w 1271016"/>
              <a:gd name="connsiteY190" fmla="*/ 501102 h 925261"/>
              <a:gd name="connsiteX191" fmla="*/ 396304 w 1271016"/>
              <a:gd name="connsiteY191" fmla="*/ 501102 h 925261"/>
              <a:gd name="connsiteX192" fmla="*/ 391142 w 1271016"/>
              <a:gd name="connsiteY192" fmla="*/ 506264 h 925261"/>
              <a:gd name="connsiteX193" fmla="*/ 391142 w 1271016"/>
              <a:gd name="connsiteY193" fmla="*/ 528811 h 925261"/>
              <a:gd name="connsiteX194" fmla="*/ 368692 w 1271016"/>
              <a:gd name="connsiteY194" fmla="*/ 528811 h 925261"/>
              <a:gd name="connsiteX195" fmla="*/ 368692 w 1271016"/>
              <a:gd name="connsiteY195" fmla="*/ 471397 h 925261"/>
              <a:gd name="connsiteX196" fmla="*/ 396304 w 1271016"/>
              <a:gd name="connsiteY196" fmla="*/ 540889 h 925261"/>
              <a:gd name="connsiteX197" fmla="*/ 424208 w 1271016"/>
              <a:gd name="connsiteY197" fmla="*/ 540889 h 925261"/>
              <a:gd name="connsiteX198" fmla="*/ 489707 w 1271016"/>
              <a:gd name="connsiteY198" fmla="*/ 540889 h 925261"/>
              <a:gd name="connsiteX199" fmla="*/ 509868 w 1271016"/>
              <a:gd name="connsiteY199" fmla="*/ 571861 h 925261"/>
              <a:gd name="connsiteX200" fmla="*/ 374828 w 1271016"/>
              <a:gd name="connsiteY200" fmla="*/ 571861 h 925261"/>
              <a:gd name="connsiteX201" fmla="*/ 363822 w 1271016"/>
              <a:gd name="connsiteY201" fmla="*/ 540889 h 925261"/>
              <a:gd name="connsiteX202" fmla="*/ 396304 w 1271016"/>
              <a:gd name="connsiteY202" fmla="*/ 540889 h 925261"/>
              <a:gd name="connsiteX203" fmla="*/ 510062 w 1271016"/>
              <a:gd name="connsiteY203" fmla="*/ 582185 h 925261"/>
              <a:gd name="connsiteX204" fmla="*/ 510062 w 1271016"/>
              <a:gd name="connsiteY204" fmla="*/ 700813 h 925261"/>
              <a:gd name="connsiteX205" fmla="*/ 372637 w 1271016"/>
              <a:gd name="connsiteY205" fmla="*/ 700910 h 925261"/>
              <a:gd name="connsiteX206" fmla="*/ 374877 w 1271016"/>
              <a:gd name="connsiteY206" fmla="*/ 582185 h 925261"/>
              <a:gd name="connsiteX207" fmla="*/ 510062 w 1271016"/>
              <a:gd name="connsiteY207" fmla="*/ 582185 h 925261"/>
              <a:gd name="connsiteX208" fmla="*/ 358320 w 1271016"/>
              <a:gd name="connsiteY208" fmla="*/ 189873 h 925261"/>
              <a:gd name="connsiteX209" fmla="*/ 358320 w 1271016"/>
              <a:gd name="connsiteY209" fmla="*/ 217631 h 925261"/>
              <a:gd name="connsiteX210" fmla="*/ 335383 w 1271016"/>
              <a:gd name="connsiteY210" fmla="*/ 189873 h 925261"/>
              <a:gd name="connsiteX211" fmla="*/ 358320 w 1271016"/>
              <a:gd name="connsiteY211" fmla="*/ 189873 h 925261"/>
              <a:gd name="connsiteX212" fmla="*/ 329588 w 1271016"/>
              <a:gd name="connsiteY212" fmla="*/ 199077 h 925261"/>
              <a:gd name="connsiteX213" fmla="*/ 358320 w 1271016"/>
              <a:gd name="connsiteY213" fmla="*/ 233896 h 925261"/>
              <a:gd name="connsiteX214" fmla="*/ 358320 w 1271016"/>
              <a:gd name="connsiteY214" fmla="*/ 301587 h 925261"/>
              <a:gd name="connsiteX215" fmla="*/ 329588 w 1271016"/>
              <a:gd name="connsiteY215" fmla="*/ 336406 h 925261"/>
              <a:gd name="connsiteX216" fmla="*/ 329588 w 1271016"/>
              <a:gd name="connsiteY216" fmla="*/ 199077 h 925261"/>
              <a:gd name="connsiteX217" fmla="*/ 358320 w 1271016"/>
              <a:gd name="connsiteY217" fmla="*/ 317852 h 925261"/>
              <a:gd name="connsiteX218" fmla="*/ 358320 w 1271016"/>
              <a:gd name="connsiteY218" fmla="*/ 323939 h 925261"/>
              <a:gd name="connsiteX219" fmla="*/ 358320 w 1271016"/>
              <a:gd name="connsiteY219" fmla="*/ 383740 h 925261"/>
              <a:gd name="connsiteX220" fmla="*/ 331097 w 1271016"/>
              <a:gd name="connsiteY220" fmla="*/ 350820 h 925261"/>
              <a:gd name="connsiteX221" fmla="*/ 358320 w 1271016"/>
              <a:gd name="connsiteY221" fmla="*/ 317852 h 925261"/>
              <a:gd name="connsiteX222" fmla="*/ 329588 w 1271016"/>
              <a:gd name="connsiteY222" fmla="*/ 365186 h 925261"/>
              <a:gd name="connsiteX223" fmla="*/ 358320 w 1271016"/>
              <a:gd name="connsiteY223" fmla="*/ 400005 h 925261"/>
              <a:gd name="connsiteX224" fmla="*/ 358320 w 1271016"/>
              <a:gd name="connsiteY224" fmla="*/ 428981 h 925261"/>
              <a:gd name="connsiteX225" fmla="*/ 358320 w 1271016"/>
              <a:gd name="connsiteY225" fmla="*/ 467696 h 925261"/>
              <a:gd name="connsiteX226" fmla="*/ 329588 w 1271016"/>
              <a:gd name="connsiteY226" fmla="*/ 502515 h 925261"/>
              <a:gd name="connsiteX227" fmla="*/ 329588 w 1271016"/>
              <a:gd name="connsiteY227" fmla="*/ 365186 h 925261"/>
              <a:gd name="connsiteX228" fmla="*/ 329588 w 1271016"/>
              <a:gd name="connsiteY228" fmla="*/ 518731 h 925261"/>
              <a:gd name="connsiteX229" fmla="*/ 358320 w 1271016"/>
              <a:gd name="connsiteY229" fmla="*/ 483912 h 925261"/>
              <a:gd name="connsiteX230" fmla="*/ 358320 w 1271016"/>
              <a:gd name="connsiteY230" fmla="*/ 528763 h 925261"/>
              <a:gd name="connsiteX231" fmla="*/ 329588 w 1271016"/>
              <a:gd name="connsiteY231" fmla="*/ 528763 h 925261"/>
              <a:gd name="connsiteX232" fmla="*/ 329588 w 1271016"/>
              <a:gd name="connsiteY232" fmla="*/ 518731 h 925261"/>
              <a:gd name="connsiteX233" fmla="*/ 256054 w 1271016"/>
              <a:gd name="connsiteY233" fmla="*/ 511426 h 925261"/>
              <a:gd name="connsiteX234" fmla="*/ 273634 w 1271016"/>
              <a:gd name="connsiteY234" fmla="*/ 511426 h 925261"/>
              <a:gd name="connsiteX235" fmla="*/ 273634 w 1271016"/>
              <a:gd name="connsiteY235" fmla="*/ 530516 h 925261"/>
              <a:gd name="connsiteX236" fmla="*/ 256054 w 1271016"/>
              <a:gd name="connsiteY236" fmla="*/ 530516 h 925261"/>
              <a:gd name="connsiteX237" fmla="*/ 256054 w 1271016"/>
              <a:gd name="connsiteY237" fmla="*/ 511426 h 925261"/>
              <a:gd name="connsiteX238" fmla="*/ 182812 w 1271016"/>
              <a:gd name="connsiteY238" fmla="*/ 540889 h 925261"/>
              <a:gd name="connsiteX239" fmla="*/ 250843 w 1271016"/>
              <a:gd name="connsiteY239" fmla="*/ 540889 h 925261"/>
              <a:gd name="connsiteX240" fmla="*/ 278747 w 1271016"/>
              <a:gd name="connsiteY240" fmla="*/ 540889 h 925261"/>
              <a:gd name="connsiteX241" fmla="*/ 308648 w 1271016"/>
              <a:gd name="connsiteY241" fmla="*/ 540889 h 925261"/>
              <a:gd name="connsiteX242" fmla="*/ 328176 w 1271016"/>
              <a:gd name="connsiteY242" fmla="*/ 540889 h 925261"/>
              <a:gd name="connsiteX243" fmla="*/ 344246 w 1271016"/>
              <a:gd name="connsiteY243" fmla="*/ 540889 h 925261"/>
              <a:gd name="connsiteX244" fmla="*/ 364407 w 1271016"/>
              <a:gd name="connsiteY244" fmla="*/ 571861 h 925261"/>
              <a:gd name="connsiteX245" fmla="*/ 308063 w 1271016"/>
              <a:gd name="connsiteY245" fmla="*/ 571861 h 925261"/>
              <a:gd name="connsiteX246" fmla="*/ 302658 w 1271016"/>
              <a:gd name="connsiteY246" fmla="*/ 571861 h 925261"/>
              <a:gd name="connsiteX247" fmla="*/ 297691 w 1271016"/>
              <a:gd name="connsiteY247" fmla="*/ 571861 h 925261"/>
              <a:gd name="connsiteX248" fmla="*/ 162700 w 1271016"/>
              <a:gd name="connsiteY248" fmla="*/ 571861 h 925261"/>
              <a:gd name="connsiteX249" fmla="*/ 182812 w 1271016"/>
              <a:gd name="connsiteY249" fmla="*/ 540889 h 925261"/>
              <a:gd name="connsiteX250" fmla="*/ 202097 w 1271016"/>
              <a:gd name="connsiteY250" fmla="*/ 910799 h 925261"/>
              <a:gd name="connsiteX251" fmla="*/ 153837 w 1271016"/>
              <a:gd name="connsiteY251" fmla="*/ 910799 h 925261"/>
              <a:gd name="connsiteX252" fmla="*/ 153837 w 1271016"/>
              <a:gd name="connsiteY252" fmla="*/ 864974 h 925261"/>
              <a:gd name="connsiteX253" fmla="*/ 148431 w 1271016"/>
              <a:gd name="connsiteY253" fmla="*/ 859568 h 925261"/>
              <a:gd name="connsiteX254" fmla="*/ 61067 w 1271016"/>
              <a:gd name="connsiteY254" fmla="*/ 859568 h 925261"/>
              <a:gd name="connsiteX255" fmla="*/ 55662 w 1271016"/>
              <a:gd name="connsiteY255" fmla="*/ 864974 h 925261"/>
              <a:gd name="connsiteX256" fmla="*/ 55662 w 1271016"/>
              <a:gd name="connsiteY256" fmla="*/ 910799 h 925261"/>
              <a:gd name="connsiteX257" fmla="*/ 14025 w 1271016"/>
              <a:gd name="connsiteY257" fmla="*/ 910799 h 925261"/>
              <a:gd name="connsiteX258" fmla="*/ 14025 w 1271016"/>
              <a:gd name="connsiteY258" fmla="*/ 819441 h 925261"/>
              <a:gd name="connsiteX259" fmla="*/ 107963 w 1271016"/>
              <a:gd name="connsiteY259" fmla="*/ 713474 h 925261"/>
              <a:gd name="connsiteX260" fmla="*/ 108256 w 1271016"/>
              <a:gd name="connsiteY260" fmla="*/ 713133 h 925261"/>
              <a:gd name="connsiteX261" fmla="*/ 174241 w 1271016"/>
              <a:gd name="connsiteY261" fmla="*/ 779168 h 925261"/>
              <a:gd name="connsiteX262" fmla="*/ 202145 w 1271016"/>
              <a:gd name="connsiteY262" fmla="*/ 807072 h 925261"/>
              <a:gd name="connsiteX263" fmla="*/ 202145 w 1271016"/>
              <a:gd name="connsiteY263" fmla="*/ 910799 h 925261"/>
              <a:gd name="connsiteX264" fmla="*/ 160119 w 1271016"/>
              <a:gd name="connsiteY264" fmla="*/ 701056 h 925261"/>
              <a:gd name="connsiteX265" fmla="*/ 162310 w 1271016"/>
              <a:gd name="connsiteY265" fmla="*/ 582233 h 925261"/>
              <a:gd name="connsiteX266" fmla="*/ 297447 w 1271016"/>
              <a:gd name="connsiteY266" fmla="*/ 582233 h 925261"/>
              <a:gd name="connsiteX267" fmla="*/ 302658 w 1271016"/>
              <a:gd name="connsiteY267" fmla="*/ 582233 h 925261"/>
              <a:gd name="connsiteX268" fmla="*/ 307820 w 1271016"/>
              <a:gd name="connsiteY268" fmla="*/ 582233 h 925261"/>
              <a:gd name="connsiteX269" fmla="*/ 364553 w 1271016"/>
              <a:gd name="connsiteY269" fmla="*/ 582233 h 925261"/>
              <a:gd name="connsiteX270" fmla="*/ 362313 w 1271016"/>
              <a:gd name="connsiteY270" fmla="*/ 700959 h 925261"/>
              <a:gd name="connsiteX271" fmla="*/ 160119 w 1271016"/>
              <a:gd name="connsiteY271" fmla="*/ 701056 h 925261"/>
              <a:gd name="connsiteX272" fmla="*/ 1208683 w 1271016"/>
              <a:gd name="connsiteY272" fmla="*/ 911480 h 925261"/>
              <a:gd name="connsiteX273" fmla="*/ 1051535 w 1271016"/>
              <a:gd name="connsiteY273" fmla="*/ 911480 h 925261"/>
              <a:gd name="connsiteX274" fmla="*/ 1051535 w 1271016"/>
              <a:gd name="connsiteY274" fmla="*/ 832541 h 925261"/>
              <a:gd name="connsiteX275" fmla="*/ 1050172 w 1271016"/>
              <a:gd name="connsiteY275" fmla="*/ 831177 h 925261"/>
              <a:gd name="connsiteX276" fmla="*/ 1006684 w 1271016"/>
              <a:gd name="connsiteY276" fmla="*/ 831177 h 925261"/>
              <a:gd name="connsiteX277" fmla="*/ 1005321 w 1271016"/>
              <a:gd name="connsiteY277" fmla="*/ 832541 h 925261"/>
              <a:gd name="connsiteX278" fmla="*/ 1005321 w 1271016"/>
              <a:gd name="connsiteY278" fmla="*/ 911480 h 925261"/>
              <a:gd name="connsiteX279" fmla="*/ 955113 w 1271016"/>
              <a:gd name="connsiteY279" fmla="*/ 911480 h 925261"/>
              <a:gd name="connsiteX280" fmla="*/ 949951 w 1271016"/>
              <a:gd name="connsiteY280" fmla="*/ 911480 h 925261"/>
              <a:gd name="connsiteX281" fmla="*/ 944789 w 1271016"/>
              <a:gd name="connsiteY281" fmla="*/ 911480 h 925261"/>
              <a:gd name="connsiteX282" fmla="*/ 939627 w 1271016"/>
              <a:gd name="connsiteY282" fmla="*/ 911480 h 925261"/>
              <a:gd name="connsiteX283" fmla="*/ 693216 w 1271016"/>
              <a:gd name="connsiteY283" fmla="*/ 911480 h 925261"/>
              <a:gd name="connsiteX284" fmla="*/ 693216 w 1271016"/>
              <a:gd name="connsiteY284" fmla="*/ 832541 h 925261"/>
              <a:gd name="connsiteX285" fmla="*/ 691852 w 1271016"/>
              <a:gd name="connsiteY285" fmla="*/ 831177 h 925261"/>
              <a:gd name="connsiteX286" fmla="*/ 648365 w 1271016"/>
              <a:gd name="connsiteY286" fmla="*/ 831177 h 925261"/>
              <a:gd name="connsiteX287" fmla="*/ 647001 w 1271016"/>
              <a:gd name="connsiteY287" fmla="*/ 832541 h 925261"/>
              <a:gd name="connsiteX288" fmla="*/ 647001 w 1271016"/>
              <a:gd name="connsiteY288" fmla="*/ 911480 h 925261"/>
              <a:gd name="connsiteX289" fmla="*/ 631418 w 1271016"/>
              <a:gd name="connsiteY289" fmla="*/ 911480 h 925261"/>
              <a:gd name="connsiteX290" fmla="*/ 621045 w 1271016"/>
              <a:gd name="connsiteY290" fmla="*/ 911480 h 925261"/>
              <a:gd name="connsiteX291" fmla="*/ 334896 w 1271016"/>
              <a:gd name="connsiteY291" fmla="*/ 911480 h 925261"/>
              <a:gd name="connsiteX292" fmla="*/ 334896 w 1271016"/>
              <a:gd name="connsiteY292" fmla="*/ 832541 h 925261"/>
              <a:gd name="connsiteX293" fmla="*/ 333532 w 1271016"/>
              <a:gd name="connsiteY293" fmla="*/ 831177 h 925261"/>
              <a:gd name="connsiteX294" fmla="*/ 290045 w 1271016"/>
              <a:gd name="connsiteY294" fmla="*/ 831177 h 925261"/>
              <a:gd name="connsiteX295" fmla="*/ 288682 w 1271016"/>
              <a:gd name="connsiteY295" fmla="*/ 832541 h 925261"/>
              <a:gd name="connsiteX296" fmla="*/ 288682 w 1271016"/>
              <a:gd name="connsiteY296" fmla="*/ 911480 h 925261"/>
              <a:gd name="connsiteX297" fmla="*/ 212469 w 1271016"/>
              <a:gd name="connsiteY297" fmla="*/ 911480 h 925261"/>
              <a:gd name="connsiteX298" fmla="*/ 212469 w 1271016"/>
              <a:gd name="connsiteY298" fmla="*/ 810773 h 925261"/>
              <a:gd name="connsiteX299" fmla="*/ 621045 w 1271016"/>
              <a:gd name="connsiteY299" fmla="*/ 810773 h 925261"/>
              <a:gd name="connsiteX300" fmla="*/ 631418 w 1271016"/>
              <a:gd name="connsiteY300" fmla="*/ 810773 h 925261"/>
              <a:gd name="connsiteX301" fmla="*/ 939579 w 1271016"/>
              <a:gd name="connsiteY301" fmla="*/ 810773 h 925261"/>
              <a:gd name="connsiteX302" fmla="*/ 944740 w 1271016"/>
              <a:gd name="connsiteY302" fmla="*/ 810773 h 925261"/>
              <a:gd name="connsiteX303" fmla="*/ 949902 w 1271016"/>
              <a:gd name="connsiteY303" fmla="*/ 810773 h 925261"/>
              <a:gd name="connsiteX304" fmla="*/ 955064 w 1271016"/>
              <a:gd name="connsiteY304" fmla="*/ 810773 h 925261"/>
              <a:gd name="connsiteX305" fmla="*/ 1208635 w 1271016"/>
              <a:gd name="connsiteY305" fmla="*/ 810773 h 925261"/>
              <a:gd name="connsiteX306" fmla="*/ 1208635 w 1271016"/>
              <a:gd name="connsiteY306" fmla="*/ 911480 h 925261"/>
              <a:gd name="connsiteX307" fmla="*/ 1261618 w 1271016"/>
              <a:gd name="connsiteY307" fmla="*/ 911529 h 925261"/>
              <a:gd name="connsiteX308" fmla="*/ 1219056 w 1271016"/>
              <a:gd name="connsiteY308" fmla="*/ 911529 h 925261"/>
              <a:gd name="connsiteX309" fmla="*/ 1219056 w 1271016"/>
              <a:gd name="connsiteY309" fmla="*/ 805611 h 925261"/>
              <a:gd name="connsiteX310" fmla="*/ 1219007 w 1271016"/>
              <a:gd name="connsiteY310" fmla="*/ 805319 h 925261"/>
              <a:gd name="connsiteX311" fmla="*/ 1218277 w 1271016"/>
              <a:gd name="connsiteY311" fmla="*/ 802251 h 925261"/>
              <a:gd name="connsiteX312" fmla="*/ 1156869 w 1271016"/>
              <a:gd name="connsiteY312" fmla="*/ 702907 h 925261"/>
              <a:gd name="connsiteX313" fmla="*/ 1152486 w 1271016"/>
              <a:gd name="connsiteY313" fmla="*/ 700472 h 925261"/>
              <a:gd name="connsiteX314" fmla="*/ 1152486 w 1271016"/>
              <a:gd name="connsiteY314" fmla="*/ 700472 h 925261"/>
              <a:gd name="connsiteX315" fmla="*/ 955162 w 1271016"/>
              <a:gd name="connsiteY315" fmla="*/ 700569 h 925261"/>
              <a:gd name="connsiteX316" fmla="*/ 950000 w 1271016"/>
              <a:gd name="connsiteY316" fmla="*/ 700569 h 925261"/>
              <a:gd name="connsiteX317" fmla="*/ 944838 w 1271016"/>
              <a:gd name="connsiteY317" fmla="*/ 700569 h 925261"/>
              <a:gd name="connsiteX318" fmla="*/ 939676 w 1271016"/>
              <a:gd name="connsiteY318" fmla="*/ 700569 h 925261"/>
              <a:gd name="connsiteX319" fmla="*/ 868236 w 1271016"/>
              <a:gd name="connsiteY319" fmla="*/ 700618 h 925261"/>
              <a:gd name="connsiteX320" fmla="*/ 864778 w 1271016"/>
              <a:gd name="connsiteY320" fmla="*/ 700618 h 925261"/>
              <a:gd name="connsiteX321" fmla="*/ 864778 w 1271016"/>
              <a:gd name="connsiteY321" fmla="*/ 700034 h 925261"/>
              <a:gd name="connsiteX322" fmla="*/ 864778 w 1271016"/>
              <a:gd name="connsiteY322" fmla="*/ 700034 h 925261"/>
              <a:gd name="connsiteX323" fmla="*/ 864778 w 1271016"/>
              <a:gd name="connsiteY323" fmla="*/ 700618 h 925261"/>
              <a:gd name="connsiteX324" fmla="*/ 812672 w 1271016"/>
              <a:gd name="connsiteY324" fmla="*/ 700667 h 925261"/>
              <a:gd name="connsiteX325" fmla="*/ 812672 w 1271016"/>
              <a:gd name="connsiteY325" fmla="*/ 700082 h 925261"/>
              <a:gd name="connsiteX326" fmla="*/ 812672 w 1271016"/>
              <a:gd name="connsiteY326" fmla="*/ 700082 h 925261"/>
              <a:gd name="connsiteX327" fmla="*/ 812672 w 1271016"/>
              <a:gd name="connsiteY327" fmla="*/ 700667 h 925261"/>
              <a:gd name="connsiteX328" fmla="*/ 809214 w 1271016"/>
              <a:gd name="connsiteY328" fmla="*/ 700667 h 925261"/>
              <a:gd name="connsiteX329" fmla="*/ 797575 w 1271016"/>
              <a:gd name="connsiteY329" fmla="*/ 700667 h 925261"/>
              <a:gd name="connsiteX330" fmla="*/ 783794 w 1271016"/>
              <a:gd name="connsiteY330" fmla="*/ 700667 h 925261"/>
              <a:gd name="connsiteX331" fmla="*/ 729252 w 1271016"/>
              <a:gd name="connsiteY331" fmla="*/ 700667 h 925261"/>
              <a:gd name="connsiteX332" fmla="*/ 725794 w 1271016"/>
              <a:gd name="connsiteY332" fmla="*/ 700667 h 925261"/>
              <a:gd name="connsiteX333" fmla="*/ 722337 w 1271016"/>
              <a:gd name="connsiteY333" fmla="*/ 700667 h 925261"/>
              <a:gd name="connsiteX334" fmla="*/ 663558 w 1271016"/>
              <a:gd name="connsiteY334" fmla="*/ 700715 h 925261"/>
              <a:gd name="connsiteX335" fmla="*/ 660101 w 1271016"/>
              <a:gd name="connsiteY335" fmla="*/ 700715 h 925261"/>
              <a:gd name="connsiteX336" fmla="*/ 656643 w 1271016"/>
              <a:gd name="connsiteY336" fmla="*/ 700715 h 925261"/>
              <a:gd name="connsiteX337" fmla="*/ 636239 w 1271016"/>
              <a:gd name="connsiteY337" fmla="*/ 700715 h 925261"/>
              <a:gd name="connsiteX338" fmla="*/ 636190 w 1271016"/>
              <a:gd name="connsiteY338" fmla="*/ 678509 h 925261"/>
              <a:gd name="connsiteX339" fmla="*/ 656692 w 1271016"/>
              <a:gd name="connsiteY339" fmla="*/ 669062 h 925261"/>
              <a:gd name="connsiteX340" fmla="*/ 660150 w 1271016"/>
              <a:gd name="connsiteY340" fmla="*/ 667455 h 925261"/>
              <a:gd name="connsiteX341" fmla="*/ 663607 w 1271016"/>
              <a:gd name="connsiteY341" fmla="*/ 665848 h 925261"/>
              <a:gd name="connsiteX342" fmla="*/ 722239 w 1271016"/>
              <a:gd name="connsiteY342" fmla="*/ 638772 h 925261"/>
              <a:gd name="connsiteX343" fmla="*/ 725697 w 1271016"/>
              <a:gd name="connsiteY343" fmla="*/ 637165 h 925261"/>
              <a:gd name="connsiteX344" fmla="*/ 729155 w 1271016"/>
              <a:gd name="connsiteY344" fmla="*/ 635557 h 925261"/>
              <a:gd name="connsiteX345" fmla="*/ 783745 w 1271016"/>
              <a:gd name="connsiteY345" fmla="*/ 610381 h 925261"/>
              <a:gd name="connsiteX346" fmla="*/ 788956 w 1271016"/>
              <a:gd name="connsiteY346" fmla="*/ 607994 h 925261"/>
              <a:gd name="connsiteX347" fmla="*/ 797575 w 1271016"/>
              <a:gd name="connsiteY347" fmla="*/ 611988 h 925261"/>
              <a:gd name="connsiteX348" fmla="*/ 809360 w 1271016"/>
              <a:gd name="connsiteY348" fmla="*/ 617442 h 925261"/>
              <a:gd name="connsiteX349" fmla="*/ 812818 w 1271016"/>
              <a:gd name="connsiteY349" fmla="*/ 619049 h 925261"/>
              <a:gd name="connsiteX350" fmla="*/ 816275 w 1271016"/>
              <a:gd name="connsiteY350" fmla="*/ 620656 h 925261"/>
              <a:gd name="connsiteX351" fmla="*/ 861175 w 1271016"/>
              <a:gd name="connsiteY351" fmla="*/ 641353 h 925261"/>
              <a:gd name="connsiteX352" fmla="*/ 864632 w 1271016"/>
              <a:gd name="connsiteY352" fmla="*/ 642960 h 925261"/>
              <a:gd name="connsiteX353" fmla="*/ 868090 w 1271016"/>
              <a:gd name="connsiteY353" fmla="*/ 644567 h 925261"/>
              <a:gd name="connsiteX354" fmla="*/ 886887 w 1271016"/>
              <a:gd name="connsiteY354" fmla="*/ 653235 h 925261"/>
              <a:gd name="connsiteX355" fmla="*/ 890345 w 1271016"/>
              <a:gd name="connsiteY355" fmla="*/ 654842 h 925261"/>
              <a:gd name="connsiteX356" fmla="*/ 893802 w 1271016"/>
              <a:gd name="connsiteY356" fmla="*/ 656449 h 925261"/>
              <a:gd name="connsiteX357" fmla="*/ 939725 w 1271016"/>
              <a:gd name="connsiteY357" fmla="*/ 677633 h 925261"/>
              <a:gd name="connsiteX358" fmla="*/ 939725 w 1271016"/>
              <a:gd name="connsiteY358" fmla="*/ 700034 h 925261"/>
              <a:gd name="connsiteX359" fmla="*/ 944887 w 1271016"/>
              <a:gd name="connsiteY359" fmla="*/ 700034 h 925261"/>
              <a:gd name="connsiteX360" fmla="*/ 950049 w 1271016"/>
              <a:gd name="connsiteY360" fmla="*/ 700034 h 925261"/>
              <a:gd name="connsiteX361" fmla="*/ 950049 w 1271016"/>
              <a:gd name="connsiteY361" fmla="*/ 680019 h 925261"/>
              <a:gd name="connsiteX362" fmla="*/ 955211 w 1271016"/>
              <a:gd name="connsiteY362" fmla="*/ 677633 h 925261"/>
              <a:gd name="connsiteX363" fmla="*/ 1105931 w 1271016"/>
              <a:gd name="connsiteY363" fmla="*/ 608092 h 925261"/>
              <a:gd name="connsiteX364" fmla="*/ 1236977 w 1271016"/>
              <a:gd name="connsiteY364" fmla="*/ 668575 h 925261"/>
              <a:gd name="connsiteX365" fmla="*/ 1240435 w 1271016"/>
              <a:gd name="connsiteY365" fmla="*/ 670182 h 925261"/>
              <a:gd name="connsiteX366" fmla="*/ 1243892 w 1271016"/>
              <a:gd name="connsiteY366" fmla="*/ 671789 h 925261"/>
              <a:gd name="connsiteX367" fmla="*/ 1261764 w 1271016"/>
              <a:gd name="connsiteY367" fmla="*/ 680019 h 925261"/>
              <a:gd name="connsiteX368" fmla="*/ 1261764 w 1271016"/>
              <a:gd name="connsiteY368" fmla="*/ 911529 h 925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Lst>
            <a:rect l="l" t="t" r="r" b="b"/>
            <a:pathLst>
              <a:path w="1271016" h="925261">
                <a:moveTo>
                  <a:pt x="1268923" y="671984"/>
                </a:moveTo>
                <a:lnTo>
                  <a:pt x="1243746" y="660345"/>
                </a:lnTo>
                <a:lnTo>
                  <a:pt x="1240288" y="658738"/>
                </a:lnTo>
                <a:lnTo>
                  <a:pt x="1240288" y="539476"/>
                </a:lnTo>
                <a:cubicBezTo>
                  <a:pt x="1240288" y="537528"/>
                  <a:pt x="1238779" y="535970"/>
                  <a:pt x="1236880" y="535970"/>
                </a:cubicBezTo>
                <a:lnTo>
                  <a:pt x="893608" y="535970"/>
                </a:lnTo>
                <a:cubicBezTo>
                  <a:pt x="891757" y="535970"/>
                  <a:pt x="890247" y="537528"/>
                  <a:pt x="890247" y="539476"/>
                </a:cubicBezTo>
                <a:lnTo>
                  <a:pt x="890247" y="643349"/>
                </a:lnTo>
                <a:lnTo>
                  <a:pt x="893608" y="644956"/>
                </a:lnTo>
                <a:lnTo>
                  <a:pt x="895507" y="645881"/>
                </a:lnTo>
                <a:lnTo>
                  <a:pt x="893656" y="645005"/>
                </a:lnTo>
                <a:lnTo>
                  <a:pt x="890199" y="643398"/>
                </a:lnTo>
                <a:lnTo>
                  <a:pt x="886741" y="641791"/>
                </a:lnTo>
                <a:lnTo>
                  <a:pt x="867944" y="633123"/>
                </a:lnTo>
                <a:lnTo>
                  <a:pt x="867652" y="480308"/>
                </a:lnTo>
                <a:cubicBezTo>
                  <a:pt x="867652" y="464920"/>
                  <a:pt x="858302" y="451966"/>
                  <a:pt x="845738" y="448362"/>
                </a:cubicBezTo>
                <a:cubicBezTo>
                  <a:pt x="845738" y="442713"/>
                  <a:pt x="845738" y="436918"/>
                  <a:pt x="845494" y="433412"/>
                </a:cubicBezTo>
                <a:cubicBezTo>
                  <a:pt x="843838" y="406433"/>
                  <a:pt x="838628" y="398788"/>
                  <a:pt x="807364" y="400103"/>
                </a:cubicBezTo>
                <a:cubicBezTo>
                  <a:pt x="783648" y="401077"/>
                  <a:pt x="783648" y="422065"/>
                  <a:pt x="783648" y="444320"/>
                </a:cubicBezTo>
                <a:lnTo>
                  <a:pt x="783648" y="549703"/>
                </a:lnTo>
                <a:lnTo>
                  <a:pt x="773908" y="549703"/>
                </a:lnTo>
                <a:cubicBezTo>
                  <a:pt x="772057" y="549703"/>
                  <a:pt x="771230" y="549119"/>
                  <a:pt x="770645" y="548534"/>
                </a:cubicBezTo>
                <a:cubicBezTo>
                  <a:pt x="766749" y="544590"/>
                  <a:pt x="766847" y="532269"/>
                  <a:pt x="766896" y="524916"/>
                </a:cubicBezTo>
                <a:lnTo>
                  <a:pt x="766896" y="358076"/>
                </a:lnTo>
                <a:cubicBezTo>
                  <a:pt x="766896" y="327932"/>
                  <a:pt x="752627" y="310644"/>
                  <a:pt x="727840" y="310644"/>
                </a:cubicBezTo>
                <a:cubicBezTo>
                  <a:pt x="694043" y="310644"/>
                  <a:pt x="687080" y="333338"/>
                  <a:pt x="686106" y="355349"/>
                </a:cubicBezTo>
                <a:cubicBezTo>
                  <a:pt x="669548" y="358856"/>
                  <a:pt x="657033" y="375023"/>
                  <a:pt x="657033" y="394356"/>
                </a:cubicBezTo>
                <a:lnTo>
                  <a:pt x="656643" y="657666"/>
                </a:lnTo>
                <a:lnTo>
                  <a:pt x="636093" y="667162"/>
                </a:lnTo>
                <a:lnTo>
                  <a:pt x="635703" y="516832"/>
                </a:lnTo>
                <a:cubicBezTo>
                  <a:pt x="635703" y="497304"/>
                  <a:pt x="621532" y="481039"/>
                  <a:pt x="602929" y="477727"/>
                </a:cubicBezTo>
                <a:lnTo>
                  <a:pt x="602929" y="462874"/>
                </a:lnTo>
                <a:cubicBezTo>
                  <a:pt x="602929" y="449775"/>
                  <a:pt x="593726" y="434532"/>
                  <a:pt x="567721" y="434532"/>
                </a:cubicBezTo>
                <a:cubicBezTo>
                  <a:pt x="535191" y="434532"/>
                  <a:pt x="530321" y="453378"/>
                  <a:pt x="530321" y="464628"/>
                </a:cubicBezTo>
                <a:lnTo>
                  <a:pt x="530321" y="648073"/>
                </a:lnTo>
                <a:cubicBezTo>
                  <a:pt x="530321" y="648755"/>
                  <a:pt x="530321" y="649485"/>
                  <a:pt x="530370" y="650313"/>
                </a:cubicBezTo>
                <a:cubicBezTo>
                  <a:pt x="530467" y="654696"/>
                  <a:pt x="530613" y="660150"/>
                  <a:pt x="527545" y="663315"/>
                </a:cubicBezTo>
                <a:cubicBezTo>
                  <a:pt x="525841" y="665069"/>
                  <a:pt x="523162" y="665994"/>
                  <a:pt x="520338" y="666529"/>
                </a:cubicBezTo>
                <a:lnTo>
                  <a:pt x="520338" y="577217"/>
                </a:lnTo>
                <a:cubicBezTo>
                  <a:pt x="520338" y="577169"/>
                  <a:pt x="520386" y="577120"/>
                  <a:pt x="520386" y="577071"/>
                </a:cubicBezTo>
                <a:cubicBezTo>
                  <a:pt x="520386" y="551018"/>
                  <a:pt x="506897" y="530565"/>
                  <a:pt x="489658" y="530565"/>
                </a:cubicBezTo>
                <a:lnTo>
                  <a:pt x="465553" y="530565"/>
                </a:lnTo>
                <a:lnTo>
                  <a:pt x="465553" y="184711"/>
                </a:lnTo>
                <a:cubicBezTo>
                  <a:pt x="465553" y="181838"/>
                  <a:pt x="463215" y="179549"/>
                  <a:pt x="460391" y="179549"/>
                </a:cubicBezTo>
                <a:lnTo>
                  <a:pt x="427617" y="179549"/>
                </a:lnTo>
                <a:lnTo>
                  <a:pt x="427617" y="113856"/>
                </a:lnTo>
                <a:lnTo>
                  <a:pt x="427617" y="8814"/>
                </a:lnTo>
                <a:cubicBezTo>
                  <a:pt x="427617" y="5941"/>
                  <a:pt x="425279" y="3652"/>
                  <a:pt x="422455" y="3652"/>
                </a:cubicBezTo>
                <a:lnTo>
                  <a:pt x="363482" y="3652"/>
                </a:lnTo>
                <a:cubicBezTo>
                  <a:pt x="360608" y="3652"/>
                  <a:pt x="358320" y="5990"/>
                  <a:pt x="358320" y="8814"/>
                </a:cubicBezTo>
                <a:lnTo>
                  <a:pt x="358320" y="113856"/>
                </a:lnTo>
                <a:lnTo>
                  <a:pt x="358320" y="179501"/>
                </a:lnTo>
                <a:lnTo>
                  <a:pt x="324377" y="179501"/>
                </a:lnTo>
                <a:cubicBezTo>
                  <a:pt x="321504" y="179501"/>
                  <a:pt x="319215" y="181838"/>
                  <a:pt x="319215" y="184663"/>
                </a:cubicBezTo>
                <a:lnTo>
                  <a:pt x="319215" y="530516"/>
                </a:lnTo>
                <a:lnTo>
                  <a:pt x="283958" y="530516"/>
                </a:lnTo>
                <a:lnTo>
                  <a:pt x="283958" y="506264"/>
                </a:lnTo>
                <a:cubicBezTo>
                  <a:pt x="283958" y="503391"/>
                  <a:pt x="281620" y="501102"/>
                  <a:pt x="278796" y="501102"/>
                </a:cubicBezTo>
                <a:lnTo>
                  <a:pt x="250892" y="501102"/>
                </a:lnTo>
                <a:cubicBezTo>
                  <a:pt x="248019" y="501102"/>
                  <a:pt x="245730" y="503440"/>
                  <a:pt x="245730" y="506264"/>
                </a:cubicBezTo>
                <a:lnTo>
                  <a:pt x="245730" y="530516"/>
                </a:lnTo>
                <a:lnTo>
                  <a:pt x="182812" y="530516"/>
                </a:lnTo>
                <a:cubicBezTo>
                  <a:pt x="165622" y="530516"/>
                  <a:pt x="152181" y="550823"/>
                  <a:pt x="152084" y="576730"/>
                </a:cubicBezTo>
                <a:cubicBezTo>
                  <a:pt x="152084" y="576779"/>
                  <a:pt x="152035" y="576828"/>
                  <a:pt x="152035" y="576876"/>
                </a:cubicBezTo>
                <a:lnTo>
                  <a:pt x="149746" y="701008"/>
                </a:lnTo>
                <a:lnTo>
                  <a:pt x="110301" y="701008"/>
                </a:lnTo>
                <a:cubicBezTo>
                  <a:pt x="109570" y="700667"/>
                  <a:pt x="108743" y="700423"/>
                  <a:pt x="107866" y="700375"/>
                </a:cubicBezTo>
                <a:cubicBezTo>
                  <a:pt x="106454" y="700423"/>
                  <a:pt x="105090" y="701056"/>
                  <a:pt x="104165" y="702128"/>
                </a:cubicBezTo>
                <a:lnTo>
                  <a:pt x="4967" y="814036"/>
                </a:lnTo>
                <a:cubicBezTo>
                  <a:pt x="4139" y="815010"/>
                  <a:pt x="3652" y="816227"/>
                  <a:pt x="3652" y="817493"/>
                </a:cubicBezTo>
                <a:lnTo>
                  <a:pt x="3652" y="916009"/>
                </a:lnTo>
                <a:cubicBezTo>
                  <a:pt x="3652" y="918882"/>
                  <a:pt x="5990" y="921171"/>
                  <a:pt x="8814" y="921171"/>
                </a:cubicBezTo>
                <a:lnTo>
                  <a:pt x="204872" y="921171"/>
                </a:lnTo>
                <a:cubicBezTo>
                  <a:pt x="205603" y="921561"/>
                  <a:pt x="206382" y="921804"/>
                  <a:pt x="207259" y="921804"/>
                </a:cubicBezTo>
                <a:lnTo>
                  <a:pt x="622409" y="921804"/>
                </a:lnTo>
                <a:lnTo>
                  <a:pt x="940942" y="921804"/>
                </a:lnTo>
                <a:lnTo>
                  <a:pt x="949902" y="921804"/>
                </a:lnTo>
                <a:lnTo>
                  <a:pt x="953701" y="921804"/>
                </a:lnTo>
                <a:lnTo>
                  <a:pt x="1213845" y="921804"/>
                </a:lnTo>
                <a:lnTo>
                  <a:pt x="1266731" y="921804"/>
                </a:lnTo>
                <a:cubicBezTo>
                  <a:pt x="1269556" y="921804"/>
                  <a:pt x="1271893" y="919516"/>
                  <a:pt x="1271893" y="916642"/>
                </a:cubicBezTo>
                <a:lnTo>
                  <a:pt x="1271893" y="676659"/>
                </a:lnTo>
                <a:cubicBezTo>
                  <a:pt x="1271942" y="674662"/>
                  <a:pt x="1270773" y="672860"/>
                  <a:pt x="1268923" y="671984"/>
                </a:cubicBezTo>
                <a:close/>
                <a:moveTo>
                  <a:pt x="797527" y="444369"/>
                </a:moveTo>
                <a:cubicBezTo>
                  <a:pt x="797527" y="415735"/>
                  <a:pt x="800059" y="414274"/>
                  <a:pt x="807997" y="413933"/>
                </a:cubicBezTo>
                <a:cubicBezTo>
                  <a:pt x="830495" y="413008"/>
                  <a:pt x="830495" y="413397"/>
                  <a:pt x="831761" y="434289"/>
                </a:cubicBezTo>
                <a:cubicBezTo>
                  <a:pt x="831956" y="437503"/>
                  <a:pt x="832005" y="442908"/>
                  <a:pt x="831956" y="448265"/>
                </a:cubicBezTo>
                <a:cubicBezTo>
                  <a:pt x="819148" y="451723"/>
                  <a:pt x="809555" y="464774"/>
                  <a:pt x="809555" y="480357"/>
                </a:cubicBezTo>
                <a:lnTo>
                  <a:pt x="809409" y="549703"/>
                </a:lnTo>
                <a:lnTo>
                  <a:pt x="797478" y="549703"/>
                </a:lnTo>
                <a:lnTo>
                  <a:pt x="797478" y="444369"/>
                </a:lnTo>
                <a:close/>
                <a:moveTo>
                  <a:pt x="797527" y="563533"/>
                </a:moveTo>
                <a:lnTo>
                  <a:pt x="809409" y="563533"/>
                </a:lnTo>
                <a:lnTo>
                  <a:pt x="809311" y="606144"/>
                </a:lnTo>
                <a:lnTo>
                  <a:pt x="797527" y="600690"/>
                </a:lnTo>
                <a:lnTo>
                  <a:pt x="797527" y="563533"/>
                </a:lnTo>
                <a:close/>
                <a:moveTo>
                  <a:pt x="727888" y="324523"/>
                </a:moveTo>
                <a:cubicBezTo>
                  <a:pt x="744641" y="324523"/>
                  <a:pt x="753163" y="335821"/>
                  <a:pt x="753163" y="358125"/>
                </a:cubicBezTo>
                <a:lnTo>
                  <a:pt x="753163" y="522189"/>
                </a:lnTo>
                <a:lnTo>
                  <a:pt x="753163" y="524867"/>
                </a:lnTo>
                <a:cubicBezTo>
                  <a:pt x="753065" y="535581"/>
                  <a:pt x="752968" y="550287"/>
                  <a:pt x="760906" y="558274"/>
                </a:cubicBezTo>
                <a:cubicBezTo>
                  <a:pt x="764315" y="561683"/>
                  <a:pt x="768795" y="563484"/>
                  <a:pt x="773957" y="563484"/>
                </a:cubicBezTo>
                <a:lnTo>
                  <a:pt x="783696" y="563484"/>
                </a:lnTo>
                <a:lnTo>
                  <a:pt x="783696" y="599083"/>
                </a:lnTo>
                <a:lnTo>
                  <a:pt x="729106" y="624260"/>
                </a:lnTo>
                <a:lnTo>
                  <a:pt x="728765" y="394356"/>
                </a:lnTo>
                <a:cubicBezTo>
                  <a:pt x="728765" y="375121"/>
                  <a:pt x="716396" y="359050"/>
                  <a:pt x="699985" y="355398"/>
                </a:cubicBezTo>
                <a:cubicBezTo>
                  <a:pt x="701299" y="329685"/>
                  <a:pt x="710990" y="324523"/>
                  <a:pt x="727888" y="324523"/>
                </a:cubicBezTo>
                <a:close/>
                <a:moveTo>
                  <a:pt x="520435" y="680408"/>
                </a:moveTo>
                <a:cubicBezTo>
                  <a:pt x="527740" y="679532"/>
                  <a:pt x="533486" y="677048"/>
                  <a:pt x="537528" y="672909"/>
                </a:cubicBezTo>
                <a:cubicBezTo>
                  <a:pt x="544687" y="665604"/>
                  <a:pt x="544395" y="655767"/>
                  <a:pt x="544248" y="649923"/>
                </a:cubicBezTo>
                <a:cubicBezTo>
                  <a:pt x="544248" y="649242"/>
                  <a:pt x="544200" y="648609"/>
                  <a:pt x="544200" y="648024"/>
                </a:cubicBezTo>
                <a:lnTo>
                  <a:pt x="544200" y="464579"/>
                </a:lnTo>
                <a:cubicBezTo>
                  <a:pt x="544200" y="459319"/>
                  <a:pt x="544200" y="448314"/>
                  <a:pt x="567770" y="448314"/>
                </a:cubicBezTo>
                <a:cubicBezTo>
                  <a:pt x="586372" y="448314"/>
                  <a:pt x="589148" y="457420"/>
                  <a:pt x="589148" y="462874"/>
                </a:cubicBezTo>
                <a:lnTo>
                  <a:pt x="589148" y="477776"/>
                </a:lnTo>
                <a:cubicBezTo>
                  <a:pt x="570545" y="481039"/>
                  <a:pt x="556326" y="497304"/>
                  <a:pt x="556326" y="516880"/>
                </a:cubicBezTo>
                <a:lnTo>
                  <a:pt x="555839" y="700813"/>
                </a:lnTo>
                <a:lnTo>
                  <a:pt x="520386" y="700813"/>
                </a:lnTo>
                <a:lnTo>
                  <a:pt x="520386" y="680408"/>
                </a:lnTo>
                <a:close/>
                <a:moveTo>
                  <a:pt x="427666" y="189873"/>
                </a:moveTo>
                <a:lnTo>
                  <a:pt x="450602" y="189873"/>
                </a:lnTo>
                <a:lnTo>
                  <a:pt x="427666" y="217631"/>
                </a:lnTo>
                <a:lnTo>
                  <a:pt x="427666" y="189873"/>
                </a:lnTo>
                <a:close/>
                <a:moveTo>
                  <a:pt x="427666" y="233896"/>
                </a:moveTo>
                <a:lnTo>
                  <a:pt x="455277" y="200490"/>
                </a:lnTo>
                <a:lnTo>
                  <a:pt x="455277" y="335042"/>
                </a:lnTo>
                <a:lnTo>
                  <a:pt x="427666" y="301635"/>
                </a:lnTo>
                <a:lnTo>
                  <a:pt x="427666" y="233896"/>
                </a:lnTo>
                <a:close/>
                <a:moveTo>
                  <a:pt x="427666" y="323939"/>
                </a:moveTo>
                <a:lnTo>
                  <a:pt x="427666" y="317852"/>
                </a:lnTo>
                <a:lnTo>
                  <a:pt x="454888" y="350772"/>
                </a:lnTo>
                <a:lnTo>
                  <a:pt x="427666" y="383691"/>
                </a:lnTo>
                <a:lnTo>
                  <a:pt x="427666" y="323939"/>
                </a:lnTo>
                <a:close/>
                <a:moveTo>
                  <a:pt x="427666" y="428932"/>
                </a:moveTo>
                <a:lnTo>
                  <a:pt x="427666" y="399957"/>
                </a:lnTo>
                <a:lnTo>
                  <a:pt x="455277" y="366550"/>
                </a:lnTo>
                <a:lnTo>
                  <a:pt x="455277" y="501102"/>
                </a:lnTo>
                <a:lnTo>
                  <a:pt x="427666" y="467696"/>
                </a:lnTo>
                <a:lnTo>
                  <a:pt x="427666" y="428932"/>
                </a:lnTo>
                <a:close/>
                <a:moveTo>
                  <a:pt x="427666" y="483961"/>
                </a:moveTo>
                <a:lnTo>
                  <a:pt x="455277" y="517367"/>
                </a:lnTo>
                <a:lnTo>
                  <a:pt x="455277" y="528811"/>
                </a:lnTo>
                <a:lnTo>
                  <a:pt x="429419" y="528811"/>
                </a:lnTo>
                <a:lnTo>
                  <a:pt x="429419" y="506264"/>
                </a:lnTo>
                <a:cubicBezTo>
                  <a:pt x="429419" y="504755"/>
                  <a:pt x="428737" y="503440"/>
                  <a:pt x="427714" y="502466"/>
                </a:cubicBezTo>
                <a:lnTo>
                  <a:pt x="427714" y="483961"/>
                </a:lnTo>
                <a:close/>
                <a:moveTo>
                  <a:pt x="419046" y="511426"/>
                </a:moveTo>
                <a:lnTo>
                  <a:pt x="419046" y="528763"/>
                </a:lnTo>
                <a:lnTo>
                  <a:pt x="417342" y="528763"/>
                </a:lnTo>
                <a:lnTo>
                  <a:pt x="401466" y="528763"/>
                </a:lnTo>
                <a:lnTo>
                  <a:pt x="401466" y="511426"/>
                </a:lnTo>
                <a:lnTo>
                  <a:pt x="417342" y="511426"/>
                </a:lnTo>
                <a:lnTo>
                  <a:pt x="419046" y="511426"/>
                </a:lnTo>
                <a:close/>
                <a:moveTo>
                  <a:pt x="417342" y="455131"/>
                </a:moveTo>
                <a:lnTo>
                  <a:pt x="399956" y="434094"/>
                </a:lnTo>
                <a:lnTo>
                  <a:pt x="417342" y="434094"/>
                </a:lnTo>
                <a:lnTo>
                  <a:pt x="417342" y="455131"/>
                </a:lnTo>
                <a:close/>
                <a:moveTo>
                  <a:pt x="417342" y="289071"/>
                </a:moveTo>
                <a:lnTo>
                  <a:pt x="399713" y="267742"/>
                </a:lnTo>
                <a:lnTo>
                  <a:pt x="417342" y="246412"/>
                </a:lnTo>
                <a:lnTo>
                  <a:pt x="417342" y="289071"/>
                </a:lnTo>
                <a:close/>
                <a:moveTo>
                  <a:pt x="368692" y="14025"/>
                </a:moveTo>
                <a:lnTo>
                  <a:pt x="417342" y="14025"/>
                </a:lnTo>
                <a:lnTo>
                  <a:pt x="417342" y="108694"/>
                </a:lnTo>
                <a:lnTo>
                  <a:pt x="368692" y="108694"/>
                </a:lnTo>
                <a:lnTo>
                  <a:pt x="368692" y="14025"/>
                </a:lnTo>
                <a:close/>
                <a:moveTo>
                  <a:pt x="368692" y="224059"/>
                </a:moveTo>
                <a:lnTo>
                  <a:pt x="417342" y="224059"/>
                </a:lnTo>
                <a:lnTo>
                  <a:pt x="417342" y="230147"/>
                </a:lnTo>
                <a:lnTo>
                  <a:pt x="392993" y="259609"/>
                </a:lnTo>
                <a:lnTo>
                  <a:pt x="368692" y="230147"/>
                </a:lnTo>
                <a:lnTo>
                  <a:pt x="368692" y="224059"/>
                </a:lnTo>
                <a:close/>
                <a:moveTo>
                  <a:pt x="368692" y="246412"/>
                </a:moveTo>
                <a:lnTo>
                  <a:pt x="386321" y="267742"/>
                </a:lnTo>
                <a:lnTo>
                  <a:pt x="368692" y="289071"/>
                </a:lnTo>
                <a:lnTo>
                  <a:pt x="368692" y="246412"/>
                </a:lnTo>
                <a:close/>
                <a:moveTo>
                  <a:pt x="368692" y="305288"/>
                </a:moveTo>
                <a:lnTo>
                  <a:pt x="392993" y="275825"/>
                </a:lnTo>
                <a:lnTo>
                  <a:pt x="417342" y="305288"/>
                </a:lnTo>
                <a:lnTo>
                  <a:pt x="417342" y="318728"/>
                </a:lnTo>
                <a:lnTo>
                  <a:pt x="368692" y="318728"/>
                </a:lnTo>
                <a:lnTo>
                  <a:pt x="368692" y="305288"/>
                </a:lnTo>
                <a:close/>
                <a:moveTo>
                  <a:pt x="368692" y="434143"/>
                </a:moveTo>
                <a:lnTo>
                  <a:pt x="386077" y="434143"/>
                </a:lnTo>
                <a:lnTo>
                  <a:pt x="368692" y="455180"/>
                </a:lnTo>
                <a:lnTo>
                  <a:pt x="368692" y="434143"/>
                </a:lnTo>
                <a:close/>
                <a:moveTo>
                  <a:pt x="368692" y="471397"/>
                </a:moveTo>
                <a:lnTo>
                  <a:pt x="392993" y="441934"/>
                </a:lnTo>
                <a:lnTo>
                  <a:pt x="417342" y="471397"/>
                </a:lnTo>
                <a:lnTo>
                  <a:pt x="417342" y="501102"/>
                </a:lnTo>
                <a:lnTo>
                  <a:pt x="396304" y="501102"/>
                </a:lnTo>
                <a:cubicBezTo>
                  <a:pt x="393431" y="501102"/>
                  <a:pt x="391142" y="503440"/>
                  <a:pt x="391142" y="506264"/>
                </a:cubicBezTo>
                <a:lnTo>
                  <a:pt x="391142" y="528811"/>
                </a:lnTo>
                <a:lnTo>
                  <a:pt x="368692" y="528811"/>
                </a:lnTo>
                <a:lnTo>
                  <a:pt x="368692" y="471397"/>
                </a:lnTo>
                <a:close/>
                <a:moveTo>
                  <a:pt x="396304" y="540889"/>
                </a:moveTo>
                <a:lnTo>
                  <a:pt x="424208" y="540889"/>
                </a:lnTo>
                <a:lnTo>
                  <a:pt x="489707" y="540889"/>
                </a:lnTo>
                <a:cubicBezTo>
                  <a:pt x="499739" y="540889"/>
                  <a:pt x="508407" y="554621"/>
                  <a:pt x="509868" y="571861"/>
                </a:cubicBezTo>
                <a:lnTo>
                  <a:pt x="374828" y="571861"/>
                </a:lnTo>
                <a:cubicBezTo>
                  <a:pt x="373952" y="559296"/>
                  <a:pt x="369861" y="548339"/>
                  <a:pt x="363822" y="540889"/>
                </a:cubicBezTo>
                <a:lnTo>
                  <a:pt x="396304" y="540889"/>
                </a:lnTo>
                <a:close/>
                <a:moveTo>
                  <a:pt x="510062" y="582185"/>
                </a:moveTo>
                <a:lnTo>
                  <a:pt x="510062" y="700813"/>
                </a:lnTo>
                <a:lnTo>
                  <a:pt x="372637" y="700910"/>
                </a:lnTo>
                <a:lnTo>
                  <a:pt x="374877" y="582185"/>
                </a:lnTo>
                <a:lnTo>
                  <a:pt x="510062" y="582185"/>
                </a:lnTo>
                <a:close/>
                <a:moveTo>
                  <a:pt x="358320" y="189873"/>
                </a:moveTo>
                <a:lnTo>
                  <a:pt x="358320" y="217631"/>
                </a:lnTo>
                <a:lnTo>
                  <a:pt x="335383" y="189873"/>
                </a:lnTo>
                <a:lnTo>
                  <a:pt x="358320" y="189873"/>
                </a:lnTo>
                <a:close/>
                <a:moveTo>
                  <a:pt x="329588" y="199077"/>
                </a:moveTo>
                <a:lnTo>
                  <a:pt x="358320" y="233896"/>
                </a:lnTo>
                <a:lnTo>
                  <a:pt x="358320" y="301587"/>
                </a:lnTo>
                <a:lnTo>
                  <a:pt x="329588" y="336406"/>
                </a:lnTo>
                <a:lnTo>
                  <a:pt x="329588" y="199077"/>
                </a:lnTo>
                <a:close/>
                <a:moveTo>
                  <a:pt x="358320" y="317852"/>
                </a:moveTo>
                <a:lnTo>
                  <a:pt x="358320" y="323939"/>
                </a:lnTo>
                <a:lnTo>
                  <a:pt x="358320" y="383740"/>
                </a:lnTo>
                <a:lnTo>
                  <a:pt x="331097" y="350820"/>
                </a:lnTo>
                <a:lnTo>
                  <a:pt x="358320" y="317852"/>
                </a:lnTo>
                <a:close/>
                <a:moveTo>
                  <a:pt x="329588" y="365186"/>
                </a:moveTo>
                <a:lnTo>
                  <a:pt x="358320" y="400005"/>
                </a:lnTo>
                <a:lnTo>
                  <a:pt x="358320" y="428981"/>
                </a:lnTo>
                <a:lnTo>
                  <a:pt x="358320" y="467696"/>
                </a:lnTo>
                <a:lnTo>
                  <a:pt x="329588" y="502515"/>
                </a:lnTo>
                <a:lnTo>
                  <a:pt x="329588" y="365186"/>
                </a:lnTo>
                <a:close/>
                <a:moveTo>
                  <a:pt x="329588" y="518731"/>
                </a:moveTo>
                <a:lnTo>
                  <a:pt x="358320" y="483912"/>
                </a:lnTo>
                <a:lnTo>
                  <a:pt x="358320" y="528763"/>
                </a:lnTo>
                <a:lnTo>
                  <a:pt x="329588" y="528763"/>
                </a:lnTo>
                <a:lnTo>
                  <a:pt x="329588" y="518731"/>
                </a:lnTo>
                <a:close/>
                <a:moveTo>
                  <a:pt x="256054" y="511426"/>
                </a:moveTo>
                <a:lnTo>
                  <a:pt x="273634" y="511426"/>
                </a:lnTo>
                <a:lnTo>
                  <a:pt x="273634" y="530516"/>
                </a:lnTo>
                <a:lnTo>
                  <a:pt x="256054" y="530516"/>
                </a:lnTo>
                <a:lnTo>
                  <a:pt x="256054" y="511426"/>
                </a:lnTo>
                <a:close/>
                <a:moveTo>
                  <a:pt x="182812" y="540889"/>
                </a:moveTo>
                <a:lnTo>
                  <a:pt x="250843" y="540889"/>
                </a:lnTo>
                <a:lnTo>
                  <a:pt x="278747" y="540889"/>
                </a:lnTo>
                <a:lnTo>
                  <a:pt x="308648" y="540889"/>
                </a:lnTo>
                <a:lnTo>
                  <a:pt x="328176" y="540889"/>
                </a:lnTo>
                <a:lnTo>
                  <a:pt x="344246" y="540889"/>
                </a:lnTo>
                <a:cubicBezTo>
                  <a:pt x="354278" y="540889"/>
                  <a:pt x="362946" y="554621"/>
                  <a:pt x="364407" y="571861"/>
                </a:cubicBezTo>
                <a:lnTo>
                  <a:pt x="308063" y="571861"/>
                </a:lnTo>
                <a:lnTo>
                  <a:pt x="302658" y="571861"/>
                </a:lnTo>
                <a:lnTo>
                  <a:pt x="297691" y="571861"/>
                </a:lnTo>
                <a:lnTo>
                  <a:pt x="162700" y="571861"/>
                </a:lnTo>
                <a:cubicBezTo>
                  <a:pt x="164161" y="554621"/>
                  <a:pt x="172780" y="540889"/>
                  <a:pt x="182812" y="540889"/>
                </a:cubicBezTo>
                <a:close/>
                <a:moveTo>
                  <a:pt x="202097" y="910799"/>
                </a:moveTo>
                <a:lnTo>
                  <a:pt x="153837" y="910799"/>
                </a:lnTo>
                <a:lnTo>
                  <a:pt x="153837" y="864974"/>
                </a:lnTo>
                <a:cubicBezTo>
                  <a:pt x="153837" y="861954"/>
                  <a:pt x="151402" y="859568"/>
                  <a:pt x="148431" y="859568"/>
                </a:cubicBezTo>
                <a:lnTo>
                  <a:pt x="61067" y="859568"/>
                </a:lnTo>
                <a:cubicBezTo>
                  <a:pt x="58048" y="859568"/>
                  <a:pt x="55662" y="862003"/>
                  <a:pt x="55662" y="864974"/>
                </a:cubicBezTo>
                <a:lnTo>
                  <a:pt x="55662" y="910799"/>
                </a:lnTo>
                <a:lnTo>
                  <a:pt x="14025" y="910799"/>
                </a:lnTo>
                <a:lnTo>
                  <a:pt x="14025" y="819441"/>
                </a:lnTo>
                <a:lnTo>
                  <a:pt x="107963" y="713474"/>
                </a:lnTo>
                <a:lnTo>
                  <a:pt x="108256" y="713133"/>
                </a:lnTo>
                <a:lnTo>
                  <a:pt x="174241" y="779168"/>
                </a:lnTo>
                <a:lnTo>
                  <a:pt x="202145" y="807072"/>
                </a:lnTo>
                <a:lnTo>
                  <a:pt x="202145" y="910799"/>
                </a:lnTo>
                <a:close/>
                <a:moveTo>
                  <a:pt x="160119" y="701056"/>
                </a:moveTo>
                <a:lnTo>
                  <a:pt x="162310" y="582233"/>
                </a:lnTo>
                <a:lnTo>
                  <a:pt x="297447" y="582233"/>
                </a:lnTo>
                <a:lnTo>
                  <a:pt x="302658" y="582233"/>
                </a:lnTo>
                <a:lnTo>
                  <a:pt x="307820" y="582233"/>
                </a:lnTo>
                <a:lnTo>
                  <a:pt x="364553" y="582233"/>
                </a:lnTo>
                <a:lnTo>
                  <a:pt x="362313" y="700959"/>
                </a:lnTo>
                <a:lnTo>
                  <a:pt x="160119" y="701056"/>
                </a:lnTo>
                <a:close/>
                <a:moveTo>
                  <a:pt x="1208683" y="911480"/>
                </a:moveTo>
                <a:lnTo>
                  <a:pt x="1051535" y="911480"/>
                </a:lnTo>
                <a:lnTo>
                  <a:pt x="1051535" y="832541"/>
                </a:lnTo>
                <a:cubicBezTo>
                  <a:pt x="1051535" y="831810"/>
                  <a:pt x="1050951" y="831177"/>
                  <a:pt x="1050172" y="831177"/>
                </a:cubicBezTo>
                <a:lnTo>
                  <a:pt x="1006684" y="831177"/>
                </a:lnTo>
                <a:cubicBezTo>
                  <a:pt x="1005954" y="831177"/>
                  <a:pt x="1005321" y="831762"/>
                  <a:pt x="1005321" y="832541"/>
                </a:cubicBezTo>
                <a:lnTo>
                  <a:pt x="1005321" y="911480"/>
                </a:lnTo>
                <a:lnTo>
                  <a:pt x="955113" y="911480"/>
                </a:lnTo>
                <a:lnTo>
                  <a:pt x="949951" y="911480"/>
                </a:lnTo>
                <a:lnTo>
                  <a:pt x="944789" y="911480"/>
                </a:lnTo>
                <a:lnTo>
                  <a:pt x="939627" y="911480"/>
                </a:lnTo>
                <a:lnTo>
                  <a:pt x="693216" y="911480"/>
                </a:lnTo>
                <a:lnTo>
                  <a:pt x="693216" y="832541"/>
                </a:lnTo>
                <a:cubicBezTo>
                  <a:pt x="693216" y="831810"/>
                  <a:pt x="692631" y="831177"/>
                  <a:pt x="691852" y="831177"/>
                </a:cubicBezTo>
                <a:lnTo>
                  <a:pt x="648365" y="831177"/>
                </a:lnTo>
                <a:cubicBezTo>
                  <a:pt x="647634" y="831177"/>
                  <a:pt x="647001" y="831762"/>
                  <a:pt x="647001" y="832541"/>
                </a:cubicBezTo>
                <a:lnTo>
                  <a:pt x="647001" y="911480"/>
                </a:lnTo>
                <a:lnTo>
                  <a:pt x="631418" y="911480"/>
                </a:lnTo>
                <a:lnTo>
                  <a:pt x="621045" y="911480"/>
                </a:lnTo>
                <a:lnTo>
                  <a:pt x="334896" y="911480"/>
                </a:lnTo>
                <a:lnTo>
                  <a:pt x="334896" y="832541"/>
                </a:lnTo>
                <a:cubicBezTo>
                  <a:pt x="334896" y="831810"/>
                  <a:pt x="334312" y="831177"/>
                  <a:pt x="333532" y="831177"/>
                </a:cubicBezTo>
                <a:lnTo>
                  <a:pt x="290045" y="831177"/>
                </a:lnTo>
                <a:cubicBezTo>
                  <a:pt x="289315" y="831177"/>
                  <a:pt x="288682" y="831762"/>
                  <a:pt x="288682" y="832541"/>
                </a:cubicBezTo>
                <a:lnTo>
                  <a:pt x="288682" y="911480"/>
                </a:lnTo>
                <a:lnTo>
                  <a:pt x="212469" y="911480"/>
                </a:lnTo>
                <a:lnTo>
                  <a:pt x="212469" y="810773"/>
                </a:lnTo>
                <a:lnTo>
                  <a:pt x="621045" y="810773"/>
                </a:lnTo>
                <a:lnTo>
                  <a:pt x="631418" y="810773"/>
                </a:lnTo>
                <a:lnTo>
                  <a:pt x="939579" y="810773"/>
                </a:lnTo>
                <a:lnTo>
                  <a:pt x="944740" y="810773"/>
                </a:lnTo>
                <a:lnTo>
                  <a:pt x="949902" y="810773"/>
                </a:lnTo>
                <a:lnTo>
                  <a:pt x="955064" y="810773"/>
                </a:lnTo>
                <a:lnTo>
                  <a:pt x="1208635" y="810773"/>
                </a:lnTo>
                <a:lnTo>
                  <a:pt x="1208635" y="911480"/>
                </a:lnTo>
                <a:close/>
                <a:moveTo>
                  <a:pt x="1261618" y="911529"/>
                </a:moveTo>
                <a:lnTo>
                  <a:pt x="1219056" y="911529"/>
                </a:lnTo>
                <a:lnTo>
                  <a:pt x="1219056" y="805611"/>
                </a:lnTo>
                <a:cubicBezTo>
                  <a:pt x="1219056" y="805513"/>
                  <a:pt x="1219007" y="805416"/>
                  <a:pt x="1219007" y="805319"/>
                </a:cubicBezTo>
                <a:cubicBezTo>
                  <a:pt x="1219105" y="804247"/>
                  <a:pt x="1218861" y="803176"/>
                  <a:pt x="1218277" y="802251"/>
                </a:cubicBezTo>
                <a:lnTo>
                  <a:pt x="1156869" y="702907"/>
                </a:lnTo>
                <a:cubicBezTo>
                  <a:pt x="1155944" y="701397"/>
                  <a:pt x="1154239" y="700472"/>
                  <a:pt x="1152486" y="700472"/>
                </a:cubicBezTo>
                <a:lnTo>
                  <a:pt x="1152486" y="700472"/>
                </a:lnTo>
                <a:lnTo>
                  <a:pt x="955162" y="700569"/>
                </a:lnTo>
                <a:lnTo>
                  <a:pt x="950000" y="700569"/>
                </a:lnTo>
                <a:lnTo>
                  <a:pt x="944838" y="700569"/>
                </a:lnTo>
                <a:lnTo>
                  <a:pt x="939676" y="700569"/>
                </a:lnTo>
                <a:lnTo>
                  <a:pt x="868236" y="700618"/>
                </a:lnTo>
                <a:lnTo>
                  <a:pt x="864778" y="700618"/>
                </a:lnTo>
                <a:lnTo>
                  <a:pt x="864778" y="700034"/>
                </a:lnTo>
                <a:lnTo>
                  <a:pt x="864778" y="700034"/>
                </a:lnTo>
                <a:lnTo>
                  <a:pt x="864778" y="700618"/>
                </a:lnTo>
                <a:lnTo>
                  <a:pt x="812672" y="700667"/>
                </a:lnTo>
                <a:lnTo>
                  <a:pt x="812672" y="700082"/>
                </a:lnTo>
                <a:lnTo>
                  <a:pt x="812672" y="700082"/>
                </a:lnTo>
                <a:lnTo>
                  <a:pt x="812672" y="700667"/>
                </a:lnTo>
                <a:lnTo>
                  <a:pt x="809214" y="700667"/>
                </a:lnTo>
                <a:lnTo>
                  <a:pt x="797575" y="700667"/>
                </a:lnTo>
                <a:lnTo>
                  <a:pt x="783794" y="700667"/>
                </a:lnTo>
                <a:lnTo>
                  <a:pt x="729252" y="700667"/>
                </a:lnTo>
                <a:lnTo>
                  <a:pt x="725794" y="700667"/>
                </a:lnTo>
                <a:lnTo>
                  <a:pt x="722337" y="700667"/>
                </a:lnTo>
                <a:lnTo>
                  <a:pt x="663558" y="700715"/>
                </a:lnTo>
                <a:lnTo>
                  <a:pt x="660101" y="700715"/>
                </a:lnTo>
                <a:lnTo>
                  <a:pt x="656643" y="700715"/>
                </a:lnTo>
                <a:lnTo>
                  <a:pt x="636239" y="700715"/>
                </a:lnTo>
                <a:lnTo>
                  <a:pt x="636190" y="678509"/>
                </a:lnTo>
                <a:lnTo>
                  <a:pt x="656692" y="669062"/>
                </a:lnTo>
                <a:lnTo>
                  <a:pt x="660150" y="667455"/>
                </a:lnTo>
                <a:lnTo>
                  <a:pt x="663607" y="665848"/>
                </a:lnTo>
                <a:lnTo>
                  <a:pt x="722239" y="638772"/>
                </a:lnTo>
                <a:lnTo>
                  <a:pt x="725697" y="637165"/>
                </a:lnTo>
                <a:lnTo>
                  <a:pt x="729155" y="635557"/>
                </a:lnTo>
                <a:lnTo>
                  <a:pt x="783745" y="610381"/>
                </a:lnTo>
                <a:lnTo>
                  <a:pt x="788956" y="607994"/>
                </a:lnTo>
                <a:lnTo>
                  <a:pt x="797575" y="611988"/>
                </a:lnTo>
                <a:lnTo>
                  <a:pt x="809360" y="617442"/>
                </a:lnTo>
                <a:lnTo>
                  <a:pt x="812818" y="619049"/>
                </a:lnTo>
                <a:lnTo>
                  <a:pt x="816275" y="620656"/>
                </a:lnTo>
                <a:lnTo>
                  <a:pt x="861175" y="641353"/>
                </a:lnTo>
                <a:lnTo>
                  <a:pt x="864632" y="642960"/>
                </a:lnTo>
                <a:lnTo>
                  <a:pt x="868090" y="644567"/>
                </a:lnTo>
                <a:lnTo>
                  <a:pt x="886887" y="653235"/>
                </a:lnTo>
                <a:lnTo>
                  <a:pt x="890345" y="654842"/>
                </a:lnTo>
                <a:lnTo>
                  <a:pt x="893802" y="656449"/>
                </a:lnTo>
                <a:lnTo>
                  <a:pt x="939725" y="677633"/>
                </a:lnTo>
                <a:lnTo>
                  <a:pt x="939725" y="700034"/>
                </a:lnTo>
                <a:lnTo>
                  <a:pt x="944887" y="700034"/>
                </a:lnTo>
                <a:lnTo>
                  <a:pt x="950049" y="700034"/>
                </a:lnTo>
                <a:lnTo>
                  <a:pt x="950049" y="680019"/>
                </a:lnTo>
                <a:lnTo>
                  <a:pt x="955211" y="677633"/>
                </a:lnTo>
                <a:lnTo>
                  <a:pt x="1105931" y="608092"/>
                </a:lnTo>
                <a:lnTo>
                  <a:pt x="1236977" y="668575"/>
                </a:lnTo>
                <a:lnTo>
                  <a:pt x="1240435" y="670182"/>
                </a:lnTo>
                <a:lnTo>
                  <a:pt x="1243892" y="671789"/>
                </a:lnTo>
                <a:lnTo>
                  <a:pt x="1261764" y="680019"/>
                </a:lnTo>
                <a:lnTo>
                  <a:pt x="1261764" y="911529"/>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 name="フリーフォーム: 図形 42">
            <a:extLst>
              <a:ext uri="{FF2B5EF4-FFF2-40B4-BE49-F238E27FC236}">
                <a16:creationId xmlns:a16="http://schemas.microsoft.com/office/drawing/2014/main" id="{D8E507BC-CD00-E8BA-4B97-90FBDAEE905D}"/>
              </a:ext>
            </a:extLst>
          </xdr:cNvPr>
          <xdr:cNvSpPr/>
        </xdr:nvSpPr>
        <xdr:spPr>
          <a:xfrm>
            <a:off x="886062" y="161287"/>
            <a:ext cx="355495" cy="365235"/>
          </a:xfrm>
          <a:custGeom>
            <a:avLst/>
            <a:gdLst>
              <a:gd name="connsiteX0" fmla="*/ 5402 w 355495"/>
              <a:gd name="connsiteY0" fmla="*/ 363774 h 365234"/>
              <a:gd name="connsiteX1" fmla="*/ 354372 w 355495"/>
              <a:gd name="connsiteY1" fmla="*/ 363774 h 365234"/>
              <a:gd name="connsiteX2" fmla="*/ 355297 w 355495"/>
              <a:gd name="connsiteY2" fmla="*/ 360511 h 365234"/>
              <a:gd name="connsiteX3" fmla="*/ 343950 w 355495"/>
              <a:gd name="connsiteY3" fmla="*/ 353499 h 365234"/>
              <a:gd name="connsiteX4" fmla="*/ 343950 w 355495"/>
              <a:gd name="connsiteY4" fmla="*/ 267449 h 365234"/>
              <a:gd name="connsiteX5" fmla="*/ 343950 w 355495"/>
              <a:gd name="connsiteY5" fmla="*/ 180085 h 365234"/>
              <a:gd name="connsiteX6" fmla="*/ 343950 w 355495"/>
              <a:gd name="connsiteY6" fmla="*/ 92770 h 365234"/>
              <a:gd name="connsiteX7" fmla="*/ 338788 w 355495"/>
              <a:gd name="connsiteY7" fmla="*/ 87608 h 365234"/>
              <a:gd name="connsiteX8" fmla="*/ 292671 w 355495"/>
              <a:gd name="connsiteY8" fmla="*/ 87608 h 365234"/>
              <a:gd name="connsiteX9" fmla="*/ 287509 w 355495"/>
              <a:gd name="connsiteY9" fmla="*/ 92770 h 365234"/>
              <a:gd name="connsiteX10" fmla="*/ 287509 w 355495"/>
              <a:gd name="connsiteY10" fmla="*/ 180134 h 365234"/>
              <a:gd name="connsiteX11" fmla="*/ 287509 w 355495"/>
              <a:gd name="connsiteY11" fmla="*/ 267498 h 365234"/>
              <a:gd name="connsiteX12" fmla="*/ 287509 w 355495"/>
              <a:gd name="connsiteY12" fmla="*/ 318631 h 365234"/>
              <a:gd name="connsiteX13" fmla="*/ 251473 w 355495"/>
              <a:gd name="connsiteY13" fmla="*/ 296376 h 365234"/>
              <a:gd name="connsiteX14" fmla="*/ 251473 w 355495"/>
              <a:gd name="connsiteY14" fmla="*/ 270907 h 365234"/>
              <a:gd name="connsiteX15" fmla="*/ 251473 w 355495"/>
              <a:gd name="connsiteY15" fmla="*/ 183494 h 365234"/>
              <a:gd name="connsiteX16" fmla="*/ 251473 w 355495"/>
              <a:gd name="connsiteY16" fmla="*/ 96179 h 365234"/>
              <a:gd name="connsiteX17" fmla="*/ 251473 w 355495"/>
              <a:gd name="connsiteY17" fmla="*/ 8814 h 365234"/>
              <a:gd name="connsiteX18" fmla="*/ 246311 w 355495"/>
              <a:gd name="connsiteY18" fmla="*/ 3652 h 365234"/>
              <a:gd name="connsiteX19" fmla="*/ 200194 w 355495"/>
              <a:gd name="connsiteY19" fmla="*/ 3652 h 365234"/>
              <a:gd name="connsiteX20" fmla="*/ 195032 w 355495"/>
              <a:gd name="connsiteY20" fmla="*/ 8814 h 365234"/>
              <a:gd name="connsiteX21" fmla="*/ 195032 w 355495"/>
              <a:gd name="connsiteY21" fmla="*/ 96179 h 365234"/>
              <a:gd name="connsiteX22" fmla="*/ 195032 w 355495"/>
              <a:gd name="connsiteY22" fmla="*/ 183543 h 365234"/>
              <a:gd name="connsiteX23" fmla="*/ 195032 w 355495"/>
              <a:gd name="connsiteY23" fmla="*/ 261460 h 365234"/>
              <a:gd name="connsiteX24" fmla="*/ 180910 w 355495"/>
              <a:gd name="connsiteY24" fmla="*/ 252743 h 365234"/>
              <a:gd name="connsiteX25" fmla="*/ 179059 w 355495"/>
              <a:gd name="connsiteY25" fmla="*/ 252743 h 365234"/>
              <a:gd name="connsiteX26" fmla="*/ 4574 w 355495"/>
              <a:gd name="connsiteY26" fmla="*/ 360560 h 365234"/>
              <a:gd name="connsiteX27" fmla="*/ 5402 w 355495"/>
              <a:gd name="connsiteY27" fmla="*/ 363774 h 365234"/>
              <a:gd name="connsiteX28" fmla="*/ 297785 w 355495"/>
              <a:gd name="connsiteY28" fmla="*/ 97932 h 365234"/>
              <a:gd name="connsiteX29" fmla="*/ 333578 w 355495"/>
              <a:gd name="connsiteY29" fmla="*/ 97932 h 365234"/>
              <a:gd name="connsiteX30" fmla="*/ 333578 w 355495"/>
              <a:gd name="connsiteY30" fmla="*/ 174923 h 365234"/>
              <a:gd name="connsiteX31" fmla="*/ 297785 w 355495"/>
              <a:gd name="connsiteY31" fmla="*/ 174923 h 365234"/>
              <a:gd name="connsiteX32" fmla="*/ 297785 w 355495"/>
              <a:gd name="connsiteY32" fmla="*/ 97932 h 365234"/>
              <a:gd name="connsiteX33" fmla="*/ 297785 w 355495"/>
              <a:gd name="connsiteY33" fmla="*/ 272660 h 365234"/>
              <a:gd name="connsiteX34" fmla="*/ 333578 w 355495"/>
              <a:gd name="connsiteY34" fmla="*/ 272660 h 365234"/>
              <a:gd name="connsiteX35" fmla="*/ 333578 w 355495"/>
              <a:gd name="connsiteY35" fmla="*/ 347119 h 365234"/>
              <a:gd name="connsiteX36" fmla="*/ 297785 w 355495"/>
              <a:gd name="connsiteY36" fmla="*/ 325010 h 365234"/>
              <a:gd name="connsiteX37" fmla="*/ 297785 w 355495"/>
              <a:gd name="connsiteY37" fmla="*/ 272660 h 365234"/>
              <a:gd name="connsiteX38" fmla="*/ 205259 w 355495"/>
              <a:gd name="connsiteY38" fmla="*/ 13976 h 365234"/>
              <a:gd name="connsiteX39" fmla="*/ 241051 w 355495"/>
              <a:gd name="connsiteY39" fmla="*/ 13976 h 365234"/>
              <a:gd name="connsiteX40" fmla="*/ 241051 w 355495"/>
              <a:gd name="connsiteY40" fmla="*/ 90968 h 365234"/>
              <a:gd name="connsiteX41" fmla="*/ 205259 w 355495"/>
              <a:gd name="connsiteY41" fmla="*/ 90968 h 365234"/>
              <a:gd name="connsiteX42" fmla="*/ 205259 w 355495"/>
              <a:gd name="connsiteY42" fmla="*/ 13976 h 365234"/>
              <a:gd name="connsiteX43" fmla="*/ 205259 w 355495"/>
              <a:gd name="connsiteY43" fmla="*/ 188705 h 365234"/>
              <a:gd name="connsiteX44" fmla="*/ 241051 w 355495"/>
              <a:gd name="connsiteY44" fmla="*/ 188705 h 365234"/>
              <a:gd name="connsiteX45" fmla="*/ 241051 w 355495"/>
              <a:gd name="connsiteY45" fmla="*/ 265696 h 365234"/>
              <a:gd name="connsiteX46" fmla="*/ 205259 w 355495"/>
              <a:gd name="connsiteY46" fmla="*/ 265696 h 365234"/>
              <a:gd name="connsiteX47" fmla="*/ 205259 w 355495"/>
              <a:gd name="connsiteY47" fmla="*/ 188705 h 3652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55495" h="365234">
                <a:moveTo>
                  <a:pt x="5402" y="363774"/>
                </a:moveTo>
                <a:lnTo>
                  <a:pt x="354372" y="363774"/>
                </a:lnTo>
                <a:cubicBezTo>
                  <a:pt x="356125" y="363774"/>
                  <a:pt x="356807" y="361436"/>
                  <a:pt x="355297" y="360511"/>
                </a:cubicBezTo>
                <a:lnTo>
                  <a:pt x="343950" y="353499"/>
                </a:lnTo>
                <a:lnTo>
                  <a:pt x="343950" y="267449"/>
                </a:lnTo>
                <a:lnTo>
                  <a:pt x="343950" y="180085"/>
                </a:lnTo>
                <a:lnTo>
                  <a:pt x="343950" y="92770"/>
                </a:lnTo>
                <a:cubicBezTo>
                  <a:pt x="343950" y="89897"/>
                  <a:pt x="341613" y="87608"/>
                  <a:pt x="338788" y="87608"/>
                </a:cubicBezTo>
                <a:lnTo>
                  <a:pt x="292671" y="87608"/>
                </a:lnTo>
                <a:cubicBezTo>
                  <a:pt x="289798" y="87608"/>
                  <a:pt x="287509" y="89945"/>
                  <a:pt x="287509" y="92770"/>
                </a:cubicBezTo>
                <a:lnTo>
                  <a:pt x="287509" y="180134"/>
                </a:lnTo>
                <a:lnTo>
                  <a:pt x="287509" y="267498"/>
                </a:lnTo>
                <a:lnTo>
                  <a:pt x="287509" y="318631"/>
                </a:lnTo>
                <a:lnTo>
                  <a:pt x="251473" y="296376"/>
                </a:lnTo>
                <a:lnTo>
                  <a:pt x="251473" y="270907"/>
                </a:lnTo>
                <a:lnTo>
                  <a:pt x="251473" y="183494"/>
                </a:lnTo>
                <a:lnTo>
                  <a:pt x="251473" y="96179"/>
                </a:lnTo>
                <a:lnTo>
                  <a:pt x="251473" y="8814"/>
                </a:lnTo>
                <a:cubicBezTo>
                  <a:pt x="251473" y="5941"/>
                  <a:pt x="249135" y="3652"/>
                  <a:pt x="246311" y="3652"/>
                </a:cubicBezTo>
                <a:lnTo>
                  <a:pt x="200194" y="3652"/>
                </a:lnTo>
                <a:cubicBezTo>
                  <a:pt x="197321" y="3652"/>
                  <a:pt x="195032" y="5990"/>
                  <a:pt x="195032" y="8814"/>
                </a:cubicBezTo>
                <a:lnTo>
                  <a:pt x="195032" y="96179"/>
                </a:lnTo>
                <a:lnTo>
                  <a:pt x="195032" y="183543"/>
                </a:lnTo>
                <a:lnTo>
                  <a:pt x="195032" y="261460"/>
                </a:lnTo>
                <a:lnTo>
                  <a:pt x="180910" y="252743"/>
                </a:lnTo>
                <a:cubicBezTo>
                  <a:pt x="180325" y="252402"/>
                  <a:pt x="179643" y="252402"/>
                  <a:pt x="179059" y="252743"/>
                </a:cubicBezTo>
                <a:lnTo>
                  <a:pt x="4574" y="360560"/>
                </a:lnTo>
                <a:cubicBezTo>
                  <a:pt x="2967" y="361485"/>
                  <a:pt x="3600" y="363774"/>
                  <a:pt x="5402" y="363774"/>
                </a:cubicBezTo>
                <a:close/>
                <a:moveTo>
                  <a:pt x="297785" y="97932"/>
                </a:moveTo>
                <a:lnTo>
                  <a:pt x="333578" y="97932"/>
                </a:lnTo>
                <a:lnTo>
                  <a:pt x="333578" y="174923"/>
                </a:lnTo>
                <a:lnTo>
                  <a:pt x="297785" y="174923"/>
                </a:lnTo>
                <a:lnTo>
                  <a:pt x="297785" y="97932"/>
                </a:lnTo>
                <a:close/>
                <a:moveTo>
                  <a:pt x="297785" y="272660"/>
                </a:moveTo>
                <a:lnTo>
                  <a:pt x="333578" y="272660"/>
                </a:lnTo>
                <a:lnTo>
                  <a:pt x="333578" y="347119"/>
                </a:lnTo>
                <a:lnTo>
                  <a:pt x="297785" y="325010"/>
                </a:lnTo>
                <a:lnTo>
                  <a:pt x="297785" y="272660"/>
                </a:lnTo>
                <a:close/>
                <a:moveTo>
                  <a:pt x="205259" y="13976"/>
                </a:moveTo>
                <a:lnTo>
                  <a:pt x="241051" y="13976"/>
                </a:lnTo>
                <a:lnTo>
                  <a:pt x="241051" y="90968"/>
                </a:lnTo>
                <a:lnTo>
                  <a:pt x="205259" y="90968"/>
                </a:lnTo>
                <a:lnTo>
                  <a:pt x="205259" y="13976"/>
                </a:lnTo>
                <a:close/>
                <a:moveTo>
                  <a:pt x="205259" y="188705"/>
                </a:moveTo>
                <a:lnTo>
                  <a:pt x="241051" y="188705"/>
                </a:lnTo>
                <a:lnTo>
                  <a:pt x="241051" y="265696"/>
                </a:lnTo>
                <a:lnTo>
                  <a:pt x="205259" y="265696"/>
                </a:lnTo>
                <a:lnTo>
                  <a:pt x="205259" y="18870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4" name="フリーフォーム: 図形 43">
            <a:extLst>
              <a:ext uri="{FF2B5EF4-FFF2-40B4-BE49-F238E27FC236}">
                <a16:creationId xmlns:a16="http://schemas.microsoft.com/office/drawing/2014/main" id="{83C99A7E-2083-F759-B787-447E0CA2EEF7}"/>
              </a:ext>
            </a:extLst>
          </xdr:cNvPr>
          <xdr:cNvSpPr/>
        </xdr:nvSpPr>
        <xdr:spPr>
          <a:xfrm>
            <a:off x="35900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 name="フリーフォーム: 図形 44">
            <a:extLst>
              <a:ext uri="{FF2B5EF4-FFF2-40B4-BE49-F238E27FC236}">
                <a16:creationId xmlns:a16="http://schemas.microsoft.com/office/drawing/2014/main" id="{C357CB58-7EC3-1B0C-C4EC-3134E0EB60AA}"/>
              </a:ext>
            </a:extLst>
          </xdr:cNvPr>
          <xdr:cNvSpPr/>
        </xdr:nvSpPr>
        <xdr:spPr>
          <a:xfrm>
            <a:off x="428103"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 name="フリーフォーム: 図形 45">
            <a:extLst>
              <a:ext uri="{FF2B5EF4-FFF2-40B4-BE49-F238E27FC236}">
                <a16:creationId xmlns:a16="http://schemas.microsoft.com/office/drawing/2014/main" id="{5D51B302-B03C-56C0-7CF0-4BEA875641F8}"/>
              </a:ext>
            </a:extLst>
          </xdr:cNvPr>
          <xdr:cNvSpPr/>
        </xdr:nvSpPr>
        <xdr:spPr>
          <a:xfrm>
            <a:off x="497206"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078"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7" name="フリーフォーム: 図形 46">
            <a:extLst>
              <a:ext uri="{FF2B5EF4-FFF2-40B4-BE49-F238E27FC236}">
                <a16:creationId xmlns:a16="http://schemas.microsoft.com/office/drawing/2014/main" id="{3C57424D-EC46-763B-3EA9-36BCD56D7E5D}"/>
              </a:ext>
            </a:extLst>
          </xdr:cNvPr>
          <xdr:cNvSpPr/>
        </xdr:nvSpPr>
        <xdr:spPr>
          <a:xfrm>
            <a:off x="566260"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 name="フリーフォーム: 図形 47">
            <a:extLst>
              <a:ext uri="{FF2B5EF4-FFF2-40B4-BE49-F238E27FC236}">
                <a16:creationId xmlns:a16="http://schemas.microsoft.com/office/drawing/2014/main" id="{28ABFA60-E630-AD42-DA8B-578A62ADA9E0}"/>
              </a:ext>
            </a:extLst>
          </xdr:cNvPr>
          <xdr:cNvSpPr/>
        </xdr:nvSpPr>
        <xdr:spPr>
          <a:xfrm>
            <a:off x="71732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 name="フリーフォーム: 図形 48">
            <a:extLst>
              <a:ext uri="{FF2B5EF4-FFF2-40B4-BE49-F238E27FC236}">
                <a16:creationId xmlns:a16="http://schemas.microsoft.com/office/drawing/2014/main" id="{96C68F57-8592-0F8B-A244-17E4BA7161AF}"/>
              </a:ext>
            </a:extLst>
          </xdr:cNvPr>
          <xdr:cNvSpPr/>
        </xdr:nvSpPr>
        <xdr:spPr>
          <a:xfrm>
            <a:off x="786374"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94"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0" name="フリーフォーム: 図形 49">
            <a:extLst>
              <a:ext uri="{FF2B5EF4-FFF2-40B4-BE49-F238E27FC236}">
                <a16:creationId xmlns:a16="http://schemas.microsoft.com/office/drawing/2014/main" id="{F2CEC16A-C7D4-7F94-D65B-3FFA6FF2C838}"/>
              </a:ext>
            </a:extLst>
          </xdr:cNvPr>
          <xdr:cNvSpPr/>
        </xdr:nvSpPr>
        <xdr:spPr>
          <a:xfrm>
            <a:off x="855477"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45"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 name="フリーフォーム: 図形 50">
            <a:extLst>
              <a:ext uri="{FF2B5EF4-FFF2-40B4-BE49-F238E27FC236}">
                <a16:creationId xmlns:a16="http://schemas.microsoft.com/office/drawing/2014/main" id="{90FF87B0-CF00-AD91-5D23-6819A94185C5}"/>
              </a:ext>
            </a:extLst>
          </xdr:cNvPr>
          <xdr:cNvSpPr/>
        </xdr:nvSpPr>
        <xdr:spPr>
          <a:xfrm>
            <a:off x="924579" y="832151"/>
            <a:ext cx="38958" cy="38958"/>
          </a:xfrm>
          <a:custGeom>
            <a:avLst/>
            <a:gdLst>
              <a:gd name="connsiteX0" fmla="*/ 25372 w 38958"/>
              <a:gd name="connsiteY0" fmla="*/ 3652 h 38958"/>
              <a:gd name="connsiteX1" fmla="*/ 20210 w 38958"/>
              <a:gd name="connsiteY1" fmla="*/ 3652 h 38958"/>
              <a:gd name="connsiteX2" fmla="*/ 15048 w 38958"/>
              <a:gd name="connsiteY2" fmla="*/ 3652 h 38958"/>
              <a:gd name="connsiteX3" fmla="*/ 5162 w 38958"/>
              <a:gd name="connsiteY3" fmla="*/ 3652 h 38958"/>
              <a:gd name="connsiteX4" fmla="*/ 3652 w 38958"/>
              <a:gd name="connsiteY4" fmla="*/ 5162 h 38958"/>
              <a:gd name="connsiteX5" fmla="*/ 3652 w 38958"/>
              <a:gd name="connsiteY5" fmla="*/ 38617 h 38958"/>
              <a:gd name="connsiteX6" fmla="*/ 5162 w 38958"/>
              <a:gd name="connsiteY6" fmla="*/ 40127 h 38958"/>
              <a:gd name="connsiteX7" fmla="*/ 15048 w 38958"/>
              <a:gd name="connsiteY7" fmla="*/ 40127 h 38958"/>
              <a:gd name="connsiteX8" fmla="*/ 20210 w 38958"/>
              <a:gd name="connsiteY8" fmla="*/ 40127 h 38958"/>
              <a:gd name="connsiteX9" fmla="*/ 25372 w 38958"/>
              <a:gd name="connsiteY9" fmla="*/ 40127 h 38958"/>
              <a:gd name="connsiteX10" fmla="*/ 30534 w 38958"/>
              <a:gd name="connsiteY10" fmla="*/ 40127 h 38958"/>
              <a:gd name="connsiteX11" fmla="*/ 38617 w 38958"/>
              <a:gd name="connsiteY11" fmla="*/ 40127 h 38958"/>
              <a:gd name="connsiteX12" fmla="*/ 40127 w 38958"/>
              <a:gd name="connsiteY12" fmla="*/ 38617 h 38958"/>
              <a:gd name="connsiteX13" fmla="*/ 40127 w 38958"/>
              <a:gd name="connsiteY13" fmla="*/ 5162 h 38958"/>
              <a:gd name="connsiteX14" fmla="*/ 38617 w 38958"/>
              <a:gd name="connsiteY14" fmla="*/ 3652 h 38958"/>
              <a:gd name="connsiteX15" fmla="*/ 30534 w 38958"/>
              <a:gd name="connsiteY15" fmla="*/ 3652 h 38958"/>
              <a:gd name="connsiteX16" fmla="*/ 25372 w 38958"/>
              <a:gd name="connsiteY16"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8958" h="38958">
                <a:moveTo>
                  <a:pt x="25372" y="3652"/>
                </a:moveTo>
                <a:lnTo>
                  <a:pt x="20210" y="3652"/>
                </a:lnTo>
                <a:lnTo>
                  <a:pt x="15048" y="3652"/>
                </a:lnTo>
                <a:lnTo>
                  <a:pt x="5162" y="3652"/>
                </a:lnTo>
                <a:cubicBezTo>
                  <a:pt x="4334" y="3652"/>
                  <a:pt x="3652" y="4334"/>
                  <a:pt x="3652" y="5162"/>
                </a:cubicBezTo>
                <a:lnTo>
                  <a:pt x="3652" y="38617"/>
                </a:lnTo>
                <a:cubicBezTo>
                  <a:pt x="3652" y="39445"/>
                  <a:pt x="4334" y="40127"/>
                  <a:pt x="5162" y="40127"/>
                </a:cubicBezTo>
                <a:lnTo>
                  <a:pt x="15048" y="40127"/>
                </a:lnTo>
                <a:lnTo>
                  <a:pt x="20210" y="40127"/>
                </a:lnTo>
                <a:lnTo>
                  <a:pt x="25372" y="40127"/>
                </a:lnTo>
                <a:lnTo>
                  <a:pt x="30534" y="40127"/>
                </a:lnTo>
                <a:lnTo>
                  <a:pt x="38617" y="40127"/>
                </a:lnTo>
                <a:cubicBezTo>
                  <a:pt x="39445" y="40127"/>
                  <a:pt x="40127" y="39445"/>
                  <a:pt x="40127" y="38617"/>
                </a:cubicBezTo>
                <a:lnTo>
                  <a:pt x="40127" y="5162"/>
                </a:lnTo>
                <a:cubicBezTo>
                  <a:pt x="40127" y="4334"/>
                  <a:pt x="39445" y="3652"/>
                  <a:pt x="38617" y="3652"/>
                </a:cubicBezTo>
                <a:lnTo>
                  <a:pt x="30534" y="3652"/>
                </a:lnTo>
                <a:lnTo>
                  <a:pt x="25372" y="3652"/>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2" name="フリーフォーム: 図形 51">
            <a:extLst>
              <a:ext uri="{FF2B5EF4-FFF2-40B4-BE49-F238E27FC236}">
                <a16:creationId xmlns:a16="http://schemas.microsoft.com/office/drawing/2014/main" id="{74DE8CC0-5CEC-5336-8B7B-70E596BC6875}"/>
              </a:ext>
            </a:extLst>
          </xdr:cNvPr>
          <xdr:cNvSpPr/>
        </xdr:nvSpPr>
        <xdr:spPr>
          <a:xfrm>
            <a:off x="1075592"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3" name="フリーフォーム: 図形 52">
            <a:extLst>
              <a:ext uri="{FF2B5EF4-FFF2-40B4-BE49-F238E27FC236}">
                <a16:creationId xmlns:a16="http://schemas.microsoft.com/office/drawing/2014/main" id="{29495090-C2BC-2D64-2FAE-78421432D3EE}"/>
              </a:ext>
            </a:extLst>
          </xdr:cNvPr>
          <xdr:cNvSpPr/>
        </xdr:nvSpPr>
        <xdr:spPr>
          <a:xfrm>
            <a:off x="1144694"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4" name="フリーフォーム: 図形 53">
            <a:extLst>
              <a:ext uri="{FF2B5EF4-FFF2-40B4-BE49-F238E27FC236}">
                <a16:creationId xmlns:a16="http://schemas.microsoft.com/office/drawing/2014/main" id="{B99974C2-6833-FB1F-A267-4EC68DC7D940}"/>
              </a:ext>
            </a:extLst>
          </xdr:cNvPr>
          <xdr:cNvSpPr/>
        </xdr:nvSpPr>
        <xdr:spPr>
          <a:xfrm>
            <a:off x="229172"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2</xdr:col>
      <xdr:colOff>349473</xdr:colOff>
      <xdr:row>82</xdr:row>
      <xdr:rowOff>47686</xdr:rowOff>
    </xdr:from>
    <xdr:to>
      <xdr:col>3</xdr:col>
      <xdr:colOff>782072</xdr:colOff>
      <xdr:row>84</xdr:row>
      <xdr:rowOff>102624</xdr:rowOff>
    </xdr:to>
    <xdr:sp macro="" textlink="">
      <xdr:nvSpPr>
        <xdr:cNvPr id="55" name="テキスト ボックス 41">
          <a:extLst>
            <a:ext uri="{FF2B5EF4-FFF2-40B4-BE49-F238E27FC236}">
              <a16:creationId xmlns:a16="http://schemas.microsoft.com/office/drawing/2014/main" id="{BE400EF8-F56C-48DC-83FA-53FA6CEC4C01}"/>
            </a:ext>
          </a:extLst>
        </xdr:cNvPr>
        <xdr:cNvSpPr txBox="1">
          <a:spLocks noChangeArrowheads="1"/>
        </xdr:cNvSpPr>
      </xdr:nvSpPr>
      <xdr:spPr bwMode="auto">
        <a:xfrm>
          <a:off x="892398" y="18611911"/>
          <a:ext cx="1032674" cy="531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0</xdr:col>
      <xdr:colOff>0</xdr:colOff>
      <xdr:row>89</xdr:row>
      <xdr:rowOff>152754</xdr:rowOff>
    </xdr:from>
    <xdr:to>
      <xdr:col>3</xdr:col>
      <xdr:colOff>679788</xdr:colOff>
      <xdr:row>91</xdr:row>
      <xdr:rowOff>216327</xdr:rowOff>
    </xdr:to>
    <xdr:sp macro="" textlink="">
      <xdr:nvSpPr>
        <xdr:cNvPr id="56" name="テキスト ボックス 41">
          <a:extLst>
            <a:ext uri="{FF2B5EF4-FFF2-40B4-BE49-F238E27FC236}">
              <a16:creationId xmlns:a16="http://schemas.microsoft.com/office/drawing/2014/main" id="{A5818D5E-826B-4AFF-8628-077EDF412074}"/>
            </a:ext>
          </a:extLst>
        </xdr:cNvPr>
        <xdr:cNvSpPr txBox="1">
          <a:spLocks noChangeArrowheads="1"/>
        </xdr:cNvSpPr>
      </xdr:nvSpPr>
      <xdr:spPr bwMode="auto">
        <a:xfrm>
          <a:off x="0" y="20383854"/>
          <a:ext cx="1822788"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太陽光発電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443628</xdr:colOff>
      <xdr:row>89</xdr:row>
      <xdr:rowOff>153581</xdr:rowOff>
    </xdr:from>
    <xdr:to>
      <xdr:col>3</xdr:col>
      <xdr:colOff>1665927</xdr:colOff>
      <xdr:row>91</xdr:row>
      <xdr:rowOff>217154</xdr:rowOff>
    </xdr:to>
    <xdr:sp macro="" textlink="">
      <xdr:nvSpPr>
        <xdr:cNvPr id="57" name="テキスト ボックス 41">
          <a:extLst>
            <a:ext uri="{FF2B5EF4-FFF2-40B4-BE49-F238E27FC236}">
              <a16:creationId xmlns:a16="http://schemas.microsoft.com/office/drawing/2014/main" id="{7B1DC11C-3DBD-434F-8E54-978FF49806E6}"/>
            </a:ext>
          </a:extLst>
        </xdr:cNvPr>
        <xdr:cNvSpPr txBox="1">
          <a:spLocks noChangeArrowheads="1"/>
        </xdr:cNvSpPr>
      </xdr:nvSpPr>
      <xdr:spPr bwMode="auto">
        <a:xfrm>
          <a:off x="986553" y="20384681"/>
          <a:ext cx="1822374"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風力発電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408335</xdr:colOff>
      <xdr:row>100</xdr:row>
      <xdr:rowOff>219825</xdr:rowOff>
    </xdr:from>
    <xdr:to>
      <xdr:col>3</xdr:col>
      <xdr:colOff>744321</xdr:colOff>
      <xdr:row>103</xdr:row>
      <xdr:rowOff>212095</xdr:rowOff>
    </xdr:to>
    <xdr:grpSp>
      <xdr:nvGrpSpPr>
        <xdr:cNvPr id="58" name="グループ化 57">
          <a:extLst>
            <a:ext uri="{FF2B5EF4-FFF2-40B4-BE49-F238E27FC236}">
              <a16:creationId xmlns:a16="http://schemas.microsoft.com/office/drawing/2014/main" id="{C6DC7296-9711-4974-A3AC-2FBF87000121}"/>
            </a:ext>
          </a:extLst>
        </xdr:cNvPr>
        <xdr:cNvGrpSpPr>
          <a:grpSpLocks noChangeAspect="1"/>
        </xdr:cNvGrpSpPr>
      </xdr:nvGrpSpPr>
      <xdr:grpSpPr>
        <a:xfrm>
          <a:off x="965692" y="22782241"/>
          <a:ext cx="938947" cy="670854"/>
          <a:chOff x="0" y="0"/>
          <a:chExt cx="1551758" cy="1029912"/>
        </a:xfrm>
        <a:solidFill>
          <a:schemeClr val="accent6">
            <a:lumMod val="75000"/>
          </a:schemeClr>
        </a:solidFill>
      </xdr:grpSpPr>
      <xdr:sp macro="" textlink="">
        <xdr:nvSpPr>
          <xdr:cNvPr id="59" name="Freeform 7">
            <a:extLst>
              <a:ext uri="{FF2B5EF4-FFF2-40B4-BE49-F238E27FC236}">
                <a16:creationId xmlns:a16="http://schemas.microsoft.com/office/drawing/2014/main" id="{80AF7879-F2CB-6FA5-21BB-9F4672CD54DA}"/>
              </a:ext>
            </a:extLst>
          </xdr:cNvPr>
          <xdr:cNvSpPr>
            <a:spLocks/>
          </xdr:cNvSpPr>
        </xdr:nvSpPr>
        <xdr:spPr bwMode="auto">
          <a:xfrm>
            <a:off x="1215834"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0" name="Freeform 8">
            <a:extLst>
              <a:ext uri="{FF2B5EF4-FFF2-40B4-BE49-F238E27FC236}">
                <a16:creationId xmlns:a16="http://schemas.microsoft.com/office/drawing/2014/main" id="{3C045D8C-D526-A999-FC1B-0FCAFC3BBFA4}"/>
              </a:ext>
            </a:extLst>
          </xdr:cNvPr>
          <xdr:cNvSpPr>
            <a:spLocks/>
          </xdr:cNvSpPr>
        </xdr:nvSpPr>
        <xdr:spPr bwMode="auto">
          <a:xfrm>
            <a:off x="9566" y="340410"/>
            <a:ext cx="132909" cy="174442"/>
          </a:xfrm>
          <a:custGeom>
            <a:avLst/>
            <a:gdLst>
              <a:gd name="T0" fmla="*/ 36 w 41"/>
              <a:gd name="T1" fmla="*/ 20 h 54"/>
              <a:gd name="T2" fmla="*/ 36 w 41"/>
              <a:gd name="T3" fmla="*/ 19 h 54"/>
              <a:gd name="T4" fmla="*/ 30 w 41"/>
              <a:gd name="T5" fmla="*/ 9 h 54"/>
              <a:gd name="T6" fmla="*/ 21 w 41"/>
              <a:gd name="T7" fmla="*/ 0 h 54"/>
              <a:gd name="T8" fmla="*/ 12 w 41"/>
              <a:gd name="T9" fmla="*/ 9 h 54"/>
              <a:gd name="T10" fmla="*/ 7 w 41"/>
              <a:gd name="T11" fmla="*/ 19 h 54"/>
              <a:gd name="T12" fmla="*/ 7 w 41"/>
              <a:gd name="T13" fmla="*/ 19 h 54"/>
              <a:gd name="T14" fmla="*/ 0 w 41"/>
              <a:gd name="T15" fmla="*/ 28 h 54"/>
              <a:gd name="T16" fmla="*/ 10 w 41"/>
              <a:gd name="T17" fmla="*/ 38 h 54"/>
              <a:gd name="T18" fmla="*/ 15 w 41"/>
              <a:gd name="T19" fmla="*/ 37 h 54"/>
              <a:gd name="T20" fmla="*/ 18 w 41"/>
              <a:gd name="T21" fmla="*/ 38 h 54"/>
              <a:gd name="T22" fmla="*/ 16 w 41"/>
              <a:gd name="T23" fmla="*/ 54 h 54"/>
              <a:gd name="T24" fmla="*/ 26 w 41"/>
              <a:gd name="T25" fmla="*/ 54 h 54"/>
              <a:gd name="T26" fmla="*/ 24 w 41"/>
              <a:gd name="T27" fmla="*/ 38 h 54"/>
              <a:gd name="T28" fmla="*/ 26 w 41"/>
              <a:gd name="T29" fmla="*/ 37 h 54"/>
              <a:gd name="T30" fmla="*/ 32 w 41"/>
              <a:gd name="T31" fmla="*/ 38 h 54"/>
              <a:gd name="T32" fmla="*/ 41 w 41"/>
              <a:gd name="T33" fmla="*/ 28 h 54"/>
              <a:gd name="T34" fmla="*/ 36 w 41"/>
              <a:gd name="T35" fmla="*/ 20 h 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1" h="54">
                <a:moveTo>
                  <a:pt x="36" y="20"/>
                </a:moveTo>
                <a:cubicBezTo>
                  <a:pt x="36" y="19"/>
                  <a:pt x="36" y="19"/>
                  <a:pt x="36" y="19"/>
                </a:cubicBezTo>
                <a:cubicBezTo>
                  <a:pt x="36" y="14"/>
                  <a:pt x="33" y="11"/>
                  <a:pt x="30" y="9"/>
                </a:cubicBezTo>
                <a:cubicBezTo>
                  <a:pt x="30" y="4"/>
                  <a:pt x="26" y="0"/>
                  <a:pt x="21" y="0"/>
                </a:cubicBezTo>
                <a:cubicBezTo>
                  <a:pt x="16" y="0"/>
                  <a:pt x="12" y="4"/>
                  <a:pt x="12" y="9"/>
                </a:cubicBezTo>
                <a:cubicBezTo>
                  <a:pt x="9" y="11"/>
                  <a:pt x="7" y="14"/>
                  <a:pt x="7" y="19"/>
                </a:cubicBezTo>
                <a:cubicBezTo>
                  <a:pt x="7" y="19"/>
                  <a:pt x="7" y="19"/>
                  <a:pt x="7" y="19"/>
                </a:cubicBezTo>
                <a:cubicBezTo>
                  <a:pt x="3" y="21"/>
                  <a:pt x="0" y="24"/>
                  <a:pt x="0" y="28"/>
                </a:cubicBezTo>
                <a:cubicBezTo>
                  <a:pt x="0" y="34"/>
                  <a:pt x="5" y="38"/>
                  <a:pt x="10" y="38"/>
                </a:cubicBezTo>
                <a:cubicBezTo>
                  <a:pt x="12" y="38"/>
                  <a:pt x="14" y="38"/>
                  <a:pt x="15" y="37"/>
                </a:cubicBezTo>
                <a:cubicBezTo>
                  <a:pt x="16" y="37"/>
                  <a:pt x="17" y="38"/>
                  <a:pt x="18" y="38"/>
                </a:cubicBezTo>
                <a:cubicBezTo>
                  <a:pt x="16" y="54"/>
                  <a:pt x="16" y="54"/>
                  <a:pt x="16" y="54"/>
                </a:cubicBezTo>
                <a:cubicBezTo>
                  <a:pt x="26" y="54"/>
                  <a:pt x="26" y="54"/>
                  <a:pt x="26" y="54"/>
                </a:cubicBezTo>
                <a:cubicBezTo>
                  <a:pt x="24" y="38"/>
                  <a:pt x="24" y="38"/>
                  <a:pt x="24" y="38"/>
                </a:cubicBezTo>
                <a:cubicBezTo>
                  <a:pt x="25" y="38"/>
                  <a:pt x="25" y="37"/>
                  <a:pt x="26" y="37"/>
                </a:cubicBezTo>
                <a:cubicBezTo>
                  <a:pt x="28" y="38"/>
                  <a:pt x="30" y="38"/>
                  <a:pt x="32" y="38"/>
                </a:cubicBezTo>
                <a:cubicBezTo>
                  <a:pt x="37" y="38"/>
                  <a:pt x="41" y="34"/>
                  <a:pt x="41" y="28"/>
                </a:cubicBezTo>
                <a:cubicBezTo>
                  <a:pt x="41" y="25"/>
                  <a:pt x="39" y="21"/>
                  <a:pt x="36" y="20"/>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1" name="グループ化 60">
            <a:extLst>
              <a:ext uri="{FF2B5EF4-FFF2-40B4-BE49-F238E27FC236}">
                <a16:creationId xmlns:a16="http://schemas.microsoft.com/office/drawing/2014/main" id="{7EE54E65-14C0-B1FE-DA2A-F4F5A4896147}"/>
              </a:ext>
            </a:extLst>
          </xdr:cNvPr>
          <xdr:cNvGrpSpPr/>
        </xdr:nvGrpSpPr>
        <xdr:grpSpPr>
          <a:xfrm>
            <a:off x="1308092" y="0"/>
            <a:ext cx="243666" cy="238126"/>
            <a:chOff x="1308092" y="0"/>
            <a:chExt cx="139699" cy="136524"/>
          </a:xfrm>
          <a:grpFill/>
        </xdr:grpSpPr>
        <xdr:sp macro="" textlink="">
          <xdr:nvSpPr>
            <xdr:cNvPr id="67" name="Oval 9">
              <a:extLst>
                <a:ext uri="{FF2B5EF4-FFF2-40B4-BE49-F238E27FC236}">
                  <a16:creationId xmlns:a16="http://schemas.microsoft.com/office/drawing/2014/main" id="{6071030A-FBE4-9D6E-54E4-1A785587C9E0}"/>
                </a:ext>
              </a:extLst>
            </xdr:cNvPr>
            <xdr:cNvSpPr>
              <a:spLocks noChangeArrowheads="1"/>
            </xdr:cNvSpPr>
          </xdr:nvSpPr>
          <xdr:spPr bwMode="auto">
            <a:xfrm>
              <a:off x="1350954" y="42862"/>
              <a:ext cx="53975" cy="50800"/>
            </a:xfrm>
            <a:prstGeom prst="ellipse">
              <a:avLst/>
            </a:pr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8" name="Freeform 10">
              <a:extLst>
                <a:ext uri="{FF2B5EF4-FFF2-40B4-BE49-F238E27FC236}">
                  <a16:creationId xmlns:a16="http://schemas.microsoft.com/office/drawing/2014/main" id="{629CCAA6-D089-D590-2513-A2BAFFEC5946}"/>
                </a:ext>
              </a:extLst>
            </xdr:cNvPr>
            <xdr:cNvSpPr>
              <a:spLocks/>
            </xdr:cNvSpPr>
          </xdr:nvSpPr>
          <xdr:spPr bwMode="auto">
            <a:xfrm>
              <a:off x="1373179" y="106362"/>
              <a:ext cx="9525" cy="30162"/>
            </a:xfrm>
            <a:custGeom>
              <a:avLst/>
              <a:gdLst>
                <a:gd name="T0" fmla="*/ 2 w 5"/>
                <a:gd name="T1" fmla="*/ 16 h 16"/>
                <a:gd name="T2" fmla="*/ 0 w 5"/>
                <a:gd name="T3" fmla="*/ 13 h 16"/>
                <a:gd name="T4" fmla="*/ 0 w 5"/>
                <a:gd name="T5" fmla="*/ 3 h 16"/>
                <a:gd name="T6" fmla="*/ 2 w 5"/>
                <a:gd name="T7" fmla="*/ 0 h 16"/>
                <a:gd name="T8" fmla="*/ 5 w 5"/>
                <a:gd name="T9" fmla="*/ 3 h 16"/>
                <a:gd name="T10" fmla="*/ 5 w 5"/>
                <a:gd name="T11" fmla="*/ 13 h 16"/>
                <a:gd name="T12" fmla="*/ 2 w 5"/>
                <a:gd name="T13" fmla="*/ 16 h 16"/>
              </a:gdLst>
              <a:ahLst/>
              <a:cxnLst>
                <a:cxn ang="0">
                  <a:pos x="T0" y="T1"/>
                </a:cxn>
                <a:cxn ang="0">
                  <a:pos x="T2" y="T3"/>
                </a:cxn>
                <a:cxn ang="0">
                  <a:pos x="T4" y="T5"/>
                </a:cxn>
                <a:cxn ang="0">
                  <a:pos x="T6" y="T7"/>
                </a:cxn>
                <a:cxn ang="0">
                  <a:pos x="T8" y="T9"/>
                </a:cxn>
                <a:cxn ang="0">
                  <a:pos x="T10" y="T11"/>
                </a:cxn>
                <a:cxn ang="0">
                  <a:pos x="T12" y="T13"/>
                </a:cxn>
              </a:cxnLst>
              <a:rect l="0" t="0" r="r" b="b"/>
              <a:pathLst>
                <a:path w="5" h="16">
                  <a:moveTo>
                    <a:pt x="2" y="16"/>
                  </a:moveTo>
                  <a:cubicBezTo>
                    <a:pt x="1" y="16"/>
                    <a:pt x="0" y="15"/>
                    <a:pt x="0" y="13"/>
                  </a:cubicBezTo>
                  <a:cubicBezTo>
                    <a:pt x="0" y="3"/>
                    <a:pt x="0" y="3"/>
                    <a:pt x="0" y="3"/>
                  </a:cubicBezTo>
                  <a:cubicBezTo>
                    <a:pt x="0" y="1"/>
                    <a:pt x="1" y="0"/>
                    <a:pt x="2" y="0"/>
                  </a:cubicBezTo>
                  <a:cubicBezTo>
                    <a:pt x="4" y="0"/>
                    <a:pt x="5" y="1"/>
                    <a:pt x="5" y="3"/>
                  </a:cubicBezTo>
                  <a:cubicBezTo>
                    <a:pt x="5" y="13"/>
                    <a:pt x="5" y="13"/>
                    <a:pt x="5" y="13"/>
                  </a:cubicBezTo>
                  <a:cubicBezTo>
                    <a:pt x="5" y="15"/>
                    <a:pt x="4" y="16"/>
                    <a:pt x="2" y="16"/>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9" name="Freeform 11">
              <a:extLst>
                <a:ext uri="{FF2B5EF4-FFF2-40B4-BE49-F238E27FC236}">
                  <a16:creationId xmlns:a16="http://schemas.microsoft.com/office/drawing/2014/main" id="{46DAF28E-2ECD-9D36-645E-0819F5220D80}"/>
                </a:ext>
              </a:extLst>
            </xdr:cNvPr>
            <xdr:cNvSpPr>
              <a:spLocks/>
            </xdr:cNvSpPr>
          </xdr:nvSpPr>
          <xdr:spPr bwMode="auto">
            <a:xfrm>
              <a:off x="1373179" y="0"/>
              <a:ext cx="9525" cy="26987"/>
            </a:xfrm>
            <a:custGeom>
              <a:avLst/>
              <a:gdLst>
                <a:gd name="T0" fmla="*/ 2 w 5"/>
                <a:gd name="T1" fmla="*/ 15 h 15"/>
                <a:gd name="T2" fmla="*/ 0 w 5"/>
                <a:gd name="T3" fmla="*/ 13 h 15"/>
                <a:gd name="T4" fmla="*/ 0 w 5"/>
                <a:gd name="T5" fmla="*/ 2 h 15"/>
                <a:gd name="T6" fmla="*/ 2 w 5"/>
                <a:gd name="T7" fmla="*/ 0 h 15"/>
                <a:gd name="T8" fmla="*/ 5 w 5"/>
                <a:gd name="T9" fmla="*/ 2 h 15"/>
                <a:gd name="T10" fmla="*/ 5 w 5"/>
                <a:gd name="T11" fmla="*/ 13 h 15"/>
                <a:gd name="T12" fmla="*/ 2 w 5"/>
                <a:gd name="T13" fmla="*/ 15 h 15"/>
              </a:gdLst>
              <a:ahLst/>
              <a:cxnLst>
                <a:cxn ang="0">
                  <a:pos x="T0" y="T1"/>
                </a:cxn>
                <a:cxn ang="0">
                  <a:pos x="T2" y="T3"/>
                </a:cxn>
                <a:cxn ang="0">
                  <a:pos x="T4" y="T5"/>
                </a:cxn>
                <a:cxn ang="0">
                  <a:pos x="T6" y="T7"/>
                </a:cxn>
                <a:cxn ang="0">
                  <a:pos x="T8" y="T9"/>
                </a:cxn>
                <a:cxn ang="0">
                  <a:pos x="T10" y="T11"/>
                </a:cxn>
                <a:cxn ang="0">
                  <a:pos x="T12" y="T13"/>
                </a:cxn>
              </a:cxnLst>
              <a:rect l="0" t="0" r="r" b="b"/>
              <a:pathLst>
                <a:path w="5" h="15">
                  <a:moveTo>
                    <a:pt x="2" y="15"/>
                  </a:moveTo>
                  <a:cubicBezTo>
                    <a:pt x="1" y="15"/>
                    <a:pt x="0" y="14"/>
                    <a:pt x="0" y="13"/>
                  </a:cubicBezTo>
                  <a:cubicBezTo>
                    <a:pt x="0" y="2"/>
                    <a:pt x="0" y="2"/>
                    <a:pt x="0" y="2"/>
                  </a:cubicBezTo>
                  <a:cubicBezTo>
                    <a:pt x="0" y="1"/>
                    <a:pt x="1" y="0"/>
                    <a:pt x="2" y="0"/>
                  </a:cubicBezTo>
                  <a:cubicBezTo>
                    <a:pt x="4" y="0"/>
                    <a:pt x="5" y="1"/>
                    <a:pt x="5" y="2"/>
                  </a:cubicBezTo>
                  <a:cubicBezTo>
                    <a:pt x="5" y="13"/>
                    <a:pt x="5" y="13"/>
                    <a:pt x="5" y="13"/>
                  </a:cubicBezTo>
                  <a:cubicBezTo>
                    <a:pt x="5" y="14"/>
                    <a:pt x="4" y="15"/>
                    <a:pt x="2" y="15"/>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0" name="Freeform 12">
              <a:extLst>
                <a:ext uri="{FF2B5EF4-FFF2-40B4-BE49-F238E27FC236}">
                  <a16:creationId xmlns:a16="http://schemas.microsoft.com/office/drawing/2014/main" id="{95C5FDF0-8E10-F401-85F6-76D2B33A8ADC}"/>
                </a:ext>
              </a:extLst>
            </xdr:cNvPr>
            <xdr:cNvSpPr>
              <a:spLocks/>
            </xdr:cNvSpPr>
          </xdr:nvSpPr>
          <xdr:spPr bwMode="auto">
            <a:xfrm>
              <a:off x="1417629"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1" name="Freeform 13">
              <a:extLst>
                <a:ext uri="{FF2B5EF4-FFF2-40B4-BE49-F238E27FC236}">
                  <a16:creationId xmlns:a16="http://schemas.microsoft.com/office/drawing/2014/main" id="{6B4DE7C0-35C8-149D-9EB3-2F0632727657}"/>
                </a:ext>
              </a:extLst>
            </xdr:cNvPr>
            <xdr:cNvSpPr>
              <a:spLocks/>
            </xdr:cNvSpPr>
          </xdr:nvSpPr>
          <xdr:spPr bwMode="auto">
            <a:xfrm>
              <a:off x="1308092"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2" name="Freeform 14">
              <a:extLst>
                <a:ext uri="{FF2B5EF4-FFF2-40B4-BE49-F238E27FC236}">
                  <a16:creationId xmlns:a16="http://schemas.microsoft.com/office/drawing/2014/main" id="{B870640E-3390-358F-7E8E-5E1E13050691}"/>
                </a:ext>
              </a:extLst>
            </xdr:cNvPr>
            <xdr:cNvSpPr>
              <a:spLocks/>
            </xdr:cNvSpPr>
          </xdr:nvSpPr>
          <xdr:spPr bwMode="auto">
            <a:xfrm>
              <a:off x="1404929" y="93662"/>
              <a:ext cx="23812" cy="23812"/>
            </a:xfrm>
            <a:custGeom>
              <a:avLst/>
              <a:gdLst>
                <a:gd name="T0" fmla="*/ 10 w 13"/>
                <a:gd name="T1" fmla="*/ 13 h 13"/>
                <a:gd name="T2" fmla="*/ 9 w 13"/>
                <a:gd name="T3" fmla="*/ 12 h 13"/>
                <a:gd name="T4" fmla="*/ 1 w 13"/>
                <a:gd name="T5" fmla="*/ 4 h 13"/>
                <a:gd name="T6" fmla="*/ 1 w 13"/>
                <a:gd name="T7" fmla="*/ 1 h 13"/>
                <a:gd name="T8" fmla="*/ 4 w 13"/>
                <a:gd name="T9" fmla="*/ 1 h 13"/>
                <a:gd name="T10" fmla="*/ 12 w 13"/>
                <a:gd name="T11" fmla="*/ 9 h 13"/>
                <a:gd name="T12" fmla="*/ 12 w 13"/>
                <a:gd name="T13" fmla="*/ 12 h 13"/>
                <a:gd name="T14" fmla="*/ 10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10" y="13"/>
                  </a:moveTo>
                  <a:cubicBezTo>
                    <a:pt x="10" y="13"/>
                    <a:pt x="9" y="13"/>
                    <a:pt x="9" y="12"/>
                  </a:cubicBezTo>
                  <a:cubicBezTo>
                    <a:pt x="1" y="4"/>
                    <a:pt x="1" y="4"/>
                    <a:pt x="1" y="4"/>
                  </a:cubicBezTo>
                  <a:cubicBezTo>
                    <a:pt x="0" y="4"/>
                    <a:pt x="0" y="2"/>
                    <a:pt x="1" y="1"/>
                  </a:cubicBezTo>
                  <a:cubicBezTo>
                    <a:pt x="2" y="0"/>
                    <a:pt x="3" y="0"/>
                    <a:pt x="4" y="1"/>
                  </a:cubicBezTo>
                  <a:cubicBezTo>
                    <a:pt x="12" y="9"/>
                    <a:pt x="12" y="9"/>
                    <a:pt x="12" y="9"/>
                  </a:cubicBezTo>
                  <a:cubicBezTo>
                    <a:pt x="13" y="10"/>
                    <a:pt x="13" y="11"/>
                    <a:pt x="12" y="12"/>
                  </a:cubicBezTo>
                  <a:cubicBezTo>
                    <a:pt x="12" y="13"/>
                    <a:pt x="11" y="13"/>
                    <a:pt x="10"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3" name="Freeform 15">
              <a:extLst>
                <a:ext uri="{FF2B5EF4-FFF2-40B4-BE49-F238E27FC236}">
                  <a16:creationId xmlns:a16="http://schemas.microsoft.com/office/drawing/2014/main" id="{38AC4244-6060-C65C-5ACF-3BB3A23C6ED4}"/>
                </a:ext>
              </a:extLst>
            </xdr:cNvPr>
            <xdr:cNvSpPr>
              <a:spLocks/>
            </xdr:cNvSpPr>
          </xdr:nvSpPr>
          <xdr:spPr bwMode="auto">
            <a:xfrm>
              <a:off x="1327142" y="20637"/>
              <a:ext cx="23812" cy="22225"/>
            </a:xfrm>
            <a:custGeom>
              <a:avLst/>
              <a:gdLst>
                <a:gd name="T0" fmla="*/ 11 w 13"/>
                <a:gd name="T1" fmla="*/ 12 h 12"/>
                <a:gd name="T2" fmla="*/ 9 w 13"/>
                <a:gd name="T3" fmla="*/ 11 h 12"/>
                <a:gd name="T4" fmla="*/ 1 w 13"/>
                <a:gd name="T5" fmla="*/ 4 h 12"/>
                <a:gd name="T6" fmla="*/ 1 w 13"/>
                <a:gd name="T7" fmla="*/ 1 h 12"/>
                <a:gd name="T8" fmla="*/ 4 w 13"/>
                <a:gd name="T9" fmla="*/ 1 h 12"/>
                <a:gd name="T10" fmla="*/ 12 w 13"/>
                <a:gd name="T11" fmla="*/ 8 h 12"/>
                <a:gd name="T12" fmla="*/ 12 w 13"/>
                <a:gd name="T13" fmla="*/ 11 h 12"/>
                <a:gd name="T14" fmla="*/ 11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11" y="12"/>
                  </a:moveTo>
                  <a:cubicBezTo>
                    <a:pt x="10" y="12"/>
                    <a:pt x="9" y="12"/>
                    <a:pt x="9" y="11"/>
                  </a:cubicBezTo>
                  <a:cubicBezTo>
                    <a:pt x="1" y="4"/>
                    <a:pt x="1" y="4"/>
                    <a:pt x="1" y="4"/>
                  </a:cubicBezTo>
                  <a:cubicBezTo>
                    <a:pt x="0" y="3"/>
                    <a:pt x="0" y="1"/>
                    <a:pt x="1" y="1"/>
                  </a:cubicBezTo>
                  <a:cubicBezTo>
                    <a:pt x="2" y="0"/>
                    <a:pt x="3" y="0"/>
                    <a:pt x="4" y="1"/>
                  </a:cubicBezTo>
                  <a:cubicBezTo>
                    <a:pt x="12" y="8"/>
                    <a:pt x="12" y="8"/>
                    <a:pt x="12" y="8"/>
                  </a:cubicBezTo>
                  <a:cubicBezTo>
                    <a:pt x="13" y="9"/>
                    <a:pt x="13" y="11"/>
                    <a:pt x="12" y="11"/>
                  </a:cubicBezTo>
                  <a:cubicBezTo>
                    <a:pt x="12" y="12"/>
                    <a:pt x="11" y="12"/>
                    <a:pt x="11"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4" name="Freeform 16">
              <a:extLst>
                <a:ext uri="{FF2B5EF4-FFF2-40B4-BE49-F238E27FC236}">
                  <a16:creationId xmlns:a16="http://schemas.microsoft.com/office/drawing/2014/main" id="{72079B71-786D-6D6B-2782-D4C003E9A332}"/>
                </a:ext>
              </a:extLst>
            </xdr:cNvPr>
            <xdr:cNvSpPr>
              <a:spLocks/>
            </xdr:cNvSpPr>
          </xdr:nvSpPr>
          <xdr:spPr bwMode="auto">
            <a:xfrm>
              <a:off x="1327142" y="93662"/>
              <a:ext cx="23812" cy="23812"/>
            </a:xfrm>
            <a:custGeom>
              <a:avLst/>
              <a:gdLst>
                <a:gd name="T0" fmla="*/ 3 w 13"/>
                <a:gd name="T1" fmla="*/ 13 h 13"/>
                <a:gd name="T2" fmla="*/ 1 w 13"/>
                <a:gd name="T3" fmla="*/ 12 h 13"/>
                <a:gd name="T4" fmla="*/ 1 w 13"/>
                <a:gd name="T5" fmla="*/ 9 h 13"/>
                <a:gd name="T6" fmla="*/ 9 w 13"/>
                <a:gd name="T7" fmla="*/ 1 h 13"/>
                <a:gd name="T8" fmla="*/ 12 w 13"/>
                <a:gd name="T9" fmla="*/ 1 h 13"/>
                <a:gd name="T10" fmla="*/ 12 w 13"/>
                <a:gd name="T11" fmla="*/ 4 h 13"/>
                <a:gd name="T12" fmla="*/ 4 w 13"/>
                <a:gd name="T13" fmla="*/ 12 h 13"/>
                <a:gd name="T14" fmla="*/ 3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3" y="13"/>
                  </a:moveTo>
                  <a:cubicBezTo>
                    <a:pt x="2" y="13"/>
                    <a:pt x="1" y="13"/>
                    <a:pt x="1" y="12"/>
                  </a:cubicBezTo>
                  <a:cubicBezTo>
                    <a:pt x="0" y="11"/>
                    <a:pt x="0" y="10"/>
                    <a:pt x="1" y="9"/>
                  </a:cubicBezTo>
                  <a:cubicBezTo>
                    <a:pt x="9" y="1"/>
                    <a:pt x="9" y="1"/>
                    <a:pt x="9" y="1"/>
                  </a:cubicBezTo>
                  <a:cubicBezTo>
                    <a:pt x="10" y="0"/>
                    <a:pt x="11" y="0"/>
                    <a:pt x="12" y="1"/>
                  </a:cubicBezTo>
                  <a:cubicBezTo>
                    <a:pt x="13" y="2"/>
                    <a:pt x="13" y="4"/>
                    <a:pt x="12" y="4"/>
                  </a:cubicBezTo>
                  <a:cubicBezTo>
                    <a:pt x="4" y="12"/>
                    <a:pt x="4" y="12"/>
                    <a:pt x="4" y="12"/>
                  </a:cubicBezTo>
                  <a:cubicBezTo>
                    <a:pt x="4" y="13"/>
                    <a:pt x="3" y="13"/>
                    <a:pt x="3"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5" name="Freeform 17">
              <a:extLst>
                <a:ext uri="{FF2B5EF4-FFF2-40B4-BE49-F238E27FC236}">
                  <a16:creationId xmlns:a16="http://schemas.microsoft.com/office/drawing/2014/main" id="{9513F60E-2679-C93F-90AC-E7A1DED5DE97}"/>
                </a:ext>
              </a:extLst>
            </xdr:cNvPr>
            <xdr:cNvSpPr>
              <a:spLocks/>
            </xdr:cNvSpPr>
          </xdr:nvSpPr>
          <xdr:spPr bwMode="auto">
            <a:xfrm>
              <a:off x="1404929" y="19049"/>
              <a:ext cx="23812" cy="20637"/>
            </a:xfrm>
            <a:custGeom>
              <a:avLst/>
              <a:gdLst>
                <a:gd name="T0" fmla="*/ 2 w 13"/>
                <a:gd name="T1" fmla="*/ 12 h 12"/>
                <a:gd name="T2" fmla="*/ 1 w 13"/>
                <a:gd name="T3" fmla="*/ 11 h 12"/>
                <a:gd name="T4" fmla="*/ 1 w 13"/>
                <a:gd name="T5" fmla="*/ 8 h 12"/>
                <a:gd name="T6" fmla="*/ 9 w 13"/>
                <a:gd name="T7" fmla="*/ 1 h 12"/>
                <a:gd name="T8" fmla="*/ 12 w 13"/>
                <a:gd name="T9" fmla="*/ 1 h 12"/>
                <a:gd name="T10" fmla="*/ 12 w 13"/>
                <a:gd name="T11" fmla="*/ 4 h 12"/>
                <a:gd name="T12" fmla="*/ 4 w 13"/>
                <a:gd name="T13" fmla="*/ 11 h 12"/>
                <a:gd name="T14" fmla="*/ 2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2" y="12"/>
                  </a:moveTo>
                  <a:cubicBezTo>
                    <a:pt x="2" y="12"/>
                    <a:pt x="1" y="12"/>
                    <a:pt x="1" y="11"/>
                  </a:cubicBezTo>
                  <a:cubicBezTo>
                    <a:pt x="0" y="11"/>
                    <a:pt x="0" y="9"/>
                    <a:pt x="1" y="8"/>
                  </a:cubicBezTo>
                  <a:cubicBezTo>
                    <a:pt x="9" y="1"/>
                    <a:pt x="9" y="1"/>
                    <a:pt x="9" y="1"/>
                  </a:cubicBezTo>
                  <a:cubicBezTo>
                    <a:pt x="10" y="0"/>
                    <a:pt x="11" y="0"/>
                    <a:pt x="12" y="1"/>
                  </a:cubicBezTo>
                  <a:cubicBezTo>
                    <a:pt x="13" y="1"/>
                    <a:pt x="13" y="3"/>
                    <a:pt x="12" y="4"/>
                  </a:cubicBezTo>
                  <a:cubicBezTo>
                    <a:pt x="4" y="11"/>
                    <a:pt x="4" y="11"/>
                    <a:pt x="4" y="11"/>
                  </a:cubicBezTo>
                  <a:cubicBezTo>
                    <a:pt x="4" y="12"/>
                    <a:pt x="3" y="12"/>
                    <a:pt x="2"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2" name="Freeform 18">
            <a:extLst>
              <a:ext uri="{FF2B5EF4-FFF2-40B4-BE49-F238E27FC236}">
                <a16:creationId xmlns:a16="http://schemas.microsoft.com/office/drawing/2014/main" id="{30DF948E-A35A-D81F-A451-4B2CF158E4D5}"/>
              </a:ext>
            </a:extLst>
          </xdr:cNvPr>
          <xdr:cNvSpPr>
            <a:spLocks noEditPoints="1"/>
          </xdr:cNvSpPr>
        </xdr:nvSpPr>
        <xdr:spPr bwMode="auto">
          <a:xfrm>
            <a:off x="0" y="606265"/>
            <a:ext cx="1531222" cy="423647"/>
          </a:xfrm>
          <a:custGeom>
            <a:avLst/>
            <a:gdLst>
              <a:gd name="T0" fmla="*/ 273 w 474"/>
              <a:gd name="T1" fmla="*/ 10 h 132"/>
              <a:gd name="T2" fmla="*/ 59 w 474"/>
              <a:gd name="T3" fmla="*/ 29 h 132"/>
              <a:gd name="T4" fmla="*/ 0 w 474"/>
              <a:gd name="T5" fmla="*/ 70 h 132"/>
              <a:gd name="T6" fmla="*/ 68 w 474"/>
              <a:gd name="T7" fmla="*/ 121 h 132"/>
              <a:gd name="T8" fmla="*/ 337 w 474"/>
              <a:gd name="T9" fmla="*/ 126 h 132"/>
              <a:gd name="T10" fmla="*/ 469 w 474"/>
              <a:gd name="T11" fmla="*/ 80 h 132"/>
              <a:gd name="T12" fmla="*/ 414 w 474"/>
              <a:gd name="T13" fmla="*/ 43 h 132"/>
              <a:gd name="T14" fmla="*/ 330 w 474"/>
              <a:gd name="T15" fmla="*/ 35 h 132"/>
              <a:gd name="T16" fmla="*/ 86 w 474"/>
              <a:gd name="T17" fmla="*/ 32 h 132"/>
              <a:gd name="T18" fmla="*/ 82 w 474"/>
              <a:gd name="T19" fmla="*/ 40 h 132"/>
              <a:gd name="T20" fmla="*/ 127 w 474"/>
              <a:gd name="T21" fmla="*/ 106 h 132"/>
              <a:gd name="T22" fmla="*/ 371 w 474"/>
              <a:gd name="T23" fmla="*/ 104 h 132"/>
              <a:gd name="T24" fmla="*/ 330 w 474"/>
              <a:gd name="T25" fmla="*/ 35 h 132"/>
              <a:gd name="T26" fmla="*/ 434 w 474"/>
              <a:gd name="T27" fmla="*/ 85 h 132"/>
              <a:gd name="T28" fmla="*/ 433 w 474"/>
              <a:gd name="T29" fmla="*/ 58 h 132"/>
              <a:gd name="T30" fmla="*/ 434 w 474"/>
              <a:gd name="T31" fmla="*/ 57 h 132"/>
              <a:gd name="T32" fmla="*/ 448 w 474"/>
              <a:gd name="T33" fmla="*/ 80 h 132"/>
              <a:gd name="T34" fmla="*/ 405 w 474"/>
              <a:gd name="T35" fmla="*/ 101 h 132"/>
              <a:gd name="T36" fmla="*/ 404 w 474"/>
              <a:gd name="T37" fmla="*/ 99 h 132"/>
              <a:gd name="T38" fmla="*/ 144 w 474"/>
              <a:gd name="T39" fmla="*/ 72 h 132"/>
              <a:gd name="T40" fmla="*/ 131 w 474"/>
              <a:gd name="T41" fmla="*/ 99 h 132"/>
              <a:gd name="T42" fmla="*/ 112 w 474"/>
              <a:gd name="T43" fmla="*/ 72 h 132"/>
              <a:gd name="T44" fmla="*/ 202 w 474"/>
              <a:gd name="T45" fmla="*/ 99 h 132"/>
              <a:gd name="T46" fmla="*/ 151 w 474"/>
              <a:gd name="T47" fmla="*/ 72 h 132"/>
              <a:gd name="T48" fmla="*/ 202 w 474"/>
              <a:gd name="T49" fmla="*/ 99 h 132"/>
              <a:gd name="T50" fmla="*/ 209 w 474"/>
              <a:gd name="T51" fmla="*/ 99 h 132"/>
              <a:gd name="T52" fmla="*/ 225 w 474"/>
              <a:gd name="T53" fmla="*/ 72 h 132"/>
              <a:gd name="T54" fmla="*/ 282 w 474"/>
              <a:gd name="T55" fmla="*/ 99 h 132"/>
              <a:gd name="T56" fmla="*/ 232 w 474"/>
              <a:gd name="T57" fmla="*/ 72 h 132"/>
              <a:gd name="T58" fmla="*/ 282 w 474"/>
              <a:gd name="T59" fmla="*/ 99 h 132"/>
              <a:gd name="T60" fmla="*/ 290 w 474"/>
              <a:gd name="T61" fmla="*/ 99 h 132"/>
              <a:gd name="T62" fmla="*/ 306 w 474"/>
              <a:gd name="T63" fmla="*/ 72 h 132"/>
              <a:gd name="T64" fmla="*/ 344 w 474"/>
              <a:gd name="T65" fmla="*/ 72 h 132"/>
              <a:gd name="T66" fmla="*/ 358 w 474"/>
              <a:gd name="T67" fmla="*/ 97 h 132"/>
              <a:gd name="T68" fmla="*/ 331 w 474"/>
              <a:gd name="T69" fmla="*/ 99 h 132"/>
              <a:gd name="T70" fmla="*/ 344 w 474"/>
              <a:gd name="T71" fmla="*/ 72 h 132"/>
              <a:gd name="T72" fmla="*/ 66 w 474"/>
              <a:gd name="T73" fmla="*/ 47 h 132"/>
              <a:gd name="T74" fmla="*/ 49 w 474"/>
              <a:gd name="T75" fmla="*/ 48 h 132"/>
              <a:gd name="T76" fmla="*/ 39 w 474"/>
              <a:gd name="T77" fmla="*/ 92 h 132"/>
              <a:gd name="T78" fmla="*/ 41 w 474"/>
              <a:gd name="T79" fmla="*/ 91 h 132"/>
              <a:gd name="T80" fmla="*/ 51 w 474"/>
              <a:gd name="T81" fmla="*/ 52 h 132"/>
              <a:gd name="T82" fmla="*/ 293 w 474"/>
              <a:gd name="T83" fmla="*/ 40 h 132"/>
              <a:gd name="T84" fmla="*/ 325 w 474"/>
              <a:gd name="T85" fmla="*/ 41 h 132"/>
              <a:gd name="T86" fmla="*/ 310 w 474"/>
              <a:gd name="T87" fmla="*/ 66 h 132"/>
              <a:gd name="T88" fmla="*/ 123 w 474"/>
              <a:gd name="T89" fmla="*/ 40 h 132"/>
              <a:gd name="T90" fmla="*/ 140 w 474"/>
              <a:gd name="T91" fmla="*/ 66 h 132"/>
              <a:gd name="T92" fmla="*/ 95 w 474"/>
              <a:gd name="T93" fmla="*/ 45 h 132"/>
              <a:gd name="T94" fmla="*/ 98 w 474"/>
              <a:gd name="T95" fmla="*/ 40 h 132"/>
              <a:gd name="T96" fmla="*/ 164 w 474"/>
              <a:gd name="T97" fmla="*/ 40 h 132"/>
              <a:gd name="T98" fmla="*/ 181 w 474"/>
              <a:gd name="T99" fmla="*/ 66 h 132"/>
              <a:gd name="T100" fmla="*/ 130 w 474"/>
              <a:gd name="T101" fmla="*/ 40 h 132"/>
              <a:gd name="T102" fmla="*/ 204 w 474"/>
              <a:gd name="T103" fmla="*/ 40 h 132"/>
              <a:gd name="T104" fmla="*/ 221 w 474"/>
              <a:gd name="T105" fmla="*/ 66 h 132"/>
              <a:gd name="T106" fmla="*/ 171 w 474"/>
              <a:gd name="T107" fmla="*/ 40 h 132"/>
              <a:gd name="T108" fmla="*/ 245 w 474"/>
              <a:gd name="T109" fmla="*/ 40 h 132"/>
              <a:gd name="T110" fmla="*/ 262 w 474"/>
              <a:gd name="T111" fmla="*/ 66 h 132"/>
              <a:gd name="T112" fmla="*/ 211 w 474"/>
              <a:gd name="T113" fmla="*/ 40 h 132"/>
              <a:gd name="T114" fmla="*/ 286 w 474"/>
              <a:gd name="T115" fmla="*/ 40 h 132"/>
              <a:gd name="T116" fmla="*/ 269 w 474"/>
              <a:gd name="T117" fmla="*/ 66 h 132"/>
              <a:gd name="T118" fmla="*/ 286 w 474"/>
              <a:gd name="T119" fmla="*/ 40 h 1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74" h="132">
                <a:moveTo>
                  <a:pt x="371" y="38"/>
                </a:moveTo>
                <a:cubicBezTo>
                  <a:pt x="340" y="30"/>
                  <a:pt x="325" y="16"/>
                  <a:pt x="273" y="10"/>
                </a:cubicBezTo>
                <a:cubicBezTo>
                  <a:pt x="221" y="4"/>
                  <a:pt x="217" y="0"/>
                  <a:pt x="150" y="5"/>
                </a:cubicBezTo>
                <a:cubicBezTo>
                  <a:pt x="82" y="9"/>
                  <a:pt x="91" y="16"/>
                  <a:pt x="59" y="29"/>
                </a:cubicBezTo>
                <a:cubicBezTo>
                  <a:pt x="43" y="35"/>
                  <a:pt x="29" y="40"/>
                  <a:pt x="18" y="46"/>
                </a:cubicBezTo>
                <a:cubicBezTo>
                  <a:pt x="7" y="52"/>
                  <a:pt x="0" y="60"/>
                  <a:pt x="0" y="70"/>
                </a:cubicBezTo>
                <a:cubicBezTo>
                  <a:pt x="0" y="78"/>
                  <a:pt x="5" y="88"/>
                  <a:pt x="14" y="96"/>
                </a:cubicBezTo>
                <a:cubicBezTo>
                  <a:pt x="27" y="110"/>
                  <a:pt x="47" y="121"/>
                  <a:pt x="68" y="121"/>
                </a:cubicBezTo>
                <a:cubicBezTo>
                  <a:pt x="102" y="122"/>
                  <a:pt x="155" y="116"/>
                  <a:pt x="183" y="121"/>
                </a:cubicBezTo>
                <a:cubicBezTo>
                  <a:pt x="208" y="126"/>
                  <a:pt x="296" y="132"/>
                  <a:pt x="337" y="126"/>
                </a:cubicBezTo>
                <a:cubicBezTo>
                  <a:pt x="379" y="120"/>
                  <a:pt x="412" y="114"/>
                  <a:pt x="438" y="105"/>
                </a:cubicBezTo>
                <a:cubicBezTo>
                  <a:pt x="457" y="98"/>
                  <a:pt x="466" y="89"/>
                  <a:pt x="469" y="80"/>
                </a:cubicBezTo>
                <a:cubicBezTo>
                  <a:pt x="474" y="66"/>
                  <a:pt x="465" y="53"/>
                  <a:pt x="454" y="49"/>
                </a:cubicBezTo>
                <a:cubicBezTo>
                  <a:pt x="442" y="45"/>
                  <a:pt x="428" y="44"/>
                  <a:pt x="414" y="43"/>
                </a:cubicBezTo>
                <a:cubicBezTo>
                  <a:pt x="400" y="43"/>
                  <a:pt x="385" y="42"/>
                  <a:pt x="371" y="38"/>
                </a:cubicBezTo>
                <a:close/>
                <a:moveTo>
                  <a:pt x="330" y="35"/>
                </a:moveTo>
                <a:cubicBezTo>
                  <a:pt x="329" y="33"/>
                  <a:pt x="328" y="32"/>
                  <a:pt x="326" y="32"/>
                </a:cubicBezTo>
                <a:cubicBezTo>
                  <a:pt x="246" y="32"/>
                  <a:pt x="166" y="32"/>
                  <a:pt x="86" y="32"/>
                </a:cubicBezTo>
                <a:cubicBezTo>
                  <a:pt x="84" y="32"/>
                  <a:pt x="82" y="33"/>
                  <a:pt x="81" y="35"/>
                </a:cubicBezTo>
                <a:cubicBezTo>
                  <a:pt x="81" y="36"/>
                  <a:pt x="81" y="38"/>
                  <a:pt x="82" y="40"/>
                </a:cubicBezTo>
                <a:cubicBezTo>
                  <a:pt x="123" y="104"/>
                  <a:pt x="123" y="104"/>
                  <a:pt x="123" y="104"/>
                </a:cubicBezTo>
                <a:cubicBezTo>
                  <a:pt x="124" y="105"/>
                  <a:pt x="125" y="106"/>
                  <a:pt x="127" y="106"/>
                </a:cubicBezTo>
                <a:cubicBezTo>
                  <a:pt x="367" y="106"/>
                  <a:pt x="367" y="106"/>
                  <a:pt x="367" y="106"/>
                </a:cubicBezTo>
                <a:cubicBezTo>
                  <a:pt x="369" y="106"/>
                  <a:pt x="370" y="105"/>
                  <a:pt x="371" y="104"/>
                </a:cubicBezTo>
                <a:cubicBezTo>
                  <a:pt x="372" y="102"/>
                  <a:pt x="372" y="100"/>
                  <a:pt x="371" y="99"/>
                </a:cubicBezTo>
                <a:cubicBezTo>
                  <a:pt x="330" y="35"/>
                  <a:pt x="330" y="35"/>
                  <a:pt x="330" y="35"/>
                </a:cubicBezTo>
                <a:close/>
                <a:moveTo>
                  <a:pt x="404" y="99"/>
                </a:moveTo>
                <a:cubicBezTo>
                  <a:pt x="414" y="98"/>
                  <a:pt x="427" y="93"/>
                  <a:pt x="434" y="85"/>
                </a:cubicBezTo>
                <a:cubicBezTo>
                  <a:pt x="438" y="82"/>
                  <a:pt x="441" y="77"/>
                  <a:pt x="441" y="73"/>
                </a:cubicBezTo>
                <a:cubicBezTo>
                  <a:pt x="441" y="68"/>
                  <a:pt x="439" y="63"/>
                  <a:pt x="433" y="58"/>
                </a:cubicBezTo>
                <a:cubicBezTo>
                  <a:pt x="433" y="58"/>
                  <a:pt x="433" y="57"/>
                  <a:pt x="433" y="57"/>
                </a:cubicBezTo>
                <a:cubicBezTo>
                  <a:pt x="433" y="57"/>
                  <a:pt x="434" y="56"/>
                  <a:pt x="434" y="57"/>
                </a:cubicBezTo>
                <a:cubicBezTo>
                  <a:pt x="441" y="59"/>
                  <a:pt x="448" y="63"/>
                  <a:pt x="449" y="70"/>
                </a:cubicBezTo>
                <a:cubicBezTo>
                  <a:pt x="450" y="73"/>
                  <a:pt x="449" y="76"/>
                  <a:pt x="448" y="80"/>
                </a:cubicBezTo>
                <a:cubicBezTo>
                  <a:pt x="444" y="88"/>
                  <a:pt x="437" y="98"/>
                  <a:pt x="405" y="101"/>
                </a:cubicBezTo>
                <a:cubicBezTo>
                  <a:pt x="405" y="101"/>
                  <a:pt x="405" y="101"/>
                  <a:pt x="405" y="101"/>
                </a:cubicBezTo>
                <a:cubicBezTo>
                  <a:pt x="404" y="101"/>
                  <a:pt x="404" y="101"/>
                  <a:pt x="404" y="101"/>
                </a:cubicBezTo>
                <a:cubicBezTo>
                  <a:pt x="404" y="100"/>
                  <a:pt x="404" y="99"/>
                  <a:pt x="404" y="99"/>
                </a:cubicBezTo>
                <a:cubicBezTo>
                  <a:pt x="404" y="99"/>
                  <a:pt x="404" y="99"/>
                  <a:pt x="404" y="99"/>
                </a:cubicBezTo>
                <a:close/>
                <a:moveTo>
                  <a:pt x="144" y="72"/>
                </a:moveTo>
                <a:cubicBezTo>
                  <a:pt x="161" y="99"/>
                  <a:pt x="161" y="99"/>
                  <a:pt x="161" y="99"/>
                </a:cubicBezTo>
                <a:cubicBezTo>
                  <a:pt x="131" y="99"/>
                  <a:pt x="131" y="99"/>
                  <a:pt x="131" y="99"/>
                </a:cubicBezTo>
                <a:cubicBezTo>
                  <a:pt x="130" y="99"/>
                  <a:pt x="129" y="98"/>
                  <a:pt x="128" y="97"/>
                </a:cubicBezTo>
                <a:cubicBezTo>
                  <a:pt x="112" y="72"/>
                  <a:pt x="112" y="72"/>
                  <a:pt x="112" y="72"/>
                </a:cubicBezTo>
                <a:cubicBezTo>
                  <a:pt x="144" y="72"/>
                  <a:pt x="144" y="72"/>
                  <a:pt x="144" y="72"/>
                </a:cubicBezTo>
                <a:close/>
                <a:moveTo>
                  <a:pt x="202" y="99"/>
                </a:moveTo>
                <a:cubicBezTo>
                  <a:pt x="168" y="99"/>
                  <a:pt x="168" y="99"/>
                  <a:pt x="168" y="99"/>
                </a:cubicBezTo>
                <a:cubicBezTo>
                  <a:pt x="151" y="72"/>
                  <a:pt x="151" y="72"/>
                  <a:pt x="151" y="72"/>
                </a:cubicBezTo>
                <a:cubicBezTo>
                  <a:pt x="185" y="72"/>
                  <a:pt x="185" y="72"/>
                  <a:pt x="185" y="72"/>
                </a:cubicBezTo>
                <a:cubicBezTo>
                  <a:pt x="202" y="99"/>
                  <a:pt x="202" y="99"/>
                  <a:pt x="202" y="99"/>
                </a:cubicBezTo>
                <a:close/>
                <a:moveTo>
                  <a:pt x="242" y="99"/>
                </a:moveTo>
                <a:cubicBezTo>
                  <a:pt x="209" y="99"/>
                  <a:pt x="209" y="99"/>
                  <a:pt x="209" y="99"/>
                </a:cubicBezTo>
                <a:cubicBezTo>
                  <a:pt x="192" y="72"/>
                  <a:pt x="192" y="72"/>
                  <a:pt x="192" y="72"/>
                </a:cubicBezTo>
                <a:cubicBezTo>
                  <a:pt x="225" y="72"/>
                  <a:pt x="225" y="72"/>
                  <a:pt x="225" y="72"/>
                </a:cubicBezTo>
                <a:cubicBezTo>
                  <a:pt x="242" y="99"/>
                  <a:pt x="242" y="99"/>
                  <a:pt x="242" y="99"/>
                </a:cubicBezTo>
                <a:close/>
                <a:moveTo>
                  <a:pt x="282" y="99"/>
                </a:moveTo>
                <a:cubicBezTo>
                  <a:pt x="249" y="99"/>
                  <a:pt x="249" y="99"/>
                  <a:pt x="249" y="99"/>
                </a:cubicBezTo>
                <a:cubicBezTo>
                  <a:pt x="232" y="72"/>
                  <a:pt x="232" y="72"/>
                  <a:pt x="232" y="72"/>
                </a:cubicBezTo>
                <a:cubicBezTo>
                  <a:pt x="265" y="72"/>
                  <a:pt x="265" y="72"/>
                  <a:pt x="265" y="72"/>
                </a:cubicBezTo>
                <a:cubicBezTo>
                  <a:pt x="282" y="99"/>
                  <a:pt x="282" y="99"/>
                  <a:pt x="282" y="99"/>
                </a:cubicBezTo>
                <a:close/>
                <a:moveTo>
                  <a:pt x="323" y="99"/>
                </a:moveTo>
                <a:cubicBezTo>
                  <a:pt x="290" y="99"/>
                  <a:pt x="290" y="99"/>
                  <a:pt x="290" y="99"/>
                </a:cubicBezTo>
                <a:cubicBezTo>
                  <a:pt x="273" y="72"/>
                  <a:pt x="273" y="72"/>
                  <a:pt x="273" y="72"/>
                </a:cubicBezTo>
                <a:cubicBezTo>
                  <a:pt x="306" y="72"/>
                  <a:pt x="306" y="72"/>
                  <a:pt x="306" y="72"/>
                </a:cubicBezTo>
                <a:cubicBezTo>
                  <a:pt x="323" y="99"/>
                  <a:pt x="323" y="99"/>
                  <a:pt x="323" y="99"/>
                </a:cubicBezTo>
                <a:close/>
                <a:moveTo>
                  <a:pt x="344" y="72"/>
                </a:moveTo>
                <a:cubicBezTo>
                  <a:pt x="358" y="93"/>
                  <a:pt x="358" y="93"/>
                  <a:pt x="358" y="93"/>
                </a:cubicBezTo>
                <a:cubicBezTo>
                  <a:pt x="358" y="94"/>
                  <a:pt x="358" y="96"/>
                  <a:pt x="358" y="97"/>
                </a:cubicBezTo>
                <a:cubicBezTo>
                  <a:pt x="357" y="98"/>
                  <a:pt x="356" y="99"/>
                  <a:pt x="355" y="99"/>
                </a:cubicBezTo>
                <a:cubicBezTo>
                  <a:pt x="331" y="99"/>
                  <a:pt x="331" y="99"/>
                  <a:pt x="331" y="99"/>
                </a:cubicBezTo>
                <a:cubicBezTo>
                  <a:pt x="313" y="72"/>
                  <a:pt x="313" y="72"/>
                  <a:pt x="313" y="72"/>
                </a:cubicBezTo>
                <a:cubicBezTo>
                  <a:pt x="344" y="72"/>
                  <a:pt x="344" y="72"/>
                  <a:pt x="344" y="72"/>
                </a:cubicBezTo>
                <a:close/>
                <a:moveTo>
                  <a:pt x="65" y="48"/>
                </a:moveTo>
                <a:cubicBezTo>
                  <a:pt x="66" y="48"/>
                  <a:pt x="66" y="47"/>
                  <a:pt x="66" y="47"/>
                </a:cubicBezTo>
                <a:cubicBezTo>
                  <a:pt x="66" y="46"/>
                  <a:pt x="65" y="46"/>
                  <a:pt x="65" y="46"/>
                </a:cubicBezTo>
                <a:cubicBezTo>
                  <a:pt x="65" y="46"/>
                  <a:pt x="57" y="45"/>
                  <a:pt x="49" y="48"/>
                </a:cubicBezTo>
                <a:cubicBezTo>
                  <a:pt x="43" y="50"/>
                  <a:pt x="37" y="53"/>
                  <a:pt x="33" y="59"/>
                </a:cubicBezTo>
                <a:cubicBezTo>
                  <a:pt x="25" y="72"/>
                  <a:pt x="32" y="85"/>
                  <a:pt x="39" y="92"/>
                </a:cubicBezTo>
                <a:cubicBezTo>
                  <a:pt x="40" y="93"/>
                  <a:pt x="40" y="93"/>
                  <a:pt x="41" y="93"/>
                </a:cubicBezTo>
                <a:cubicBezTo>
                  <a:pt x="41" y="92"/>
                  <a:pt x="41" y="92"/>
                  <a:pt x="41" y="91"/>
                </a:cubicBezTo>
                <a:cubicBezTo>
                  <a:pt x="37" y="76"/>
                  <a:pt x="38" y="67"/>
                  <a:pt x="41" y="61"/>
                </a:cubicBezTo>
                <a:cubicBezTo>
                  <a:pt x="43" y="57"/>
                  <a:pt x="47" y="54"/>
                  <a:pt x="51" y="52"/>
                </a:cubicBezTo>
                <a:cubicBezTo>
                  <a:pt x="56" y="51"/>
                  <a:pt x="61" y="50"/>
                  <a:pt x="65" y="48"/>
                </a:cubicBezTo>
                <a:close/>
                <a:moveTo>
                  <a:pt x="293" y="40"/>
                </a:moveTo>
                <a:cubicBezTo>
                  <a:pt x="321" y="40"/>
                  <a:pt x="321" y="40"/>
                  <a:pt x="321" y="40"/>
                </a:cubicBezTo>
                <a:cubicBezTo>
                  <a:pt x="323" y="40"/>
                  <a:pt x="324" y="40"/>
                  <a:pt x="325" y="41"/>
                </a:cubicBezTo>
                <a:cubicBezTo>
                  <a:pt x="341" y="66"/>
                  <a:pt x="341" y="66"/>
                  <a:pt x="341" y="66"/>
                </a:cubicBezTo>
                <a:cubicBezTo>
                  <a:pt x="310" y="66"/>
                  <a:pt x="310" y="66"/>
                  <a:pt x="310" y="66"/>
                </a:cubicBezTo>
                <a:cubicBezTo>
                  <a:pt x="293" y="40"/>
                  <a:pt x="293" y="40"/>
                  <a:pt x="293" y="40"/>
                </a:cubicBezTo>
                <a:close/>
                <a:moveTo>
                  <a:pt x="123" y="40"/>
                </a:moveTo>
                <a:cubicBezTo>
                  <a:pt x="123" y="40"/>
                  <a:pt x="123" y="40"/>
                  <a:pt x="124" y="41"/>
                </a:cubicBezTo>
                <a:cubicBezTo>
                  <a:pt x="140" y="66"/>
                  <a:pt x="140" y="66"/>
                  <a:pt x="140" y="66"/>
                </a:cubicBezTo>
                <a:cubicBezTo>
                  <a:pt x="108" y="66"/>
                  <a:pt x="108" y="66"/>
                  <a:pt x="108" y="66"/>
                </a:cubicBezTo>
                <a:cubicBezTo>
                  <a:pt x="95" y="45"/>
                  <a:pt x="95" y="45"/>
                  <a:pt x="95" y="45"/>
                </a:cubicBezTo>
                <a:cubicBezTo>
                  <a:pt x="94" y="44"/>
                  <a:pt x="94" y="43"/>
                  <a:pt x="95" y="42"/>
                </a:cubicBezTo>
                <a:cubicBezTo>
                  <a:pt x="96" y="40"/>
                  <a:pt x="97" y="40"/>
                  <a:pt x="98" y="40"/>
                </a:cubicBezTo>
                <a:cubicBezTo>
                  <a:pt x="123" y="40"/>
                  <a:pt x="123" y="40"/>
                  <a:pt x="123" y="40"/>
                </a:cubicBezTo>
                <a:close/>
                <a:moveTo>
                  <a:pt x="164" y="40"/>
                </a:moveTo>
                <a:cubicBezTo>
                  <a:pt x="164" y="40"/>
                  <a:pt x="164" y="40"/>
                  <a:pt x="164" y="40"/>
                </a:cubicBezTo>
                <a:cubicBezTo>
                  <a:pt x="181" y="66"/>
                  <a:pt x="181" y="66"/>
                  <a:pt x="181" y="66"/>
                </a:cubicBezTo>
                <a:cubicBezTo>
                  <a:pt x="147" y="66"/>
                  <a:pt x="147" y="66"/>
                  <a:pt x="147" y="66"/>
                </a:cubicBezTo>
                <a:cubicBezTo>
                  <a:pt x="130" y="40"/>
                  <a:pt x="130" y="40"/>
                  <a:pt x="130" y="40"/>
                </a:cubicBezTo>
                <a:cubicBezTo>
                  <a:pt x="164" y="40"/>
                  <a:pt x="164" y="40"/>
                  <a:pt x="164" y="40"/>
                </a:cubicBezTo>
                <a:close/>
                <a:moveTo>
                  <a:pt x="204" y="40"/>
                </a:moveTo>
                <a:cubicBezTo>
                  <a:pt x="204" y="40"/>
                  <a:pt x="204" y="40"/>
                  <a:pt x="204" y="40"/>
                </a:cubicBezTo>
                <a:cubicBezTo>
                  <a:pt x="221" y="66"/>
                  <a:pt x="221" y="66"/>
                  <a:pt x="221" y="66"/>
                </a:cubicBezTo>
                <a:cubicBezTo>
                  <a:pt x="188" y="66"/>
                  <a:pt x="188" y="66"/>
                  <a:pt x="188" y="66"/>
                </a:cubicBezTo>
                <a:cubicBezTo>
                  <a:pt x="171" y="40"/>
                  <a:pt x="171" y="40"/>
                  <a:pt x="171" y="40"/>
                </a:cubicBezTo>
                <a:cubicBezTo>
                  <a:pt x="204" y="40"/>
                  <a:pt x="204" y="40"/>
                  <a:pt x="204" y="40"/>
                </a:cubicBezTo>
                <a:close/>
                <a:moveTo>
                  <a:pt x="245" y="40"/>
                </a:moveTo>
                <a:cubicBezTo>
                  <a:pt x="245" y="40"/>
                  <a:pt x="245" y="40"/>
                  <a:pt x="245" y="40"/>
                </a:cubicBezTo>
                <a:cubicBezTo>
                  <a:pt x="262" y="66"/>
                  <a:pt x="262" y="66"/>
                  <a:pt x="262" y="66"/>
                </a:cubicBezTo>
                <a:cubicBezTo>
                  <a:pt x="228" y="66"/>
                  <a:pt x="228" y="66"/>
                  <a:pt x="228" y="66"/>
                </a:cubicBezTo>
                <a:cubicBezTo>
                  <a:pt x="211" y="40"/>
                  <a:pt x="211" y="40"/>
                  <a:pt x="211" y="40"/>
                </a:cubicBezTo>
                <a:cubicBezTo>
                  <a:pt x="245" y="40"/>
                  <a:pt x="245" y="40"/>
                  <a:pt x="245" y="40"/>
                </a:cubicBezTo>
                <a:close/>
                <a:moveTo>
                  <a:pt x="286" y="40"/>
                </a:moveTo>
                <a:cubicBezTo>
                  <a:pt x="303" y="66"/>
                  <a:pt x="303" y="66"/>
                  <a:pt x="303" y="66"/>
                </a:cubicBezTo>
                <a:cubicBezTo>
                  <a:pt x="269" y="66"/>
                  <a:pt x="269" y="66"/>
                  <a:pt x="269" y="66"/>
                </a:cubicBezTo>
                <a:cubicBezTo>
                  <a:pt x="252" y="40"/>
                  <a:pt x="252" y="40"/>
                  <a:pt x="252" y="40"/>
                </a:cubicBezTo>
                <a:cubicBezTo>
                  <a:pt x="286" y="40"/>
                  <a:pt x="286" y="40"/>
                  <a:pt x="286" y="40"/>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3" name="グループ化 62">
            <a:extLst>
              <a:ext uri="{FF2B5EF4-FFF2-40B4-BE49-F238E27FC236}">
                <a16:creationId xmlns:a16="http://schemas.microsoft.com/office/drawing/2014/main" id="{AF1001BB-227C-90AC-CD2D-32B7A8A9DE42}"/>
              </a:ext>
            </a:extLst>
          </xdr:cNvPr>
          <xdr:cNvGrpSpPr/>
        </xdr:nvGrpSpPr>
        <xdr:grpSpPr>
          <a:xfrm>
            <a:off x="348410" y="36216"/>
            <a:ext cx="837012" cy="478636"/>
            <a:chOff x="348410" y="36216"/>
            <a:chExt cx="552450" cy="315913"/>
          </a:xfrm>
          <a:grpFill/>
        </xdr:grpSpPr>
        <xdr:sp macro="" textlink="">
          <xdr:nvSpPr>
            <xdr:cNvPr id="65" name="Freeform 5">
              <a:extLst>
                <a:ext uri="{FF2B5EF4-FFF2-40B4-BE49-F238E27FC236}">
                  <a16:creationId xmlns:a16="http://schemas.microsoft.com/office/drawing/2014/main" id="{FD87B954-0620-C0B9-64B6-78BCBAF33AD0}"/>
                </a:ext>
              </a:extLst>
            </xdr:cNvPr>
            <xdr:cNvSpPr>
              <a:spLocks noEditPoints="1"/>
            </xdr:cNvSpPr>
          </xdr:nvSpPr>
          <xdr:spPr bwMode="auto">
            <a:xfrm>
              <a:off x="348410" y="82254"/>
              <a:ext cx="552450" cy="269875"/>
            </a:xfrm>
            <a:custGeom>
              <a:avLst/>
              <a:gdLst>
                <a:gd name="T0" fmla="*/ 286 w 298"/>
                <a:gd name="T1" fmla="*/ 123 h 146"/>
                <a:gd name="T2" fmla="*/ 286 w 298"/>
                <a:gd name="T3" fmla="*/ 26 h 146"/>
                <a:gd name="T4" fmla="*/ 285 w 298"/>
                <a:gd name="T5" fmla="*/ 0 h 146"/>
                <a:gd name="T6" fmla="*/ 230 w 298"/>
                <a:gd name="T7" fmla="*/ 23 h 146"/>
                <a:gd name="T8" fmla="*/ 229 w 298"/>
                <a:gd name="T9" fmla="*/ 0 h 146"/>
                <a:gd name="T10" fmla="*/ 174 w 298"/>
                <a:gd name="T11" fmla="*/ 23 h 146"/>
                <a:gd name="T12" fmla="*/ 173 w 298"/>
                <a:gd name="T13" fmla="*/ 0 h 146"/>
                <a:gd name="T14" fmla="*/ 118 w 298"/>
                <a:gd name="T15" fmla="*/ 23 h 146"/>
                <a:gd name="T16" fmla="*/ 118 w 298"/>
                <a:gd name="T17" fmla="*/ 0 h 146"/>
                <a:gd name="T18" fmla="*/ 61 w 298"/>
                <a:gd name="T19" fmla="*/ 24 h 146"/>
                <a:gd name="T20" fmla="*/ 58 w 298"/>
                <a:gd name="T21" fmla="*/ 2 h 146"/>
                <a:gd name="T22" fmla="*/ 14 w 298"/>
                <a:gd name="T23" fmla="*/ 0 h 146"/>
                <a:gd name="T24" fmla="*/ 12 w 298"/>
                <a:gd name="T25" fmla="*/ 26 h 146"/>
                <a:gd name="T26" fmla="*/ 12 w 298"/>
                <a:gd name="T27" fmla="*/ 123 h 146"/>
                <a:gd name="T28" fmla="*/ 0 w 298"/>
                <a:gd name="T29" fmla="*/ 125 h 146"/>
                <a:gd name="T30" fmla="*/ 2 w 298"/>
                <a:gd name="T31" fmla="*/ 146 h 146"/>
                <a:gd name="T32" fmla="*/ 284 w 298"/>
                <a:gd name="T33" fmla="*/ 146 h 146"/>
                <a:gd name="T34" fmla="*/ 298 w 298"/>
                <a:gd name="T35" fmla="*/ 144 h 146"/>
                <a:gd name="T36" fmla="*/ 296 w 298"/>
                <a:gd name="T37" fmla="*/ 123 h 146"/>
                <a:gd name="T38" fmla="*/ 39 w 298"/>
                <a:gd name="T39" fmla="*/ 73 h 146"/>
                <a:gd name="T40" fmla="*/ 55 w 298"/>
                <a:gd name="T41" fmla="*/ 57 h 146"/>
                <a:gd name="T42" fmla="*/ 84 w 298"/>
                <a:gd name="T43" fmla="*/ 73 h 146"/>
                <a:gd name="T44" fmla="*/ 68 w 298"/>
                <a:gd name="T45" fmla="*/ 57 h 146"/>
                <a:gd name="T46" fmla="*/ 84 w 298"/>
                <a:gd name="T47" fmla="*/ 73 h 146"/>
                <a:gd name="T48" fmla="*/ 97 w 298"/>
                <a:gd name="T49" fmla="*/ 73 h 146"/>
                <a:gd name="T50" fmla="*/ 113 w 298"/>
                <a:gd name="T51" fmla="*/ 57 h 146"/>
                <a:gd name="T52" fmla="*/ 142 w 298"/>
                <a:gd name="T53" fmla="*/ 73 h 146"/>
                <a:gd name="T54" fmla="*/ 126 w 298"/>
                <a:gd name="T55" fmla="*/ 57 h 146"/>
                <a:gd name="T56" fmla="*/ 142 w 298"/>
                <a:gd name="T57" fmla="*/ 73 h 146"/>
                <a:gd name="T58" fmla="*/ 156 w 298"/>
                <a:gd name="T59" fmla="*/ 73 h 146"/>
                <a:gd name="T60" fmla="*/ 172 w 298"/>
                <a:gd name="T61" fmla="*/ 57 h 146"/>
                <a:gd name="T62" fmla="*/ 201 w 298"/>
                <a:gd name="T63" fmla="*/ 73 h 146"/>
                <a:gd name="T64" fmla="*/ 185 w 298"/>
                <a:gd name="T65" fmla="*/ 57 h 146"/>
                <a:gd name="T66" fmla="*/ 201 w 298"/>
                <a:gd name="T67" fmla="*/ 73 h 146"/>
                <a:gd name="T68" fmla="*/ 214 w 298"/>
                <a:gd name="T69" fmla="*/ 73 h 146"/>
                <a:gd name="T70" fmla="*/ 230 w 298"/>
                <a:gd name="T71" fmla="*/ 57 h 146"/>
                <a:gd name="T72" fmla="*/ 259 w 298"/>
                <a:gd name="T73" fmla="*/ 73 h 146"/>
                <a:gd name="T74" fmla="*/ 243 w 298"/>
                <a:gd name="T75" fmla="*/ 57 h 146"/>
                <a:gd name="T76" fmla="*/ 259 w 298"/>
                <a:gd name="T77" fmla="*/ 73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98" h="146">
                  <a:moveTo>
                    <a:pt x="296" y="123"/>
                  </a:moveTo>
                  <a:cubicBezTo>
                    <a:pt x="286" y="123"/>
                    <a:pt x="286" y="123"/>
                    <a:pt x="286" y="123"/>
                  </a:cubicBezTo>
                  <a:cubicBezTo>
                    <a:pt x="286" y="30"/>
                    <a:pt x="286" y="30"/>
                    <a:pt x="286" y="30"/>
                  </a:cubicBezTo>
                  <a:cubicBezTo>
                    <a:pt x="286" y="26"/>
                    <a:pt x="286" y="26"/>
                    <a:pt x="286" y="26"/>
                  </a:cubicBezTo>
                  <a:cubicBezTo>
                    <a:pt x="286" y="2"/>
                    <a:pt x="286" y="2"/>
                    <a:pt x="286" y="2"/>
                  </a:cubicBezTo>
                  <a:cubicBezTo>
                    <a:pt x="286" y="1"/>
                    <a:pt x="285" y="0"/>
                    <a:pt x="285" y="0"/>
                  </a:cubicBezTo>
                  <a:cubicBezTo>
                    <a:pt x="284" y="0"/>
                    <a:pt x="283" y="0"/>
                    <a:pt x="283" y="0"/>
                  </a:cubicBezTo>
                  <a:cubicBezTo>
                    <a:pt x="230" y="23"/>
                    <a:pt x="230" y="23"/>
                    <a:pt x="230" y="23"/>
                  </a:cubicBezTo>
                  <a:cubicBezTo>
                    <a:pt x="230" y="2"/>
                    <a:pt x="230" y="2"/>
                    <a:pt x="230" y="2"/>
                  </a:cubicBezTo>
                  <a:cubicBezTo>
                    <a:pt x="230" y="1"/>
                    <a:pt x="230" y="0"/>
                    <a:pt x="229" y="0"/>
                  </a:cubicBezTo>
                  <a:cubicBezTo>
                    <a:pt x="228" y="0"/>
                    <a:pt x="228" y="0"/>
                    <a:pt x="227" y="0"/>
                  </a:cubicBezTo>
                  <a:cubicBezTo>
                    <a:pt x="174" y="23"/>
                    <a:pt x="174" y="23"/>
                    <a:pt x="174" y="23"/>
                  </a:cubicBezTo>
                  <a:cubicBezTo>
                    <a:pt x="174" y="2"/>
                    <a:pt x="174" y="2"/>
                    <a:pt x="174" y="2"/>
                  </a:cubicBezTo>
                  <a:cubicBezTo>
                    <a:pt x="174" y="1"/>
                    <a:pt x="174" y="0"/>
                    <a:pt x="173" y="0"/>
                  </a:cubicBezTo>
                  <a:cubicBezTo>
                    <a:pt x="173" y="0"/>
                    <a:pt x="172" y="0"/>
                    <a:pt x="171" y="0"/>
                  </a:cubicBezTo>
                  <a:cubicBezTo>
                    <a:pt x="118" y="23"/>
                    <a:pt x="118" y="23"/>
                    <a:pt x="118" y="23"/>
                  </a:cubicBezTo>
                  <a:cubicBezTo>
                    <a:pt x="118" y="2"/>
                    <a:pt x="118" y="2"/>
                    <a:pt x="118" y="2"/>
                  </a:cubicBezTo>
                  <a:cubicBezTo>
                    <a:pt x="118" y="1"/>
                    <a:pt x="118" y="0"/>
                    <a:pt x="118" y="0"/>
                  </a:cubicBezTo>
                  <a:cubicBezTo>
                    <a:pt x="117" y="0"/>
                    <a:pt x="116" y="0"/>
                    <a:pt x="116" y="0"/>
                  </a:cubicBezTo>
                  <a:cubicBezTo>
                    <a:pt x="61" y="24"/>
                    <a:pt x="61" y="24"/>
                    <a:pt x="61" y="24"/>
                  </a:cubicBezTo>
                  <a:cubicBezTo>
                    <a:pt x="58" y="24"/>
                    <a:pt x="58" y="24"/>
                    <a:pt x="58" y="24"/>
                  </a:cubicBezTo>
                  <a:cubicBezTo>
                    <a:pt x="58" y="2"/>
                    <a:pt x="58" y="2"/>
                    <a:pt x="58" y="2"/>
                  </a:cubicBezTo>
                  <a:cubicBezTo>
                    <a:pt x="58" y="1"/>
                    <a:pt x="57" y="0"/>
                    <a:pt x="56" y="0"/>
                  </a:cubicBezTo>
                  <a:cubicBezTo>
                    <a:pt x="14" y="0"/>
                    <a:pt x="14" y="0"/>
                    <a:pt x="14" y="0"/>
                  </a:cubicBezTo>
                  <a:cubicBezTo>
                    <a:pt x="13" y="0"/>
                    <a:pt x="12" y="1"/>
                    <a:pt x="12" y="2"/>
                  </a:cubicBezTo>
                  <a:cubicBezTo>
                    <a:pt x="12" y="26"/>
                    <a:pt x="12" y="26"/>
                    <a:pt x="12" y="26"/>
                  </a:cubicBezTo>
                  <a:cubicBezTo>
                    <a:pt x="12" y="100"/>
                    <a:pt x="12" y="100"/>
                    <a:pt x="12" y="100"/>
                  </a:cubicBezTo>
                  <a:cubicBezTo>
                    <a:pt x="12" y="123"/>
                    <a:pt x="12" y="123"/>
                    <a:pt x="12" y="123"/>
                  </a:cubicBezTo>
                  <a:cubicBezTo>
                    <a:pt x="2" y="123"/>
                    <a:pt x="2" y="123"/>
                    <a:pt x="2" y="123"/>
                  </a:cubicBezTo>
                  <a:cubicBezTo>
                    <a:pt x="1" y="123"/>
                    <a:pt x="0" y="124"/>
                    <a:pt x="0" y="125"/>
                  </a:cubicBezTo>
                  <a:cubicBezTo>
                    <a:pt x="0" y="144"/>
                    <a:pt x="0" y="144"/>
                    <a:pt x="0" y="144"/>
                  </a:cubicBezTo>
                  <a:cubicBezTo>
                    <a:pt x="0" y="145"/>
                    <a:pt x="1" y="146"/>
                    <a:pt x="2" y="146"/>
                  </a:cubicBezTo>
                  <a:cubicBezTo>
                    <a:pt x="14" y="146"/>
                    <a:pt x="14" y="146"/>
                    <a:pt x="14" y="146"/>
                  </a:cubicBezTo>
                  <a:cubicBezTo>
                    <a:pt x="284" y="146"/>
                    <a:pt x="284" y="146"/>
                    <a:pt x="284" y="146"/>
                  </a:cubicBezTo>
                  <a:cubicBezTo>
                    <a:pt x="296" y="146"/>
                    <a:pt x="296" y="146"/>
                    <a:pt x="296" y="146"/>
                  </a:cubicBezTo>
                  <a:cubicBezTo>
                    <a:pt x="297" y="146"/>
                    <a:pt x="298" y="145"/>
                    <a:pt x="298" y="144"/>
                  </a:cubicBezTo>
                  <a:cubicBezTo>
                    <a:pt x="298" y="125"/>
                    <a:pt x="298" y="125"/>
                    <a:pt x="298" y="125"/>
                  </a:cubicBezTo>
                  <a:cubicBezTo>
                    <a:pt x="298" y="124"/>
                    <a:pt x="297" y="123"/>
                    <a:pt x="296" y="123"/>
                  </a:cubicBezTo>
                  <a:close/>
                  <a:moveTo>
                    <a:pt x="55" y="73"/>
                  </a:moveTo>
                  <a:cubicBezTo>
                    <a:pt x="39" y="73"/>
                    <a:pt x="39" y="73"/>
                    <a:pt x="39" y="73"/>
                  </a:cubicBezTo>
                  <a:cubicBezTo>
                    <a:pt x="39" y="57"/>
                    <a:pt x="39" y="57"/>
                    <a:pt x="39" y="57"/>
                  </a:cubicBezTo>
                  <a:cubicBezTo>
                    <a:pt x="55" y="57"/>
                    <a:pt x="55" y="57"/>
                    <a:pt x="55" y="57"/>
                  </a:cubicBezTo>
                  <a:lnTo>
                    <a:pt x="55" y="73"/>
                  </a:lnTo>
                  <a:close/>
                  <a:moveTo>
                    <a:pt x="84" y="73"/>
                  </a:moveTo>
                  <a:cubicBezTo>
                    <a:pt x="68" y="73"/>
                    <a:pt x="68" y="73"/>
                    <a:pt x="68" y="73"/>
                  </a:cubicBezTo>
                  <a:cubicBezTo>
                    <a:pt x="68" y="57"/>
                    <a:pt x="68" y="57"/>
                    <a:pt x="68" y="57"/>
                  </a:cubicBezTo>
                  <a:cubicBezTo>
                    <a:pt x="84" y="57"/>
                    <a:pt x="84" y="57"/>
                    <a:pt x="84" y="57"/>
                  </a:cubicBezTo>
                  <a:lnTo>
                    <a:pt x="84" y="73"/>
                  </a:lnTo>
                  <a:close/>
                  <a:moveTo>
                    <a:pt x="113" y="73"/>
                  </a:moveTo>
                  <a:cubicBezTo>
                    <a:pt x="97" y="73"/>
                    <a:pt x="97" y="73"/>
                    <a:pt x="97" y="73"/>
                  </a:cubicBezTo>
                  <a:cubicBezTo>
                    <a:pt x="97" y="57"/>
                    <a:pt x="97" y="57"/>
                    <a:pt x="97" y="57"/>
                  </a:cubicBezTo>
                  <a:cubicBezTo>
                    <a:pt x="113" y="57"/>
                    <a:pt x="113" y="57"/>
                    <a:pt x="113" y="57"/>
                  </a:cubicBezTo>
                  <a:lnTo>
                    <a:pt x="113" y="73"/>
                  </a:lnTo>
                  <a:close/>
                  <a:moveTo>
                    <a:pt x="142" y="73"/>
                  </a:moveTo>
                  <a:cubicBezTo>
                    <a:pt x="126" y="73"/>
                    <a:pt x="126" y="73"/>
                    <a:pt x="126" y="73"/>
                  </a:cubicBezTo>
                  <a:cubicBezTo>
                    <a:pt x="126" y="57"/>
                    <a:pt x="126" y="57"/>
                    <a:pt x="126" y="57"/>
                  </a:cubicBezTo>
                  <a:cubicBezTo>
                    <a:pt x="142" y="57"/>
                    <a:pt x="142" y="57"/>
                    <a:pt x="142" y="57"/>
                  </a:cubicBezTo>
                  <a:lnTo>
                    <a:pt x="142" y="73"/>
                  </a:lnTo>
                  <a:close/>
                  <a:moveTo>
                    <a:pt x="172" y="73"/>
                  </a:moveTo>
                  <a:cubicBezTo>
                    <a:pt x="156" y="73"/>
                    <a:pt x="156" y="73"/>
                    <a:pt x="156" y="73"/>
                  </a:cubicBezTo>
                  <a:cubicBezTo>
                    <a:pt x="156" y="57"/>
                    <a:pt x="156" y="57"/>
                    <a:pt x="156" y="57"/>
                  </a:cubicBezTo>
                  <a:cubicBezTo>
                    <a:pt x="172" y="57"/>
                    <a:pt x="172" y="57"/>
                    <a:pt x="172" y="57"/>
                  </a:cubicBezTo>
                  <a:lnTo>
                    <a:pt x="172" y="73"/>
                  </a:lnTo>
                  <a:close/>
                  <a:moveTo>
                    <a:pt x="201" y="73"/>
                  </a:moveTo>
                  <a:cubicBezTo>
                    <a:pt x="185" y="73"/>
                    <a:pt x="185" y="73"/>
                    <a:pt x="185" y="73"/>
                  </a:cubicBezTo>
                  <a:cubicBezTo>
                    <a:pt x="185" y="57"/>
                    <a:pt x="185" y="57"/>
                    <a:pt x="185" y="57"/>
                  </a:cubicBezTo>
                  <a:cubicBezTo>
                    <a:pt x="201" y="57"/>
                    <a:pt x="201" y="57"/>
                    <a:pt x="201" y="57"/>
                  </a:cubicBezTo>
                  <a:lnTo>
                    <a:pt x="201" y="73"/>
                  </a:lnTo>
                  <a:close/>
                  <a:moveTo>
                    <a:pt x="230" y="73"/>
                  </a:moveTo>
                  <a:cubicBezTo>
                    <a:pt x="214" y="73"/>
                    <a:pt x="214" y="73"/>
                    <a:pt x="214" y="73"/>
                  </a:cubicBezTo>
                  <a:cubicBezTo>
                    <a:pt x="214" y="57"/>
                    <a:pt x="214" y="57"/>
                    <a:pt x="214" y="57"/>
                  </a:cubicBezTo>
                  <a:cubicBezTo>
                    <a:pt x="230" y="57"/>
                    <a:pt x="230" y="57"/>
                    <a:pt x="230" y="57"/>
                  </a:cubicBezTo>
                  <a:lnTo>
                    <a:pt x="230" y="73"/>
                  </a:lnTo>
                  <a:close/>
                  <a:moveTo>
                    <a:pt x="259" y="73"/>
                  </a:moveTo>
                  <a:cubicBezTo>
                    <a:pt x="243" y="73"/>
                    <a:pt x="243" y="73"/>
                    <a:pt x="243" y="73"/>
                  </a:cubicBezTo>
                  <a:cubicBezTo>
                    <a:pt x="243" y="57"/>
                    <a:pt x="243" y="57"/>
                    <a:pt x="243" y="57"/>
                  </a:cubicBezTo>
                  <a:cubicBezTo>
                    <a:pt x="259" y="57"/>
                    <a:pt x="259" y="57"/>
                    <a:pt x="259" y="57"/>
                  </a:cubicBezTo>
                  <a:lnTo>
                    <a:pt x="259" y="7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6" name="Freeform 6">
              <a:extLst>
                <a:ext uri="{FF2B5EF4-FFF2-40B4-BE49-F238E27FC236}">
                  <a16:creationId xmlns:a16="http://schemas.microsoft.com/office/drawing/2014/main" id="{86AA26AB-174E-F269-5CC5-4146358472F3}"/>
                </a:ext>
              </a:extLst>
            </xdr:cNvPr>
            <xdr:cNvSpPr>
              <a:spLocks/>
            </xdr:cNvSpPr>
          </xdr:nvSpPr>
          <xdr:spPr bwMode="auto">
            <a:xfrm>
              <a:off x="370635" y="36216"/>
              <a:ext cx="85725" cy="30162"/>
            </a:xfrm>
            <a:custGeom>
              <a:avLst/>
              <a:gdLst>
                <a:gd name="T0" fmla="*/ 2 w 46"/>
                <a:gd name="T1" fmla="*/ 17 h 17"/>
                <a:gd name="T2" fmla="*/ 44 w 46"/>
                <a:gd name="T3" fmla="*/ 17 h 17"/>
                <a:gd name="T4" fmla="*/ 46 w 46"/>
                <a:gd name="T5" fmla="*/ 15 h 17"/>
                <a:gd name="T6" fmla="*/ 46 w 46"/>
                <a:gd name="T7" fmla="*/ 2 h 17"/>
                <a:gd name="T8" fmla="*/ 44 w 46"/>
                <a:gd name="T9" fmla="*/ 0 h 17"/>
                <a:gd name="T10" fmla="*/ 2 w 46"/>
                <a:gd name="T11" fmla="*/ 0 h 17"/>
                <a:gd name="T12" fmla="*/ 0 w 46"/>
                <a:gd name="T13" fmla="*/ 2 h 17"/>
                <a:gd name="T14" fmla="*/ 0 w 46"/>
                <a:gd name="T15" fmla="*/ 15 h 17"/>
                <a:gd name="T16" fmla="*/ 2 w 46"/>
                <a:gd name="T17" fmla="*/ 1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 h="17">
                  <a:moveTo>
                    <a:pt x="2" y="17"/>
                  </a:moveTo>
                  <a:cubicBezTo>
                    <a:pt x="44" y="17"/>
                    <a:pt x="44" y="17"/>
                    <a:pt x="44" y="17"/>
                  </a:cubicBezTo>
                  <a:cubicBezTo>
                    <a:pt x="45" y="17"/>
                    <a:pt x="46" y="16"/>
                    <a:pt x="46" y="15"/>
                  </a:cubicBezTo>
                  <a:cubicBezTo>
                    <a:pt x="46" y="2"/>
                    <a:pt x="46" y="2"/>
                    <a:pt x="46" y="2"/>
                  </a:cubicBezTo>
                  <a:cubicBezTo>
                    <a:pt x="46" y="1"/>
                    <a:pt x="45" y="0"/>
                    <a:pt x="44" y="0"/>
                  </a:cubicBezTo>
                  <a:cubicBezTo>
                    <a:pt x="2" y="0"/>
                    <a:pt x="2" y="0"/>
                    <a:pt x="2" y="0"/>
                  </a:cubicBezTo>
                  <a:cubicBezTo>
                    <a:pt x="1" y="0"/>
                    <a:pt x="0" y="1"/>
                    <a:pt x="0" y="2"/>
                  </a:cubicBezTo>
                  <a:cubicBezTo>
                    <a:pt x="0" y="15"/>
                    <a:pt x="0" y="15"/>
                    <a:pt x="0" y="15"/>
                  </a:cubicBezTo>
                  <a:cubicBezTo>
                    <a:pt x="0" y="16"/>
                    <a:pt x="1" y="17"/>
                    <a:pt x="2"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4" name="Freeform 7">
            <a:extLst>
              <a:ext uri="{FF2B5EF4-FFF2-40B4-BE49-F238E27FC236}">
                <a16:creationId xmlns:a16="http://schemas.microsoft.com/office/drawing/2014/main" id="{3F2B5D74-F3FE-006B-E756-426E2A036E68}"/>
              </a:ext>
            </a:extLst>
          </xdr:cNvPr>
          <xdr:cNvSpPr>
            <a:spLocks/>
          </xdr:cNvSpPr>
        </xdr:nvSpPr>
        <xdr:spPr bwMode="auto">
          <a:xfrm>
            <a:off x="168393"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clientData/>
  </xdr:twoCellAnchor>
  <xdr:twoCellAnchor>
    <xdr:from>
      <xdr:col>1</xdr:col>
      <xdr:colOff>219465</xdr:colOff>
      <xdr:row>103</xdr:row>
      <xdr:rowOff>122752</xdr:rowOff>
    </xdr:from>
    <xdr:to>
      <xdr:col>3</xdr:col>
      <xdr:colOff>1180401</xdr:colOff>
      <xdr:row>105</xdr:row>
      <xdr:rowOff>185951</xdr:rowOff>
    </xdr:to>
    <xdr:sp macro="" textlink="">
      <xdr:nvSpPr>
        <xdr:cNvPr id="76" name="テキスト ボックス 41">
          <a:extLst>
            <a:ext uri="{FF2B5EF4-FFF2-40B4-BE49-F238E27FC236}">
              <a16:creationId xmlns:a16="http://schemas.microsoft.com/office/drawing/2014/main" id="{688EDA6B-6B94-4637-B3F1-854FB82E9749}"/>
            </a:ext>
          </a:extLst>
        </xdr:cNvPr>
        <xdr:cNvSpPr txBox="1">
          <a:spLocks noChangeArrowheads="1"/>
        </xdr:cNvSpPr>
      </xdr:nvSpPr>
      <xdr:spPr bwMode="auto">
        <a:xfrm>
          <a:off x="505215" y="23687602"/>
          <a:ext cx="1818186" cy="539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メガソーラー</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4</xdr:col>
      <xdr:colOff>612999</xdr:colOff>
      <xdr:row>88</xdr:row>
      <xdr:rowOff>207474</xdr:rowOff>
    </xdr:from>
    <xdr:to>
      <xdr:col>7</xdr:col>
      <xdr:colOff>306974</xdr:colOff>
      <xdr:row>93</xdr:row>
      <xdr:rowOff>116597</xdr:rowOff>
    </xdr:to>
    <xdr:grpSp>
      <xdr:nvGrpSpPr>
        <xdr:cNvPr id="77" name="グループ化 76">
          <a:extLst>
            <a:ext uri="{FF2B5EF4-FFF2-40B4-BE49-F238E27FC236}">
              <a16:creationId xmlns:a16="http://schemas.microsoft.com/office/drawing/2014/main" id="{54991FDC-C863-4AF4-9A36-8A9FC39B9609}"/>
            </a:ext>
          </a:extLst>
        </xdr:cNvPr>
        <xdr:cNvGrpSpPr/>
      </xdr:nvGrpSpPr>
      <xdr:grpSpPr>
        <a:xfrm>
          <a:off x="4408856" y="20071429"/>
          <a:ext cx="2513663" cy="1034804"/>
          <a:chOff x="4250071" y="2735603"/>
          <a:chExt cx="1614809" cy="981873"/>
        </a:xfrm>
      </xdr:grpSpPr>
      <xdr:grpSp>
        <xdr:nvGrpSpPr>
          <xdr:cNvPr id="78" name="グループ化 77">
            <a:extLst>
              <a:ext uri="{FF2B5EF4-FFF2-40B4-BE49-F238E27FC236}">
                <a16:creationId xmlns:a16="http://schemas.microsoft.com/office/drawing/2014/main" id="{10FC9374-4535-8536-338F-85F894DADE5D}"/>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80" name="グループ化 79">
              <a:extLst>
                <a:ext uri="{FF2B5EF4-FFF2-40B4-BE49-F238E27FC236}">
                  <a16:creationId xmlns:a16="http://schemas.microsoft.com/office/drawing/2014/main" id="{DB3305E7-8650-423E-8533-2BA11FDC886F}"/>
                </a:ext>
              </a:extLst>
            </xdr:cNvPr>
            <xdr:cNvGrpSpPr/>
          </xdr:nvGrpSpPr>
          <xdr:grpSpPr>
            <a:xfrm>
              <a:off x="237850" y="275377"/>
              <a:ext cx="539750" cy="441325"/>
              <a:chOff x="237850" y="275377"/>
              <a:chExt cx="539750" cy="441325"/>
            </a:xfrm>
            <a:grpFill/>
          </xdr:grpSpPr>
          <xdr:sp macro="" textlink="">
            <xdr:nvSpPr>
              <xdr:cNvPr id="82" name="Freeform 5">
                <a:extLst>
                  <a:ext uri="{FF2B5EF4-FFF2-40B4-BE49-F238E27FC236}">
                    <a16:creationId xmlns:a16="http://schemas.microsoft.com/office/drawing/2014/main" id="{772CA388-8444-71D1-D04E-403F913DB47F}"/>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3" name="Freeform 6">
                <a:extLst>
                  <a:ext uri="{FF2B5EF4-FFF2-40B4-BE49-F238E27FC236}">
                    <a16:creationId xmlns:a16="http://schemas.microsoft.com/office/drawing/2014/main" id="{5E31D888-DBB4-6985-34D7-9E741BAC3B52}"/>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4" name="Freeform 7">
                <a:extLst>
                  <a:ext uri="{FF2B5EF4-FFF2-40B4-BE49-F238E27FC236}">
                    <a16:creationId xmlns:a16="http://schemas.microsoft.com/office/drawing/2014/main" id="{C629149C-CEC7-1591-24C8-B613B92D50DC}"/>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5" name="Freeform 8">
                <a:extLst>
                  <a:ext uri="{FF2B5EF4-FFF2-40B4-BE49-F238E27FC236}">
                    <a16:creationId xmlns:a16="http://schemas.microsoft.com/office/drawing/2014/main" id="{33CF980D-DDD1-11CC-587F-2A838FBB154A}"/>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6" name="Freeform 9">
                <a:extLst>
                  <a:ext uri="{FF2B5EF4-FFF2-40B4-BE49-F238E27FC236}">
                    <a16:creationId xmlns:a16="http://schemas.microsoft.com/office/drawing/2014/main" id="{27CB20DA-996E-679D-F666-CBE9ADF4D656}"/>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7" name="Freeform 10">
                <a:extLst>
                  <a:ext uri="{FF2B5EF4-FFF2-40B4-BE49-F238E27FC236}">
                    <a16:creationId xmlns:a16="http://schemas.microsoft.com/office/drawing/2014/main" id="{6A56C2FB-9E01-770D-8016-F5F7FC7F02DE}"/>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8" name="Freeform 11">
                <a:extLst>
                  <a:ext uri="{FF2B5EF4-FFF2-40B4-BE49-F238E27FC236}">
                    <a16:creationId xmlns:a16="http://schemas.microsoft.com/office/drawing/2014/main" id="{D73AAD33-84D3-B17A-EA58-213D361898A8}"/>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81" name="Freeform 7">
              <a:extLst>
                <a:ext uri="{FF2B5EF4-FFF2-40B4-BE49-F238E27FC236}">
                  <a16:creationId xmlns:a16="http://schemas.microsoft.com/office/drawing/2014/main" id="{276A94CA-76DC-C3A7-884A-5B0920564086}"/>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79" name="テキスト ボックス 41">
            <a:extLst>
              <a:ext uri="{FF2B5EF4-FFF2-40B4-BE49-F238E27FC236}">
                <a16:creationId xmlns:a16="http://schemas.microsoft.com/office/drawing/2014/main" id="{866BA34D-FA53-693F-A754-A4A85EDBC0AC}"/>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grpSp>
    <xdr:clientData/>
  </xdr:twoCellAnchor>
  <xdr:twoCellAnchor>
    <xdr:from>
      <xdr:col>4</xdr:col>
      <xdr:colOff>602639</xdr:colOff>
      <xdr:row>95</xdr:row>
      <xdr:rowOff>63401</xdr:rowOff>
    </xdr:from>
    <xdr:to>
      <xdr:col>7</xdr:col>
      <xdr:colOff>299789</xdr:colOff>
      <xdr:row>99</xdr:row>
      <xdr:rowOff>191146</xdr:rowOff>
    </xdr:to>
    <xdr:grpSp>
      <xdr:nvGrpSpPr>
        <xdr:cNvPr id="89" name="グループ化 88">
          <a:extLst>
            <a:ext uri="{FF2B5EF4-FFF2-40B4-BE49-F238E27FC236}">
              <a16:creationId xmlns:a16="http://schemas.microsoft.com/office/drawing/2014/main" id="{D6DC5797-46DD-4823-BE10-1E673224A5E7}"/>
            </a:ext>
          </a:extLst>
        </xdr:cNvPr>
        <xdr:cNvGrpSpPr/>
      </xdr:nvGrpSpPr>
      <xdr:grpSpPr>
        <a:xfrm>
          <a:off x="4392146" y="21506485"/>
          <a:ext cx="2520013" cy="1025116"/>
          <a:chOff x="4250071" y="2735603"/>
          <a:chExt cx="1614809" cy="981873"/>
        </a:xfrm>
      </xdr:grpSpPr>
      <xdr:grpSp>
        <xdr:nvGrpSpPr>
          <xdr:cNvPr id="90" name="グループ化 89">
            <a:extLst>
              <a:ext uri="{FF2B5EF4-FFF2-40B4-BE49-F238E27FC236}">
                <a16:creationId xmlns:a16="http://schemas.microsoft.com/office/drawing/2014/main" id="{B0420950-B532-8517-0009-EFD20A5BEEB4}"/>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92" name="グループ化 91">
              <a:extLst>
                <a:ext uri="{FF2B5EF4-FFF2-40B4-BE49-F238E27FC236}">
                  <a16:creationId xmlns:a16="http://schemas.microsoft.com/office/drawing/2014/main" id="{E7D9ABA2-7DE6-D5E1-7F5E-5E0AE33BFB41}"/>
                </a:ext>
              </a:extLst>
            </xdr:cNvPr>
            <xdr:cNvGrpSpPr/>
          </xdr:nvGrpSpPr>
          <xdr:grpSpPr>
            <a:xfrm>
              <a:off x="237850" y="275377"/>
              <a:ext cx="539750" cy="441325"/>
              <a:chOff x="237850" y="275377"/>
              <a:chExt cx="539750" cy="441325"/>
            </a:xfrm>
            <a:grpFill/>
          </xdr:grpSpPr>
          <xdr:sp macro="" textlink="">
            <xdr:nvSpPr>
              <xdr:cNvPr id="94" name="Freeform 5">
                <a:extLst>
                  <a:ext uri="{FF2B5EF4-FFF2-40B4-BE49-F238E27FC236}">
                    <a16:creationId xmlns:a16="http://schemas.microsoft.com/office/drawing/2014/main" id="{7AC338C1-7AE4-2EC2-01DB-B1AF41D7FE66}"/>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5" name="Freeform 6">
                <a:extLst>
                  <a:ext uri="{FF2B5EF4-FFF2-40B4-BE49-F238E27FC236}">
                    <a16:creationId xmlns:a16="http://schemas.microsoft.com/office/drawing/2014/main" id="{000360A1-8EAE-7A09-DB2E-65519F261616}"/>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6" name="Freeform 7">
                <a:extLst>
                  <a:ext uri="{FF2B5EF4-FFF2-40B4-BE49-F238E27FC236}">
                    <a16:creationId xmlns:a16="http://schemas.microsoft.com/office/drawing/2014/main" id="{C2933545-8C5F-D8CD-BDA0-0B0529ECED55}"/>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7" name="Freeform 8">
                <a:extLst>
                  <a:ext uri="{FF2B5EF4-FFF2-40B4-BE49-F238E27FC236}">
                    <a16:creationId xmlns:a16="http://schemas.microsoft.com/office/drawing/2014/main" id="{7F469BF4-7CDA-64EE-42B0-BC3D9720E11E}"/>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8" name="Freeform 9">
                <a:extLst>
                  <a:ext uri="{FF2B5EF4-FFF2-40B4-BE49-F238E27FC236}">
                    <a16:creationId xmlns:a16="http://schemas.microsoft.com/office/drawing/2014/main" id="{D0CDC9E5-1EFA-7612-1909-BEC49B49C6B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9" name="Freeform 10">
                <a:extLst>
                  <a:ext uri="{FF2B5EF4-FFF2-40B4-BE49-F238E27FC236}">
                    <a16:creationId xmlns:a16="http://schemas.microsoft.com/office/drawing/2014/main" id="{DD8A1F5C-AF06-8EEE-8744-D81DD3342524}"/>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0" name="Freeform 11">
                <a:extLst>
                  <a:ext uri="{FF2B5EF4-FFF2-40B4-BE49-F238E27FC236}">
                    <a16:creationId xmlns:a16="http://schemas.microsoft.com/office/drawing/2014/main" id="{31B3265B-5787-923D-E12B-8CF2A749EFF9}"/>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3" name="Freeform 7">
              <a:extLst>
                <a:ext uri="{FF2B5EF4-FFF2-40B4-BE49-F238E27FC236}">
                  <a16:creationId xmlns:a16="http://schemas.microsoft.com/office/drawing/2014/main" id="{01E6217B-86A4-C3C9-912B-783C7F26AA67}"/>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1" name="テキスト ボックス 41">
            <a:extLst>
              <a:ext uri="{FF2B5EF4-FFF2-40B4-BE49-F238E27FC236}">
                <a16:creationId xmlns:a16="http://schemas.microsoft.com/office/drawing/2014/main" id="{54BA1D4A-C887-FA19-0CBA-BBBE35B72A3D}"/>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grpSp>
    <xdr:clientData/>
  </xdr:twoCellAnchor>
  <xdr:twoCellAnchor>
    <xdr:from>
      <xdr:col>4</xdr:col>
      <xdr:colOff>621937</xdr:colOff>
      <xdr:row>101</xdr:row>
      <xdr:rowOff>197405</xdr:rowOff>
    </xdr:from>
    <xdr:to>
      <xdr:col>7</xdr:col>
      <xdr:colOff>309562</xdr:colOff>
      <xdr:row>106</xdr:row>
      <xdr:rowOff>87398</xdr:rowOff>
    </xdr:to>
    <xdr:grpSp>
      <xdr:nvGrpSpPr>
        <xdr:cNvPr id="101" name="グループ化 100">
          <a:extLst>
            <a:ext uri="{FF2B5EF4-FFF2-40B4-BE49-F238E27FC236}">
              <a16:creationId xmlns:a16="http://schemas.microsoft.com/office/drawing/2014/main" id="{3A92D578-BC9B-40B6-9967-2E45B6998900}"/>
            </a:ext>
          </a:extLst>
        </xdr:cNvPr>
        <xdr:cNvGrpSpPr/>
      </xdr:nvGrpSpPr>
      <xdr:grpSpPr>
        <a:xfrm>
          <a:off x="4411444" y="22991307"/>
          <a:ext cx="2516838" cy="1009325"/>
          <a:chOff x="4250071" y="2735603"/>
          <a:chExt cx="1614809" cy="981873"/>
        </a:xfrm>
      </xdr:grpSpPr>
      <xdr:grpSp>
        <xdr:nvGrpSpPr>
          <xdr:cNvPr id="102" name="グループ化 101">
            <a:extLst>
              <a:ext uri="{FF2B5EF4-FFF2-40B4-BE49-F238E27FC236}">
                <a16:creationId xmlns:a16="http://schemas.microsoft.com/office/drawing/2014/main" id="{255BB294-669F-15B1-C5D4-98D7F4C1EB31}"/>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104" name="グループ化 103">
              <a:extLst>
                <a:ext uri="{FF2B5EF4-FFF2-40B4-BE49-F238E27FC236}">
                  <a16:creationId xmlns:a16="http://schemas.microsoft.com/office/drawing/2014/main" id="{D4B9CBE8-ADCE-3626-08AE-31F021FF558E}"/>
                </a:ext>
              </a:extLst>
            </xdr:cNvPr>
            <xdr:cNvGrpSpPr/>
          </xdr:nvGrpSpPr>
          <xdr:grpSpPr>
            <a:xfrm>
              <a:off x="237850" y="275377"/>
              <a:ext cx="539750" cy="441325"/>
              <a:chOff x="237850" y="275377"/>
              <a:chExt cx="539750" cy="441325"/>
            </a:xfrm>
            <a:grpFill/>
          </xdr:grpSpPr>
          <xdr:sp macro="" textlink="">
            <xdr:nvSpPr>
              <xdr:cNvPr id="106" name="Freeform 5">
                <a:extLst>
                  <a:ext uri="{FF2B5EF4-FFF2-40B4-BE49-F238E27FC236}">
                    <a16:creationId xmlns:a16="http://schemas.microsoft.com/office/drawing/2014/main" id="{E7324CED-6786-B647-8669-2568778E0B72}"/>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7" name="Freeform 6">
                <a:extLst>
                  <a:ext uri="{FF2B5EF4-FFF2-40B4-BE49-F238E27FC236}">
                    <a16:creationId xmlns:a16="http://schemas.microsoft.com/office/drawing/2014/main" id="{2F94C809-42E7-DACD-4CC4-481E0230D261}"/>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8" name="Freeform 7">
                <a:extLst>
                  <a:ext uri="{FF2B5EF4-FFF2-40B4-BE49-F238E27FC236}">
                    <a16:creationId xmlns:a16="http://schemas.microsoft.com/office/drawing/2014/main" id="{1472DFE6-784A-57E8-DADD-D90A6D05A3D1}"/>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9" name="Freeform 8">
                <a:extLst>
                  <a:ext uri="{FF2B5EF4-FFF2-40B4-BE49-F238E27FC236}">
                    <a16:creationId xmlns:a16="http://schemas.microsoft.com/office/drawing/2014/main" id="{9DB10BC7-E198-6D82-9592-470245C91DF8}"/>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0" name="Freeform 9">
                <a:extLst>
                  <a:ext uri="{FF2B5EF4-FFF2-40B4-BE49-F238E27FC236}">
                    <a16:creationId xmlns:a16="http://schemas.microsoft.com/office/drawing/2014/main" id="{B306CA21-D906-AFBA-133A-356C7C2021F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1" name="Freeform 10">
                <a:extLst>
                  <a:ext uri="{FF2B5EF4-FFF2-40B4-BE49-F238E27FC236}">
                    <a16:creationId xmlns:a16="http://schemas.microsoft.com/office/drawing/2014/main" id="{A3D9DB60-232C-AD9B-258D-542E83556DA9}"/>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2" name="Freeform 11">
                <a:extLst>
                  <a:ext uri="{FF2B5EF4-FFF2-40B4-BE49-F238E27FC236}">
                    <a16:creationId xmlns:a16="http://schemas.microsoft.com/office/drawing/2014/main" id="{316BBB66-2286-4B0E-FCF1-23B28626F0AA}"/>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5" name="Freeform 7">
              <a:extLst>
                <a:ext uri="{FF2B5EF4-FFF2-40B4-BE49-F238E27FC236}">
                  <a16:creationId xmlns:a16="http://schemas.microsoft.com/office/drawing/2014/main" id="{845FCA3F-B9B5-E72A-804C-AB400081BEA5}"/>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3" name="テキスト ボックス 41">
            <a:extLst>
              <a:ext uri="{FF2B5EF4-FFF2-40B4-BE49-F238E27FC236}">
                <a16:creationId xmlns:a16="http://schemas.microsoft.com/office/drawing/2014/main" id="{618541E5-697C-08EC-EAF7-6AAE2B87685B}"/>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C</a:t>
            </a:r>
          </a:p>
        </xdr:txBody>
      </xdr:sp>
    </xdr:grpSp>
    <xdr:clientData/>
  </xdr:twoCellAnchor>
  <xdr:twoCellAnchor>
    <xdr:from>
      <xdr:col>3</xdr:col>
      <xdr:colOff>1017983</xdr:colOff>
      <xdr:row>102</xdr:row>
      <xdr:rowOff>80472</xdr:rowOff>
    </xdr:from>
    <xdr:to>
      <xdr:col>6</xdr:col>
      <xdr:colOff>81728</xdr:colOff>
      <xdr:row>104</xdr:row>
      <xdr:rowOff>175915</xdr:rowOff>
    </xdr:to>
    <xdr:sp macro="" textlink="">
      <xdr:nvSpPr>
        <xdr:cNvPr id="113" name="矢印: 右 112">
          <a:extLst>
            <a:ext uri="{FF2B5EF4-FFF2-40B4-BE49-F238E27FC236}">
              <a16:creationId xmlns:a16="http://schemas.microsoft.com/office/drawing/2014/main" id="{1E22F0A8-5F34-4CFB-A33C-9BE8BC6C077D}"/>
            </a:ext>
          </a:extLst>
        </xdr:cNvPr>
        <xdr:cNvSpPr/>
      </xdr:nvSpPr>
      <xdr:spPr>
        <a:xfrm>
          <a:off x="2160983" y="23407197"/>
          <a:ext cx="2597520" cy="571693"/>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408817</xdr:colOff>
      <xdr:row>77</xdr:row>
      <xdr:rowOff>154498</xdr:rowOff>
    </xdr:from>
    <xdr:to>
      <xdr:col>13</xdr:col>
      <xdr:colOff>224404</xdr:colOff>
      <xdr:row>94</xdr:row>
      <xdr:rowOff>143951</xdr:rowOff>
    </xdr:to>
    <xdr:sp macro="" textlink="">
      <xdr:nvSpPr>
        <xdr:cNvPr id="114" name="正方形/長方形 113">
          <a:extLst>
            <a:ext uri="{FF2B5EF4-FFF2-40B4-BE49-F238E27FC236}">
              <a16:creationId xmlns:a16="http://schemas.microsoft.com/office/drawing/2014/main" id="{5F1B4214-CE0F-45FF-B601-0826E0328F9E}"/>
            </a:ext>
          </a:extLst>
        </xdr:cNvPr>
        <xdr:cNvSpPr/>
      </xdr:nvSpPr>
      <xdr:spPr>
        <a:xfrm>
          <a:off x="7142992" y="17528098"/>
          <a:ext cx="4959087" cy="4037578"/>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脱炭素先行地域内需要家（公共施設群）</a:t>
          </a:r>
        </a:p>
      </xdr:txBody>
    </xdr:sp>
    <xdr:clientData/>
  </xdr:twoCellAnchor>
  <xdr:twoCellAnchor>
    <xdr:from>
      <xdr:col>8</xdr:col>
      <xdr:colOff>441924</xdr:colOff>
      <xdr:row>95</xdr:row>
      <xdr:rowOff>63400</xdr:rowOff>
    </xdr:from>
    <xdr:to>
      <xdr:col>13</xdr:col>
      <xdr:colOff>235286</xdr:colOff>
      <xdr:row>106</xdr:row>
      <xdr:rowOff>9857</xdr:rowOff>
    </xdr:to>
    <xdr:sp macro="" textlink="">
      <xdr:nvSpPr>
        <xdr:cNvPr id="115" name="正方形/長方形 114">
          <a:extLst>
            <a:ext uri="{FF2B5EF4-FFF2-40B4-BE49-F238E27FC236}">
              <a16:creationId xmlns:a16="http://schemas.microsoft.com/office/drawing/2014/main" id="{26BE169C-93B0-41E0-934B-AA5178D9EE37}"/>
            </a:ext>
          </a:extLst>
        </xdr:cNvPr>
        <xdr:cNvSpPr/>
      </xdr:nvSpPr>
      <xdr:spPr>
        <a:xfrm>
          <a:off x="7176099" y="21723250"/>
          <a:ext cx="4936862" cy="256583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脱炭素先行地域内需要家（民間施設）</a:t>
          </a:r>
        </a:p>
      </xdr:txBody>
    </xdr:sp>
    <xdr:clientData/>
  </xdr:twoCellAnchor>
  <xdr:twoCellAnchor>
    <xdr:from>
      <xdr:col>3</xdr:col>
      <xdr:colOff>1106087</xdr:colOff>
      <xdr:row>88</xdr:row>
      <xdr:rowOff>24111</xdr:rowOff>
    </xdr:from>
    <xdr:to>
      <xdr:col>4</xdr:col>
      <xdr:colOff>701416</xdr:colOff>
      <xdr:row>90</xdr:row>
      <xdr:rowOff>224086</xdr:rowOff>
    </xdr:to>
    <xdr:sp macro="" textlink="">
      <xdr:nvSpPr>
        <xdr:cNvPr id="116" name="矢印: 右 115">
          <a:extLst>
            <a:ext uri="{FF2B5EF4-FFF2-40B4-BE49-F238E27FC236}">
              <a16:creationId xmlns:a16="http://schemas.microsoft.com/office/drawing/2014/main" id="{B52A8FC0-46EB-4733-90A6-40163DDD119D}"/>
            </a:ext>
          </a:extLst>
        </xdr:cNvPr>
        <xdr:cNvSpPr/>
      </xdr:nvSpPr>
      <xdr:spPr>
        <a:xfrm>
          <a:off x="2249087" y="20017086"/>
          <a:ext cx="2233754" cy="67622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非化石証書</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（地産）</a:t>
          </a: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1132604</xdr:colOff>
      <xdr:row>83</xdr:row>
      <xdr:rowOff>176419</xdr:rowOff>
    </xdr:from>
    <xdr:to>
      <xdr:col>9</xdr:col>
      <xdr:colOff>132021</xdr:colOff>
      <xdr:row>86</xdr:row>
      <xdr:rowOff>130175</xdr:rowOff>
    </xdr:to>
    <xdr:sp macro="" textlink="">
      <xdr:nvSpPr>
        <xdr:cNvPr id="117" name="矢印: 右 116">
          <a:extLst>
            <a:ext uri="{FF2B5EF4-FFF2-40B4-BE49-F238E27FC236}">
              <a16:creationId xmlns:a16="http://schemas.microsoft.com/office/drawing/2014/main" id="{9180EB64-0117-4FFC-BCEC-DF333F6DB80B}"/>
            </a:ext>
          </a:extLst>
        </xdr:cNvPr>
        <xdr:cNvSpPr/>
      </xdr:nvSpPr>
      <xdr:spPr>
        <a:xfrm>
          <a:off x="2275604" y="18978769"/>
          <a:ext cx="5619292" cy="668131"/>
        </a:xfrm>
        <a:prstGeom prst="rightArrow">
          <a:avLst>
            <a:gd name="adj1" fmla="val 50000"/>
            <a:gd name="adj2" fmla="val 75854"/>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203344</xdr:colOff>
      <xdr:row>86</xdr:row>
      <xdr:rowOff>175843</xdr:rowOff>
    </xdr:from>
    <xdr:to>
      <xdr:col>9</xdr:col>
      <xdr:colOff>132021</xdr:colOff>
      <xdr:row>89</xdr:row>
      <xdr:rowOff>217704</xdr:rowOff>
    </xdr:to>
    <xdr:sp macro="" textlink="">
      <xdr:nvSpPr>
        <xdr:cNvPr id="118" name="矢印: 右 117">
          <a:extLst>
            <a:ext uri="{FF2B5EF4-FFF2-40B4-BE49-F238E27FC236}">
              <a16:creationId xmlns:a16="http://schemas.microsoft.com/office/drawing/2014/main" id="{1FED2011-6399-468C-97FA-7C223B39CD90}"/>
            </a:ext>
          </a:extLst>
        </xdr:cNvPr>
        <xdr:cNvSpPr/>
      </xdr:nvSpPr>
      <xdr:spPr>
        <a:xfrm>
          <a:off x="5918344" y="19460305"/>
          <a:ext cx="1980215" cy="745245"/>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自己託送の</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バックアップ供給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203344</xdr:colOff>
      <xdr:row>95</xdr:row>
      <xdr:rowOff>81815</xdr:rowOff>
    </xdr:from>
    <xdr:to>
      <xdr:col>9</xdr:col>
      <xdr:colOff>132021</xdr:colOff>
      <xdr:row>99</xdr:row>
      <xdr:rowOff>208584</xdr:rowOff>
    </xdr:to>
    <xdr:sp macro="" textlink="">
      <xdr:nvSpPr>
        <xdr:cNvPr id="119" name="矢印: 右 118">
          <a:extLst>
            <a:ext uri="{FF2B5EF4-FFF2-40B4-BE49-F238E27FC236}">
              <a16:creationId xmlns:a16="http://schemas.microsoft.com/office/drawing/2014/main" id="{D279E763-94DB-4216-AA53-510870C30469}"/>
            </a:ext>
          </a:extLst>
        </xdr:cNvPr>
        <xdr:cNvSpPr/>
      </xdr:nvSpPr>
      <xdr:spPr>
        <a:xfrm>
          <a:off x="5908819" y="21741665"/>
          <a:ext cx="1986077" cy="1079269"/>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1019480</xdr:colOff>
      <xdr:row>102</xdr:row>
      <xdr:rowOff>94939</xdr:rowOff>
    </xdr:from>
    <xdr:to>
      <xdr:col>9</xdr:col>
      <xdr:colOff>131738</xdr:colOff>
      <xdr:row>105</xdr:row>
      <xdr:rowOff>211410</xdr:rowOff>
    </xdr:to>
    <xdr:sp macro="" textlink="">
      <xdr:nvSpPr>
        <xdr:cNvPr id="120" name="矢印: 右 119">
          <a:extLst>
            <a:ext uri="{FF2B5EF4-FFF2-40B4-BE49-F238E27FC236}">
              <a16:creationId xmlns:a16="http://schemas.microsoft.com/office/drawing/2014/main" id="{8788E44D-42F0-4A3F-AEC2-21382EFDDA7E}"/>
            </a:ext>
          </a:extLst>
        </xdr:cNvPr>
        <xdr:cNvSpPr/>
      </xdr:nvSpPr>
      <xdr:spPr>
        <a:xfrm>
          <a:off x="5696255" y="23421664"/>
          <a:ext cx="2198358" cy="830846"/>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＋コーポレート</a:t>
          </a:r>
          <a:r>
            <a:rPr kumimoji="1" lang="en-US" altLang="ja-JP" sz="1600">
              <a:solidFill>
                <a:schemeClr val="tx1"/>
              </a:solidFill>
              <a:latin typeface="Meiryo UI" panose="020B0604030504040204" pitchFamily="50" charset="-128"/>
              <a:ea typeface="Meiryo UI" panose="020B0604030504040204" pitchFamily="50" charset="-128"/>
            </a:rPr>
            <a:t>PPA</a:t>
          </a: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1117310</xdr:colOff>
      <xdr:row>78</xdr:row>
      <xdr:rowOff>196567</xdr:rowOff>
    </xdr:from>
    <xdr:to>
      <xdr:col>9</xdr:col>
      <xdr:colOff>132021</xdr:colOff>
      <xdr:row>83</xdr:row>
      <xdr:rowOff>114692</xdr:rowOff>
    </xdr:to>
    <xdr:sp macro="" textlink="">
      <xdr:nvSpPr>
        <xdr:cNvPr id="121" name="矢印: 右 120">
          <a:extLst>
            <a:ext uri="{FF2B5EF4-FFF2-40B4-BE49-F238E27FC236}">
              <a16:creationId xmlns:a16="http://schemas.microsoft.com/office/drawing/2014/main" id="{5085E5F2-A21F-40B2-9865-237554A8D112}"/>
            </a:ext>
          </a:extLst>
        </xdr:cNvPr>
        <xdr:cNvSpPr/>
      </xdr:nvSpPr>
      <xdr:spPr>
        <a:xfrm>
          <a:off x="2260310" y="17808292"/>
          <a:ext cx="5634586" cy="1108750"/>
        </a:xfrm>
        <a:prstGeom prst="rightArrow">
          <a:avLst>
            <a:gd name="adj1" fmla="val 50000"/>
            <a:gd name="adj2" fmla="val 47031"/>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1923356</xdr:colOff>
      <xdr:row>91</xdr:row>
      <xdr:rowOff>152541</xdr:rowOff>
    </xdr:from>
    <xdr:to>
      <xdr:col>4</xdr:col>
      <xdr:colOff>755305</xdr:colOff>
      <xdr:row>94</xdr:row>
      <xdr:rowOff>142129</xdr:rowOff>
    </xdr:to>
    <xdr:sp macro="" textlink="">
      <xdr:nvSpPr>
        <xdr:cNvPr id="122" name="矢印: 右 121">
          <a:extLst>
            <a:ext uri="{FF2B5EF4-FFF2-40B4-BE49-F238E27FC236}">
              <a16:creationId xmlns:a16="http://schemas.microsoft.com/office/drawing/2014/main" id="{D89FB294-BEC4-43E2-8B86-6E72B9E1820D}"/>
            </a:ext>
          </a:extLst>
        </xdr:cNvPr>
        <xdr:cNvSpPr/>
      </xdr:nvSpPr>
      <xdr:spPr>
        <a:xfrm>
          <a:off x="3066356" y="20859891"/>
          <a:ext cx="1470374" cy="70396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9</xdr:col>
      <xdr:colOff>188826</xdr:colOff>
      <xdr:row>100</xdr:row>
      <xdr:rowOff>177881</xdr:rowOff>
    </xdr:from>
    <xdr:to>
      <xdr:col>10</xdr:col>
      <xdr:colOff>171329</xdr:colOff>
      <xdr:row>104</xdr:row>
      <xdr:rowOff>137611</xdr:rowOff>
    </xdr:to>
    <xdr:grpSp>
      <xdr:nvGrpSpPr>
        <xdr:cNvPr id="123" name="Group 27">
          <a:extLst>
            <a:ext uri="{FF2B5EF4-FFF2-40B4-BE49-F238E27FC236}">
              <a16:creationId xmlns:a16="http://schemas.microsoft.com/office/drawing/2014/main" id="{4F9BBCCD-9D4F-4BAA-8B57-182A24F8A559}"/>
            </a:ext>
          </a:extLst>
        </xdr:cNvPr>
        <xdr:cNvGrpSpPr>
          <a:grpSpLocks noChangeAspect="1"/>
        </xdr:cNvGrpSpPr>
      </xdr:nvGrpSpPr>
      <xdr:grpSpPr bwMode="auto">
        <a:xfrm>
          <a:off x="8847917" y="22746647"/>
          <a:ext cx="1004276" cy="860275"/>
          <a:chOff x="0" y="0"/>
          <a:chExt cx="780" cy="609"/>
        </a:xfrm>
        <a:solidFill>
          <a:srgbClr val="0070C0"/>
        </a:solidFill>
      </xdr:grpSpPr>
      <xdr:sp macro="" textlink="">
        <xdr:nvSpPr>
          <xdr:cNvPr id="124" name="Freeform 28">
            <a:extLst>
              <a:ext uri="{FF2B5EF4-FFF2-40B4-BE49-F238E27FC236}">
                <a16:creationId xmlns:a16="http://schemas.microsoft.com/office/drawing/2014/main" id="{97C35730-BBEE-7EB8-0672-7EB4CF8A1A25}"/>
              </a:ext>
            </a:extLst>
          </xdr:cNvPr>
          <xdr:cNvSpPr>
            <a:spLocks noEditPoints="1"/>
          </xdr:cNvSpPr>
        </xdr:nvSpPr>
        <xdr:spPr bwMode="auto">
          <a:xfrm>
            <a:off x="28" y="251"/>
            <a:ext cx="716" cy="358"/>
          </a:xfrm>
          <a:custGeom>
            <a:avLst/>
            <a:gdLst>
              <a:gd name="T0" fmla="*/ 167 w 180"/>
              <a:gd name="T1" fmla="*/ 0 h 90"/>
              <a:gd name="T2" fmla="*/ 165 w 180"/>
              <a:gd name="T3" fmla="*/ 0 h 90"/>
              <a:gd name="T4" fmla="*/ 155 w 180"/>
              <a:gd name="T5" fmla="*/ 5 h 90"/>
              <a:gd name="T6" fmla="*/ 145 w 180"/>
              <a:gd name="T7" fmla="*/ 0 h 90"/>
              <a:gd name="T8" fmla="*/ 143 w 180"/>
              <a:gd name="T9" fmla="*/ 0 h 90"/>
              <a:gd name="T10" fmla="*/ 133 w 180"/>
              <a:gd name="T11" fmla="*/ 5 h 90"/>
              <a:gd name="T12" fmla="*/ 123 w 180"/>
              <a:gd name="T13" fmla="*/ 0 h 90"/>
              <a:gd name="T14" fmla="*/ 122 w 180"/>
              <a:gd name="T15" fmla="*/ 0 h 90"/>
              <a:gd name="T16" fmla="*/ 111 w 180"/>
              <a:gd name="T17" fmla="*/ 5 h 90"/>
              <a:gd name="T18" fmla="*/ 101 w 180"/>
              <a:gd name="T19" fmla="*/ 0 h 90"/>
              <a:gd name="T20" fmla="*/ 100 w 180"/>
              <a:gd name="T21" fmla="*/ 0 h 90"/>
              <a:gd name="T22" fmla="*/ 90 w 180"/>
              <a:gd name="T23" fmla="*/ 5 h 90"/>
              <a:gd name="T24" fmla="*/ 80 w 180"/>
              <a:gd name="T25" fmla="*/ 0 h 90"/>
              <a:gd name="T26" fmla="*/ 78 w 180"/>
              <a:gd name="T27" fmla="*/ 0 h 90"/>
              <a:gd name="T28" fmla="*/ 68 w 180"/>
              <a:gd name="T29" fmla="*/ 5 h 90"/>
              <a:gd name="T30" fmla="*/ 58 w 180"/>
              <a:gd name="T31" fmla="*/ 0 h 90"/>
              <a:gd name="T32" fmla="*/ 57 w 180"/>
              <a:gd name="T33" fmla="*/ 0 h 90"/>
              <a:gd name="T34" fmla="*/ 46 w 180"/>
              <a:gd name="T35" fmla="*/ 5 h 90"/>
              <a:gd name="T36" fmla="*/ 36 w 180"/>
              <a:gd name="T37" fmla="*/ 0 h 90"/>
              <a:gd name="T38" fmla="*/ 35 w 180"/>
              <a:gd name="T39" fmla="*/ 0 h 90"/>
              <a:gd name="T40" fmla="*/ 25 w 180"/>
              <a:gd name="T41" fmla="*/ 5 h 90"/>
              <a:gd name="T42" fmla="*/ 15 w 180"/>
              <a:gd name="T43" fmla="*/ 0 h 90"/>
              <a:gd name="T44" fmla="*/ 13 w 180"/>
              <a:gd name="T45" fmla="*/ 0 h 90"/>
              <a:gd name="T46" fmla="*/ 3 w 180"/>
              <a:gd name="T47" fmla="*/ 5 h 90"/>
              <a:gd name="T48" fmla="*/ 0 w 180"/>
              <a:gd name="T49" fmla="*/ 5 h 90"/>
              <a:gd name="T50" fmla="*/ 0 w 180"/>
              <a:gd name="T51" fmla="*/ 90 h 90"/>
              <a:gd name="T52" fmla="*/ 180 w 180"/>
              <a:gd name="T53" fmla="*/ 90 h 90"/>
              <a:gd name="T54" fmla="*/ 180 w 180"/>
              <a:gd name="T55" fmla="*/ 5 h 90"/>
              <a:gd name="T56" fmla="*/ 176 w 180"/>
              <a:gd name="T57" fmla="*/ 5 h 90"/>
              <a:gd name="T58" fmla="*/ 167 w 180"/>
              <a:gd name="T59" fmla="*/ 0 h 90"/>
              <a:gd name="T60" fmla="*/ 87 w 180"/>
              <a:gd name="T61" fmla="*/ 79 h 90"/>
              <a:gd name="T62" fmla="*/ 18 w 180"/>
              <a:gd name="T63" fmla="*/ 79 h 90"/>
              <a:gd name="T64" fmla="*/ 18 w 180"/>
              <a:gd name="T65" fmla="*/ 30 h 90"/>
              <a:gd name="T66" fmla="*/ 87 w 180"/>
              <a:gd name="T67" fmla="*/ 30 h 90"/>
              <a:gd name="T68" fmla="*/ 87 w 180"/>
              <a:gd name="T69" fmla="*/ 79 h 90"/>
              <a:gd name="T70" fmla="*/ 149 w 180"/>
              <a:gd name="T71" fmla="*/ 71 h 90"/>
              <a:gd name="T72" fmla="*/ 100 w 180"/>
              <a:gd name="T73" fmla="*/ 71 h 90"/>
              <a:gd name="T74" fmla="*/ 100 w 180"/>
              <a:gd name="T75" fmla="*/ 65 h 90"/>
              <a:gd name="T76" fmla="*/ 149 w 180"/>
              <a:gd name="T77" fmla="*/ 65 h 90"/>
              <a:gd name="T78" fmla="*/ 149 w 180"/>
              <a:gd name="T79" fmla="*/ 71 h 90"/>
              <a:gd name="T80" fmla="*/ 149 w 180"/>
              <a:gd name="T81" fmla="*/ 60 h 90"/>
              <a:gd name="T82" fmla="*/ 100 w 180"/>
              <a:gd name="T83" fmla="*/ 60 h 90"/>
              <a:gd name="T84" fmla="*/ 100 w 180"/>
              <a:gd name="T85" fmla="*/ 53 h 90"/>
              <a:gd name="T86" fmla="*/ 149 w 180"/>
              <a:gd name="T87" fmla="*/ 53 h 90"/>
              <a:gd name="T88" fmla="*/ 149 w 180"/>
              <a:gd name="T89" fmla="*/ 60 h 90"/>
              <a:gd name="T90" fmla="*/ 149 w 180"/>
              <a:gd name="T91" fmla="*/ 48 h 90"/>
              <a:gd name="T92" fmla="*/ 100 w 180"/>
              <a:gd name="T93" fmla="*/ 48 h 90"/>
              <a:gd name="T94" fmla="*/ 100 w 180"/>
              <a:gd name="T95" fmla="*/ 42 h 90"/>
              <a:gd name="T96" fmla="*/ 149 w 180"/>
              <a:gd name="T97" fmla="*/ 42 h 90"/>
              <a:gd name="T98" fmla="*/ 149 w 180"/>
              <a:gd name="T99" fmla="*/ 48 h 90"/>
              <a:gd name="T100" fmla="*/ 149 w 180"/>
              <a:gd name="T101" fmla="*/ 36 h 90"/>
              <a:gd name="T102" fmla="*/ 100 w 180"/>
              <a:gd name="T103" fmla="*/ 36 h 90"/>
              <a:gd name="T104" fmla="*/ 100 w 180"/>
              <a:gd name="T105" fmla="*/ 30 h 90"/>
              <a:gd name="T106" fmla="*/ 149 w 180"/>
              <a:gd name="T107" fmla="*/ 30 h 90"/>
              <a:gd name="T108" fmla="*/ 149 w 180"/>
              <a:gd name="T109" fmla="*/ 36 h 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80" h="90">
                <a:moveTo>
                  <a:pt x="167" y="0"/>
                </a:moveTo>
                <a:cubicBezTo>
                  <a:pt x="166" y="0"/>
                  <a:pt x="165" y="0"/>
                  <a:pt x="165" y="0"/>
                </a:cubicBezTo>
                <a:cubicBezTo>
                  <a:pt x="163" y="4"/>
                  <a:pt x="159" y="5"/>
                  <a:pt x="155" y="5"/>
                </a:cubicBezTo>
                <a:cubicBezTo>
                  <a:pt x="150" y="5"/>
                  <a:pt x="146" y="4"/>
                  <a:pt x="145" y="0"/>
                </a:cubicBezTo>
                <a:cubicBezTo>
                  <a:pt x="144" y="0"/>
                  <a:pt x="143" y="0"/>
                  <a:pt x="143" y="0"/>
                </a:cubicBezTo>
                <a:cubicBezTo>
                  <a:pt x="141" y="4"/>
                  <a:pt x="138" y="5"/>
                  <a:pt x="133" y="5"/>
                </a:cubicBezTo>
                <a:cubicBezTo>
                  <a:pt x="129" y="5"/>
                  <a:pt x="125" y="4"/>
                  <a:pt x="123" y="0"/>
                </a:cubicBezTo>
                <a:cubicBezTo>
                  <a:pt x="123" y="0"/>
                  <a:pt x="122" y="0"/>
                  <a:pt x="122" y="0"/>
                </a:cubicBezTo>
                <a:cubicBezTo>
                  <a:pt x="120" y="4"/>
                  <a:pt x="116" y="5"/>
                  <a:pt x="111" y="5"/>
                </a:cubicBezTo>
                <a:cubicBezTo>
                  <a:pt x="107" y="5"/>
                  <a:pt x="103" y="4"/>
                  <a:pt x="101" y="0"/>
                </a:cubicBezTo>
                <a:cubicBezTo>
                  <a:pt x="101" y="0"/>
                  <a:pt x="100" y="0"/>
                  <a:pt x="100" y="0"/>
                </a:cubicBezTo>
                <a:cubicBezTo>
                  <a:pt x="98" y="4"/>
                  <a:pt x="94" y="5"/>
                  <a:pt x="90" y="5"/>
                </a:cubicBezTo>
                <a:cubicBezTo>
                  <a:pt x="85" y="5"/>
                  <a:pt x="81" y="4"/>
                  <a:pt x="80" y="0"/>
                </a:cubicBezTo>
                <a:cubicBezTo>
                  <a:pt x="79" y="0"/>
                  <a:pt x="78" y="0"/>
                  <a:pt x="78" y="0"/>
                </a:cubicBezTo>
                <a:cubicBezTo>
                  <a:pt x="76" y="4"/>
                  <a:pt x="73" y="5"/>
                  <a:pt x="68" y="5"/>
                </a:cubicBezTo>
                <a:cubicBezTo>
                  <a:pt x="64" y="5"/>
                  <a:pt x="60" y="4"/>
                  <a:pt x="58" y="0"/>
                </a:cubicBezTo>
                <a:cubicBezTo>
                  <a:pt x="58" y="0"/>
                  <a:pt x="57" y="0"/>
                  <a:pt x="57" y="0"/>
                </a:cubicBezTo>
                <a:cubicBezTo>
                  <a:pt x="55" y="4"/>
                  <a:pt x="51" y="5"/>
                  <a:pt x="46" y="5"/>
                </a:cubicBezTo>
                <a:cubicBezTo>
                  <a:pt x="42" y="5"/>
                  <a:pt x="38" y="4"/>
                  <a:pt x="36" y="0"/>
                </a:cubicBezTo>
                <a:cubicBezTo>
                  <a:pt x="36" y="0"/>
                  <a:pt x="35" y="0"/>
                  <a:pt x="35" y="0"/>
                </a:cubicBezTo>
                <a:cubicBezTo>
                  <a:pt x="33" y="4"/>
                  <a:pt x="29" y="5"/>
                  <a:pt x="25" y="5"/>
                </a:cubicBezTo>
                <a:cubicBezTo>
                  <a:pt x="20" y="5"/>
                  <a:pt x="16" y="4"/>
                  <a:pt x="15" y="0"/>
                </a:cubicBezTo>
                <a:cubicBezTo>
                  <a:pt x="14" y="0"/>
                  <a:pt x="13" y="0"/>
                  <a:pt x="13" y="0"/>
                </a:cubicBezTo>
                <a:cubicBezTo>
                  <a:pt x="11" y="4"/>
                  <a:pt x="8" y="5"/>
                  <a:pt x="3" y="5"/>
                </a:cubicBezTo>
                <a:cubicBezTo>
                  <a:pt x="2" y="5"/>
                  <a:pt x="1" y="5"/>
                  <a:pt x="0" y="5"/>
                </a:cubicBezTo>
                <a:cubicBezTo>
                  <a:pt x="0" y="90"/>
                  <a:pt x="0" y="90"/>
                  <a:pt x="0" y="90"/>
                </a:cubicBezTo>
                <a:cubicBezTo>
                  <a:pt x="180" y="90"/>
                  <a:pt x="180" y="90"/>
                  <a:pt x="180" y="90"/>
                </a:cubicBezTo>
                <a:cubicBezTo>
                  <a:pt x="180" y="5"/>
                  <a:pt x="180" y="5"/>
                  <a:pt x="180" y="5"/>
                </a:cubicBezTo>
                <a:cubicBezTo>
                  <a:pt x="179" y="5"/>
                  <a:pt x="178" y="5"/>
                  <a:pt x="176" y="5"/>
                </a:cubicBezTo>
                <a:cubicBezTo>
                  <a:pt x="172" y="5"/>
                  <a:pt x="168" y="4"/>
                  <a:pt x="167" y="0"/>
                </a:cubicBezTo>
                <a:close/>
                <a:moveTo>
                  <a:pt x="87" y="79"/>
                </a:moveTo>
                <a:cubicBezTo>
                  <a:pt x="18" y="79"/>
                  <a:pt x="18" y="79"/>
                  <a:pt x="18" y="79"/>
                </a:cubicBezTo>
                <a:cubicBezTo>
                  <a:pt x="18" y="30"/>
                  <a:pt x="18" y="30"/>
                  <a:pt x="18" y="30"/>
                </a:cubicBezTo>
                <a:cubicBezTo>
                  <a:pt x="45" y="30"/>
                  <a:pt x="87" y="30"/>
                  <a:pt x="87" y="30"/>
                </a:cubicBezTo>
                <a:lnTo>
                  <a:pt x="87" y="79"/>
                </a:lnTo>
                <a:close/>
                <a:moveTo>
                  <a:pt x="149" y="71"/>
                </a:moveTo>
                <a:cubicBezTo>
                  <a:pt x="100" y="71"/>
                  <a:pt x="100" y="71"/>
                  <a:pt x="100" y="71"/>
                </a:cubicBezTo>
                <a:cubicBezTo>
                  <a:pt x="100" y="65"/>
                  <a:pt x="100" y="65"/>
                  <a:pt x="100" y="65"/>
                </a:cubicBezTo>
                <a:cubicBezTo>
                  <a:pt x="149" y="65"/>
                  <a:pt x="149" y="65"/>
                  <a:pt x="149" y="65"/>
                </a:cubicBezTo>
                <a:lnTo>
                  <a:pt x="149" y="71"/>
                </a:lnTo>
                <a:close/>
                <a:moveTo>
                  <a:pt x="149" y="60"/>
                </a:moveTo>
                <a:cubicBezTo>
                  <a:pt x="100" y="60"/>
                  <a:pt x="100" y="60"/>
                  <a:pt x="100" y="60"/>
                </a:cubicBezTo>
                <a:cubicBezTo>
                  <a:pt x="100" y="53"/>
                  <a:pt x="100" y="53"/>
                  <a:pt x="100" y="53"/>
                </a:cubicBezTo>
                <a:cubicBezTo>
                  <a:pt x="149" y="53"/>
                  <a:pt x="149" y="53"/>
                  <a:pt x="149" y="53"/>
                </a:cubicBezTo>
                <a:lnTo>
                  <a:pt x="149" y="60"/>
                </a:lnTo>
                <a:close/>
                <a:moveTo>
                  <a:pt x="149" y="48"/>
                </a:moveTo>
                <a:cubicBezTo>
                  <a:pt x="100" y="48"/>
                  <a:pt x="100" y="48"/>
                  <a:pt x="100" y="48"/>
                </a:cubicBezTo>
                <a:cubicBezTo>
                  <a:pt x="100" y="42"/>
                  <a:pt x="100" y="42"/>
                  <a:pt x="100" y="42"/>
                </a:cubicBezTo>
                <a:cubicBezTo>
                  <a:pt x="149" y="42"/>
                  <a:pt x="149" y="42"/>
                  <a:pt x="149" y="42"/>
                </a:cubicBezTo>
                <a:lnTo>
                  <a:pt x="149" y="48"/>
                </a:lnTo>
                <a:close/>
                <a:moveTo>
                  <a:pt x="149" y="36"/>
                </a:moveTo>
                <a:cubicBezTo>
                  <a:pt x="100" y="36"/>
                  <a:pt x="100" y="36"/>
                  <a:pt x="100" y="36"/>
                </a:cubicBezTo>
                <a:cubicBezTo>
                  <a:pt x="100" y="30"/>
                  <a:pt x="100" y="30"/>
                  <a:pt x="100" y="30"/>
                </a:cubicBezTo>
                <a:cubicBezTo>
                  <a:pt x="149" y="30"/>
                  <a:pt x="149" y="30"/>
                  <a:pt x="149" y="30"/>
                </a:cubicBezTo>
                <a:lnTo>
                  <a:pt x="149"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5" name="Freeform 29">
            <a:extLst>
              <a:ext uri="{FF2B5EF4-FFF2-40B4-BE49-F238E27FC236}">
                <a16:creationId xmlns:a16="http://schemas.microsoft.com/office/drawing/2014/main" id="{B66DA9F5-D7F5-FCAE-6887-03081C795732}"/>
              </a:ext>
            </a:extLst>
          </xdr:cNvPr>
          <xdr:cNvSpPr>
            <a:spLocks/>
          </xdr:cNvSpPr>
        </xdr:nvSpPr>
        <xdr:spPr bwMode="auto">
          <a:xfrm>
            <a:off x="0" y="159"/>
            <a:ext cx="772" cy="96"/>
          </a:xfrm>
          <a:custGeom>
            <a:avLst/>
            <a:gdLst>
              <a:gd name="T0" fmla="*/ 0 w 194"/>
              <a:gd name="T1" fmla="*/ 14 h 24"/>
              <a:gd name="T2" fmla="*/ 6 w 194"/>
              <a:gd name="T3" fmla="*/ 24 h 24"/>
              <a:gd name="T4" fmla="*/ 6 w 194"/>
              <a:gd name="T5" fmla="*/ 24 h 24"/>
              <a:gd name="T6" fmla="*/ 10 w 194"/>
              <a:gd name="T7" fmla="*/ 24 h 24"/>
              <a:gd name="T8" fmla="*/ 21 w 194"/>
              <a:gd name="T9" fmla="*/ 16 h 24"/>
              <a:gd name="T10" fmla="*/ 21 w 194"/>
              <a:gd name="T11" fmla="*/ 16 h 24"/>
              <a:gd name="T12" fmla="*/ 32 w 194"/>
              <a:gd name="T13" fmla="*/ 24 h 24"/>
              <a:gd name="T14" fmla="*/ 42 w 194"/>
              <a:gd name="T15" fmla="*/ 16 h 24"/>
              <a:gd name="T16" fmla="*/ 43 w 194"/>
              <a:gd name="T17" fmla="*/ 16 h 24"/>
              <a:gd name="T18" fmla="*/ 54 w 194"/>
              <a:gd name="T19" fmla="*/ 24 h 24"/>
              <a:gd name="T20" fmla="*/ 64 w 194"/>
              <a:gd name="T21" fmla="*/ 16 h 24"/>
              <a:gd name="T22" fmla="*/ 65 w 194"/>
              <a:gd name="T23" fmla="*/ 16 h 24"/>
              <a:gd name="T24" fmla="*/ 75 w 194"/>
              <a:gd name="T25" fmla="*/ 24 h 24"/>
              <a:gd name="T26" fmla="*/ 86 w 194"/>
              <a:gd name="T27" fmla="*/ 16 h 24"/>
              <a:gd name="T28" fmla="*/ 86 w 194"/>
              <a:gd name="T29" fmla="*/ 16 h 24"/>
              <a:gd name="T30" fmla="*/ 97 w 194"/>
              <a:gd name="T31" fmla="*/ 24 h 24"/>
              <a:gd name="T32" fmla="*/ 108 w 194"/>
              <a:gd name="T33" fmla="*/ 16 h 24"/>
              <a:gd name="T34" fmla="*/ 108 w 194"/>
              <a:gd name="T35" fmla="*/ 16 h 24"/>
              <a:gd name="T36" fmla="*/ 119 w 194"/>
              <a:gd name="T37" fmla="*/ 24 h 24"/>
              <a:gd name="T38" fmla="*/ 129 w 194"/>
              <a:gd name="T39" fmla="*/ 16 h 24"/>
              <a:gd name="T40" fmla="*/ 130 w 194"/>
              <a:gd name="T41" fmla="*/ 16 h 24"/>
              <a:gd name="T42" fmla="*/ 140 w 194"/>
              <a:gd name="T43" fmla="*/ 24 h 24"/>
              <a:gd name="T44" fmla="*/ 151 w 194"/>
              <a:gd name="T45" fmla="*/ 16 h 24"/>
              <a:gd name="T46" fmla="*/ 152 w 194"/>
              <a:gd name="T47" fmla="*/ 16 h 24"/>
              <a:gd name="T48" fmla="*/ 162 w 194"/>
              <a:gd name="T49" fmla="*/ 24 h 24"/>
              <a:gd name="T50" fmla="*/ 173 w 194"/>
              <a:gd name="T51" fmla="*/ 16 h 24"/>
              <a:gd name="T52" fmla="*/ 173 w 194"/>
              <a:gd name="T53" fmla="*/ 16 h 24"/>
              <a:gd name="T54" fmla="*/ 184 w 194"/>
              <a:gd name="T55" fmla="*/ 24 h 24"/>
              <a:gd name="T56" fmla="*/ 187 w 194"/>
              <a:gd name="T57" fmla="*/ 24 h 24"/>
              <a:gd name="T58" fmla="*/ 188 w 194"/>
              <a:gd name="T59" fmla="*/ 24 h 24"/>
              <a:gd name="T60" fmla="*/ 194 w 194"/>
              <a:gd name="T61" fmla="*/ 14 h 24"/>
              <a:gd name="T62" fmla="*/ 194 w 194"/>
              <a:gd name="T63" fmla="*/ 0 h 24"/>
              <a:gd name="T64" fmla="*/ 0 w 194"/>
              <a:gd name="T65" fmla="*/ 0 h 24"/>
              <a:gd name="T66" fmla="*/ 0 w 194"/>
              <a:gd name="T67" fmla="*/ 1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94" h="24">
                <a:moveTo>
                  <a:pt x="0" y="14"/>
                </a:moveTo>
                <a:cubicBezTo>
                  <a:pt x="0" y="18"/>
                  <a:pt x="2" y="22"/>
                  <a:pt x="6" y="24"/>
                </a:cubicBezTo>
                <a:cubicBezTo>
                  <a:pt x="6" y="24"/>
                  <a:pt x="6" y="24"/>
                  <a:pt x="6" y="24"/>
                </a:cubicBezTo>
                <a:cubicBezTo>
                  <a:pt x="7" y="24"/>
                  <a:pt x="9" y="24"/>
                  <a:pt x="10" y="24"/>
                </a:cubicBezTo>
                <a:cubicBezTo>
                  <a:pt x="15" y="24"/>
                  <a:pt x="19" y="21"/>
                  <a:pt x="21" y="16"/>
                </a:cubicBezTo>
                <a:cubicBezTo>
                  <a:pt x="21" y="16"/>
                  <a:pt x="21" y="16"/>
                  <a:pt x="21" y="16"/>
                </a:cubicBezTo>
                <a:cubicBezTo>
                  <a:pt x="23" y="21"/>
                  <a:pt x="27" y="24"/>
                  <a:pt x="32" y="24"/>
                </a:cubicBezTo>
                <a:cubicBezTo>
                  <a:pt x="37" y="24"/>
                  <a:pt x="41" y="21"/>
                  <a:pt x="42" y="16"/>
                </a:cubicBezTo>
                <a:cubicBezTo>
                  <a:pt x="43" y="16"/>
                  <a:pt x="43" y="16"/>
                  <a:pt x="43" y="16"/>
                </a:cubicBezTo>
                <a:cubicBezTo>
                  <a:pt x="44" y="21"/>
                  <a:pt x="49" y="24"/>
                  <a:pt x="54" y="24"/>
                </a:cubicBezTo>
                <a:cubicBezTo>
                  <a:pt x="59" y="24"/>
                  <a:pt x="63" y="21"/>
                  <a:pt x="64" y="16"/>
                </a:cubicBezTo>
                <a:cubicBezTo>
                  <a:pt x="64" y="16"/>
                  <a:pt x="65" y="16"/>
                  <a:pt x="65" y="16"/>
                </a:cubicBezTo>
                <a:cubicBezTo>
                  <a:pt x="66" y="21"/>
                  <a:pt x="70" y="24"/>
                  <a:pt x="75" y="24"/>
                </a:cubicBezTo>
                <a:cubicBezTo>
                  <a:pt x="80" y="24"/>
                  <a:pt x="85" y="21"/>
                  <a:pt x="86" y="16"/>
                </a:cubicBezTo>
                <a:cubicBezTo>
                  <a:pt x="86" y="16"/>
                  <a:pt x="86" y="16"/>
                  <a:pt x="86" y="16"/>
                </a:cubicBezTo>
                <a:cubicBezTo>
                  <a:pt x="88" y="21"/>
                  <a:pt x="92" y="24"/>
                  <a:pt x="97" y="24"/>
                </a:cubicBezTo>
                <a:cubicBezTo>
                  <a:pt x="102" y="24"/>
                  <a:pt x="106" y="21"/>
                  <a:pt x="108" y="16"/>
                </a:cubicBezTo>
                <a:cubicBezTo>
                  <a:pt x="108" y="16"/>
                  <a:pt x="108" y="16"/>
                  <a:pt x="108" y="16"/>
                </a:cubicBezTo>
                <a:cubicBezTo>
                  <a:pt x="109" y="21"/>
                  <a:pt x="114" y="24"/>
                  <a:pt x="119" y="24"/>
                </a:cubicBezTo>
                <a:cubicBezTo>
                  <a:pt x="124" y="24"/>
                  <a:pt x="128" y="21"/>
                  <a:pt x="129" y="16"/>
                </a:cubicBezTo>
                <a:cubicBezTo>
                  <a:pt x="129" y="16"/>
                  <a:pt x="130" y="16"/>
                  <a:pt x="130" y="16"/>
                </a:cubicBezTo>
                <a:cubicBezTo>
                  <a:pt x="131" y="21"/>
                  <a:pt x="135" y="24"/>
                  <a:pt x="140" y="24"/>
                </a:cubicBezTo>
                <a:cubicBezTo>
                  <a:pt x="145" y="24"/>
                  <a:pt x="150" y="21"/>
                  <a:pt x="151" y="16"/>
                </a:cubicBezTo>
                <a:cubicBezTo>
                  <a:pt x="151" y="16"/>
                  <a:pt x="152" y="16"/>
                  <a:pt x="152" y="16"/>
                </a:cubicBezTo>
                <a:cubicBezTo>
                  <a:pt x="153" y="21"/>
                  <a:pt x="157" y="24"/>
                  <a:pt x="162" y="24"/>
                </a:cubicBezTo>
                <a:cubicBezTo>
                  <a:pt x="167" y="24"/>
                  <a:pt x="171" y="21"/>
                  <a:pt x="173" y="16"/>
                </a:cubicBezTo>
                <a:cubicBezTo>
                  <a:pt x="173" y="16"/>
                  <a:pt x="173" y="16"/>
                  <a:pt x="173" y="16"/>
                </a:cubicBezTo>
                <a:cubicBezTo>
                  <a:pt x="175" y="21"/>
                  <a:pt x="179" y="24"/>
                  <a:pt x="184" y="24"/>
                </a:cubicBezTo>
                <a:cubicBezTo>
                  <a:pt x="185" y="24"/>
                  <a:pt x="186" y="24"/>
                  <a:pt x="187" y="24"/>
                </a:cubicBezTo>
                <a:cubicBezTo>
                  <a:pt x="188" y="24"/>
                  <a:pt x="188" y="24"/>
                  <a:pt x="188" y="24"/>
                </a:cubicBezTo>
                <a:cubicBezTo>
                  <a:pt x="191" y="22"/>
                  <a:pt x="194" y="18"/>
                  <a:pt x="194" y="14"/>
                </a:cubicBezTo>
                <a:cubicBezTo>
                  <a:pt x="194" y="14"/>
                  <a:pt x="194" y="14"/>
                  <a:pt x="194" y="0"/>
                </a:cubicBezTo>
                <a:cubicBezTo>
                  <a:pt x="0" y="0"/>
                  <a:pt x="0" y="0"/>
                  <a:pt x="0" y="0"/>
                </a:cubicBezTo>
                <a:cubicBezTo>
                  <a:pt x="0" y="0"/>
                  <a:pt x="0" y="0"/>
                  <a:pt x="0" y="1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6" name="Freeform 30">
            <a:extLst>
              <a:ext uri="{FF2B5EF4-FFF2-40B4-BE49-F238E27FC236}">
                <a16:creationId xmlns:a16="http://schemas.microsoft.com/office/drawing/2014/main" id="{C1A06077-CD82-6ED3-CEF2-B8A2CEBA7078}"/>
              </a:ext>
            </a:extLst>
          </xdr:cNvPr>
          <xdr:cNvSpPr>
            <a:spLocks/>
          </xdr:cNvSpPr>
        </xdr:nvSpPr>
        <xdr:spPr bwMode="auto">
          <a:xfrm>
            <a:off x="111" y="60"/>
            <a:ext cx="12" cy="16"/>
          </a:xfrm>
          <a:custGeom>
            <a:avLst/>
            <a:gdLst>
              <a:gd name="T0" fmla="*/ 1 w 3"/>
              <a:gd name="T1" fmla="*/ 0 h 4"/>
              <a:gd name="T2" fmla="*/ 0 w 3"/>
              <a:gd name="T3" fmla="*/ 0 h 4"/>
              <a:gd name="T4" fmla="*/ 0 w 3"/>
              <a:gd name="T5" fmla="*/ 4 h 4"/>
              <a:gd name="T6" fmla="*/ 1 w 3"/>
              <a:gd name="T7" fmla="*/ 4 h 4"/>
              <a:gd name="T8" fmla="*/ 3 w 3"/>
              <a:gd name="T9" fmla="*/ 3 h 4"/>
              <a:gd name="T10" fmla="*/ 3 w 3"/>
              <a:gd name="T11" fmla="*/ 2 h 4"/>
              <a:gd name="T12" fmla="*/ 1 w 3"/>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3" h="4">
                <a:moveTo>
                  <a:pt x="1" y="0"/>
                </a:moveTo>
                <a:cubicBezTo>
                  <a:pt x="0" y="0"/>
                  <a:pt x="0" y="0"/>
                  <a:pt x="0" y="0"/>
                </a:cubicBezTo>
                <a:cubicBezTo>
                  <a:pt x="0" y="4"/>
                  <a:pt x="0" y="4"/>
                  <a:pt x="0" y="4"/>
                </a:cubicBezTo>
                <a:cubicBezTo>
                  <a:pt x="1" y="4"/>
                  <a:pt x="1" y="4"/>
                  <a:pt x="1" y="4"/>
                </a:cubicBezTo>
                <a:cubicBezTo>
                  <a:pt x="2" y="4"/>
                  <a:pt x="2" y="4"/>
                  <a:pt x="3" y="3"/>
                </a:cubicBezTo>
                <a:cubicBezTo>
                  <a:pt x="3" y="3"/>
                  <a:pt x="3" y="2"/>
                  <a:pt x="3" y="2"/>
                </a:cubicBezTo>
                <a:cubicBezTo>
                  <a:pt x="3" y="1"/>
                  <a:pt x="3" y="0"/>
                  <a:pt x="1"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7" name="Freeform 31">
            <a:extLst>
              <a:ext uri="{FF2B5EF4-FFF2-40B4-BE49-F238E27FC236}">
                <a16:creationId xmlns:a16="http://schemas.microsoft.com/office/drawing/2014/main" id="{17E6BA44-D4CE-DBEA-E645-473FC34DB5B5}"/>
              </a:ext>
            </a:extLst>
          </xdr:cNvPr>
          <xdr:cNvSpPr>
            <a:spLocks/>
          </xdr:cNvSpPr>
        </xdr:nvSpPr>
        <xdr:spPr bwMode="auto">
          <a:xfrm>
            <a:off x="326"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8" name="Freeform 32">
            <a:extLst>
              <a:ext uri="{FF2B5EF4-FFF2-40B4-BE49-F238E27FC236}">
                <a16:creationId xmlns:a16="http://schemas.microsoft.com/office/drawing/2014/main" id="{4993AF26-9A98-19D4-7C7A-CB8A7CB3CA0C}"/>
              </a:ext>
            </a:extLst>
          </xdr:cNvPr>
          <xdr:cNvSpPr>
            <a:spLocks noEditPoints="1"/>
          </xdr:cNvSpPr>
        </xdr:nvSpPr>
        <xdr:spPr bwMode="auto">
          <a:xfrm>
            <a:off x="0" y="0"/>
            <a:ext cx="780" cy="147"/>
          </a:xfrm>
          <a:custGeom>
            <a:avLst/>
            <a:gdLst>
              <a:gd name="T0" fmla="*/ 188 w 196"/>
              <a:gd name="T1" fmla="*/ 0 h 37"/>
              <a:gd name="T2" fmla="*/ 0 w 196"/>
              <a:gd name="T3" fmla="*/ 37 h 37"/>
              <a:gd name="T4" fmla="*/ 33 w 196"/>
              <a:gd name="T5" fmla="*/ 26 h 37"/>
              <a:gd name="T6" fmla="*/ 29 w 196"/>
              <a:gd name="T7" fmla="*/ 21 h 37"/>
              <a:gd name="T8" fmla="*/ 25 w 196"/>
              <a:gd name="T9" fmla="*/ 26 h 37"/>
              <a:gd name="T10" fmla="*/ 34 w 196"/>
              <a:gd name="T11" fmla="*/ 16 h 37"/>
              <a:gd name="T12" fmla="*/ 31 w 196"/>
              <a:gd name="T13" fmla="*/ 20 h 37"/>
              <a:gd name="T14" fmla="*/ 35 w 196"/>
              <a:gd name="T15" fmla="*/ 25 h 37"/>
              <a:gd name="T16" fmla="*/ 48 w 196"/>
              <a:gd name="T17" fmla="*/ 26 h 37"/>
              <a:gd name="T18" fmla="*/ 47 w 196"/>
              <a:gd name="T19" fmla="*/ 13 h 37"/>
              <a:gd name="T20" fmla="*/ 43 w 196"/>
              <a:gd name="T21" fmla="*/ 18 h 37"/>
              <a:gd name="T22" fmla="*/ 43 w 196"/>
              <a:gd name="T23" fmla="*/ 21 h 37"/>
              <a:gd name="T24" fmla="*/ 48 w 196"/>
              <a:gd name="T25" fmla="*/ 26 h 37"/>
              <a:gd name="T26" fmla="*/ 52 w 196"/>
              <a:gd name="T27" fmla="*/ 26 h 37"/>
              <a:gd name="T28" fmla="*/ 57 w 196"/>
              <a:gd name="T29" fmla="*/ 24 h 37"/>
              <a:gd name="T30" fmla="*/ 55 w 196"/>
              <a:gd name="T31" fmla="*/ 20 h 37"/>
              <a:gd name="T32" fmla="*/ 57 w 196"/>
              <a:gd name="T33" fmla="*/ 12 h 37"/>
              <a:gd name="T34" fmla="*/ 57 w 196"/>
              <a:gd name="T35" fmla="*/ 15 h 37"/>
              <a:gd name="T36" fmla="*/ 55 w 196"/>
              <a:gd name="T37" fmla="*/ 17 h 37"/>
              <a:gd name="T38" fmla="*/ 61 w 196"/>
              <a:gd name="T39" fmla="*/ 23 h 37"/>
              <a:gd name="T40" fmla="*/ 71 w 196"/>
              <a:gd name="T41" fmla="*/ 15 h 37"/>
              <a:gd name="T42" fmla="*/ 68 w 196"/>
              <a:gd name="T43" fmla="*/ 15 h 37"/>
              <a:gd name="T44" fmla="*/ 75 w 196"/>
              <a:gd name="T45" fmla="*/ 13 h 37"/>
              <a:gd name="T46" fmla="*/ 87 w 196"/>
              <a:gd name="T47" fmla="*/ 23 h 37"/>
              <a:gd name="T48" fmla="*/ 77 w 196"/>
              <a:gd name="T49" fmla="*/ 26 h 37"/>
              <a:gd name="T50" fmla="*/ 91 w 196"/>
              <a:gd name="T51" fmla="*/ 26 h 37"/>
              <a:gd name="T52" fmla="*/ 100 w 196"/>
              <a:gd name="T53" fmla="*/ 27 h 37"/>
              <a:gd name="T54" fmla="*/ 98 w 196"/>
              <a:gd name="T55" fmla="*/ 13 h 37"/>
              <a:gd name="T56" fmla="*/ 103 w 196"/>
              <a:gd name="T57" fmla="*/ 21 h 37"/>
              <a:gd name="T58" fmla="*/ 106 w 196"/>
              <a:gd name="T59" fmla="*/ 21 h 37"/>
              <a:gd name="T60" fmla="*/ 116 w 196"/>
              <a:gd name="T61" fmla="*/ 21 h 37"/>
              <a:gd name="T62" fmla="*/ 114 w 196"/>
              <a:gd name="T63" fmla="*/ 26 h 37"/>
              <a:gd name="T64" fmla="*/ 116 w 196"/>
              <a:gd name="T65" fmla="*/ 13 h 37"/>
              <a:gd name="T66" fmla="*/ 118 w 196"/>
              <a:gd name="T67" fmla="*/ 20 h 37"/>
              <a:gd name="T68" fmla="*/ 122 w 196"/>
              <a:gd name="T69" fmla="*/ 26 h 37"/>
              <a:gd name="T70" fmla="*/ 134 w 196"/>
              <a:gd name="T71" fmla="*/ 23 h 37"/>
              <a:gd name="T72" fmla="*/ 125 w 196"/>
              <a:gd name="T73" fmla="*/ 26 h 37"/>
              <a:gd name="T74" fmla="*/ 138 w 196"/>
              <a:gd name="T75" fmla="*/ 26 h 37"/>
              <a:gd name="T76" fmla="*/ 151 w 196"/>
              <a:gd name="T77" fmla="*/ 26 h 37"/>
              <a:gd name="T78" fmla="*/ 145 w 196"/>
              <a:gd name="T79" fmla="*/ 16 h 37"/>
              <a:gd name="T80" fmla="*/ 142 w 196"/>
              <a:gd name="T81" fmla="*/ 26 h 37"/>
              <a:gd name="T82" fmla="*/ 151 w 196"/>
              <a:gd name="T83" fmla="*/ 21 h 37"/>
              <a:gd name="T84" fmla="*/ 151 w 196"/>
              <a:gd name="T85" fmla="*/ 21 h 37"/>
              <a:gd name="T86" fmla="*/ 154 w 196"/>
              <a:gd name="T87" fmla="*/ 26 h 37"/>
              <a:gd name="T88" fmla="*/ 165 w 196"/>
              <a:gd name="T89" fmla="*/ 26 h 37"/>
              <a:gd name="T90" fmla="*/ 158 w 196"/>
              <a:gd name="T91" fmla="*/ 15 h 37"/>
              <a:gd name="T92" fmla="*/ 169 w 196"/>
              <a:gd name="T93" fmla="*/ 15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96" h="37">
                <a:moveTo>
                  <a:pt x="188" y="14"/>
                </a:moveTo>
                <a:cubicBezTo>
                  <a:pt x="188" y="14"/>
                  <a:pt x="188" y="14"/>
                  <a:pt x="188" y="14"/>
                </a:cubicBezTo>
                <a:cubicBezTo>
                  <a:pt x="188" y="0"/>
                  <a:pt x="188" y="0"/>
                  <a:pt x="188" y="0"/>
                </a:cubicBezTo>
                <a:cubicBezTo>
                  <a:pt x="8" y="1"/>
                  <a:pt x="8" y="1"/>
                  <a:pt x="8" y="1"/>
                </a:cubicBezTo>
                <a:cubicBezTo>
                  <a:pt x="8" y="14"/>
                  <a:pt x="8" y="14"/>
                  <a:pt x="8" y="14"/>
                </a:cubicBezTo>
                <a:cubicBezTo>
                  <a:pt x="0" y="37"/>
                  <a:pt x="0" y="37"/>
                  <a:pt x="0" y="37"/>
                </a:cubicBezTo>
                <a:cubicBezTo>
                  <a:pt x="196" y="37"/>
                  <a:pt x="196" y="37"/>
                  <a:pt x="196" y="37"/>
                </a:cubicBezTo>
                <a:lnTo>
                  <a:pt x="188" y="14"/>
                </a:lnTo>
                <a:close/>
                <a:moveTo>
                  <a:pt x="33" y="26"/>
                </a:moveTo>
                <a:cubicBezTo>
                  <a:pt x="31" y="23"/>
                  <a:pt x="31" y="23"/>
                  <a:pt x="31" y="23"/>
                </a:cubicBezTo>
                <a:cubicBezTo>
                  <a:pt x="30" y="22"/>
                  <a:pt x="30" y="22"/>
                  <a:pt x="29" y="21"/>
                </a:cubicBezTo>
                <a:cubicBezTo>
                  <a:pt x="29" y="21"/>
                  <a:pt x="29" y="21"/>
                  <a:pt x="29" y="21"/>
                </a:cubicBezTo>
                <a:cubicBezTo>
                  <a:pt x="28" y="21"/>
                  <a:pt x="28" y="21"/>
                  <a:pt x="28" y="21"/>
                </a:cubicBezTo>
                <a:cubicBezTo>
                  <a:pt x="28" y="26"/>
                  <a:pt x="28" y="26"/>
                  <a:pt x="28" y="26"/>
                </a:cubicBezTo>
                <a:cubicBezTo>
                  <a:pt x="25" y="26"/>
                  <a:pt x="25" y="26"/>
                  <a:pt x="25" y="26"/>
                </a:cubicBezTo>
                <a:cubicBezTo>
                  <a:pt x="25" y="13"/>
                  <a:pt x="25" y="13"/>
                  <a:pt x="25" y="13"/>
                </a:cubicBezTo>
                <a:cubicBezTo>
                  <a:pt x="30" y="13"/>
                  <a:pt x="30" y="13"/>
                  <a:pt x="30" y="13"/>
                </a:cubicBezTo>
                <a:cubicBezTo>
                  <a:pt x="33" y="13"/>
                  <a:pt x="34" y="14"/>
                  <a:pt x="34" y="16"/>
                </a:cubicBezTo>
                <a:cubicBezTo>
                  <a:pt x="34" y="17"/>
                  <a:pt x="34" y="18"/>
                  <a:pt x="34" y="19"/>
                </a:cubicBezTo>
                <a:cubicBezTo>
                  <a:pt x="33" y="19"/>
                  <a:pt x="32" y="20"/>
                  <a:pt x="31" y="20"/>
                </a:cubicBezTo>
                <a:cubicBezTo>
                  <a:pt x="31" y="20"/>
                  <a:pt x="31" y="20"/>
                  <a:pt x="31" y="20"/>
                </a:cubicBezTo>
                <a:cubicBezTo>
                  <a:pt x="32" y="20"/>
                  <a:pt x="33" y="21"/>
                  <a:pt x="33" y="22"/>
                </a:cubicBezTo>
                <a:cubicBezTo>
                  <a:pt x="34" y="24"/>
                  <a:pt x="34" y="24"/>
                  <a:pt x="34" y="24"/>
                </a:cubicBezTo>
                <a:cubicBezTo>
                  <a:pt x="35" y="25"/>
                  <a:pt x="35" y="25"/>
                  <a:pt x="35" y="25"/>
                </a:cubicBezTo>
                <a:cubicBezTo>
                  <a:pt x="36" y="26"/>
                  <a:pt x="36" y="26"/>
                  <a:pt x="36" y="26"/>
                </a:cubicBezTo>
                <a:lnTo>
                  <a:pt x="33" y="26"/>
                </a:lnTo>
                <a:close/>
                <a:moveTo>
                  <a:pt x="48" y="26"/>
                </a:moveTo>
                <a:cubicBezTo>
                  <a:pt x="40" y="26"/>
                  <a:pt x="40" y="26"/>
                  <a:pt x="40" y="26"/>
                </a:cubicBezTo>
                <a:cubicBezTo>
                  <a:pt x="40" y="13"/>
                  <a:pt x="40" y="13"/>
                  <a:pt x="40" y="13"/>
                </a:cubicBezTo>
                <a:cubicBezTo>
                  <a:pt x="47" y="13"/>
                  <a:pt x="47" y="13"/>
                  <a:pt x="47" y="13"/>
                </a:cubicBezTo>
                <a:cubicBezTo>
                  <a:pt x="47" y="15"/>
                  <a:pt x="47" y="15"/>
                  <a:pt x="47" y="15"/>
                </a:cubicBezTo>
                <a:cubicBezTo>
                  <a:pt x="43" y="15"/>
                  <a:pt x="43" y="15"/>
                  <a:pt x="43" y="15"/>
                </a:cubicBezTo>
                <a:cubicBezTo>
                  <a:pt x="43" y="18"/>
                  <a:pt x="43" y="18"/>
                  <a:pt x="43" y="18"/>
                </a:cubicBezTo>
                <a:cubicBezTo>
                  <a:pt x="47" y="18"/>
                  <a:pt x="47" y="18"/>
                  <a:pt x="47" y="18"/>
                </a:cubicBezTo>
                <a:cubicBezTo>
                  <a:pt x="47" y="21"/>
                  <a:pt x="47" y="21"/>
                  <a:pt x="47" y="21"/>
                </a:cubicBezTo>
                <a:cubicBezTo>
                  <a:pt x="43" y="21"/>
                  <a:pt x="43" y="21"/>
                  <a:pt x="43" y="21"/>
                </a:cubicBezTo>
                <a:cubicBezTo>
                  <a:pt x="43" y="24"/>
                  <a:pt x="43" y="24"/>
                  <a:pt x="43" y="24"/>
                </a:cubicBezTo>
                <a:cubicBezTo>
                  <a:pt x="48" y="24"/>
                  <a:pt x="48" y="24"/>
                  <a:pt x="48" y="24"/>
                </a:cubicBezTo>
                <a:lnTo>
                  <a:pt x="48" y="26"/>
                </a:lnTo>
                <a:close/>
                <a:moveTo>
                  <a:pt x="59" y="26"/>
                </a:moveTo>
                <a:cubicBezTo>
                  <a:pt x="58" y="26"/>
                  <a:pt x="57" y="27"/>
                  <a:pt x="55" y="27"/>
                </a:cubicBezTo>
                <a:cubicBezTo>
                  <a:pt x="54" y="27"/>
                  <a:pt x="53" y="26"/>
                  <a:pt x="52" y="26"/>
                </a:cubicBezTo>
                <a:cubicBezTo>
                  <a:pt x="52" y="23"/>
                  <a:pt x="52" y="23"/>
                  <a:pt x="52" y="23"/>
                </a:cubicBezTo>
                <a:cubicBezTo>
                  <a:pt x="53" y="24"/>
                  <a:pt x="54" y="24"/>
                  <a:pt x="55" y="24"/>
                </a:cubicBezTo>
                <a:cubicBezTo>
                  <a:pt x="56" y="24"/>
                  <a:pt x="57" y="24"/>
                  <a:pt x="57" y="24"/>
                </a:cubicBezTo>
                <a:cubicBezTo>
                  <a:pt x="58" y="24"/>
                  <a:pt x="58" y="23"/>
                  <a:pt x="58" y="23"/>
                </a:cubicBezTo>
                <a:cubicBezTo>
                  <a:pt x="58" y="23"/>
                  <a:pt x="58" y="22"/>
                  <a:pt x="57" y="22"/>
                </a:cubicBezTo>
                <a:cubicBezTo>
                  <a:pt x="57" y="21"/>
                  <a:pt x="56" y="21"/>
                  <a:pt x="55" y="20"/>
                </a:cubicBezTo>
                <a:cubicBezTo>
                  <a:pt x="53" y="20"/>
                  <a:pt x="51" y="18"/>
                  <a:pt x="51" y="16"/>
                </a:cubicBezTo>
                <a:cubicBezTo>
                  <a:pt x="51" y="15"/>
                  <a:pt x="52" y="14"/>
                  <a:pt x="53" y="14"/>
                </a:cubicBezTo>
                <a:cubicBezTo>
                  <a:pt x="54" y="13"/>
                  <a:pt x="55" y="12"/>
                  <a:pt x="57" y="12"/>
                </a:cubicBezTo>
                <a:cubicBezTo>
                  <a:pt x="58" y="12"/>
                  <a:pt x="59" y="13"/>
                  <a:pt x="60" y="13"/>
                </a:cubicBezTo>
                <a:cubicBezTo>
                  <a:pt x="60" y="16"/>
                  <a:pt x="60" y="16"/>
                  <a:pt x="60" y="16"/>
                </a:cubicBezTo>
                <a:cubicBezTo>
                  <a:pt x="59" y="15"/>
                  <a:pt x="58" y="15"/>
                  <a:pt x="57" y="15"/>
                </a:cubicBezTo>
                <a:cubicBezTo>
                  <a:pt x="56" y="15"/>
                  <a:pt x="56" y="15"/>
                  <a:pt x="55" y="15"/>
                </a:cubicBezTo>
                <a:cubicBezTo>
                  <a:pt x="55" y="15"/>
                  <a:pt x="55" y="16"/>
                  <a:pt x="55" y="16"/>
                </a:cubicBezTo>
                <a:cubicBezTo>
                  <a:pt x="55" y="17"/>
                  <a:pt x="55" y="17"/>
                  <a:pt x="55" y="17"/>
                </a:cubicBezTo>
                <a:cubicBezTo>
                  <a:pt x="55" y="18"/>
                  <a:pt x="56" y="18"/>
                  <a:pt x="57" y="18"/>
                </a:cubicBezTo>
                <a:cubicBezTo>
                  <a:pt x="59" y="19"/>
                  <a:pt x="60" y="20"/>
                  <a:pt x="60" y="20"/>
                </a:cubicBezTo>
                <a:cubicBezTo>
                  <a:pt x="61" y="21"/>
                  <a:pt x="61" y="22"/>
                  <a:pt x="61" y="23"/>
                </a:cubicBezTo>
                <a:cubicBezTo>
                  <a:pt x="61" y="24"/>
                  <a:pt x="60" y="25"/>
                  <a:pt x="59" y="26"/>
                </a:cubicBezTo>
                <a:close/>
                <a:moveTo>
                  <a:pt x="75" y="15"/>
                </a:moveTo>
                <a:cubicBezTo>
                  <a:pt x="71" y="15"/>
                  <a:pt x="71" y="15"/>
                  <a:pt x="71" y="15"/>
                </a:cubicBezTo>
                <a:cubicBezTo>
                  <a:pt x="71" y="26"/>
                  <a:pt x="71" y="26"/>
                  <a:pt x="71" y="26"/>
                </a:cubicBezTo>
                <a:cubicBezTo>
                  <a:pt x="68" y="26"/>
                  <a:pt x="68" y="26"/>
                  <a:pt x="68" y="26"/>
                </a:cubicBezTo>
                <a:cubicBezTo>
                  <a:pt x="68" y="15"/>
                  <a:pt x="68" y="15"/>
                  <a:pt x="68" y="15"/>
                </a:cubicBezTo>
                <a:cubicBezTo>
                  <a:pt x="64" y="15"/>
                  <a:pt x="64" y="15"/>
                  <a:pt x="64" y="15"/>
                </a:cubicBezTo>
                <a:cubicBezTo>
                  <a:pt x="64" y="13"/>
                  <a:pt x="64" y="13"/>
                  <a:pt x="64" y="13"/>
                </a:cubicBezTo>
                <a:cubicBezTo>
                  <a:pt x="75" y="13"/>
                  <a:pt x="75" y="13"/>
                  <a:pt x="75" y="13"/>
                </a:cubicBezTo>
                <a:lnTo>
                  <a:pt x="75" y="15"/>
                </a:lnTo>
                <a:close/>
                <a:moveTo>
                  <a:pt x="88" y="26"/>
                </a:moveTo>
                <a:cubicBezTo>
                  <a:pt x="87" y="23"/>
                  <a:pt x="87" y="23"/>
                  <a:pt x="87" y="23"/>
                </a:cubicBezTo>
                <a:cubicBezTo>
                  <a:pt x="82" y="23"/>
                  <a:pt x="82" y="23"/>
                  <a:pt x="82" y="23"/>
                </a:cubicBezTo>
                <a:cubicBezTo>
                  <a:pt x="81" y="26"/>
                  <a:pt x="81" y="26"/>
                  <a:pt x="81" y="26"/>
                </a:cubicBezTo>
                <a:cubicBezTo>
                  <a:pt x="77" y="26"/>
                  <a:pt x="77" y="26"/>
                  <a:pt x="77" y="26"/>
                </a:cubicBezTo>
                <a:cubicBezTo>
                  <a:pt x="82" y="13"/>
                  <a:pt x="82" y="13"/>
                  <a:pt x="82" y="13"/>
                </a:cubicBezTo>
                <a:cubicBezTo>
                  <a:pt x="86" y="13"/>
                  <a:pt x="86" y="13"/>
                  <a:pt x="86" y="13"/>
                </a:cubicBezTo>
                <a:cubicBezTo>
                  <a:pt x="91" y="26"/>
                  <a:pt x="91" y="26"/>
                  <a:pt x="91" y="26"/>
                </a:cubicBezTo>
                <a:lnTo>
                  <a:pt x="88" y="26"/>
                </a:lnTo>
                <a:close/>
                <a:moveTo>
                  <a:pt x="106" y="21"/>
                </a:moveTo>
                <a:cubicBezTo>
                  <a:pt x="106" y="25"/>
                  <a:pt x="104" y="27"/>
                  <a:pt x="100" y="27"/>
                </a:cubicBezTo>
                <a:cubicBezTo>
                  <a:pt x="96" y="27"/>
                  <a:pt x="95" y="25"/>
                  <a:pt x="95" y="21"/>
                </a:cubicBezTo>
                <a:cubicBezTo>
                  <a:pt x="95" y="13"/>
                  <a:pt x="95" y="13"/>
                  <a:pt x="95" y="13"/>
                </a:cubicBezTo>
                <a:cubicBezTo>
                  <a:pt x="98" y="13"/>
                  <a:pt x="98" y="13"/>
                  <a:pt x="98" y="13"/>
                </a:cubicBezTo>
                <a:cubicBezTo>
                  <a:pt x="98" y="21"/>
                  <a:pt x="98" y="21"/>
                  <a:pt x="98" y="21"/>
                </a:cubicBezTo>
                <a:cubicBezTo>
                  <a:pt x="98" y="23"/>
                  <a:pt x="98" y="24"/>
                  <a:pt x="100" y="24"/>
                </a:cubicBezTo>
                <a:cubicBezTo>
                  <a:pt x="102" y="24"/>
                  <a:pt x="103" y="23"/>
                  <a:pt x="103" y="21"/>
                </a:cubicBezTo>
                <a:cubicBezTo>
                  <a:pt x="103" y="13"/>
                  <a:pt x="103" y="13"/>
                  <a:pt x="103" y="13"/>
                </a:cubicBezTo>
                <a:cubicBezTo>
                  <a:pt x="106" y="13"/>
                  <a:pt x="106" y="13"/>
                  <a:pt x="106" y="13"/>
                </a:cubicBezTo>
                <a:lnTo>
                  <a:pt x="106" y="21"/>
                </a:lnTo>
                <a:close/>
                <a:moveTo>
                  <a:pt x="119" y="26"/>
                </a:moveTo>
                <a:cubicBezTo>
                  <a:pt x="117" y="23"/>
                  <a:pt x="117" y="23"/>
                  <a:pt x="117" y="23"/>
                </a:cubicBezTo>
                <a:cubicBezTo>
                  <a:pt x="116" y="22"/>
                  <a:pt x="116" y="22"/>
                  <a:pt x="116" y="21"/>
                </a:cubicBezTo>
                <a:cubicBezTo>
                  <a:pt x="116" y="21"/>
                  <a:pt x="115" y="21"/>
                  <a:pt x="115" y="21"/>
                </a:cubicBezTo>
                <a:cubicBezTo>
                  <a:pt x="114" y="21"/>
                  <a:pt x="114" y="21"/>
                  <a:pt x="114" y="21"/>
                </a:cubicBezTo>
                <a:cubicBezTo>
                  <a:pt x="114" y="26"/>
                  <a:pt x="114" y="26"/>
                  <a:pt x="114" y="26"/>
                </a:cubicBezTo>
                <a:cubicBezTo>
                  <a:pt x="111" y="26"/>
                  <a:pt x="111" y="26"/>
                  <a:pt x="111" y="26"/>
                </a:cubicBezTo>
                <a:cubicBezTo>
                  <a:pt x="111" y="13"/>
                  <a:pt x="111" y="13"/>
                  <a:pt x="111" y="13"/>
                </a:cubicBezTo>
                <a:cubicBezTo>
                  <a:pt x="116" y="13"/>
                  <a:pt x="116" y="13"/>
                  <a:pt x="116" y="13"/>
                </a:cubicBezTo>
                <a:cubicBezTo>
                  <a:pt x="119" y="13"/>
                  <a:pt x="121" y="14"/>
                  <a:pt x="121" y="16"/>
                </a:cubicBezTo>
                <a:cubicBezTo>
                  <a:pt x="121" y="17"/>
                  <a:pt x="121" y="18"/>
                  <a:pt x="120" y="19"/>
                </a:cubicBezTo>
                <a:cubicBezTo>
                  <a:pt x="119" y="19"/>
                  <a:pt x="119" y="20"/>
                  <a:pt x="118" y="20"/>
                </a:cubicBezTo>
                <a:cubicBezTo>
                  <a:pt x="118" y="20"/>
                  <a:pt x="118" y="20"/>
                  <a:pt x="118" y="20"/>
                </a:cubicBezTo>
                <a:cubicBezTo>
                  <a:pt x="118" y="20"/>
                  <a:pt x="119" y="21"/>
                  <a:pt x="120" y="22"/>
                </a:cubicBezTo>
                <a:cubicBezTo>
                  <a:pt x="122" y="26"/>
                  <a:pt x="122" y="26"/>
                  <a:pt x="122" y="26"/>
                </a:cubicBezTo>
                <a:lnTo>
                  <a:pt x="119" y="26"/>
                </a:lnTo>
                <a:close/>
                <a:moveTo>
                  <a:pt x="135" y="26"/>
                </a:moveTo>
                <a:cubicBezTo>
                  <a:pt x="134" y="23"/>
                  <a:pt x="134" y="23"/>
                  <a:pt x="134" y="23"/>
                </a:cubicBezTo>
                <a:cubicBezTo>
                  <a:pt x="129" y="23"/>
                  <a:pt x="129" y="23"/>
                  <a:pt x="129" y="23"/>
                </a:cubicBezTo>
                <a:cubicBezTo>
                  <a:pt x="128" y="26"/>
                  <a:pt x="128" y="26"/>
                  <a:pt x="128" y="26"/>
                </a:cubicBezTo>
                <a:cubicBezTo>
                  <a:pt x="125" y="26"/>
                  <a:pt x="125" y="26"/>
                  <a:pt x="125" y="26"/>
                </a:cubicBezTo>
                <a:cubicBezTo>
                  <a:pt x="130" y="13"/>
                  <a:pt x="130" y="13"/>
                  <a:pt x="130" y="13"/>
                </a:cubicBezTo>
                <a:cubicBezTo>
                  <a:pt x="133" y="13"/>
                  <a:pt x="133" y="13"/>
                  <a:pt x="133" y="13"/>
                </a:cubicBezTo>
                <a:cubicBezTo>
                  <a:pt x="138" y="26"/>
                  <a:pt x="138" y="26"/>
                  <a:pt x="138" y="26"/>
                </a:cubicBezTo>
                <a:lnTo>
                  <a:pt x="135" y="26"/>
                </a:lnTo>
                <a:close/>
                <a:moveTo>
                  <a:pt x="154" y="26"/>
                </a:moveTo>
                <a:cubicBezTo>
                  <a:pt x="151" y="26"/>
                  <a:pt x="151" y="26"/>
                  <a:pt x="151" y="26"/>
                </a:cubicBezTo>
                <a:cubicBezTo>
                  <a:pt x="145" y="18"/>
                  <a:pt x="145" y="18"/>
                  <a:pt x="145" y="18"/>
                </a:cubicBezTo>
                <a:cubicBezTo>
                  <a:pt x="145" y="17"/>
                  <a:pt x="145" y="17"/>
                  <a:pt x="145" y="16"/>
                </a:cubicBezTo>
                <a:cubicBezTo>
                  <a:pt x="145" y="16"/>
                  <a:pt x="145" y="16"/>
                  <a:pt x="145" y="16"/>
                </a:cubicBezTo>
                <a:cubicBezTo>
                  <a:pt x="145" y="17"/>
                  <a:pt x="145" y="18"/>
                  <a:pt x="145" y="19"/>
                </a:cubicBezTo>
                <a:cubicBezTo>
                  <a:pt x="145" y="26"/>
                  <a:pt x="145" y="26"/>
                  <a:pt x="145" y="26"/>
                </a:cubicBezTo>
                <a:cubicBezTo>
                  <a:pt x="142" y="26"/>
                  <a:pt x="142" y="26"/>
                  <a:pt x="142" y="26"/>
                </a:cubicBezTo>
                <a:cubicBezTo>
                  <a:pt x="142" y="13"/>
                  <a:pt x="142" y="13"/>
                  <a:pt x="142" y="13"/>
                </a:cubicBezTo>
                <a:cubicBezTo>
                  <a:pt x="145" y="13"/>
                  <a:pt x="145" y="13"/>
                  <a:pt x="145" y="13"/>
                </a:cubicBezTo>
                <a:cubicBezTo>
                  <a:pt x="151" y="21"/>
                  <a:pt x="151" y="21"/>
                  <a:pt x="151" y="21"/>
                </a:cubicBezTo>
                <a:cubicBezTo>
                  <a:pt x="151" y="22"/>
                  <a:pt x="151" y="22"/>
                  <a:pt x="151" y="22"/>
                </a:cubicBezTo>
                <a:cubicBezTo>
                  <a:pt x="151" y="22"/>
                  <a:pt x="151" y="22"/>
                  <a:pt x="151" y="22"/>
                </a:cubicBezTo>
                <a:cubicBezTo>
                  <a:pt x="151" y="22"/>
                  <a:pt x="151" y="21"/>
                  <a:pt x="151" y="21"/>
                </a:cubicBezTo>
                <a:cubicBezTo>
                  <a:pt x="151" y="13"/>
                  <a:pt x="151" y="13"/>
                  <a:pt x="151" y="13"/>
                </a:cubicBezTo>
                <a:cubicBezTo>
                  <a:pt x="154" y="13"/>
                  <a:pt x="154" y="13"/>
                  <a:pt x="154" y="13"/>
                </a:cubicBezTo>
                <a:lnTo>
                  <a:pt x="154" y="26"/>
                </a:lnTo>
                <a:close/>
                <a:moveTo>
                  <a:pt x="169" y="15"/>
                </a:moveTo>
                <a:cubicBezTo>
                  <a:pt x="165" y="15"/>
                  <a:pt x="165" y="15"/>
                  <a:pt x="165" y="15"/>
                </a:cubicBezTo>
                <a:cubicBezTo>
                  <a:pt x="165" y="26"/>
                  <a:pt x="165" y="26"/>
                  <a:pt x="165" y="26"/>
                </a:cubicBezTo>
                <a:cubicBezTo>
                  <a:pt x="162" y="26"/>
                  <a:pt x="162" y="26"/>
                  <a:pt x="162" y="26"/>
                </a:cubicBezTo>
                <a:cubicBezTo>
                  <a:pt x="162" y="15"/>
                  <a:pt x="162" y="15"/>
                  <a:pt x="162" y="15"/>
                </a:cubicBezTo>
                <a:cubicBezTo>
                  <a:pt x="158" y="15"/>
                  <a:pt x="158" y="15"/>
                  <a:pt x="158" y="15"/>
                </a:cubicBezTo>
                <a:cubicBezTo>
                  <a:pt x="158" y="13"/>
                  <a:pt x="158" y="13"/>
                  <a:pt x="158" y="13"/>
                </a:cubicBezTo>
                <a:cubicBezTo>
                  <a:pt x="169" y="13"/>
                  <a:pt x="169" y="13"/>
                  <a:pt x="169" y="13"/>
                </a:cubicBezTo>
                <a:lnTo>
                  <a:pt x="169" y="1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9" name="Freeform 33">
            <a:extLst>
              <a:ext uri="{FF2B5EF4-FFF2-40B4-BE49-F238E27FC236}">
                <a16:creationId xmlns:a16="http://schemas.microsoft.com/office/drawing/2014/main" id="{746BCFE0-44A7-E0C3-A92A-882907BC263B}"/>
              </a:ext>
            </a:extLst>
          </xdr:cNvPr>
          <xdr:cNvSpPr>
            <a:spLocks/>
          </xdr:cNvSpPr>
        </xdr:nvSpPr>
        <xdr:spPr bwMode="auto">
          <a:xfrm>
            <a:off x="454" y="60"/>
            <a:ext cx="16" cy="16"/>
          </a:xfrm>
          <a:custGeom>
            <a:avLst/>
            <a:gdLst>
              <a:gd name="T0" fmla="*/ 2 w 4"/>
              <a:gd name="T1" fmla="*/ 0 h 4"/>
              <a:gd name="T2" fmla="*/ 0 w 4"/>
              <a:gd name="T3" fmla="*/ 0 h 4"/>
              <a:gd name="T4" fmla="*/ 0 w 4"/>
              <a:gd name="T5" fmla="*/ 4 h 4"/>
              <a:gd name="T6" fmla="*/ 1 w 4"/>
              <a:gd name="T7" fmla="*/ 4 h 4"/>
              <a:gd name="T8" fmla="*/ 3 w 4"/>
              <a:gd name="T9" fmla="*/ 3 h 4"/>
              <a:gd name="T10" fmla="*/ 4 w 4"/>
              <a:gd name="T11" fmla="*/ 2 h 4"/>
              <a:gd name="T12" fmla="*/ 2 w 4"/>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4" h="4">
                <a:moveTo>
                  <a:pt x="2" y="0"/>
                </a:moveTo>
                <a:cubicBezTo>
                  <a:pt x="0" y="0"/>
                  <a:pt x="0" y="0"/>
                  <a:pt x="0" y="0"/>
                </a:cubicBezTo>
                <a:cubicBezTo>
                  <a:pt x="0" y="4"/>
                  <a:pt x="0" y="4"/>
                  <a:pt x="0" y="4"/>
                </a:cubicBezTo>
                <a:cubicBezTo>
                  <a:pt x="1" y="4"/>
                  <a:pt x="1" y="4"/>
                  <a:pt x="1" y="4"/>
                </a:cubicBezTo>
                <a:cubicBezTo>
                  <a:pt x="2" y="4"/>
                  <a:pt x="3" y="4"/>
                  <a:pt x="3" y="3"/>
                </a:cubicBezTo>
                <a:cubicBezTo>
                  <a:pt x="4" y="3"/>
                  <a:pt x="4" y="2"/>
                  <a:pt x="4" y="2"/>
                </a:cubicBezTo>
                <a:cubicBezTo>
                  <a:pt x="4" y="1"/>
                  <a:pt x="3" y="0"/>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0" name="Freeform 34">
            <a:extLst>
              <a:ext uri="{FF2B5EF4-FFF2-40B4-BE49-F238E27FC236}">
                <a16:creationId xmlns:a16="http://schemas.microsoft.com/office/drawing/2014/main" id="{9CB91F7F-A4EA-F8AF-D2FD-4E4E2E25698E}"/>
              </a:ext>
            </a:extLst>
          </xdr:cNvPr>
          <xdr:cNvSpPr>
            <a:spLocks/>
          </xdr:cNvSpPr>
        </xdr:nvSpPr>
        <xdr:spPr bwMode="auto">
          <a:xfrm>
            <a:off x="513"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9</xdr:col>
      <xdr:colOff>421158</xdr:colOff>
      <xdr:row>88</xdr:row>
      <xdr:rowOff>160269</xdr:rowOff>
    </xdr:from>
    <xdr:to>
      <xdr:col>10</xdr:col>
      <xdr:colOff>546831</xdr:colOff>
      <xdr:row>92</xdr:row>
      <xdr:rowOff>148412</xdr:rowOff>
    </xdr:to>
    <xdr:grpSp>
      <xdr:nvGrpSpPr>
        <xdr:cNvPr id="131" name="グラフィックス 25">
          <a:extLst>
            <a:ext uri="{FF2B5EF4-FFF2-40B4-BE49-F238E27FC236}">
              <a16:creationId xmlns:a16="http://schemas.microsoft.com/office/drawing/2014/main" id="{F058CFF8-91C5-4830-B935-14D353366A97}"/>
            </a:ext>
          </a:extLst>
        </xdr:cNvPr>
        <xdr:cNvGrpSpPr>
          <a:grpSpLocks noChangeAspect="1"/>
        </xdr:cNvGrpSpPr>
      </xdr:nvGrpSpPr>
      <xdr:grpSpPr>
        <a:xfrm>
          <a:off x="9080249" y="20027399"/>
          <a:ext cx="1144271" cy="882338"/>
          <a:chOff x="0" y="0"/>
          <a:chExt cx="1977005" cy="1427321"/>
        </a:xfrm>
        <a:solidFill>
          <a:srgbClr val="0070C0"/>
        </a:solidFill>
      </xdr:grpSpPr>
      <xdr:sp macro="" textlink="">
        <xdr:nvSpPr>
          <xdr:cNvPr id="132" name="フリーフォーム: 図形 131">
            <a:extLst>
              <a:ext uri="{FF2B5EF4-FFF2-40B4-BE49-F238E27FC236}">
                <a16:creationId xmlns:a16="http://schemas.microsoft.com/office/drawing/2014/main" id="{683D8B5B-2C3C-FB2E-0B9D-DEC341D77250}"/>
              </a:ext>
            </a:extLst>
          </xdr:cNvPr>
          <xdr:cNvSpPr/>
        </xdr:nvSpPr>
        <xdr:spPr>
          <a:xfrm>
            <a:off x="0" y="1255874"/>
            <a:ext cx="409576" cy="171447"/>
          </a:xfrm>
          <a:custGeom>
            <a:avLst/>
            <a:gdLst>
              <a:gd name="connsiteX0" fmla="*/ 398717 w 409575"/>
              <a:gd name="connsiteY0" fmla="*/ 7144 h 171450"/>
              <a:gd name="connsiteX1" fmla="*/ 13621 w 409575"/>
              <a:gd name="connsiteY1" fmla="*/ 7144 h 171450"/>
              <a:gd name="connsiteX2" fmla="*/ 7144 w 409575"/>
              <a:gd name="connsiteY2" fmla="*/ 13811 h 171450"/>
              <a:gd name="connsiteX3" fmla="*/ 7144 w 409575"/>
              <a:gd name="connsiteY3" fmla="*/ 61531 h 171450"/>
              <a:gd name="connsiteX4" fmla="*/ 13621 w 409575"/>
              <a:gd name="connsiteY4" fmla="*/ 68199 h 171450"/>
              <a:gd name="connsiteX5" fmla="*/ 41434 w 409575"/>
              <a:gd name="connsiteY5" fmla="*/ 68199 h 171450"/>
              <a:gd name="connsiteX6" fmla="*/ 41434 w 409575"/>
              <a:gd name="connsiteY6" fmla="*/ 91630 h 171450"/>
              <a:gd name="connsiteX7" fmla="*/ 41434 w 409575"/>
              <a:gd name="connsiteY7" fmla="*/ 150495 h 171450"/>
              <a:gd name="connsiteX8" fmla="*/ 59436 w 409575"/>
              <a:gd name="connsiteY8" fmla="*/ 169069 h 171450"/>
              <a:gd name="connsiteX9" fmla="*/ 77438 w 409575"/>
              <a:gd name="connsiteY9" fmla="*/ 150495 h 171450"/>
              <a:gd name="connsiteX10" fmla="*/ 77438 w 409575"/>
              <a:gd name="connsiteY10" fmla="*/ 134588 h 171450"/>
              <a:gd name="connsiteX11" fmla="*/ 334899 w 409575"/>
              <a:gd name="connsiteY11" fmla="*/ 134588 h 171450"/>
              <a:gd name="connsiteX12" fmla="*/ 334899 w 409575"/>
              <a:gd name="connsiteY12" fmla="*/ 150495 h 171450"/>
              <a:gd name="connsiteX13" fmla="*/ 352901 w 409575"/>
              <a:gd name="connsiteY13" fmla="*/ 169069 h 171450"/>
              <a:gd name="connsiteX14" fmla="*/ 370904 w 409575"/>
              <a:gd name="connsiteY14" fmla="*/ 150495 h 171450"/>
              <a:gd name="connsiteX15" fmla="*/ 370904 w 409575"/>
              <a:gd name="connsiteY15" fmla="*/ 91630 h 171450"/>
              <a:gd name="connsiteX16" fmla="*/ 370904 w 409575"/>
              <a:gd name="connsiteY16" fmla="*/ 68199 h 171450"/>
              <a:gd name="connsiteX17" fmla="*/ 398717 w 409575"/>
              <a:gd name="connsiteY17" fmla="*/ 68199 h 171450"/>
              <a:gd name="connsiteX18" fmla="*/ 405194 w 409575"/>
              <a:gd name="connsiteY18" fmla="*/ 61531 h 171450"/>
              <a:gd name="connsiteX19" fmla="*/ 405194 w 409575"/>
              <a:gd name="connsiteY19" fmla="*/ 13811 h 171450"/>
              <a:gd name="connsiteX20" fmla="*/ 398717 w 409575"/>
              <a:gd name="connsiteY20" fmla="*/ 7144 h 171450"/>
              <a:gd name="connsiteX21" fmla="*/ 334899 w 409575"/>
              <a:gd name="connsiteY21" fmla="*/ 91630 h 171450"/>
              <a:gd name="connsiteX22" fmla="*/ 334899 w 409575"/>
              <a:gd name="connsiteY22" fmla="*/ 115919 h 171450"/>
              <a:gd name="connsiteX23" fmla="*/ 77438 w 409575"/>
              <a:gd name="connsiteY23" fmla="*/ 115919 h 171450"/>
              <a:gd name="connsiteX24" fmla="*/ 77438 w 409575"/>
              <a:gd name="connsiteY24" fmla="*/ 91630 h 171450"/>
              <a:gd name="connsiteX25" fmla="*/ 77438 w 409575"/>
              <a:gd name="connsiteY25" fmla="*/ 68199 h 171450"/>
              <a:gd name="connsiteX26" fmla="*/ 334899 w 409575"/>
              <a:gd name="connsiteY26" fmla="*/ 68199 h 171450"/>
              <a:gd name="connsiteX27" fmla="*/ 334899 w 409575"/>
              <a:gd name="connsiteY27" fmla="*/ 91630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09575" h="171450">
                <a:moveTo>
                  <a:pt x="398717" y="7144"/>
                </a:moveTo>
                <a:lnTo>
                  <a:pt x="13621" y="7144"/>
                </a:lnTo>
                <a:cubicBezTo>
                  <a:pt x="10097" y="7144"/>
                  <a:pt x="7144" y="10096"/>
                  <a:pt x="7144" y="13811"/>
                </a:cubicBezTo>
                <a:lnTo>
                  <a:pt x="7144" y="61531"/>
                </a:lnTo>
                <a:cubicBezTo>
                  <a:pt x="7144" y="65246"/>
                  <a:pt x="10001" y="68199"/>
                  <a:pt x="13621" y="68199"/>
                </a:cubicBezTo>
                <a:lnTo>
                  <a:pt x="41434" y="68199"/>
                </a:lnTo>
                <a:lnTo>
                  <a:pt x="41434" y="91630"/>
                </a:lnTo>
                <a:lnTo>
                  <a:pt x="41434" y="150495"/>
                </a:lnTo>
                <a:cubicBezTo>
                  <a:pt x="41434" y="160782"/>
                  <a:pt x="49530" y="169069"/>
                  <a:pt x="59436" y="169069"/>
                </a:cubicBezTo>
                <a:cubicBezTo>
                  <a:pt x="69437" y="169069"/>
                  <a:pt x="77438" y="160782"/>
                  <a:pt x="77438" y="150495"/>
                </a:cubicBezTo>
                <a:lnTo>
                  <a:pt x="77438" y="134588"/>
                </a:lnTo>
                <a:lnTo>
                  <a:pt x="334899" y="134588"/>
                </a:lnTo>
                <a:lnTo>
                  <a:pt x="334899" y="150495"/>
                </a:lnTo>
                <a:cubicBezTo>
                  <a:pt x="334899" y="160782"/>
                  <a:pt x="342995" y="169069"/>
                  <a:pt x="352901" y="169069"/>
                </a:cubicBezTo>
                <a:cubicBezTo>
                  <a:pt x="362903" y="169069"/>
                  <a:pt x="370904" y="160782"/>
                  <a:pt x="370904" y="150495"/>
                </a:cubicBezTo>
                <a:lnTo>
                  <a:pt x="370904" y="91630"/>
                </a:lnTo>
                <a:lnTo>
                  <a:pt x="370904" y="68199"/>
                </a:lnTo>
                <a:lnTo>
                  <a:pt x="398717" y="68199"/>
                </a:lnTo>
                <a:cubicBezTo>
                  <a:pt x="402241" y="68199"/>
                  <a:pt x="405194" y="65246"/>
                  <a:pt x="405194" y="61531"/>
                </a:cubicBezTo>
                <a:lnTo>
                  <a:pt x="405194" y="13811"/>
                </a:lnTo>
                <a:cubicBezTo>
                  <a:pt x="405098" y="10096"/>
                  <a:pt x="402241" y="7144"/>
                  <a:pt x="398717" y="7144"/>
                </a:cubicBezTo>
                <a:close/>
                <a:moveTo>
                  <a:pt x="334899" y="91630"/>
                </a:moveTo>
                <a:lnTo>
                  <a:pt x="334899" y="115919"/>
                </a:lnTo>
                <a:lnTo>
                  <a:pt x="77438" y="115919"/>
                </a:lnTo>
                <a:lnTo>
                  <a:pt x="77438" y="91630"/>
                </a:lnTo>
                <a:lnTo>
                  <a:pt x="77438" y="68199"/>
                </a:lnTo>
                <a:lnTo>
                  <a:pt x="334899" y="68199"/>
                </a:lnTo>
                <a:lnTo>
                  <a:pt x="334899" y="9163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 name="フリーフォーム: 図形 132">
            <a:extLst>
              <a:ext uri="{FF2B5EF4-FFF2-40B4-BE49-F238E27FC236}">
                <a16:creationId xmlns:a16="http://schemas.microsoft.com/office/drawing/2014/main" id="{66C383C4-2FD3-968B-C656-FDB48596EA3C}"/>
              </a:ext>
            </a:extLst>
          </xdr:cNvPr>
          <xdr:cNvSpPr/>
        </xdr:nvSpPr>
        <xdr:spPr>
          <a:xfrm>
            <a:off x="1505049" y="1392557"/>
            <a:ext cx="152401" cy="19047"/>
          </a:xfrm>
          <a:custGeom>
            <a:avLst/>
            <a:gdLst>
              <a:gd name="connsiteX0" fmla="*/ 7144 w 152400"/>
              <a:gd name="connsiteY0" fmla="*/ 7144 h 19050"/>
              <a:gd name="connsiteX1" fmla="*/ 145351 w 152400"/>
              <a:gd name="connsiteY1" fmla="*/ 7144 h 19050"/>
              <a:gd name="connsiteX2" fmla="*/ 145351 w 152400"/>
              <a:gd name="connsiteY2" fmla="*/ 17526 h 19050"/>
              <a:gd name="connsiteX3" fmla="*/ 7144 w 152400"/>
              <a:gd name="connsiteY3" fmla="*/ 17526 h 19050"/>
            </a:gdLst>
            <a:ahLst/>
            <a:cxnLst>
              <a:cxn ang="0">
                <a:pos x="connsiteX0" y="connsiteY0"/>
              </a:cxn>
              <a:cxn ang="0">
                <a:pos x="connsiteX1" y="connsiteY1"/>
              </a:cxn>
              <a:cxn ang="0">
                <a:pos x="connsiteX2" y="connsiteY2"/>
              </a:cxn>
              <a:cxn ang="0">
                <a:pos x="connsiteX3" y="connsiteY3"/>
              </a:cxn>
            </a:cxnLst>
            <a:rect l="l" t="t" r="r" b="b"/>
            <a:pathLst>
              <a:path w="152400" h="19050">
                <a:moveTo>
                  <a:pt x="7144" y="7144"/>
                </a:moveTo>
                <a:lnTo>
                  <a:pt x="145351" y="7144"/>
                </a:lnTo>
                <a:lnTo>
                  <a:pt x="145351" y="17526"/>
                </a:lnTo>
                <a:lnTo>
                  <a:pt x="7144" y="1752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4" name="フリーフォーム: 図形 133">
            <a:extLst>
              <a:ext uri="{FF2B5EF4-FFF2-40B4-BE49-F238E27FC236}">
                <a16:creationId xmlns:a16="http://schemas.microsoft.com/office/drawing/2014/main" id="{604C963B-EE6E-4C09-434A-16A1E5FBC37A}"/>
              </a:ext>
            </a:extLst>
          </xdr:cNvPr>
          <xdr:cNvSpPr/>
        </xdr:nvSpPr>
        <xdr:spPr>
          <a:xfrm>
            <a:off x="1442973" y="674982"/>
            <a:ext cx="276227" cy="723900"/>
          </a:xfrm>
          <a:custGeom>
            <a:avLst/>
            <a:gdLst>
              <a:gd name="connsiteX0" fmla="*/ 164943 w 276225"/>
              <a:gd name="connsiteY0" fmla="*/ 266851 h 723900"/>
              <a:gd name="connsiteX1" fmla="*/ 269623 w 276225"/>
              <a:gd name="connsiteY1" fmla="*/ 138359 h 723900"/>
              <a:gd name="connsiteX2" fmla="*/ 229046 w 276225"/>
              <a:gd name="connsiteY2" fmla="*/ 43490 h 723900"/>
              <a:gd name="connsiteX3" fmla="*/ 132177 w 276225"/>
              <a:gd name="connsiteY3" fmla="*/ 7295 h 723900"/>
              <a:gd name="connsiteX4" fmla="*/ 7209 w 276225"/>
              <a:gd name="connsiteY4" fmla="*/ 134263 h 723900"/>
              <a:gd name="connsiteX5" fmla="*/ 111889 w 276225"/>
              <a:gd name="connsiteY5" fmla="*/ 266946 h 723900"/>
              <a:gd name="connsiteX6" fmla="*/ 122652 w 276225"/>
              <a:gd name="connsiteY6" fmla="*/ 269137 h 723900"/>
              <a:gd name="connsiteX7" fmla="*/ 122652 w 276225"/>
              <a:gd name="connsiteY7" fmla="*/ 702048 h 723900"/>
              <a:gd name="connsiteX8" fmla="*/ 69217 w 276225"/>
              <a:gd name="connsiteY8" fmla="*/ 702048 h 723900"/>
              <a:gd name="connsiteX9" fmla="*/ 69217 w 276225"/>
              <a:gd name="connsiteY9" fmla="*/ 724718 h 723900"/>
              <a:gd name="connsiteX10" fmla="*/ 207425 w 276225"/>
              <a:gd name="connsiteY10" fmla="*/ 724718 h 723900"/>
              <a:gd name="connsiteX11" fmla="*/ 207425 w 276225"/>
              <a:gd name="connsiteY11" fmla="*/ 702048 h 723900"/>
              <a:gd name="connsiteX12" fmla="*/ 154085 w 276225"/>
              <a:gd name="connsiteY12" fmla="*/ 702048 h 723900"/>
              <a:gd name="connsiteX13" fmla="*/ 154085 w 276225"/>
              <a:gd name="connsiteY13" fmla="*/ 269042 h 723900"/>
              <a:gd name="connsiteX14" fmla="*/ 164943 w 276225"/>
              <a:gd name="connsiteY14" fmla="*/ 266851 h 723900"/>
              <a:gd name="connsiteX15" fmla="*/ 138749 w 276225"/>
              <a:gd name="connsiteY15" fmla="*/ 242181 h 723900"/>
              <a:gd name="connsiteX16" fmla="*/ 31689 w 276225"/>
              <a:gd name="connsiteY16" fmla="*/ 135120 h 723900"/>
              <a:gd name="connsiteX17" fmla="*/ 138749 w 276225"/>
              <a:gd name="connsiteY17" fmla="*/ 28059 h 723900"/>
              <a:gd name="connsiteX18" fmla="*/ 245811 w 276225"/>
              <a:gd name="connsiteY18" fmla="*/ 135120 h 723900"/>
              <a:gd name="connsiteX19" fmla="*/ 138749 w 276225"/>
              <a:gd name="connsiteY19" fmla="*/ 242181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6225" h="723900">
                <a:moveTo>
                  <a:pt x="164943" y="266851"/>
                </a:moveTo>
                <a:cubicBezTo>
                  <a:pt x="225617" y="254373"/>
                  <a:pt x="269623" y="200366"/>
                  <a:pt x="269623" y="138359"/>
                </a:cubicBezTo>
                <a:cubicBezTo>
                  <a:pt x="269623" y="102164"/>
                  <a:pt x="255240" y="68445"/>
                  <a:pt x="229046" y="43490"/>
                </a:cubicBezTo>
                <a:cubicBezTo>
                  <a:pt x="202853" y="18534"/>
                  <a:pt x="168563" y="5580"/>
                  <a:pt x="132177" y="7295"/>
                </a:cubicBezTo>
                <a:cubicBezTo>
                  <a:pt x="64169" y="10438"/>
                  <a:pt x="9305" y="66159"/>
                  <a:pt x="7209" y="134263"/>
                </a:cubicBezTo>
                <a:cubicBezTo>
                  <a:pt x="5209" y="198271"/>
                  <a:pt x="49215" y="254087"/>
                  <a:pt x="111889" y="266946"/>
                </a:cubicBezTo>
                <a:lnTo>
                  <a:pt x="122652" y="269137"/>
                </a:lnTo>
                <a:lnTo>
                  <a:pt x="122652" y="702048"/>
                </a:lnTo>
                <a:lnTo>
                  <a:pt x="69217" y="702048"/>
                </a:lnTo>
                <a:lnTo>
                  <a:pt x="69217" y="724718"/>
                </a:lnTo>
                <a:lnTo>
                  <a:pt x="207425" y="724718"/>
                </a:lnTo>
                <a:lnTo>
                  <a:pt x="207425" y="702048"/>
                </a:lnTo>
                <a:lnTo>
                  <a:pt x="154085" y="702048"/>
                </a:lnTo>
                <a:lnTo>
                  <a:pt x="154085" y="269042"/>
                </a:lnTo>
                <a:lnTo>
                  <a:pt x="164943" y="266851"/>
                </a:lnTo>
                <a:close/>
                <a:moveTo>
                  <a:pt x="138749" y="242181"/>
                </a:moveTo>
                <a:cubicBezTo>
                  <a:pt x="79599" y="242181"/>
                  <a:pt x="31689" y="194270"/>
                  <a:pt x="31689" y="135120"/>
                </a:cubicBezTo>
                <a:cubicBezTo>
                  <a:pt x="31689" y="75970"/>
                  <a:pt x="79599" y="28059"/>
                  <a:pt x="138749" y="28059"/>
                </a:cubicBezTo>
                <a:cubicBezTo>
                  <a:pt x="197900" y="28059"/>
                  <a:pt x="245811" y="75970"/>
                  <a:pt x="245811" y="135120"/>
                </a:cubicBezTo>
                <a:cubicBezTo>
                  <a:pt x="245811" y="194270"/>
                  <a:pt x="197900" y="242181"/>
                  <a:pt x="138749" y="242181"/>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 name="フリーフォーム: 図形 134">
            <a:extLst>
              <a:ext uri="{FF2B5EF4-FFF2-40B4-BE49-F238E27FC236}">
                <a16:creationId xmlns:a16="http://schemas.microsoft.com/office/drawing/2014/main" id="{EE111473-0BF9-C3AA-696A-C5065F017CBF}"/>
              </a:ext>
            </a:extLst>
          </xdr:cNvPr>
          <xdr:cNvSpPr/>
        </xdr:nvSpPr>
        <xdr:spPr>
          <a:xfrm>
            <a:off x="1560292" y="711428"/>
            <a:ext cx="38098" cy="104775"/>
          </a:xfrm>
          <a:custGeom>
            <a:avLst/>
            <a:gdLst>
              <a:gd name="connsiteX0" fmla="*/ 20669 w 38100"/>
              <a:gd name="connsiteY0" fmla="*/ 105727 h 104775"/>
              <a:gd name="connsiteX1" fmla="*/ 7144 w 38100"/>
              <a:gd name="connsiteY1" fmla="*/ 92202 h 104775"/>
              <a:gd name="connsiteX2" fmla="*/ 7144 w 38100"/>
              <a:gd name="connsiteY2" fmla="*/ 20669 h 104775"/>
              <a:gd name="connsiteX3" fmla="*/ 20669 w 38100"/>
              <a:gd name="connsiteY3" fmla="*/ 7144 h 104775"/>
              <a:gd name="connsiteX4" fmla="*/ 34195 w 38100"/>
              <a:gd name="connsiteY4" fmla="*/ 20669 h 104775"/>
              <a:gd name="connsiteX5" fmla="*/ 34195 w 38100"/>
              <a:gd name="connsiteY5" fmla="*/ 92202 h 104775"/>
              <a:gd name="connsiteX6" fmla="*/ 20669 w 38100"/>
              <a:gd name="connsiteY6" fmla="*/ 105727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100" h="104775">
                <a:moveTo>
                  <a:pt x="20669" y="105727"/>
                </a:moveTo>
                <a:cubicBezTo>
                  <a:pt x="13240" y="105727"/>
                  <a:pt x="7144" y="99727"/>
                  <a:pt x="7144" y="92202"/>
                </a:cubicBezTo>
                <a:lnTo>
                  <a:pt x="7144" y="20669"/>
                </a:lnTo>
                <a:cubicBezTo>
                  <a:pt x="7144" y="13240"/>
                  <a:pt x="13145" y="7144"/>
                  <a:pt x="20669" y="7144"/>
                </a:cubicBezTo>
                <a:cubicBezTo>
                  <a:pt x="28194" y="7144"/>
                  <a:pt x="34195" y="13144"/>
                  <a:pt x="34195" y="20669"/>
                </a:cubicBezTo>
                <a:lnTo>
                  <a:pt x="34195" y="92202"/>
                </a:lnTo>
                <a:cubicBezTo>
                  <a:pt x="34195" y="99631"/>
                  <a:pt x="28099" y="105727"/>
                  <a:pt x="20669" y="1057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 name="フリーフォーム: 図形 135">
            <a:extLst>
              <a:ext uri="{FF2B5EF4-FFF2-40B4-BE49-F238E27FC236}">
                <a16:creationId xmlns:a16="http://schemas.microsoft.com/office/drawing/2014/main" id="{5AC10842-36B6-7A8F-15D0-04872CF8056D}"/>
              </a:ext>
            </a:extLst>
          </xdr:cNvPr>
          <xdr:cNvSpPr/>
        </xdr:nvSpPr>
        <xdr:spPr>
          <a:xfrm>
            <a:off x="1560770" y="782959"/>
            <a:ext cx="104775" cy="38098"/>
          </a:xfrm>
          <a:custGeom>
            <a:avLst/>
            <a:gdLst>
              <a:gd name="connsiteX0" fmla="*/ 92202 w 104775"/>
              <a:gd name="connsiteY0" fmla="*/ 34195 h 38100"/>
              <a:gd name="connsiteX1" fmla="*/ 20669 w 104775"/>
              <a:gd name="connsiteY1" fmla="*/ 34195 h 38100"/>
              <a:gd name="connsiteX2" fmla="*/ 7144 w 104775"/>
              <a:gd name="connsiteY2" fmla="*/ 20669 h 38100"/>
              <a:gd name="connsiteX3" fmla="*/ 20669 w 104775"/>
              <a:gd name="connsiteY3" fmla="*/ 7144 h 38100"/>
              <a:gd name="connsiteX4" fmla="*/ 92202 w 104775"/>
              <a:gd name="connsiteY4" fmla="*/ 7144 h 38100"/>
              <a:gd name="connsiteX5" fmla="*/ 105728 w 104775"/>
              <a:gd name="connsiteY5" fmla="*/ 20669 h 38100"/>
              <a:gd name="connsiteX6" fmla="*/ 92202 w 104775"/>
              <a:gd name="connsiteY6" fmla="*/ 34195 h 3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4775" h="38100">
                <a:moveTo>
                  <a:pt x="92202" y="34195"/>
                </a:moveTo>
                <a:lnTo>
                  <a:pt x="20669" y="34195"/>
                </a:lnTo>
                <a:cubicBezTo>
                  <a:pt x="13240" y="34195"/>
                  <a:pt x="7144" y="28194"/>
                  <a:pt x="7144" y="20669"/>
                </a:cubicBezTo>
                <a:cubicBezTo>
                  <a:pt x="7144" y="13145"/>
                  <a:pt x="13145" y="7144"/>
                  <a:pt x="20669" y="7144"/>
                </a:cubicBezTo>
                <a:lnTo>
                  <a:pt x="92202" y="7144"/>
                </a:lnTo>
                <a:cubicBezTo>
                  <a:pt x="99632" y="7144"/>
                  <a:pt x="105728" y="13145"/>
                  <a:pt x="105728" y="20669"/>
                </a:cubicBezTo>
                <a:cubicBezTo>
                  <a:pt x="105728" y="28194"/>
                  <a:pt x="99727" y="34195"/>
                  <a:pt x="92202" y="34195"/>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7" name="フリーフォーム: 図形 136">
            <a:extLst>
              <a:ext uri="{FF2B5EF4-FFF2-40B4-BE49-F238E27FC236}">
                <a16:creationId xmlns:a16="http://schemas.microsoft.com/office/drawing/2014/main" id="{09F6A400-5573-CFE8-9B95-2C852760D9F8}"/>
              </a:ext>
            </a:extLst>
          </xdr:cNvPr>
          <xdr:cNvSpPr/>
        </xdr:nvSpPr>
        <xdr:spPr>
          <a:xfrm>
            <a:off x="516920" y="1176720"/>
            <a:ext cx="9528" cy="19047"/>
          </a:xfrm>
          <a:custGeom>
            <a:avLst/>
            <a:gdLst>
              <a:gd name="connsiteX0" fmla="*/ 8382 w 9525"/>
              <a:gd name="connsiteY0" fmla="*/ 16478 h 19050"/>
              <a:gd name="connsiteX1" fmla="*/ 8382 w 9525"/>
              <a:gd name="connsiteY1" fmla="*/ 7144 h 19050"/>
              <a:gd name="connsiteX2" fmla="*/ 7144 w 9525"/>
              <a:gd name="connsiteY2" fmla="*/ 7525 h 19050"/>
            </a:gdLst>
            <a:ahLst/>
            <a:cxnLst>
              <a:cxn ang="0">
                <a:pos x="connsiteX0" y="connsiteY0"/>
              </a:cxn>
              <a:cxn ang="0">
                <a:pos x="connsiteX1" y="connsiteY1"/>
              </a:cxn>
              <a:cxn ang="0">
                <a:pos x="connsiteX2" y="connsiteY2"/>
              </a:cxn>
            </a:cxnLst>
            <a:rect l="l" t="t" r="r" b="b"/>
            <a:pathLst>
              <a:path w="9525" h="19050">
                <a:moveTo>
                  <a:pt x="8382" y="16478"/>
                </a:moveTo>
                <a:lnTo>
                  <a:pt x="8382" y="7144"/>
                </a:lnTo>
                <a:lnTo>
                  <a:pt x="7144" y="752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8" name="フリーフォーム: 図形 137">
            <a:extLst>
              <a:ext uri="{FF2B5EF4-FFF2-40B4-BE49-F238E27FC236}">
                <a16:creationId xmlns:a16="http://schemas.microsoft.com/office/drawing/2014/main" id="{121CA960-32AC-603A-BCA5-12059CB869E5}"/>
              </a:ext>
            </a:extLst>
          </xdr:cNvPr>
          <xdr:cNvSpPr/>
        </xdr:nvSpPr>
        <xdr:spPr>
          <a:xfrm>
            <a:off x="516920" y="1176720"/>
            <a:ext cx="9528" cy="19047"/>
          </a:xfrm>
          <a:custGeom>
            <a:avLst/>
            <a:gdLst>
              <a:gd name="connsiteX0" fmla="*/ 8382 w 9525"/>
              <a:gd name="connsiteY0" fmla="*/ 7144 h 19050"/>
              <a:gd name="connsiteX1" fmla="*/ 7144 w 9525"/>
              <a:gd name="connsiteY1" fmla="*/ 7525 h 19050"/>
              <a:gd name="connsiteX2" fmla="*/ 8382 w 9525"/>
              <a:gd name="connsiteY2" fmla="*/ 16478 h 19050"/>
            </a:gdLst>
            <a:ahLst/>
            <a:cxnLst>
              <a:cxn ang="0">
                <a:pos x="connsiteX0" y="connsiteY0"/>
              </a:cxn>
              <a:cxn ang="0">
                <a:pos x="connsiteX1" y="connsiteY1"/>
              </a:cxn>
              <a:cxn ang="0">
                <a:pos x="connsiteX2" y="connsiteY2"/>
              </a:cxn>
            </a:cxnLst>
            <a:rect l="l" t="t" r="r" b="b"/>
            <a:pathLst>
              <a:path w="9525" h="19050">
                <a:moveTo>
                  <a:pt x="8382" y="7144"/>
                </a:moveTo>
                <a:lnTo>
                  <a:pt x="7144" y="7525"/>
                </a:lnTo>
                <a:lnTo>
                  <a:pt x="8382" y="16478"/>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9" name="フリーフォーム: 図形 138">
            <a:extLst>
              <a:ext uri="{FF2B5EF4-FFF2-40B4-BE49-F238E27FC236}">
                <a16:creationId xmlns:a16="http://schemas.microsoft.com/office/drawing/2014/main" id="{2277EAA5-B469-3D28-D934-BDBFEBD264DC}"/>
              </a:ext>
            </a:extLst>
          </xdr:cNvPr>
          <xdr:cNvSpPr/>
        </xdr:nvSpPr>
        <xdr:spPr>
          <a:xfrm>
            <a:off x="206833" y="671517"/>
            <a:ext cx="609603" cy="752479"/>
          </a:xfrm>
          <a:custGeom>
            <a:avLst/>
            <a:gdLst>
              <a:gd name="connsiteX0" fmla="*/ 529642 w 609600"/>
              <a:gd name="connsiteY0" fmla="*/ 279940 h 752475"/>
              <a:gd name="connsiteX1" fmla="*/ 531166 w 609600"/>
              <a:gd name="connsiteY1" fmla="*/ 260604 h 752475"/>
              <a:gd name="connsiteX2" fmla="*/ 446203 w 609600"/>
              <a:gd name="connsiteY2" fmla="*/ 134017 h 752475"/>
              <a:gd name="connsiteX3" fmla="*/ 426391 w 609600"/>
              <a:gd name="connsiteY3" fmla="*/ 72485 h 752475"/>
              <a:gd name="connsiteX4" fmla="*/ 318473 w 609600"/>
              <a:gd name="connsiteY4" fmla="*/ 7429 h 752475"/>
              <a:gd name="connsiteX5" fmla="*/ 309900 w 609600"/>
              <a:gd name="connsiteY5" fmla="*/ 7144 h 752475"/>
              <a:gd name="connsiteX6" fmla="*/ 173407 w 609600"/>
              <a:gd name="connsiteY6" fmla="*/ 137541 h 752475"/>
              <a:gd name="connsiteX7" fmla="*/ 96159 w 609600"/>
              <a:gd name="connsiteY7" fmla="*/ 260604 h 752475"/>
              <a:gd name="connsiteX8" fmla="*/ 96826 w 609600"/>
              <a:gd name="connsiteY8" fmla="*/ 273082 h 752475"/>
              <a:gd name="connsiteX9" fmla="*/ 8243 w 609600"/>
              <a:gd name="connsiteY9" fmla="*/ 419100 h 752475"/>
              <a:gd name="connsiteX10" fmla="*/ 131402 w 609600"/>
              <a:gd name="connsiteY10" fmla="*/ 537591 h 752475"/>
              <a:gd name="connsiteX11" fmla="*/ 224556 w 609600"/>
              <a:gd name="connsiteY11" fmla="*/ 511588 h 752475"/>
              <a:gd name="connsiteX12" fmla="*/ 268085 w 609600"/>
              <a:gd name="connsiteY12" fmla="*/ 532829 h 752475"/>
              <a:gd name="connsiteX13" fmla="*/ 233414 w 609600"/>
              <a:gd name="connsiteY13" fmla="*/ 746951 h 752475"/>
              <a:gd name="connsiteX14" fmla="*/ 238939 w 609600"/>
              <a:gd name="connsiteY14" fmla="*/ 753428 h 752475"/>
              <a:gd name="connsiteX15" fmla="*/ 371813 w 609600"/>
              <a:gd name="connsiteY15" fmla="*/ 753428 h 752475"/>
              <a:gd name="connsiteX16" fmla="*/ 377337 w 609600"/>
              <a:gd name="connsiteY16" fmla="*/ 747046 h 752475"/>
              <a:gd name="connsiteX17" fmla="*/ 374765 w 609600"/>
              <a:gd name="connsiteY17" fmla="*/ 728472 h 752475"/>
              <a:gd name="connsiteX18" fmla="*/ 347143 w 609600"/>
              <a:gd name="connsiteY18" fmla="*/ 531590 h 752475"/>
              <a:gd name="connsiteX19" fmla="*/ 386100 w 609600"/>
              <a:gd name="connsiteY19" fmla="*/ 511683 h 752475"/>
              <a:gd name="connsiteX20" fmla="*/ 426486 w 609600"/>
              <a:gd name="connsiteY20" fmla="*/ 531971 h 752475"/>
              <a:gd name="connsiteX21" fmla="*/ 479445 w 609600"/>
              <a:gd name="connsiteY21" fmla="*/ 537591 h 752475"/>
              <a:gd name="connsiteX22" fmla="*/ 602984 w 609600"/>
              <a:gd name="connsiteY22" fmla="*/ 415195 h 752475"/>
              <a:gd name="connsiteX23" fmla="*/ 529642 w 609600"/>
              <a:gd name="connsiteY23" fmla="*/ 279940 h 752475"/>
              <a:gd name="connsiteX24" fmla="*/ 318473 w 609600"/>
              <a:gd name="connsiteY24" fmla="*/ 512350 h 752475"/>
              <a:gd name="connsiteX25" fmla="*/ 318473 w 609600"/>
              <a:gd name="connsiteY25" fmla="*/ 521684 h 752475"/>
              <a:gd name="connsiteX26" fmla="*/ 317234 w 609600"/>
              <a:gd name="connsiteY26" fmla="*/ 512731 h 752475"/>
              <a:gd name="connsiteX27" fmla="*/ 318473 w 609600"/>
              <a:gd name="connsiteY27" fmla="*/ 512350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09600" h="752475">
                <a:moveTo>
                  <a:pt x="529642" y="279940"/>
                </a:moveTo>
                <a:cubicBezTo>
                  <a:pt x="530499" y="273558"/>
                  <a:pt x="531166" y="267176"/>
                  <a:pt x="531166" y="260604"/>
                </a:cubicBezTo>
                <a:cubicBezTo>
                  <a:pt x="531166" y="203454"/>
                  <a:pt x="496019" y="154496"/>
                  <a:pt x="446203" y="134017"/>
                </a:cubicBezTo>
                <a:cubicBezTo>
                  <a:pt x="444584" y="111538"/>
                  <a:pt x="437535" y="90583"/>
                  <a:pt x="426391" y="72485"/>
                </a:cubicBezTo>
                <a:cubicBezTo>
                  <a:pt x="403817" y="35623"/>
                  <a:pt x="364193" y="10287"/>
                  <a:pt x="318473" y="7429"/>
                </a:cubicBezTo>
                <a:cubicBezTo>
                  <a:pt x="315615" y="7239"/>
                  <a:pt x="312853" y="7144"/>
                  <a:pt x="309900" y="7144"/>
                </a:cubicBezTo>
                <a:cubicBezTo>
                  <a:pt x="236558" y="7144"/>
                  <a:pt x="176836" y="64960"/>
                  <a:pt x="173407" y="137541"/>
                </a:cubicBezTo>
                <a:cubicBezTo>
                  <a:pt x="127687" y="159639"/>
                  <a:pt x="96159" y="206407"/>
                  <a:pt x="96159" y="260604"/>
                </a:cubicBezTo>
                <a:cubicBezTo>
                  <a:pt x="96159" y="264795"/>
                  <a:pt x="96445" y="268986"/>
                  <a:pt x="96826" y="273082"/>
                </a:cubicBezTo>
                <a:cubicBezTo>
                  <a:pt x="39390" y="294227"/>
                  <a:pt x="-43" y="352615"/>
                  <a:pt x="8243" y="419100"/>
                </a:cubicBezTo>
                <a:cubicBezTo>
                  <a:pt x="16149" y="481965"/>
                  <a:pt x="68346" y="531971"/>
                  <a:pt x="131402" y="537591"/>
                </a:cubicBezTo>
                <a:cubicBezTo>
                  <a:pt x="166454" y="540734"/>
                  <a:pt x="198839" y="530447"/>
                  <a:pt x="224556" y="511588"/>
                </a:cubicBezTo>
                <a:cubicBezTo>
                  <a:pt x="237510" y="521113"/>
                  <a:pt x="252179" y="528257"/>
                  <a:pt x="268085" y="532829"/>
                </a:cubicBezTo>
                <a:lnTo>
                  <a:pt x="233414" y="746951"/>
                </a:lnTo>
                <a:cubicBezTo>
                  <a:pt x="232843" y="750380"/>
                  <a:pt x="235510" y="753428"/>
                  <a:pt x="238939" y="753428"/>
                </a:cubicBezTo>
                <a:lnTo>
                  <a:pt x="371813" y="753428"/>
                </a:lnTo>
                <a:cubicBezTo>
                  <a:pt x="375242" y="753428"/>
                  <a:pt x="377813" y="750475"/>
                  <a:pt x="377337" y="747046"/>
                </a:cubicBezTo>
                <a:lnTo>
                  <a:pt x="374765" y="728472"/>
                </a:lnTo>
                <a:lnTo>
                  <a:pt x="347143" y="531590"/>
                </a:lnTo>
                <a:cubicBezTo>
                  <a:pt x="361240" y="527018"/>
                  <a:pt x="374384" y="520256"/>
                  <a:pt x="386100" y="511683"/>
                </a:cubicBezTo>
                <a:cubicBezTo>
                  <a:pt x="398197" y="520541"/>
                  <a:pt x="411818" y="527399"/>
                  <a:pt x="426486" y="531971"/>
                </a:cubicBezTo>
                <a:cubicBezTo>
                  <a:pt x="442964" y="537115"/>
                  <a:pt x="460871" y="539306"/>
                  <a:pt x="479445" y="537591"/>
                </a:cubicBezTo>
                <a:cubicBezTo>
                  <a:pt x="543929" y="531781"/>
                  <a:pt x="596603" y="479679"/>
                  <a:pt x="602984" y="415195"/>
                </a:cubicBezTo>
                <a:cubicBezTo>
                  <a:pt x="608604" y="356521"/>
                  <a:pt x="577362" y="304610"/>
                  <a:pt x="529642" y="279940"/>
                </a:cubicBezTo>
                <a:close/>
                <a:moveTo>
                  <a:pt x="318473" y="512350"/>
                </a:moveTo>
                <a:lnTo>
                  <a:pt x="318473" y="521684"/>
                </a:lnTo>
                <a:lnTo>
                  <a:pt x="317234" y="512731"/>
                </a:lnTo>
                <a:lnTo>
                  <a:pt x="318473" y="51235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0" name="フリーフォーム: 図形 139">
            <a:extLst>
              <a:ext uri="{FF2B5EF4-FFF2-40B4-BE49-F238E27FC236}">
                <a16:creationId xmlns:a16="http://schemas.microsoft.com/office/drawing/2014/main" id="{C6BB6B5C-294E-110F-9470-D09E67097DBA}"/>
              </a:ext>
            </a:extLst>
          </xdr:cNvPr>
          <xdr:cNvSpPr/>
        </xdr:nvSpPr>
        <xdr:spPr>
          <a:xfrm>
            <a:off x="367283" y="0"/>
            <a:ext cx="1609722" cy="1400175"/>
          </a:xfrm>
          <a:custGeom>
            <a:avLst/>
            <a:gdLst>
              <a:gd name="connsiteX0" fmla="*/ 1604304 w 1609725"/>
              <a:gd name="connsiteY0" fmla="*/ 218599 h 1400175"/>
              <a:gd name="connsiteX1" fmla="*/ 816206 w 1609725"/>
              <a:gd name="connsiteY1" fmla="*/ 7144 h 1400175"/>
              <a:gd name="connsiteX2" fmla="*/ 14201 w 1609725"/>
              <a:gd name="connsiteY2" fmla="*/ 239554 h 1400175"/>
              <a:gd name="connsiteX3" fmla="*/ 10486 w 1609725"/>
              <a:gd name="connsiteY3" fmla="*/ 263081 h 1400175"/>
              <a:gd name="connsiteX4" fmla="*/ 72303 w 1609725"/>
              <a:gd name="connsiteY4" fmla="*/ 344424 h 1400175"/>
              <a:gd name="connsiteX5" fmla="*/ 94592 w 1609725"/>
              <a:gd name="connsiteY5" fmla="*/ 348139 h 1400175"/>
              <a:gd name="connsiteX6" fmla="*/ 158028 w 1609725"/>
              <a:gd name="connsiteY6" fmla="*/ 309372 h 1400175"/>
              <a:gd name="connsiteX7" fmla="*/ 158028 w 1609725"/>
              <a:gd name="connsiteY7" fmla="*/ 612458 h 1400175"/>
              <a:gd name="connsiteX8" fmla="*/ 158028 w 1609725"/>
              <a:gd name="connsiteY8" fmla="*/ 612458 h 1400175"/>
              <a:gd name="connsiteX9" fmla="*/ 158028 w 1609725"/>
              <a:gd name="connsiteY9" fmla="*/ 651891 h 1400175"/>
              <a:gd name="connsiteX10" fmla="*/ 288997 w 1609725"/>
              <a:gd name="connsiteY10" fmla="*/ 729806 h 1400175"/>
              <a:gd name="connsiteX11" fmla="*/ 310714 w 1609725"/>
              <a:gd name="connsiteY11" fmla="*/ 787337 h 1400175"/>
              <a:gd name="connsiteX12" fmla="*/ 397772 w 1609725"/>
              <a:gd name="connsiteY12" fmla="*/ 932021 h 1400175"/>
              <a:gd name="connsiteX13" fmla="*/ 397677 w 1609725"/>
              <a:gd name="connsiteY13" fmla="*/ 936879 h 1400175"/>
              <a:gd name="connsiteX14" fmla="*/ 469305 w 1609725"/>
              <a:gd name="connsiteY14" fmla="*/ 1089184 h 1400175"/>
              <a:gd name="connsiteX15" fmla="*/ 321382 w 1609725"/>
              <a:gd name="connsiteY15" fmla="*/ 1235869 h 1400175"/>
              <a:gd name="connsiteX16" fmla="*/ 257945 w 1609725"/>
              <a:gd name="connsiteY16" fmla="*/ 1229106 h 1400175"/>
              <a:gd name="connsiteX17" fmla="*/ 225656 w 1609725"/>
              <a:gd name="connsiteY17" fmla="*/ 1215104 h 1400175"/>
              <a:gd name="connsiteX18" fmla="*/ 216321 w 1609725"/>
              <a:gd name="connsiteY18" fmla="*/ 1219962 h 1400175"/>
              <a:gd name="connsiteX19" fmla="*/ 241562 w 1609725"/>
              <a:gd name="connsiteY19" fmla="*/ 1399794 h 1400175"/>
              <a:gd name="connsiteX20" fmla="*/ 727337 w 1609725"/>
              <a:gd name="connsiteY20" fmla="*/ 1399794 h 1400175"/>
              <a:gd name="connsiteX21" fmla="*/ 727337 w 1609725"/>
              <a:gd name="connsiteY21" fmla="*/ 1399604 h 1400175"/>
              <a:gd name="connsiteX22" fmla="*/ 1117958 w 1609725"/>
              <a:gd name="connsiteY22" fmla="*/ 1399508 h 1400175"/>
              <a:gd name="connsiteX23" fmla="*/ 1117958 w 1609725"/>
              <a:gd name="connsiteY23" fmla="*/ 1376077 h 1400175"/>
              <a:gd name="connsiteX24" fmla="*/ 1144247 w 1609725"/>
              <a:gd name="connsiteY24" fmla="*/ 1349788 h 1400175"/>
              <a:gd name="connsiteX25" fmla="*/ 1171393 w 1609725"/>
              <a:gd name="connsiteY25" fmla="*/ 1349788 h 1400175"/>
              <a:gd name="connsiteX26" fmla="*/ 1171393 w 1609725"/>
              <a:gd name="connsiteY26" fmla="*/ 965549 h 1400175"/>
              <a:gd name="connsiteX27" fmla="*/ 1055950 w 1609725"/>
              <a:gd name="connsiteY27" fmla="*/ 808196 h 1400175"/>
              <a:gd name="connsiteX28" fmla="*/ 1206636 w 1609725"/>
              <a:gd name="connsiteY28" fmla="*/ 655130 h 1400175"/>
              <a:gd name="connsiteX29" fmla="*/ 1323317 w 1609725"/>
              <a:gd name="connsiteY29" fmla="*/ 698754 h 1400175"/>
              <a:gd name="connsiteX30" fmla="*/ 1372275 w 1609725"/>
              <a:gd name="connsiteY30" fmla="*/ 813149 h 1400175"/>
              <a:gd name="connsiteX31" fmla="*/ 1256832 w 1609725"/>
              <a:gd name="connsiteY31" fmla="*/ 965549 h 1400175"/>
              <a:gd name="connsiteX32" fmla="*/ 1256832 w 1609725"/>
              <a:gd name="connsiteY32" fmla="*/ 1349883 h 1400175"/>
              <a:gd name="connsiteX33" fmla="*/ 1283978 w 1609725"/>
              <a:gd name="connsiteY33" fmla="*/ 1349883 h 1400175"/>
              <a:gd name="connsiteX34" fmla="*/ 1310267 w 1609725"/>
              <a:gd name="connsiteY34" fmla="*/ 1376172 h 1400175"/>
              <a:gd name="connsiteX35" fmla="*/ 1310267 w 1609725"/>
              <a:gd name="connsiteY35" fmla="*/ 1399604 h 1400175"/>
              <a:gd name="connsiteX36" fmla="*/ 1480574 w 1609725"/>
              <a:gd name="connsiteY36" fmla="*/ 1399604 h 1400175"/>
              <a:gd name="connsiteX37" fmla="*/ 1480574 w 1609725"/>
              <a:gd name="connsiteY37" fmla="*/ 302419 h 1400175"/>
              <a:gd name="connsiteX38" fmla="*/ 1526675 w 1609725"/>
              <a:gd name="connsiteY38" fmla="*/ 329375 h 1400175"/>
              <a:gd name="connsiteX39" fmla="*/ 1548773 w 1609725"/>
              <a:gd name="connsiteY39" fmla="*/ 324993 h 1400175"/>
              <a:gd name="connsiteX40" fmla="*/ 1608590 w 1609725"/>
              <a:gd name="connsiteY40" fmla="*/ 242126 h 1400175"/>
              <a:gd name="connsiteX41" fmla="*/ 1604304 w 1609725"/>
              <a:gd name="connsiteY41" fmla="*/ 218599 h 1400175"/>
              <a:gd name="connsiteX42" fmla="*/ 762389 w 1609725"/>
              <a:gd name="connsiteY42" fmla="*/ 419386 h 1400175"/>
              <a:gd name="connsiteX43" fmla="*/ 778391 w 1609725"/>
              <a:gd name="connsiteY43" fmla="*/ 403384 h 1400175"/>
              <a:gd name="connsiteX44" fmla="*/ 922600 w 1609725"/>
              <a:gd name="connsiteY44" fmla="*/ 403384 h 1400175"/>
              <a:gd name="connsiteX45" fmla="*/ 938602 w 1609725"/>
              <a:gd name="connsiteY45" fmla="*/ 419386 h 1400175"/>
              <a:gd name="connsiteX46" fmla="*/ 938602 w 1609725"/>
              <a:gd name="connsiteY46" fmla="*/ 567976 h 1400175"/>
              <a:gd name="connsiteX47" fmla="*/ 922600 w 1609725"/>
              <a:gd name="connsiteY47" fmla="*/ 583978 h 1400175"/>
              <a:gd name="connsiteX48" fmla="*/ 778391 w 1609725"/>
              <a:gd name="connsiteY48" fmla="*/ 583978 h 1400175"/>
              <a:gd name="connsiteX49" fmla="*/ 762389 w 1609725"/>
              <a:gd name="connsiteY49" fmla="*/ 567976 h 1400175"/>
              <a:gd name="connsiteX50" fmla="*/ 762389 w 1609725"/>
              <a:gd name="connsiteY50" fmla="*/ 419386 h 1400175"/>
              <a:gd name="connsiteX51" fmla="*/ 719813 w 1609725"/>
              <a:gd name="connsiteY51" fmla="*/ 716566 h 1400175"/>
              <a:gd name="connsiteX52" fmla="*/ 735815 w 1609725"/>
              <a:gd name="connsiteY52" fmla="*/ 700564 h 1400175"/>
              <a:gd name="connsiteX53" fmla="*/ 880023 w 1609725"/>
              <a:gd name="connsiteY53" fmla="*/ 700564 h 1400175"/>
              <a:gd name="connsiteX54" fmla="*/ 896025 w 1609725"/>
              <a:gd name="connsiteY54" fmla="*/ 716566 h 1400175"/>
              <a:gd name="connsiteX55" fmla="*/ 896025 w 1609725"/>
              <a:gd name="connsiteY55" fmla="*/ 865156 h 1400175"/>
              <a:gd name="connsiteX56" fmla="*/ 880023 w 1609725"/>
              <a:gd name="connsiteY56" fmla="*/ 881158 h 1400175"/>
              <a:gd name="connsiteX57" fmla="*/ 735815 w 1609725"/>
              <a:gd name="connsiteY57" fmla="*/ 881158 h 1400175"/>
              <a:gd name="connsiteX58" fmla="*/ 719813 w 1609725"/>
              <a:gd name="connsiteY58" fmla="*/ 865156 h 1400175"/>
              <a:gd name="connsiteX59" fmla="*/ 719813 w 1609725"/>
              <a:gd name="connsiteY59" fmla="*/ 716566 h 1400175"/>
              <a:gd name="connsiteX60" fmla="*/ 507786 w 1609725"/>
              <a:gd name="connsiteY60" fmla="*/ 419386 h 1400175"/>
              <a:gd name="connsiteX61" fmla="*/ 523788 w 1609725"/>
              <a:gd name="connsiteY61" fmla="*/ 403384 h 1400175"/>
              <a:gd name="connsiteX62" fmla="*/ 667997 w 1609725"/>
              <a:gd name="connsiteY62" fmla="*/ 403384 h 1400175"/>
              <a:gd name="connsiteX63" fmla="*/ 683999 w 1609725"/>
              <a:gd name="connsiteY63" fmla="*/ 419386 h 1400175"/>
              <a:gd name="connsiteX64" fmla="*/ 683999 w 1609725"/>
              <a:gd name="connsiteY64" fmla="*/ 567976 h 1400175"/>
              <a:gd name="connsiteX65" fmla="*/ 667997 w 1609725"/>
              <a:gd name="connsiteY65" fmla="*/ 583978 h 1400175"/>
              <a:gd name="connsiteX66" fmla="*/ 523788 w 1609725"/>
              <a:gd name="connsiteY66" fmla="*/ 583978 h 1400175"/>
              <a:gd name="connsiteX67" fmla="*/ 507786 w 1609725"/>
              <a:gd name="connsiteY67" fmla="*/ 567976 h 1400175"/>
              <a:gd name="connsiteX68" fmla="*/ 507786 w 1609725"/>
              <a:gd name="connsiteY68" fmla="*/ 419386 h 1400175"/>
              <a:gd name="connsiteX69" fmla="*/ 426633 w 1609725"/>
              <a:gd name="connsiteY69" fmla="*/ 567690 h 1400175"/>
              <a:gd name="connsiteX70" fmla="*/ 407678 w 1609725"/>
              <a:gd name="connsiteY70" fmla="*/ 586550 h 1400175"/>
              <a:gd name="connsiteX71" fmla="*/ 269852 w 1609725"/>
              <a:gd name="connsiteY71" fmla="*/ 586550 h 1400175"/>
              <a:gd name="connsiteX72" fmla="*/ 250992 w 1609725"/>
              <a:gd name="connsiteY72" fmla="*/ 567690 h 1400175"/>
              <a:gd name="connsiteX73" fmla="*/ 250992 w 1609725"/>
              <a:gd name="connsiteY73" fmla="*/ 422148 h 1400175"/>
              <a:gd name="connsiteX74" fmla="*/ 269852 w 1609725"/>
              <a:gd name="connsiteY74" fmla="*/ 403193 h 1400175"/>
              <a:gd name="connsiteX75" fmla="*/ 407678 w 1609725"/>
              <a:gd name="connsiteY75" fmla="*/ 403193 h 1400175"/>
              <a:gd name="connsiteX76" fmla="*/ 426633 w 1609725"/>
              <a:gd name="connsiteY76" fmla="*/ 422148 h 1400175"/>
              <a:gd name="connsiteX77" fmla="*/ 426633 w 1609725"/>
              <a:gd name="connsiteY77" fmla="*/ 567690 h 1400175"/>
              <a:gd name="connsiteX78" fmla="*/ 465209 w 1609725"/>
              <a:gd name="connsiteY78" fmla="*/ 865251 h 1400175"/>
              <a:gd name="connsiteX79" fmla="*/ 465209 w 1609725"/>
              <a:gd name="connsiteY79" fmla="*/ 716661 h 1400175"/>
              <a:gd name="connsiteX80" fmla="*/ 481211 w 1609725"/>
              <a:gd name="connsiteY80" fmla="*/ 700659 h 1400175"/>
              <a:gd name="connsiteX81" fmla="*/ 625420 w 1609725"/>
              <a:gd name="connsiteY81" fmla="*/ 700659 h 1400175"/>
              <a:gd name="connsiteX82" fmla="*/ 641422 w 1609725"/>
              <a:gd name="connsiteY82" fmla="*/ 716661 h 1400175"/>
              <a:gd name="connsiteX83" fmla="*/ 641422 w 1609725"/>
              <a:gd name="connsiteY83" fmla="*/ 865251 h 1400175"/>
              <a:gd name="connsiteX84" fmla="*/ 625420 w 1609725"/>
              <a:gd name="connsiteY84" fmla="*/ 881253 h 1400175"/>
              <a:gd name="connsiteX85" fmla="*/ 481211 w 1609725"/>
              <a:gd name="connsiteY85" fmla="*/ 881253 h 1400175"/>
              <a:gd name="connsiteX86" fmla="*/ 465209 w 1609725"/>
              <a:gd name="connsiteY86" fmla="*/ 865251 h 1400175"/>
              <a:gd name="connsiteX87" fmla="*/ 790869 w 1609725"/>
              <a:gd name="connsiteY87" fmla="*/ 1173194 h 1400175"/>
              <a:gd name="connsiteX88" fmla="*/ 771914 w 1609725"/>
              <a:gd name="connsiteY88" fmla="*/ 1192054 h 1400175"/>
              <a:gd name="connsiteX89" fmla="*/ 634088 w 1609725"/>
              <a:gd name="connsiteY89" fmla="*/ 1192054 h 1400175"/>
              <a:gd name="connsiteX90" fmla="*/ 615133 w 1609725"/>
              <a:gd name="connsiteY90" fmla="*/ 1173194 h 1400175"/>
              <a:gd name="connsiteX91" fmla="*/ 615133 w 1609725"/>
              <a:gd name="connsiteY91" fmla="*/ 1027748 h 1400175"/>
              <a:gd name="connsiteX92" fmla="*/ 634088 w 1609725"/>
              <a:gd name="connsiteY92" fmla="*/ 1008793 h 1400175"/>
              <a:gd name="connsiteX93" fmla="*/ 771914 w 1609725"/>
              <a:gd name="connsiteY93" fmla="*/ 1008793 h 1400175"/>
              <a:gd name="connsiteX94" fmla="*/ 790869 w 1609725"/>
              <a:gd name="connsiteY94" fmla="*/ 1027748 h 1400175"/>
              <a:gd name="connsiteX95" fmla="*/ 790869 w 1609725"/>
              <a:gd name="connsiteY95" fmla="*/ 1173194 h 1400175"/>
              <a:gd name="connsiteX96" fmla="*/ 1055759 w 1609725"/>
              <a:gd name="connsiteY96" fmla="*/ 1173194 h 1400175"/>
              <a:gd name="connsiteX97" fmla="*/ 1036900 w 1609725"/>
              <a:gd name="connsiteY97" fmla="*/ 1192054 h 1400175"/>
              <a:gd name="connsiteX98" fmla="*/ 899073 w 1609725"/>
              <a:gd name="connsiteY98" fmla="*/ 1192054 h 1400175"/>
              <a:gd name="connsiteX99" fmla="*/ 880214 w 1609725"/>
              <a:gd name="connsiteY99" fmla="*/ 1173194 h 1400175"/>
              <a:gd name="connsiteX100" fmla="*/ 880214 w 1609725"/>
              <a:gd name="connsiteY100" fmla="*/ 1027748 h 1400175"/>
              <a:gd name="connsiteX101" fmla="*/ 899073 w 1609725"/>
              <a:gd name="connsiteY101" fmla="*/ 1008793 h 1400175"/>
              <a:gd name="connsiteX102" fmla="*/ 1036900 w 1609725"/>
              <a:gd name="connsiteY102" fmla="*/ 1008793 h 1400175"/>
              <a:gd name="connsiteX103" fmla="*/ 1055759 w 1609725"/>
              <a:gd name="connsiteY103" fmla="*/ 1027748 h 1400175"/>
              <a:gd name="connsiteX104" fmla="*/ 1055759 w 1609725"/>
              <a:gd name="connsiteY104" fmla="*/ 1173194 h 1400175"/>
              <a:gd name="connsiteX105" fmla="*/ 1193396 w 1609725"/>
              <a:gd name="connsiteY105" fmla="*/ 567976 h 1400175"/>
              <a:gd name="connsiteX106" fmla="*/ 1177394 w 1609725"/>
              <a:gd name="connsiteY106" fmla="*/ 583978 h 1400175"/>
              <a:gd name="connsiteX107" fmla="*/ 1033185 w 1609725"/>
              <a:gd name="connsiteY107" fmla="*/ 583978 h 1400175"/>
              <a:gd name="connsiteX108" fmla="*/ 1017183 w 1609725"/>
              <a:gd name="connsiteY108" fmla="*/ 567976 h 1400175"/>
              <a:gd name="connsiteX109" fmla="*/ 1017183 w 1609725"/>
              <a:gd name="connsiteY109" fmla="*/ 419386 h 1400175"/>
              <a:gd name="connsiteX110" fmla="*/ 1033185 w 1609725"/>
              <a:gd name="connsiteY110" fmla="*/ 403384 h 1400175"/>
              <a:gd name="connsiteX111" fmla="*/ 1177394 w 1609725"/>
              <a:gd name="connsiteY111" fmla="*/ 403384 h 1400175"/>
              <a:gd name="connsiteX112" fmla="*/ 1193396 w 1609725"/>
              <a:gd name="connsiteY112" fmla="*/ 419386 h 1400175"/>
              <a:gd name="connsiteX113" fmla="*/ 1193396 w 1609725"/>
              <a:gd name="connsiteY113" fmla="*/ 567976 h 1400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609725" h="1400175">
                <a:moveTo>
                  <a:pt x="1604304" y="218599"/>
                </a:moveTo>
                <a:cubicBezTo>
                  <a:pt x="1538201" y="175355"/>
                  <a:pt x="1252927" y="7144"/>
                  <a:pt x="816206" y="7144"/>
                </a:cubicBezTo>
                <a:cubicBezTo>
                  <a:pt x="376817" y="7144"/>
                  <a:pt x="80971" y="193262"/>
                  <a:pt x="14201" y="239554"/>
                </a:cubicBezTo>
                <a:cubicBezTo>
                  <a:pt x="6485" y="244888"/>
                  <a:pt x="4866" y="255556"/>
                  <a:pt x="10486" y="263081"/>
                </a:cubicBezTo>
                <a:lnTo>
                  <a:pt x="72303" y="344424"/>
                </a:lnTo>
                <a:cubicBezTo>
                  <a:pt x="77637" y="351377"/>
                  <a:pt x="87353" y="353092"/>
                  <a:pt x="94592" y="348139"/>
                </a:cubicBezTo>
                <a:cubicBezTo>
                  <a:pt x="107069" y="339757"/>
                  <a:pt x="128501" y="325946"/>
                  <a:pt x="158028" y="309372"/>
                </a:cubicBezTo>
                <a:lnTo>
                  <a:pt x="158028" y="612458"/>
                </a:lnTo>
                <a:lnTo>
                  <a:pt x="158028" y="612458"/>
                </a:lnTo>
                <a:lnTo>
                  <a:pt x="158028" y="651891"/>
                </a:lnTo>
                <a:cubicBezTo>
                  <a:pt x="211940" y="654653"/>
                  <a:pt x="260422" y="683324"/>
                  <a:pt x="288997" y="729806"/>
                </a:cubicBezTo>
                <a:cubicBezTo>
                  <a:pt x="299760" y="747427"/>
                  <a:pt x="307190" y="767048"/>
                  <a:pt x="310714" y="787337"/>
                </a:cubicBezTo>
                <a:cubicBezTo>
                  <a:pt x="364054" y="815531"/>
                  <a:pt x="397772" y="870680"/>
                  <a:pt x="397772" y="932021"/>
                </a:cubicBezTo>
                <a:cubicBezTo>
                  <a:pt x="397772" y="933640"/>
                  <a:pt x="397772" y="935260"/>
                  <a:pt x="397677" y="936879"/>
                </a:cubicBezTo>
                <a:cubicBezTo>
                  <a:pt x="447588" y="970312"/>
                  <a:pt x="475306" y="1028224"/>
                  <a:pt x="469305" y="1089184"/>
                </a:cubicBezTo>
                <a:cubicBezTo>
                  <a:pt x="461685" y="1167098"/>
                  <a:pt x="399392" y="1228820"/>
                  <a:pt x="321382" y="1235869"/>
                </a:cubicBezTo>
                <a:cubicBezTo>
                  <a:pt x="299951" y="1237774"/>
                  <a:pt x="278615" y="1235488"/>
                  <a:pt x="257945" y="1229106"/>
                </a:cubicBezTo>
                <a:cubicBezTo>
                  <a:pt x="246611" y="1225582"/>
                  <a:pt x="235847" y="1220915"/>
                  <a:pt x="225656" y="1215104"/>
                </a:cubicBezTo>
                <a:cubicBezTo>
                  <a:pt x="222608" y="1216819"/>
                  <a:pt x="219464" y="1218438"/>
                  <a:pt x="216321" y="1219962"/>
                </a:cubicBezTo>
                <a:lnTo>
                  <a:pt x="241562" y="1399794"/>
                </a:lnTo>
                <a:lnTo>
                  <a:pt x="727337" y="1399794"/>
                </a:lnTo>
                <a:lnTo>
                  <a:pt x="727337" y="1399604"/>
                </a:lnTo>
                <a:lnTo>
                  <a:pt x="1117958" y="1399508"/>
                </a:lnTo>
                <a:lnTo>
                  <a:pt x="1117958" y="1376077"/>
                </a:lnTo>
                <a:cubicBezTo>
                  <a:pt x="1117958" y="1361599"/>
                  <a:pt x="1129769" y="1349788"/>
                  <a:pt x="1144247" y="1349788"/>
                </a:cubicBezTo>
                <a:lnTo>
                  <a:pt x="1171393" y="1349788"/>
                </a:lnTo>
                <a:lnTo>
                  <a:pt x="1171393" y="965549"/>
                </a:lnTo>
                <a:cubicBezTo>
                  <a:pt x="1101670" y="946118"/>
                  <a:pt x="1053759" y="881634"/>
                  <a:pt x="1055950" y="808196"/>
                </a:cubicBezTo>
                <a:cubicBezTo>
                  <a:pt x="1058426" y="726091"/>
                  <a:pt x="1124625" y="658844"/>
                  <a:pt x="1206636" y="655130"/>
                </a:cubicBezTo>
                <a:cubicBezTo>
                  <a:pt x="1250355" y="653129"/>
                  <a:pt x="1291789" y="668655"/>
                  <a:pt x="1323317" y="698754"/>
                </a:cubicBezTo>
                <a:cubicBezTo>
                  <a:pt x="1354844" y="728948"/>
                  <a:pt x="1372275" y="769525"/>
                  <a:pt x="1372275" y="813149"/>
                </a:cubicBezTo>
                <a:cubicBezTo>
                  <a:pt x="1372275" y="884206"/>
                  <a:pt x="1324365" y="946595"/>
                  <a:pt x="1256832" y="965549"/>
                </a:cubicBezTo>
                <a:lnTo>
                  <a:pt x="1256832" y="1349883"/>
                </a:lnTo>
                <a:lnTo>
                  <a:pt x="1283978" y="1349883"/>
                </a:lnTo>
                <a:cubicBezTo>
                  <a:pt x="1298457" y="1349883"/>
                  <a:pt x="1310267" y="1361694"/>
                  <a:pt x="1310267" y="1376172"/>
                </a:cubicBezTo>
                <a:lnTo>
                  <a:pt x="1310267" y="1399604"/>
                </a:lnTo>
                <a:lnTo>
                  <a:pt x="1480574" y="1399604"/>
                </a:lnTo>
                <a:lnTo>
                  <a:pt x="1480574" y="302419"/>
                </a:lnTo>
                <a:cubicBezTo>
                  <a:pt x="1501339" y="313658"/>
                  <a:pt x="1516769" y="323088"/>
                  <a:pt x="1526675" y="329375"/>
                </a:cubicBezTo>
                <a:cubicBezTo>
                  <a:pt x="1534010" y="334042"/>
                  <a:pt x="1543725" y="332137"/>
                  <a:pt x="1548773" y="324993"/>
                </a:cubicBezTo>
                <a:lnTo>
                  <a:pt x="1608590" y="242126"/>
                </a:lnTo>
                <a:cubicBezTo>
                  <a:pt x="1614210" y="234410"/>
                  <a:pt x="1612210" y="223742"/>
                  <a:pt x="1604304" y="218599"/>
                </a:cubicBezTo>
                <a:close/>
                <a:moveTo>
                  <a:pt x="762389" y="419386"/>
                </a:moveTo>
                <a:cubicBezTo>
                  <a:pt x="762389" y="410528"/>
                  <a:pt x="769533" y="403384"/>
                  <a:pt x="778391" y="403384"/>
                </a:cubicBezTo>
                <a:lnTo>
                  <a:pt x="922600" y="403384"/>
                </a:lnTo>
                <a:cubicBezTo>
                  <a:pt x="931458" y="403384"/>
                  <a:pt x="938602" y="410528"/>
                  <a:pt x="938602" y="419386"/>
                </a:cubicBezTo>
                <a:lnTo>
                  <a:pt x="938602" y="567976"/>
                </a:lnTo>
                <a:cubicBezTo>
                  <a:pt x="938602" y="576834"/>
                  <a:pt x="931458" y="583978"/>
                  <a:pt x="922600" y="583978"/>
                </a:cubicBezTo>
                <a:lnTo>
                  <a:pt x="778391" y="583978"/>
                </a:lnTo>
                <a:cubicBezTo>
                  <a:pt x="769533" y="583978"/>
                  <a:pt x="762389" y="576834"/>
                  <a:pt x="762389" y="567976"/>
                </a:cubicBezTo>
                <a:lnTo>
                  <a:pt x="762389" y="419386"/>
                </a:lnTo>
                <a:close/>
                <a:moveTo>
                  <a:pt x="719813" y="716566"/>
                </a:moveTo>
                <a:cubicBezTo>
                  <a:pt x="719813" y="707708"/>
                  <a:pt x="726956" y="700564"/>
                  <a:pt x="735815" y="700564"/>
                </a:cubicBezTo>
                <a:lnTo>
                  <a:pt x="880023" y="700564"/>
                </a:lnTo>
                <a:cubicBezTo>
                  <a:pt x="888881" y="700564"/>
                  <a:pt x="896025" y="707708"/>
                  <a:pt x="896025" y="716566"/>
                </a:cubicBezTo>
                <a:lnTo>
                  <a:pt x="896025" y="865156"/>
                </a:lnTo>
                <a:cubicBezTo>
                  <a:pt x="896025" y="874014"/>
                  <a:pt x="888881" y="881158"/>
                  <a:pt x="880023" y="881158"/>
                </a:cubicBezTo>
                <a:lnTo>
                  <a:pt x="735815" y="881158"/>
                </a:lnTo>
                <a:cubicBezTo>
                  <a:pt x="726956" y="881158"/>
                  <a:pt x="719813" y="874014"/>
                  <a:pt x="719813" y="865156"/>
                </a:cubicBezTo>
                <a:lnTo>
                  <a:pt x="719813" y="716566"/>
                </a:lnTo>
                <a:close/>
                <a:moveTo>
                  <a:pt x="507786" y="419386"/>
                </a:moveTo>
                <a:cubicBezTo>
                  <a:pt x="507786" y="410528"/>
                  <a:pt x="514930" y="403384"/>
                  <a:pt x="523788" y="403384"/>
                </a:cubicBezTo>
                <a:lnTo>
                  <a:pt x="667997" y="403384"/>
                </a:lnTo>
                <a:cubicBezTo>
                  <a:pt x="676855" y="403384"/>
                  <a:pt x="683999" y="410528"/>
                  <a:pt x="683999" y="419386"/>
                </a:cubicBezTo>
                <a:lnTo>
                  <a:pt x="683999" y="567976"/>
                </a:lnTo>
                <a:cubicBezTo>
                  <a:pt x="683999" y="576834"/>
                  <a:pt x="676855" y="583978"/>
                  <a:pt x="667997" y="583978"/>
                </a:cubicBezTo>
                <a:lnTo>
                  <a:pt x="523788" y="583978"/>
                </a:lnTo>
                <a:cubicBezTo>
                  <a:pt x="514930" y="583978"/>
                  <a:pt x="507786" y="576834"/>
                  <a:pt x="507786" y="567976"/>
                </a:cubicBezTo>
                <a:lnTo>
                  <a:pt x="507786" y="419386"/>
                </a:lnTo>
                <a:close/>
                <a:moveTo>
                  <a:pt x="426633" y="567690"/>
                </a:moveTo>
                <a:cubicBezTo>
                  <a:pt x="426633" y="578168"/>
                  <a:pt x="418156" y="586550"/>
                  <a:pt x="407678" y="586550"/>
                </a:cubicBezTo>
                <a:lnTo>
                  <a:pt x="269852" y="586550"/>
                </a:lnTo>
                <a:cubicBezTo>
                  <a:pt x="259374" y="586550"/>
                  <a:pt x="250992" y="578072"/>
                  <a:pt x="250992" y="567690"/>
                </a:cubicBezTo>
                <a:lnTo>
                  <a:pt x="250992" y="422148"/>
                </a:lnTo>
                <a:cubicBezTo>
                  <a:pt x="250992" y="411671"/>
                  <a:pt x="259469" y="403193"/>
                  <a:pt x="269852" y="403193"/>
                </a:cubicBezTo>
                <a:lnTo>
                  <a:pt x="407678" y="403193"/>
                </a:lnTo>
                <a:cubicBezTo>
                  <a:pt x="418156" y="403193"/>
                  <a:pt x="426633" y="411671"/>
                  <a:pt x="426633" y="422148"/>
                </a:cubicBezTo>
                <a:lnTo>
                  <a:pt x="426633" y="567690"/>
                </a:lnTo>
                <a:close/>
                <a:moveTo>
                  <a:pt x="465209" y="865251"/>
                </a:moveTo>
                <a:lnTo>
                  <a:pt x="465209" y="716661"/>
                </a:lnTo>
                <a:cubicBezTo>
                  <a:pt x="465209" y="707803"/>
                  <a:pt x="472353" y="700659"/>
                  <a:pt x="481211" y="700659"/>
                </a:cubicBezTo>
                <a:lnTo>
                  <a:pt x="625420" y="700659"/>
                </a:lnTo>
                <a:cubicBezTo>
                  <a:pt x="634278" y="700659"/>
                  <a:pt x="641422" y="707803"/>
                  <a:pt x="641422" y="716661"/>
                </a:cubicBezTo>
                <a:lnTo>
                  <a:pt x="641422" y="865251"/>
                </a:lnTo>
                <a:cubicBezTo>
                  <a:pt x="641422" y="874109"/>
                  <a:pt x="634278" y="881253"/>
                  <a:pt x="625420" y="881253"/>
                </a:cubicBezTo>
                <a:lnTo>
                  <a:pt x="481211" y="881253"/>
                </a:lnTo>
                <a:cubicBezTo>
                  <a:pt x="472353" y="881253"/>
                  <a:pt x="465209" y="874109"/>
                  <a:pt x="465209" y="865251"/>
                </a:cubicBezTo>
                <a:close/>
                <a:moveTo>
                  <a:pt x="790869" y="1173194"/>
                </a:moveTo>
                <a:cubicBezTo>
                  <a:pt x="790869" y="1183672"/>
                  <a:pt x="782392" y="1192054"/>
                  <a:pt x="771914" y="1192054"/>
                </a:cubicBezTo>
                <a:lnTo>
                  <a:pt x="634088" y="1192054"/>
                </a:lnTo>
                <a:cubicBezTo>
                  <a:pt x="623610" y="1192054"/>
                  <a:pt x="615133" y="1183577"/>
                  <a:pt x="615133" y="1173194"/>
                </a:cubicBezTo>
                <a:lnTo>
                  <a:pt x="615133" y="1027748"/>
                </a:lnTo>
                <a:cubicBezTo>
                  <a:pt x="615133" y="1017270"/>
                  <a:pt x="623610" y="1008793"/>
                  <a:pt x="634088" y="1008793"/>
                </a:cubicBezTo>
                <a:lnTo>
                  <a:pt x="771914" y="1008793"/>
                </a:lnTo>
                <a:cubicBezTo>
                  <a:pt x="782392" y="1008793"/>
                  <a:pt x="790869" y="1017270"/>
                  <a:pt x="790869" y="1027748"/>
                </a:cubicBezTo>
                <a:lnTo>
                  <a:pt x="790869" y="1173194"/>
                </a:lnTo>
                <a:close/>
                <a:moveTo>
                  <a:pt x="1055759" y="1173194"/>
                </a:moveTo>
                <a:cubicBezTo>
                  <a:pt x="1055759" y="1183672"/>
                  <a:pt x="1047282" y="1192054"/>
                  <a:pt x="1036900" y="1192054"/>
                </a:cubicBezTo>
                <a:lnTo>
                  <a:pt x="899073" y="1192054"/>
                </a:lnTo>
                <a:cubicBezTo>
                  <a:pt x="888596" y="1192054"/>
                  <a:pt x="880214" y="1183577"/>
                  <a:pt x="880214" y="1173194"/>
                </a:cubicBezTo>
                <a:lnTo>
                  <a:pt x="880214" y="1027748"/>
                </a:lnTo>
                <a:cubicBezTo>
                  <a:pt x="880214" y="1017270"/>
                  <a:pt x="888691" y="1008793"/>
                  <a:pt x="899073" y="1008793"/>
                </a:cubicBezTo>
                <a:lnTo>
                  <a:pt x="1036900" y="1008793"/>
                </a:lnTo>
                <a:cubicBezTo>
                  <a:pt x="1047377" y="1008793"/>
                  <a:pt x="1055759" y="1017270"/>
                  <a:pt x="1055759" y="1027748"/>
                </a:cubicBezTo>
                <a:lnTo>
                  <a:pt x="1055759" y="1173194"/>
                </a:lnTo>
                <a:close/>
                <a:moveTo>
                  <a:pt x="1193396" y="567976"/>
                </a:moveTo>
                <a:cubicBezTo>
                  <a:pt x="1193396" y="576834"/>
                  <a:pt x="1186252" y="583978"/>
                  <a:pt x="1177394" y="583978"/>
                </a:cubicBezTo>
                <a:lnTo>
                  <a:pt x="1033185" y="583978"/>
                </a:lnTo>
                <a:cubicBezTo>
                  <a:pt x="1024327" y="583978"/>
                  <a:pt x="1017183" y="576834"/>
                  <a:pt x="1017183" y="567976"/>
                </a:cubicBezTo>
                <a:lnTo>
                  <a:pt x="1017183" y="419386"/>
                </a:lnTo>
                <a:cubicBezTo>
                  <a:pt x="1017183" y="410528"/>
                  <a:pt x="1024327" y="403384"/>
                  <a:pt x="1033185" y="403384"/>
                </a:cubicBezTo>
                <a:lnTo>
                  <a:pt x="1177394" y="403384"/>
                </a:lnTo>
                <a:cubicBezTo>
                  <a:pt x="1186252" y="403384"/>
                  <a:pt x="1193396" y="410528"/>
                  <a:pt x="1193396" y="419386"/>
                </a:cubicBezTo>
                <a:lnTo>
                  <a:pt x="1193396" y="56797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9</xdr:col>
      <xdr:colOff>132021</xdr:colOff>
      <xdr:row>86</xdr:row>
      <xdr:rowOff>223715</xdr:rowOff>
    </xdr:from>
    <xdr:to>
      <xdr:col>10</xdr:col>
      <xdr:colOff>915343</xdr:colOff>
      <xdr:row>88</xdr:row>
      <xdr:rowOff>86244</xdr:rowOff>
    </xdr:to>
    <xdr:sp macro="" textlink="">
      <xdr:nvSpPr>
        <xdr:cNvPr id="141" name="テキスト ボックス 41">
          <a:extLst>
            <a:ext uri="{FF2B5EF4-FFF2-40B4-BE49-F238E27FC236}">
              <a16:creationId xmlns:a16="http://schemas.microsoft.com/office/drawing/2014/main" id="{CBCF4EFC-EDBB-447B-B7F9-E14D988453FF}"/>
            </a:ext>
          </a:extLst>
        </xdr:cNvPr>
        <xdr:cNvSpPr txBox="1">
          <a:spLocks noChangeArrowheads="1"/>
        </xdr:cNvSpPr>
      </xdr:nvSpPr>
      <xdr:spPr bwMode="auto">
        <a:xfrm>
          <a:off x="7894896" y="19740440"/>
          <a:ext cx="1812022" cy="338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9</xdr:col>
      <xdr:colOff>636332</xdr:colOff>
      <xdr:row>82</xdr:row>
      <xdr:rowOff>212716</xdr:rowOff>
    </xdr:from>
    <xdr:to>
      <xdr:col>10</xdr:col>
      <xdr:colOff>460445</xdr:colOff>
      <xdr:row>86</xdr:row>
      <xdr:rowOff>225666</xdr:rowOff>
    </xdr:to>
    <xdr:sp macro="" textlink="">
      <xdr:nvSpPr>
        <xdr:cNvPr id="142" name="Freeform 62">
          <a:extLst>
            <a:ext uri="{FF2B5EF4-FFF2-40B4-BE49-F238E27FC236}">
              <a16:creationId xmlns:a16="http://schemas.microsoft.com/office/drawing/2014/main" id="{EB11C5DB-DA41-438D-9D8B-AB5C24305963}"/>
            </a:ext>
          </a:extLst>
        </xdr:cNvPr>
        <xdr:cNvSpPr>
          <a:spLocks noChangeAspect="1" noEditPoints="1"/>
        </xdr:cNvSpPr>
      </xdr:nvSpPr>
      <xdr:spPr bwMode="auto">
        <a:xfrm>
          <a:off x="8399207" y="18776941"/>
          <a:ext cx="852813" cy="965450"/>
        </a:xfrm>
        <a:custGeom>
          <a:avLst/>
          <a:gdLst>
            <a:gd name="T0" fmla="*/ 186 w 192"/>
            <a:gd name="T1" fmla="*/ 9 h 186"/>
            <a:gd name="T2" fmla="*/ 18 w 192"/>
            <a:gd name="T3" fmla="*/ 0 h 186"/>
            <a:gd name="T4" fmla="*/ 7 w 192"/>
            <a:gd name="T5" fmla="*/ 176 h 186"/>
            <a:gd name="T6" fmla="*/ 0 w 192"/>
            <a:gd name="T7" fmla="*/ 186 h 186"/>
            <a:gd name="T8" fmla="*/ 189 w 192"/>
            <a:gd name="T9" fmla="*/ 176 h 186"/>
            <a:gd name="T10" fmla="*/ 105 w 192"/>
            <a:gd name="T11" fmla="*/ 37 h 186"/>
            <a:gd name="T12" fmla="*/ 86 w 192"/>
            <a:gd name="T13" fmla="*/ 55 h 186"/>
            <a:gd name="T14" fmla="*/ 86 w 192"/>
            <a:gd name="T15" fmla="*/ 70 h 186"/>
            <a:gd name="T16" fmla="*/ 105 w 192"/>
            <a:gd name="T17" fmla="*/ 88 h 186"/>
            <a:gd name="T18" fmla="*/ 86 w 192"/>
            <a:gd name="T19" fmla="*/ 88 h 186"/>
            <a:gd name="T20" fmla="*/ 105 w 192"/>
            <a:gd name="T21" fmla="*/ 137 h 186"/>
            <a:gd name="T22" fmla="*/ 62 w 192"/>
            <a:gd name="T23" fmla="*/ 22 h 186"/>
            <a:gd name="T24" fmla="*/ 62 w 192"/>
            <a:gd name="T25" fmla="*/ 37 h 186"/>
            <a:gd name="T26" fmla="*/ 81 w 192"/>
            <a:gd name="T27" fmla="*/ 55 h 186"/>
            <a:gd name="T28" fmla="*/ 62 w 192"/>
            <a:gd name="T29" fmla="*/ 55 h 186"/>
            <a:gd name="T30" fmla="*/ 81 w 192"/>
            <a:gd name="T31" fmla="*/ 103 h 186"/>
            <a:gd name="T32" fmla="*/ 32 w 192"/>
            <a:gd name="T33" fmla="*/ 137 h 186"/>
            <a:gd name="T34" fmla="*/ 32 w 192"/>
            <a:gd name="T35" fmla="*/ 122 h 186"/>
            <a:gd name="T36" fmla="*/ 16 w 192"/>
            <a:gd name="T37" fmla="*/ 103 h 186"/>
            <a:gd name="T38" fmla="*/ 32 w 192"/>
            <a:gd name="T39" fmla="*/ 103 h 186"/>
            <a:gd name="T40" fmla="*/ 16 w 192"/>
            <a:gd name="T41" fmla="*/ 55 h 186"/>
            <a:gd name="T42" fmla="*/ 32 w 192"/>
            <a:gd name="T43" fmla="*/ 37 h 186"/>
            <a:gd name="T44" fmla="*/ 32 w 192"/>
            <a:gd name="T45" fmla="*/ 22 h 186"/>
            <a:gd name="T46" fmla="*/ 38 w 192"/>
            <a:gd name="T47" fmla="*/ 137 h 186"/>
            <a:gd name="T48" fmla="*/ 57 w 192"/>
            <a:gd name="T49" fmla="*/ 137 h 186"/>
            <a:gd name="T50" fmla="*/ 38 w 192"/>
            <a:gd name="T51" fmla="*/ 88 h 186"/>
            <a:gd name="T52" fmla="*/ 57 w 192"/>
            <a:gd name="T53" fmla="*/ 70 h 186"/>
            <a:gd name="T54" fmla="*/ 57 w 192"/>
            <a:gd name="T55" fmla="*/ 55 h 186"/>
            <a:gd name="T56" fmla="*/ 38 w 192"/>
            <a:gd name="T57" fmla="*/ 37 h 186"/>
            <a:gd name="T58" fmla="*/ 57 w 192"/>
            <a:gd name="T59" fmla="*/ 37 h 186"/>
            <a:gd name="T60" fmla="*/ 81 w 192"/>
            <a:gd name="T61" fmla="*/ 137 h 186"/>
            <a:gd name="T62" fmla="*/ 68 w 192"/>
            <a:gd name="T63" fmla="*/ 153 h 186"/>
            <a:gd name="T64" fmla="*/ 68 w 192"/>
            <a:gd name="T65" fmla="*/ 176 h 186"/>
            <a:gd name="T66" fmla="*/ 97 w 192"/>
            <a:gd name="T67" fmla="*/ 176 h 186"/>
            <a:gd name="T68" fmla="*/ 124 w 192"/>
            <a:gd name="T69" fmla="*/ 176 h 186"/>
            <a:gd name="T70" fmla="*/ 111 w 192"/>
            <a:gd name="T71" fmla="*/ 122 h 186"/>
            <a:gd name="T72" fmla="*/ 130 w 192"/>
            <a:gd name="T73" fmla="*/ 103 h 186"/>
            <a:gd name="T74" fmla="*/ 130 w 192"/>
            <a:gd name="T75" fmla="*/ 88 h 186"/>
            <a:gd name="T76" fmla="*/ 111 w 192"/>
            <a:gd name="T77" fmla="*/ 70 h 186"/>
            <a:gd name="T78" fmla="*/ 130 w 192"/>
            <a:gd name="T79" fmla="*/ 70 h 186"/>
            <a:gd name="T80" fmla="*/ 111 w 192"/>
            <a:gd name="T81" fmla="*/ 22 h 186"/>
            <a:gd name="T82" fmla="*/ 154 w 192"/>
            <a:gd name="T83" fmla="*/ 137 h 186"/>
            <a:gd name="T84" fmla="*/ 154 w 192"/>
            <a:gd name="T85" fmla="*/ 122 h 186"/>
            <a:gd name="T86" fmla="*/ 135 w 192"/>
            <a:gd name="T87" fmla="*/ 103 h 186"/>
            <a:gd name="T88" fmla="*/ 154 w 192"/>
            <a:gd name="T89" fmla="*/ 103 h 186"/>
            <a:gd name="T90" fmla="*/ 135 w 192"/>
            <a:gd name="T91" fmla="*/ 55 h 186"/>
            <a:gd name="T92" fmla="*/ 154 w 192"/>
            <a:gd name="T93" fmla="*/ 37 h 186"/>
            <a:gd name="T94" fmla="*/ 154 w 192"/>
            <a:gd name="T95" fmla="*/ 22 h 186"/>
            <a:gd name="T96" fmla="*/ 159 w 192"/>
            <a:gd name="T97" fmla="*/ 137 h 186"/>
            <a:gd name="T98" fmla="*/ 178 w 192"/>
            <a:gd name="T99" fmla="*/ 137 h 186"/>
            <a:gd name="T100" fmla="*/ 159 w 192"/>
            <a:gd name="T101" fmla="*/ 88 h 186"/>
            <a:gd name="T102" fmla="*/ 178 w 192"/>
            <a:gd name="T103" fmla="*/ 70 h 186"/>
            <a:gd name="T104" fmla="*/ 178 w 192"/>
            <a:gd name="T105" fmla="*/ 55 h 186"/>
            <a:gd name="T106" fmla="*/ 159 w 192"/>
            <a:gd name="T107" fmla="*/ 37 h 186"/>
            <a:gd name="T108" fmla="*/ 178 w 192"/>
            <a:gd name="T109" fmla="*/ 37 h 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92" h="186">
              <a:moveTo>
                <a:pt x="189" y="176"/>
              </a:moveTo>
              <a:cubicBezTo>
                <a:pt x="186" y="176"/>
                <a:pt x="186" y="176"/>
                <a:pt x="186" y="176"/>
              </a:cubicBezTo>
              <a:cubicBezTo>
                <a:pt x="186" y="9"/>
                <a:pt x="186" y="9"/>
                <a:pt x="186" y="9"/>
              </a:cubicBezTo>
              <a:cubicBezTo>
                <a:pt x="124" y="9"/>
                <a:pt x="124" y="9"/>
                <a:pt x="124" y="9"/>
              </a:cubicBezTo>
              <a:cubicBezTo>
                <a:pt x="124" y="0"/>
                <a:pt x="124" y="0"/>
                <a:pt x="124" y="0"/>
              </a:cubicBezTo>
              <a:cubicBezTo>
                <a:pt x="18" y="0"/>
                <a:pt x="18" y="0"/>
                <a:pt x="18" y="0"/>
              </a:cubicBezTo>
              <a:cubicBezTo>
                <a:pt x="18" y="9"/>
                <a:pt x="18" y="9"/>
                <a:pt x="18" y="9"/>
              </a:cubicBezTo>
              <a:cubicBezTo>
                <a:pt x="7" y="9"/>
                <a:pt x="7" y="9"/>
                <a:pt x="7" y="9"/>
              </a:cubicBezTo>
              <a:cubicBezTo>
                <a:pt x="7" y="176"/>
                <a:pt x="7" y="176"/>
                <a:pt x="7" y="176"/>
              </a:cubicBezTo>
              <a:cubicBezTo>
                <a:pt x="3" y="176"/>
                <a:pt x="3" y="176"/>
                <a:pt x="3" y="176"/>
              </a:cubicBezTo>
              <a:cubicBezTo>
                <a:pt x="1" y="176"/>
                <a:pt x="0" y="177"/>
                <a:pt x="0" y="179"/>
              </a:cubicBezTo>
              <a:cubicBezTo>
                <a:pt x="0" y="186"/>
                <a:pt x="0" y="186"/>
                <a:pt x="0" y="186"/>
              </a:cubicBezTo>
              <a:cubicBezTo>
                <a:pt x="192" y="186"/>
                <a:pt x="192" y="186"/>
                <a:pt x="192" y="186"/>
              </a:cubicBezTo>
              <a:cubicBezTo>
                <a:pt x="192" y="179"/>
                <a:pt x="192" y="179"/>
                <a:pt x="192" y="179"/>
              </a:cubicBezTo>
              <a:cubicBezTo>
                <a:pt x="192" y="177"/>
                <a:pt x="191" y="176"/>
                <a:pt x="189" y="176"/>
              </a:cubicBezTo>
              <a:close/>
              <a:moveTo>
                <a:pt x="86" y="22"/>
              </a:moveTo>
              <a:cubicBezTo>
                <a:pt x="105" y="22"/>
                <a:pt x="105" y="22"/>
                <a:pt x="105" y="22"/>
              </a:cubicBezTo>
              <a:cubicBezTo>
                <a:pt x="105" y="37"/>
                <a:pt x="105" y="37"/>
                <a:pt x="105" y="37"/>
              </a:cubicBezTo>
              <a:cubicBezTo>
                <a:pt x="86" y="37"/>
                <a:pt x="86" y="37"/>
                <a:pt x="86" y="37"/>
              </a:cubicBezTo>
              <a:lnTo>
                <a:pt x="86" y="22"/>
              </a:lnTo>
              <a:close/>
              <a:moveTo>
                <a:pt x="86" y="55"/>
              </a:moveTo>
              <a:cubicBezTo>
                <a:pt x="105" y="55"/>
                <a:pt x="105" y="55"/>
                <a:pt x="105" y="55"/>
              </a:cubicBezTo>
              <a:cubicBezTo>
                <a:pt x="105" y="70"/>
                <a:pt x="105" y="70"/>
                <a:pt x="105" y="70"/>
              </a:cubicBezTo>
              <a:cubicBezTo>
                <a:pt x="86" y="70"/>
                <a:pt x="86" y="70"/>
                <a:pt x="86" y="70"/>
              </a:cubicBezTo>
              <a:lnTo>
                <a:pt x="86" y="55"/>
              </a:lnTo>
              <a:close/>
              <a:moveTo>
                <a:pt x="86" y="88"/>
              </a:moveTo>
              <a:cubicBezTo>
                <a:pt x="105" y="88"/>
                <a:pt x="105" y="88"/>
                <a:pt x="105" y="88"/>
              </a:cubicBezTo>
              <a:cubicBezTo>
                <a:pt x="105" y="103"/>
                <a:pt x="105" y="103"/>
                <a:pt x="105" y="103"/>
              </a:cubicBezTo>
              <a:cubicBezTo>
                <a:pt x="86" y="103"/>
                <a:pt x="86" y="103"/>
                <a:pt x="86" y="103"/>
              </a:cubicBezTo>
              <a:lnTo>
                <a:pt x="86" y="88"/>
              </a:lnTo>
              <a:close/>
              <a:moveTo>
                <a:pt x="86" y="122"/>
              </a:moveTo>
              <a:cubicBezTo>
                <a:pt x="105" y="122"/>
                <a:pt x="105" y="122"/>
                <a:pt x="105" y="122"/>
              </a:cubicBezTo>
              <a:cubicBezTo>
                <a:pt x="105" y="137"/>
                <a:pt x="105" y="137"/>
                <a:pt x="105" y="137"/>
              </a:cubicBezTo>
              <a:cubicBezTo>
                <a:pt x="86" y="137"/>
                <a:pt x="86" y="137"/>
                <a:pt x="86" y="137"/>
              </a:cubicBezTo>
              <a:lnTo>
                <a:pt x="86" y="122"/>
              </a:lnTo>
              <a:close/>
              <a:moveTo>
                <a:pt x="62" y="22"/>
              </a:moveTo>
              <a:cubicBezTo>
                <a:pt x="81" y="22"/>
                <a:pt x="81" y="22"/>
                <a:pt x="81" y="22"/>
              </a:cubicBezTo>
              <a:cubicBezTo>
                <a:pt x="81" y="37"/>
                <a:pt x="81" y="37"/>
                <a:pt x="81" y="37"/>
              </a:cubicBezTo>
              <a:cubicBezTo>
                <a:pt x="62" y="37"/>
                <a:pt x="62" y="37"/>
                <a:pt x="62" y="37"/>
              </a:cubicBezTo>
              <a:lnTo>
                <a:pt x="62" y="22"/>
              </a:lnTo>
              <a:close/>
              <a:moveTo>
                <a:pt x="62" y="55"/>
              </a:moveTo>
              <a:cubicBezTo>
                <a:pt x="81" y="55"/>
                <a:pt x="81" y="55"/>
                <a:pt x="81" y="55"/>
              </a:cubicBezTo>
              <a:cubicBezTo>
                <a:pt x="81" y="70"/>
                <a:pt x="81" y="70"/>
                <a:pt x="81" y="70"/>
              </a:cubicBezTo>
              <a:cubicBezTo>
                <a:pt x="62" y="70"/>
                <a:pt x="62" y="70"/>
                <a:pt x="62" y="70"/>
              </a:cubicBezTo>
              <a:lnTo>
                <a:pt x="62" y="55"/>
              </a:lnTo>
              <a:close/>
              <a:moveTo>
                <a:pt x="62" y="88"/>
              </a:moveTo>
              <a:cubicBezTo>
                <a:pt x="81" y="88"/>
                <a:pt x="81" y="88"/>
                <a:pt x="81" y="88"/>
              </a:cubicBezTo>
              <a:cubicBezTo>
                <a:pt x="81" y="103"/>
                <a:pt x="81" y="103"/>
                <a:pt x="81" y="103"/>
              </a:cubicBezTo>
              <a:cubicBezTo>
                <a:pt x="62" y="103"/>
                <a:pt x="62" y="103"/>
                <a:pt x="62" y="103"/>
              </a:cubicBezTo>
              <a:lnTo>
                <a:pt x="62" y="88"/>
              </a:lnTo>
              <a:close/>
              <a:moveTo>
                <a:pt x="32" y="137"/>
              </a:moveTo>
              <a:cubicBezTo>
                <a:pt x="16" y="137"/>
                <a:pt x="16" y="137"/>
                <a:pt x="16" y="137"/>
              </a:cubicBezTo>
              <a:cubicBezTo>
                <a:pt x="16" y="122"/>
                <a:pt x="16" y="122"/>
                <a:pt x="16" y="122"/>
              </a:cubicBezTo>
              <a:cubicBezTo>
                <a:pt x="32" y="122"/>
                <a:pt x="32" y="122"/>
                <a:pt x="32" y="122"/>
              </a:cubicBezTo>
              <a:lnTo>
                <a:pt x="32" y="137"/>
              </a:lnTo>
              <a:close/>
              <a:moveTo>
                <a:pt x="32" y="103"/>
              </a:moveTo>
              <a:cubicBezTo>
                <a:pt x="16" y="103"/>
                <a:pt x="16" y="103"/>
                <a:pt x="16" y="103"/>
              </a:cubicBezTo>
              <a:cubicBezTo>
                <a:pt x="16" y="88"/>
                <a:pt x="16" y="88"/>
                <a:pt x="16" y="88"/>
              </a:cubicBezTo>
              <a:cubicBezTo>
                <a:pt x="32" y="88"/>
                <a:pt x="32" y="88"/>
                <a:pt x="32" y="88"/>
              </a:cubicBezTo>
              <a:lnTo>
                <a:pt x="32" y="103"/>
              </a:lnTo>
              <a:close/>
              <a:moveTo>
                <a:pt x="32" y="70"/>
              </a:moveTo>
              <a:cubicBezTo>
                <a:pt x="16" y="70"/>
                <a:pt x="16" y="70"/>
                <a:pt x="16" y="70"/>
              </a:cubicBezTo>
              <a:cubicBezTo>
                <a:pt x="16" y="55"/>
                <a:pt x="16" y="55"/>
                <a:pt x="16" y="55"/>
              </a:cubicBezTo>
              <a:cubicBezTo>
                <a:pt x="32" y="55"/>
                <a:pt x="32" y="55"/>
                <a:pt x="32" y="55"/>
              </a:cubicBezTo>
              <a:lnTo>
                <a:pt x="32" y="70"/>
              </a:lnTo>
              <a:close/>
              <a:moveTo>
                <a:pt x="32" y="37"/>
              </a:moveTo>
              <a:cubicBezTo>
                <a:pt x="16" y="37"/>
                <a:pt x="16" y="37"/>
                <a:pt x="16" y="37"/>
              </a:cubicBezTo>
              <a:cubicBezTo>
                <a:pt x="16" y="22"/>
                <a:pt x="16" y="22"/>
                <a:pt x="16" y="22"/>
              </a:cubicBezTo>
              <a:cubicBezTo>
                <a:pt x="32" y="22"/>
                <a:pt x="32" y="22"/>
                <a:pt x="32" y="22"/>
              </a:cubicBezTo>
              <a:lnTo>
                <a:pt x="32" y="37"/>
              </a:lnTo>
              <a:close/>
              <a:moveTo>
                <a:pt x="57" y="137"/>
              </a:moveTo>
              <a:cubicBezTo>
                <a:pt x="38" y="137"/>
                <a:pt x="38" y="137"/>
                <a:pt x="38" y="137"/>
              </a:cubicBezTo>
              <a:cubicBezTo>
                <a:pt x="38" y="122"/>
                <a:pt x="38" y="122"/>
                <a:pt x="38" y="122"/>
              </a:cubicBezTo>
              <a:cubicBezTo>
                <a:pt x="57" y="122"/>
                <a:pt x="57" y="122"/>
                <a:pt x="57" y="122"/>
              </a:cubicBezTo>
              <a:lnTo>
                <a:pt x="57" y="137"/>
              </a:lnTo>
              <a:close/>
              <a:moveTo>
                <a:pt x="57" y="103"/>
              </a:moveTo>
              <a:cubicBezTo>
                <a:pt x="38" y="103"/>
                <a:pt x="38" y="103"/>
                <a:pt x="38" y="103"/>
              </a:cubicBezTo>
              <a:cubicBezTo>
                <a:pt x="38" y="88"/>
                <a:pt x="38" y="88"/>
                <a:pt x="38" y="88"/>
              </a:cubicBezTo>
              <a:cubicBezTo>
                <a:pt x="57" y="88"/>
                <a:pt x="57" y="88"/>
                <a:pt x="57" y="88"/>
              </a:cubicBezTo>
              <a:lnTo>
                <a:pt x="57" y="103"/>
              </a:lnTo>
              <a:close/>
              <a:moveTo>
                <a:pt x="57" y="70"/>
              </a:moveTo>
              <a:cubicBezTo>
                <a:pt x="38" y="70"/>
                <a:pt x="38" y="70"/>
                <a:pt x="38" y="70"/>
              </a:cubicBezTo>
              <a:cubicBezTo>
                <a:pt x="38" y="55"/>
                <a:pt x="38" y="55"/>
                <a:pt x="38" y="55"/>
              </a:cubicBezTo>
              <a:cubicBezTo>
                <a:pt x="57" y="55"/>
                <a:pt x="57" y="55"/>
                <a:pt x="57" y="55"/>
              </a:cubicBezTo>
              <a:lnTo>
                <a:pt x="57" y="70"/>
              </a:lnTo>
              <a:close/>
              <a:moveTo>
                <a:pt x="57" y="37"/>
              </a:moveTo>
              <a:cubicBezTo>
                <a:pt x="38" y="37"/>
                <a:pt x="38" y="37"/>
                <a:pt x="38" y="37"/>
              </a:cubicBezTo>
              <a:cubicBezTo>
                <a:pt x="38" y="22"/>
                <a:pt x="38" y="22"/>
                <a:pt x="38" y="22"/>
              </a:cubicBezTo>
              <a:cubicBezTo>
                <a:pt x="57" y="22"/>
                <a:pt x="57" y="22"/>
                <a:pt x="57" y="22"/>
              </a:cubicBezTo>
              <a:lnTo>
                <a:pt x="57" y="37"/>
              </a:lnTo>
              <a:close/>
              <a:moveTo>
                <a:pt x="62" y="122"/>
              </a:moveTo>
              <a:cubicBezTo>
                <a:pt x="81" y="122"/>
                <a:pt x="81" y="122"/>
                <a:pt x="81" y="122"/>
              </a:cubicBezTo>
              <a:cubicBezTo>
                <a:pt x="81" y="137"/>
                <a:pt x="81" y="137"/>
                <a:pt x="81" y="137"/>
              </a:cubicBezTo>
              <a:cubicBezTo>
                <a:pt x="62" y="137"/>
                <a:pt x="62" y="137"/>
                <a:pt x="62" y="137"/>
              </a:cubicBezTo>
              <a:lnTo>
                <a:pt x="62" y="122"/>
              </a:lnTo>
              <a:close/>
              <a:moveTo>
                <a:pt x="68" y="153"/>
              </a:moveTo>
              <a:cubicBezTo>
                <a:pt x="95" y="153"/>
                <a:pt x="95" y="153"/>
                <a:pt x="95" y="153"/>
              </a:cubicBezTo>
              <a:cubicBezTo>
                <a:pt x="95" y="176"/>
                <a:pt x="95" y="176"/>
                <a:pt x="95" y="176"/>
              </a:cubicBezTo>
              <a:cubicBezTo>
                <a:pt x="68" y="176"/>
                <a:pt x="68" y="176"/>
                <a:pt x="68" y="176"/>
              </a:cubicBezTo>
              <a:lnTo>
                <a:pt x="68" y="153"/>
              </a:lnTo>
              <a:close/>
              <a:moveTo>
                <a:pt x="124" y="176"/>
              </a:moveTo>
              <a:cubicBezTo>
                <a:pt x="97" y="176"/>
                <a:pt x="97" y="176"/>
                <a:pt x="97" y="176"/>
              </a:cubicBezTo>
              <a:cubicBezTo>
                <a:pt x="97" y="153"/>
                <a:pt x="97" y="153"/>
                <a:pt x="97" y="153"/>
              </a:cubicBezTo>
              <a:cubicBezTo>
                <a:pt x="124" y="153"/>
                <a:pt x="124" y="153"/>
                <a:pt x="124" y="153"/>
              </a:cubicBezTo>
              <a:lnTo>
                <a:pt x="124" y="176"/>
              </a:lnTo>
              <a:close/>
              <a:moveTo>
                <a:pt x="130" y="137"/>
              </a:moveTo>
              <a:cubicBezTo>
                <a:pt x="111" y="137"/>
                <a:pt x="111" y="137"/>
                <a:pt x="111" y="137"/>
              </a:cubicBezTo>
              <a:cubicBezTo>
                <a:pt x="111" y="122"/>
                <a:pt x="111" y="122"/>
                <a:pt x="111" y="122"/>
              </a:cubicBezTo>
              <a:cubicBezTo>
                <a:pt x="130" y="122"/>
                <a:pt x="130" y="122"/>
                <a:pt x="130" y="122"/>
              </a:cubicBezTo>
              <a:lnTo>
                <a:pt x="130" y="137"/>
              </a:lnTo>
              <a:close/>
              <a:moveTo>
                <a:pt x="130" y="103"/>
              </a:moveTo>
              <a:cubicBezTo>
                <a:pt x="111" y="103"/>
                <a:pt x="111" y="103"/>
                <a:pt x="111" y="103"/>
              </a:cubicBezTo>
              <a:cubicBezTo>
                <a:pt x="111" y="88"/>
                <a:pt x="111" y="88"/>
                <a:pt x="111" y="88"/>
              </a:cubicBezTo>
              <a:cubicBezTo>
                <a:pt x="130" y="88"/>
                <a:pt x="130" y="88"/>
                <a:pt x="130" y="88"/>
              </a:cubicBezTo>
              <a:lnTo>
                <a:pt x="130" y="103"/>
              </a:lnTo>
              <a:close/>
              <a:moveTo>
                <a:pt x="130" y="70"/>
              </a:moveTo>
              <a:cubicBezTo>
                <a:pt x="111" y="70"/>
                <a:pt x="111" y="70"/>
                <a:pt x="111" y="70"/>
              </a:cubicBezTo>
              <a:cubicBezTo>
                <a:pt x="111" y="55"/>
                <a:pt x="111" y="55"/>
                <a:pt x="111" y="55"/>
              </a:cubicBezTo>
              <a:cubicBezTo>
                <a:pt x="130" y="55"/>
                <a:pt x="130" y="55"/>
                <a:pt x="130" y="55"/>
              </a:cubicBezTo>
              <a:lnTo>
                <a:pt x="130" y="70"/>
              </a:lnTo>
              <a:close/>
              <a:moveTo>
                <a:pt x="130" y="37"/>
              </a:moveTo>
              <a:cubicBezTo>
                <a:pt x="111" y="37"/>
                <a:pt x="111" y="37"/>
                <a:pt x="111" y="37"/>
              </a:cubicBezTo>
              <a:cubicBezTo>
                <a:pt x="111" y="22"/>
                <a:pt x="111" y="22"/>
                <a:pt x="111" y="22"/>
              </a:cubicBezTo>
              <a:cubicBezTo>
                <a:pt x="130" y="22"/>
                <a:pt x="130" y="22"/>
                <a:pt x="130" y="22"/>
              </a:cubicBezTo>
              <a:lnTo>
                <a:pt x="130" y="37"/>
              </a:lnTo>
              <a:close/>
              <a:moveTo>
                <a:pt x="154" y="137"/>
              </a:moveTo>
              <a:cubicBezTo>
                <a:pt x="135" y="137"/>
                <a:pt x="135" y="137"/>
                <a:pt x="135" y="137"/>
              </a:cubicBezTo>
              <a:cubicBezTo>
                <a:pt x="135" y="122"/>
                <a:pt x="135" y="122"/>
                <a:pt x="135" y="122"/>
              </a:cubicBezTo>
              <a:cubicBezTo>
                <a:pt x="154" y="122"/>
                <a:pt x="154" y="122"/>
                <a:pt x="154" y="122"/>
              </a:cubicBezTo>
              <a:lnTo>
                <a:pt x="154" y="137"/>
              </a:lnTo>
              <a:close/>
              <a:moveTo>
                <a:pt x="154" y="103"/>
              </a:moveTo>
              <a:cubicBezTo>
                <a:pt x="135" y="103"/>
                <a:pt x="135" y="103"/>
                <a:pt x="135" y="103"/>
              </a:cubicBezTo>
              <a:cubicBezTo>
                <a:pt x="135" y="88"/>
                <a:pt x="135" y="88"/>
                <a:pt x="135" y="88"/>
              </a:cubicBezTo>
              <a:cubicBezTo>
                <a:pt x="154" y="88"/>
                <a:pt x="154" y="88"/>
                <a:pt x="154" y="88"/>
              </a:cubicBezTo>
              <a:lnTo>
                <a:pt x="154" y="103"/>
              </a:lnTo>
              <a:close/>
              <a:moveTo>
                <a:pt x="154" y="70"/>
              </a:moveTo>
              <a:cubicBezTo>
                <a:pt x="135" y="70"/>
                <a:pt x="135" y="70"/>
                <a:pt x="135" y="70"/>
              </a:cubicBezTo>
              <a:cubicBezTo>
                <a:pt x="135" y="55"/>
                <a:pt x="135" y="55"/>
                <a:pt x="135" y="55"/>
              </a:cubicBezTo>
              <a:cubicBezTo>
                <a:pt x="154" y="55"/>
                <a:pt x="154" y="55"/>
                <a:pt x="154" y="55"/>
              </a:cubicBezTo>
              <a:lnTo>
                <a:pt x="154" y="70"/>
              </a:lnTo>
              <a:close/>
              <a:moveTo>
                <a:pt x="154" y="37"/>
              </a:moveTo>
              <a:cubicBezTo>
                <a:pt x="135" y="37"/>
                <a:pt x="135" y="37"/>
                <a:pt x="135" y="37"/>
              </a:cubicBezTo>
              <a:cubicBezTo>
                <a:pt x="135" y="22"/>
                <a:pt x="135" y="22"/>
                <a:pt x="135" y="22"/>
              </a:cubicBezTo>
              <a:cubicBezTo>
                <a:pt x="154" y="22"/>
                <a:pt x="154" y="22"/>
                <a:pt x="154" y="22"/>
              </a:cubicBezTo>
              <a:lnTo>
                <a:pt x="154" y="37"/>
              </a:lnTo>
              <a:close/>
              <a:moveTo>
                <a:pt x="178" y="137"/>
              </a:moveTo>
              <a:cubicBezTo>
                <a:pt x="159" y="137"/>
                <a:pt x="159" y="137"/>
                <a:pt x="159" y="137"/>
              </a:cubicBezTo>
              <a:cubicBezTo>
                <a:pt x="159" y="122"/>
                <a:pt x="159" y="122"/>
                <a:pt x="159" y="122"/>
              </a:cubicBezTo>
              <a:cubicBezTo>
                <a:pt x="178" y="122"/>
                <a:pt x="178" y="122"/>
                <a:pt x="178" y="122"/>
              </a:cubicBezTo>
              <a:lnTo>
                <a:pt x="178" y="137"/>
              </a:lnTo>
              <a:close/>
              <a:moveTo>
                <a:pt x="178" y="103"/>
              </a:moveTo>
              <a:cubicBezTo>
                <a:pt x="159" y="103"/>
                <a:pt x="159" y="103"/>
                <a:pt x="159" y="103"/>
              </a:cubicBezTo>
              <a:cubicBezTo>
                <a:pt x="159" y="88"/>
                <a:pt x="159" y="88"/>
                <a:pt x="159" y="88"/>
              </a:cubicBezTo>
              <a:cubicBezTo>
                <a:pt x="178" y="88"/>
                <a:pt x="178" y="88"/>
                <a:pt x="178" y="88"/>
              </a:cubicBezTo>
              <a:lnTo>
                <a:pt x="178" y="103"/>
              </a:lnTo>
              <a:close/>
              <a:moveTo>
                <a:pt x="178" y="70"/>
              </a:moveTo>
              <a:cubicBezTo>
                <a:pt x="159" y="70"/>
                <a:pt x="159" y="70"/>
                <a:pt x="159" y="70"/>
              </a:cubicBezTo>
              <a:cubicBezTo>
                <a:pt x="159" y="55"/>
                <a:pt x="159" y="55"/>
                <a:pt x="159" y="55"/>
              </a:cubicBezTo>
              <a:cubicBezTo>
                <a:pt x="178" y="55"/>
                <a:pt x="178" y="55"/>
                <a:pt x="178" y="55"/>
              </a:cubicBezTo>
              <a:lnTo>
                <a:pt x="178" y="70"/>
              </a:lnTo>
              <a:close/>
              <a:moveTo>
                <a:pt x="178" y="37"/>
              </a:moveTo>
              <a:cubicBezTo>
                <a:pt x="159" y="37"/>
                <a:pt x="159" y="37"/>
                <a:pt x="159" y="37"/>
              </a:cubicBezTo>
              <a:cubicBezTo>
                <a:pt x="159" y="22"/>
                <a:pt x="159" y="22"/>
                <a:pt x="159" y="22"/>
              </a:cubicBezTo>
              <a:cubicBezTo>
                <a:pt x="178" y="22"/>
                <a:pt x="178" y="22"/>
                <a:pt x="178" y="22"/>
              </a:cubicBezTo>
              <a:lnTo>
                <a:pt x="178" y="37"/>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rgbClr val="009C89"/>
            </a:solidFill>
            <a:effectLst/>
            <a:uLnTx/>
            <a:uFillTx/>
            <a:latin typeface="Arial"/>
            <a:ea typeface="Meiryo UI"/>
          </a:endParaRPr>
        </a:p>
      </xdr:txBody>
    </xdr:sp>
    <xdr:clientData/>
  </xdr:twoCellAnchor>
  <xdr:twoCellAnchor>
    <xdr:from>
      <xdr:col>9</xdr:col>
      <xdr:colOff>183602</xdr:colOff>
      <xdr:row>92</xdr:row>
      <xdr:rowOff>201906</xdr:rowOff>
    </xdr:from>
    <xdr:to>
      <xdr:col>10</xdr:col>
      <xdr:colOff>976449</xdr:colOff>
      <xdr:row>94</xdr:row>
      <xdr:rowOff>65718</xdr:rowOff>
    </xdr:to>
    <xdr:sp macro="" textlink="">
      <xdr:nvSpPr>
        <xdr:cNvPr id="143" name="テキスト ボックス 41">
          <a:extLst>
            <a:ext uri="{FF2B5EF4-FFF2-40B4-BE49-F238E27FC236}">
              <a16:creationId xmlns:a16="http://schemas.microsoft.com/office/drawing/2014/main" id="{679836E1-FE38-40B6-B09F-139A864437AF}"/>
            </a:ext>
          </a:extLst>
        </xdr:cNvPr>
        <xdr:cNvSpPr txBox="1">
          <a:spLocks noChangeArrowheads="1"/>
        </xdr:cNvSpPr>
      </xdr:nvSpPr>
      <xdr:spPr bwMode="auto">
        <a:xfrm>
          <a:off x="7946477" y="21147381"/>
          <a:ext cx="1821547" cy="34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10</xdr:col>
      <xdr:colOff>35903</xdr:colOff>
      <xdr:row>79</xdr:row>
      <xdr:rowOff>76185</xdr:rowOff>
    </xdr:from>
    <xdr:to>
      <xdr:col>11</xdr:col>
      <xdr:colOff>440448</xdr:colOff>
      <xdr:row>81</xdr:row>
      <xdr:rowOff>184333</xdr:rowOff>
    </xdr:to>
    <xdr:grpSp>
      <xdr:nvGrpSpPr>
        <xdr:cNvPr id="144" name="グループ化 143">
          <a:extLst>
            <a:ext uri="{FF2B5EF4-FFF2-40B4-BE49-F238E27FC236}">
              <a16:creationId xmlns:a16="http://schemas.microsoft.com/office/drawing/2014/main" id="{230C5911-6C87-44E8-8A7B-2D5E59CFD649}"/>
            </a:ext>
          </a:extLst>
        </xdr:cNvPr>
        <xdr:cNvGrpSpPr/>
      </xdr:nvGrpSpPr>
      <xdr:grpSpPr>
        <a:xfrm>
          <a:off x="9716767" y="17913912"/>
          <a:ext cx="1426317" cy="555246"/>
          <a:chOff x="7524327" y="483966"/>
          <a:chExt cx="622720" cy="622720"/>
        </a:xfrm>
        <a:solidFill>
          <a:schemeClr val="accent2">
            <a:lumMod val="20000"/>
            <a:lumOff val="80000"/>
          </a:schemeClr>
        </a:solidFill>
      </xdr:grpSpPr>
      <xdr:sp macro="" textlink="">
        <xdr:nvSpPr>
          <xdr:cNvPr id="145" name="円/楕円 29">
            <a:extLst>
              <a:ext uri="{FF2B5EF4-FFF2-40B4-BE49-F238E27FC236}">
                <a16:creationId xmlns:a16="http://schemas.microsoft.com/office/drawing/2014/main" id="{0B7D5764-6217-DAD9-5394-A0723D165501}"/>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6" name="テキスト ボックス 277">
            <a:extLst>
              <a:ext uri="{FF2B5EF4-FFF2-40B4-BE49-F238E27FC236}">
                <a16:creationId xmlns:a16="http://schemas.microsoft.com/office/drawing/2014/main" id="{5906619A-A609-BA38-46A1-3263BEBA6C72}"/>
              </a:ext>
            </a:extLst>
          </xdr:cNvPr>
          <xdr:cNvSpPr txBox="1"/>
        </xdr:nvSpPr>
        <xdr:spPr>
          <a:xfrm>
            <a:off x="7587601" y="626049"/>
            <a:ext cx="496174" cy="47594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9</xdr:col>
      <xdr:colOff>929879</xdr:colOff>
      <xdr:row>97</xdr:row>
      <xdr:rowOff>720</xdr:rowOff>
    </xdr:from>
    <xdr:to>
      <xdr:col>11</xdr:col>
      <xdr:colOff>270952</xdr:colOff>
      <xdr:row>99</xdr:row>
      <xdr:rowOff>108868</xdr:rowOff>
    </xdr:to>
    <xdr:grpSp>
      <xdr:nvGrpSpPr>
        <xdr:cNvPr id="147" name="グループ化 146">
          <a:extLst>
            <a:ext uri="{FF2B5EF4-FFF2-40B4-BE49-F238E27FC236}">
              <a16:creationId xmlns:a16="http://schemas.microsoft.com/office/drawing/2014/main" id="{84AC1275-ADA8-47B6-BE25-D4C99063598F}"/>
            </a:ext>
          </a:extLst>
        </xdr:cNvPr>
        <xdr:cNvGrpSpPr/>
      </xdr:nvGrpSpPr>
      <xdr:grpSpPr>
        <a:xfrm>
          <a:off x="9585795" y="21890902"/>
          <a:ext cx="1390968" cy="555246"/>
          <a:chOff x="7524327" y="483966"/>
          <a:chExt cx="622720" cy="622720"/>
        </a:xfrm>
        <a:solidFill>
          <a:schemeClr val="accent2">
            <a:lumMod val="20000"/>
            <a:lumOff val="80000"/>
          </a:schemeClr>
        </a:solidFill>
      </xdr:grpSpPr>
      <xdr:sp macro="" textlink="">
        <xdr:nvSpPr>
          <xdr:cNvPr id="148" name="円/楕円 29">
            <a:extLst>
              <a:ext uri="{FF2B5EF4-FFF2-40B4-BE49-F238E27FC236}">
                <a16:creationId xmlns:a16="http://schemas.microsoft.com/office/drawing/2014/main" id="{CE724BF9-85BC-6CFE-0D83-7794DCFD1BC0}"/>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9" name="テキスト ボックス 282">
            <a:extLst>
              <a:ext uri="{FF2B5EF4-FFF2-40B4-BE49-F238E27FC236}">
                <a16:creationId xmlns:a16="http://schemas.microsoft.com/office/drawing/2014/main" id="{B12DEEB5-3211-CC17-FDB6-2B7111550A47}"/>
              </a:ext>
            </a:extLst>
          </xdr:cNvPr>
          <xdr:cNvSpPr txBox="1"/>
        </xdr:nvSpPr>
        <xdr:spPr>
          <a:xfrm>
            <a:off x="7587601" y="626049"/>
            <a:ext cx="496174" cy="469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293231</xdr:colOff>
      <xdr:row>100</xdr:row>
      <xdr:rowOff>183365</xdr:rowOff>
    </xdr:from>
    <xdr:to>
      <xdr:col>11</xdr:col>
      <xdr:colOff>158856</xdr:colOff>
      <xdr:row>104</xdr:row>
      <xdr:rowOff>68667</xdr:rowOff>
    </xdr:to>
    <xdr:grpSp>
      <xdr:nvGrpSpPr>
        <xdr:cNvPr id="150" name="グループ化 149">
          <a:extLst>
            <a:ext uri="{FF2B5EF4-FFF2-40B4-BE49-F238E27FC236}">
              <a16:creationId xmlns:a16="http://schemas.microsoft.com/office/drawing/2014/main" id="{1B558DC8-198A-46BE-BA46-F7DFE9E26F4D}"/>
            </a:ext>
          </a:extLst>
        </xdr:cNvPr>
        <xdr:cNvGrpSpPr>
          <a:grpSpLocks noChangeAspect="1"/>
        </xdr:cNvGrpSpPr>
      </xdr:nvGrpSpPr>
      <xdr:grpSpPr>
        <a:xfrm>
          <a:off x="9977270" y="22745781"/>
          <a:ext cx="887397" cy="785847"/>
          <a:chOff x="0" y="0"/>
          <a:chExt cx="2187868" cy="1815464"/>
        </a:xfrm>
        <a:solidFill>
          <a:srgbClr val="0070C0"/>
        </a:solidFill>
      </xdr:grpSpPr>
      <xdr:sp macro="" textlink="">
        <xdr:nvSpPr>
          <xdr:cNvPr id="151" name="Freeform 38">
            <a:extLst>
              <a:ext uri="{FF2B5EF4-FFF2-40B4-BE49-F238E27FC236}">
                <a16:creationId xmlns:a16="http://schemas.microsoft.com/office/drawing/2014/main" id="{28623608-1996-A269-F0FF-01B80F16B8EC}"/>
              </a:ext>
            </a:extLst>
          </xdr:cNvPr>
          <xdr:cNvSpPr>
            <a:spLocks noEditPoints="1"/>
          </xdr:cNvSpPr>
        </xdr:nvSpPr>
        <xdr:spPr bwMode="auto">
          <a:xfrm>
            <a:off x="93101" y="756443"/>
            <a:ext cx="2013304" cy="1059021"/>
          </a:xfrm>
          <a:custGeom>
            <a:avLst/>
            <a:gdLst>
              <a:gd name="T0" fmla="*/ 0 w 173"/>
              <a:gd name="T1" fmla="*/ 0 h 91"/>
              <a:gd name="T2" fmla="*/ 0 w 173"/>
              <a:gd name="T3" fmla="*/ 91 h 91"/>
              <a:gd name="T4" fmla="*/ 173 w 173"/>
              <a:gd name="T5" fmla="*/ 91 h 91"/>
              <a:gd name="T6" fmla="*/ 173 w 173"/>
              <a:gd name="T7" fmla="*/ 0 h 91"/>
              <a:gd name="T8" fmla="*/ 0 w 173"/>
              <a:gd name="T9" fmla="*/ 0 h 91"/>
              <a:gd name="T10" fmla="*/ 0 w 173"/>
              <a:gd name="T11" fmla="*/ 0 h 91"/>
              <a:gd name="T12" fmla="*/ 0 w 173"/>
              <a:gd name="T13" fmla="*/ 0 h 91"/>
              <a:gd name="T14" fmla="*/ 0 w 173"/>
              <a:gd name="T15" fmla="*/ 0 h 91"/>
              <a:gd name="T16" fmla="*/ 0 w 173"/>
              <a:gd name="T17" fmla="*/ 0 h 91"/>
              <a:gd name="T18" fmla="*/ 84 w 173"/>
              <a:gd name="T19" fmla="*/ 85 h 91"/>
              <a:gd name="T20" fmla="*/ 59 w 173"/>
              <a:gd name="T21" fmla="*/ 85 h 91"/>
              <a:gd name="T22" fmla="*/ 59 w 173"/>
              <a:gd name="T23" fmla="*/ 25 h 91"/>
              <a:gd name="T24" fmla="*/ 84 w 173"/>
              <a:gd name="T25" fmla="*/ 25 h 91"/>
              <a:gd name="T26" fmla="*/ 84 w 173"/>
              <a:gd name="T27" fmla="*/ 85 h 91"/>
              <a:gd name="T28" fmla="*/ 84 w 173"/>
              <a:gd name="T29" fmla="*/ 85 h 91"/>
              <a:gd name="T30" fmla="*/ 84 w 173"/>
              <a:gd name="T31" fmla="*/ 85 h 91"/>
              <a:gd name="T32" fmla="*/ 84 w 173"/>
              <a:gd name="T33" fmla="*/ 85 h 91"/>
              <a:gd name="T34" fmla="*/ 84 w 173"/>
              <a:gd name="T35" fmla="*/ 85 h 91"/>
              <a:gd name="T36" fmla="*/ 115 w 173"/>
              <a:gd name="T37" fmla="*/ 85 h 91"/>
              <a:gd name="T38" fmla="*/ 89 w 173"/>
              <a:gd name="T39" fmla="*/ 85 h 91"/>
              <a:gd name="T40" fmla="*/ 89 w 173"/>
              <a:gd name="T41" fmla="*/ 25 h 91"/>
              <a:gd name="T42" fmla="*/ 115 w 173"/>
              <a:gd name="T43" fmla="*/ 25 h 91"/>
              <a:gd name="T44" fmla="*/ 115 w 173"/>
              <a:gd name="T45" fmla="*/ 85 h 91"/>
              <a:gd name="T46" fmla="*/ 115 w 173"/>
              <a:gd name="T47" fmla="*/ 85 h 91"/>
              <a:gd name="T48" fmla="*/ 115 w 173"/>
              <a:gd name="T49" fmla="*/ 85 h 91"/>
              <a:gd name="T50" fmla="*/ 115 w 173"/>
              <a:gd name="T51" fmla="*/ 85 h 91"/>
              <a:gd name="T52" fmla="*/ 115 w 173"/>
              <a:gd name="T53" fmla="*/ 85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73" h="91">
                <a:moveTo>
                  <a:pt x="0" y="0"/>
                </a:moveTo>
                <a:lnTo>
                  <a:pt x="0" y="91"/>
                </a:lnTo>
                <a:lnTo>
                  <a:pt x="173" y="91"/>
                </a:lnTo>
                <a:lnTo>
                  <a:pt x="173" y="0"/>
                </a:lnTo>
                <a:lnTo>
                  <a:pt x="0" y="0"/>
                </a:lnTo>
                <a:lnTo>
                  <a:pt x="0" y="0"/>
                </a:lnTo>
                <a:lnTo>
                  <a:pt x="0" y="0"/>
                </a:lnTo>
                <a:lnTo>
                  <a:pt x="0" y="0"/>
                </a:lnTo>
                <a:lnTo>
                  <a:pt x="0" y="0"/>
                </a:lnTo>
                <a:close/>
                <a:moveTo>
                  <a:pt x="84" y="85"/>
                </a:moveTo>
                <a:lnTo>
                  <a:pt x="59" y="85"/>
                </a:lnTo>
                <a:lnTo>
                  <a:pt x="59" y="25"/>
                </a:lnTo>
                <a:lnTo>
                  <a:pt x="84" y="25"/>
                </a:lnTo>
                <a:lnTo>
                  <a:pt x="84" y="85"/>
                </a:lnTo>
                <a:lnTo>
                  <a:pt x="84" y="85"/>
                </a:lnTo>
                <a:lnTo>
                  <a:pt x="84" y="85"/>
                </a:lnTo>
                <a:lnTo>
                  <a:pt x="84" y="85"/>
                </a:lnTo>
                <a:lnTo>
                  <a:pt x="84" y="85"/>
                </a:lnTo>
                <a:close/>
                <a:moveTo>
                  <a:pt x="115" y="85"/>
                </a:moveTo>
                <a:lnTo>
                  <a:pt x="89" y="85"/>
                </a:lnTo>
                <a:lnTo>
                  <a:pt x="89" y="25"/>
                </a:lnTo>
                <a:lnTo>
                  <a:pt x="115" y="25"/>
                </a:lnTo>
                <a:lnTo>
                  <a:pt x="115" y="85"/>
                </a:lnTo>
                <a:lnTo>
                  <a:pt x="115" y="85"/>
                </a:lnTo>
                <a:lnTo>
                  <a:pt x="115" y="85"/>
                </a:lnTo>
                <a:lnTo>
                  <a:pt x="115" y="85"/>
                </a:lnTo>
                <a:lnTo>
                  <a:pt x="115" y="8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2" name="Freeform 39">
            <a:extLst>
              <a:ext uri="{FF2B5EF4-FFF2-40B4-BE49-F238E27FC236}">
                <a16:creationId xmlns:a16="http://schemas.microsoft.com/office/drawing/2014/main" id="{B9A7C05D-0401-08FC-7910-06457814C4E9}"/>
              </a:ext>
            </a:extLst>
          </xdr:cNvPr>
          <xdr:cNvSpPr>
            <a:spLocks/>
          </xdr:cNvSpPr>
        </xdr:nvSpPr>
        <xdr:spPr bwMode="auto">
          <a:xfrm>
            <a:off x="977558" y="1349961"/>
            <a:ext cx="69826" cy="128014"/>
          </a:xfrm>
          <a:custGeom>
            <a:avLst/>
            <a:gdLst>
              <a:gd name="T0" fmla="*/ 2 w 5"/>
              <a:gd name="T1" fmla="*/ 9 h 9"/>
              <a:gd name="T2" fmla="*/ 2 w 5"/>
              <a:gd name="T3" fmla="*/ 9 h 9"/>
              <a:gd name="T4" fmla="*/ 0 w 5"/>
              <a:gd name="T5" fmla="*/ 7 h 9"/>
              <a:gd name="T6" fmla="*/ 0 w 5"/>
              <a:gd name="T7" fmla="*/ 2 h 9"/>
              <a:gd name="T8" fmla="*/ 2 w 5"/>
              <a:gd name="T9" fmla="*/ 0 h 9"/>
              <a:gd name="T10" fmla="*/ 2 w 5"/>
              <a:gd name="T11" fmla="*/ 0 h 9"/>
              <a:gd name="T12" fmla="*/ 5 w 5"/>
              <a:gd name="T13" fmla="*/ 2 h 9"/>
              <a:gd name="T14" fmla="*/ 5 w 5"/>
              <a:gd name="T15" fmla="*/ 7 h 9"/>
              <a:gd name="T16" fmla="*/ 2 w 5"/>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4" y="0"/>
                  <a:pt x="5" y="1"/>
                  <a:pt x="5" y="2"/>
                </a:cubicBezTo>
                <a:cubicBezTo>
                  <a:pt x="5" y="7"/>
                  <a:pt x="5" y="7"/>
                  <a:pt x="5" y="7"/>
                </a:cubicBezTo>
                <a:cubicBezTo>
                  <a:pt x="5" y="8"/>
                  <a:pt x="4"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3" name="Freeform 40">
            <a:extLst>
              <a:ext uri="{FF2B5EF4-FFF2-40B4-BE49-F238E27FC236}">
                <a16:creationId xmlns:a16="http://schemas.microsoft.com/office/drawing/2014/main" id="{798EF0EF-D0F3-C498-8A82-41600FE9E03B}"/>
              </a:ext>
            </a:extLst>
          </xdr:cNvPr>
          <xdr:cNvSpPr>
            <a:spLocks/>
          </xdr:cNvSpPr>
        </xdr:nvSpPr>
        <xdr:spPr bwMode="auto">
          <a:xfrm>
            <a:off x="1163760" y="1349961"/>
            <a:ext cx="58188" cy="128014"/>
          </a:xfrm>
          <a:custGeom>
            <a:avLst/>
            <a:gdLst>
              <a:gd name="T0" fmla="*/ 2 w 4"/>
              <a:gd name="T1" fmla="*/ 9 h 9"/>
              <a:gd name="T2" fmla="*/ 2 w 4"/>
              <a:gd name="T3" fmla="*/ 9 h 9"/>
              <a:gd name="T4" fmla="*/ 0 w 4"/>
              <a:gd name="T5" fmla="*/ 7 h 9"/>
              <a:gd name="T6" fmla="*/ 0 w 4"/>
              <a:gd name="T7" fmla="*/ 2 h 9"/>
              <a:gd name="T8" fmla="*/ 2 w 4"/>
              <a:gd name="T9" fmla="*/ 0 h 9"/>
              <a:gd name="T10" fmla="*/ 2 w 4"/>
              <a:gd name="T11" fmla="*/ 0 h 9"/>
              <a:gd name="T12" fmla="*/ 4 w 4"/>
              <a:gd name="T13" fmla="*/ 2 h 9"/>
              <a:gd name="T14" fmla="*/ 4 w 4"/>
              <a:gd name="T15" fmla="*/ 7 h 9"/>
              <a:gd name="T16" fmla="*/ 2 w 4"/>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3" y="0"/>
                  <a:pt x="4" y="1"/>
                  <a:pt x="4" y="2"/>
                </a:cubicBezTo>
                <a:cubicBezTo>
                  <a:pt x="4" y="7"/>
                  <a:pt x="4" y="7"/>
                  <a:pt x="4" y="7"/>
                </a:cubicBezTo>
                <a:cubicBezTo>
                  <a:pt x="4" y="8"/>
                  <a:pt x="3"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4" name="Freeform 41">
            <a:extLst>
              <a:ext uri="{FF2B5EF4-FFF2-40B4-BE49-F238E27FC236}">
                <a16:creationId xmlns:a16="http://schemas.microsoft.com/office/drawing/2014/main" id="{5E1F44B0-CF9B-3212-13B0-EB3251104AD0}"/>
              </a:ext>
            </a:extLst>
          </xdr:cNvPr>
          <xdr:cNvSpPr>
            <a:spLocks noEditPoints="1"/>
          </xdr:cNvSpPr>
        </xdr:nvSpPr>
        <xdr:spPr bwMode="auto">
          <a:xfrm>
            <a:off x="0" y="0"/>
            <a:ext cx="2187868" cy="674981"/>
          </a:xfrm>
          <a:custGeom>
            <a:avLst/>
            <a:gdLst>
              <a:gd name="T0" fmla="*/ 152 w 159"/>
              <a:gd name="T1" fmla="*/ 28 h 49"/>
              <a:gd name="T2" fmla="*/ 152 w 159"/>
              <a:gd name="T3" fmla="*/ 28 h 49"/>
              <a:gd name="T4" fmla="*/ 152 w 159"/>
              <a:gd name="T5" fmla="*/ 7 h 49"/>
              <a:gd name="T6" fmla="*/ 146 w 159"/>
              <a:gd name="T7" fmla="*/ 0 h 49"/>
              <a:gd name="T8" fmla="*/ 13 w 159"/>
              <a:gd name="T9" fmla="*/ 0 h 49"/>
              <a:gd name="T10" fmla="*/ 7 w 159"/>
              <a:gd name="T11" fmla="*/ 7 h 49"/>
              <a:gd name="T12" fmla="*/ 7 w 159"/>
              <a:gd name="T13" fmla="*/ 28 h 49"/>
              <a:gd name="T14" fmla="*/ 7 w 159"/>
              <a:gd name="T15" fmla="*/ 28 h 49"/>
              <a:gd name="T16" fmla="*/ 0 w 159"/>
              <a:gd name="T17" fmla="*/ 49 h 49"/>
              <a:gd name="T18" fmla="*/ 158 w 159"/>
              <a:gd name="T19" fmla="*/ 49 h 49"/>
              <a:gd name="T20" fmla="*/ 159 w 159"/>
              <a:gd name="T21" fmla="*/ 49 h 49"/>
              <a:gd name="T22" fmla="*/ 152 w 159"/>
              <a:gd name="T23" fmla="*/ 28 h 49"/>
              <a:gd name="T24" fmla="*/ 45 w 159"/>
              <a:gd name="T25" fmla="*/ 12 h 49"/>
              <a:gd name="T26" fmla="*/ 115 w 159"/>
              <a:gd name="T27" fmla="*/ 12 h 49"/>
              <a:gd name="T28" fmla="*/ 115 w 159"/>
              <a:gd name="T29" fmla="*/ 34 h 49"/>
              <a:gd name="T30" fmla="*/ 45 w 159"/>
              <a:gd name="T31" fmla="*/ 34 h 49"/>
              <a:gd name="T32" fmla="*/ 45 w 159"/>
              <a:gd name="T33" fmla="*/ 12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9" h="49">
                <a:moveTo>
                  <a:pt x="152" y="28"/>
                </a:moveTo>
                <a:cubicBezTo>
                  <a:pt x="152" y="28"/>
                  <a:pt x="152" y="28"/>
                  <a:pt x="152" y="28"/>
                </a:cubicBezTo>
                <a:cubicBezTo>
                  <a:pt x="152" y="7"/>
                  <a:pt x="152" y="7"/>
                  <a:pt x="152" y="7"/>
                </a:cubicBezTo>
                <a:cubicBezTo>
                  <a:pt x="152" y="3"/>
                  <a:pt x="150" y="0"/>
                  <a:pt x="146" y="0"/>
                </a:cubicBezTo>
                <a:cubicBezTo>
                  <a:pt x="13" y="0"/>
                  <a:pt x="13" y="0"/>
                  <a:pt x="13" y="0"/>
                </a:cubicBezTo>
                <a:cubicBezTo>
                  <a:pt x="9" y="0"/>
                  <a:pt x="7" y="3"/>
                  <a:pt x="7" y="7"/>
                </a:cubicBezTo>
                <a:cubicBezTo>
                  <a:pt x="7" y="28"/>
                  <a:pt x="7" y="28"/>
                  <a:pt x="7" y="28"/>
                </a:cubicBezTo>
                <a:cubicBezTo>
                  <a:pt x="7" y="28"/>
                  <a:pt x="7" y="28"/>
                  <a:pt x="7" y="28"/>
                </a:cubicBezTo>
                <a:cubicBezTo>
                  <a:pt x="0" y="49"/>
                  <a:pt x="0" y="49"/>
                  <a:pt x="0" y="49"/>
                </a:cubicBezTo>
                <a:cubicBezTo>
                  <a:pt x="158" y="49"/>
                  <a:pt x="158" y="49"/>
                  <a:pt x="158" y="49"/>
                </a:cubicBezTo>
                <a:cubicBezTo>
                  <a:pt x="159" y="49"/>
                  <a:pt x="159" y="49"/>
                  <a:pt x="159" y="49"/>
                </a:cubicBezTo>
                <a:lnTo>
                  <a:pt x="152" y="28"/>
                </a:lnTo>
                <a:close/>
                <a:moveTo>
                  <a:pt x="45" y="12"/>
                </a:moveTo>
                <a:cubicBezTo>
                  <a:pt x="115" y="12"/>
                  <a:pt x="115" y="12"/>
                  <a:pt x="115" y="12"/>
                </a:cubicBezTo>
                <a:cubicBezTo>
                  <a:pt x="115" y="34"/>
                  <a:pt x="115" y="34"/>
                  <a:pt x="115" y="34"/>
                </a:cubicBezTo>
                <a:cubicBezTo>
                  <a:pt x="45" y="34"/>
                  <a:pt x="45" y="34"/>
                  <a:pt x="45" y="34"/>
                </a:cubicBezTo>
                <a:lnTo>
                  <a:pt x="45" y="1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5" name="Freeform 42">
            <a:extLst>
              <a:ext uri="{FF2B5EF4-FFF2-40B4-BE49-F238E27FC236}">
                <a16:creationId xmlns:a16="http://schemas.microsoft.com/office/drawing/2014/main" id="{6E1DEB73-414F-1AD3-8741-00D69A990C07}"/>
              </a:ext>
            </a:extLst>
          </xdr:cNvPr>
          <xdr:cNvSpPr>
            <a:spLocks/>
          </xdr:cNvSpPr>
        </xdr:nvSpPr>
        <xdr:spPr bwMode="auto">
          <a:xfrm>
            <a:off x="744807" y="221114"/>
            <a:ext cx="128014" cy="197839"/>
          </a:xfrm>
          <a:custGeom>
            <a:avLst/>
            <a:gdLst>
              <a:gd name="T0" fmla="*/ 6 w 10"/>
              <a:gd name="T1" fmla="*/ 6 h 14"/>
              <a:gd name="T2" fmla="*/ 4 w 10"/>
              <a:gd name="T3" fmla="*/ 5 h 14"/>
              <a:gd name="T4" fmla="*/ 3 w 10"/>
              <a:gd name="T5" fmla="*/ 4 h 14"/>
              <a:gd name="T6" fmla="*/ 4 w 10"/>
              <a:gd name="T7" fmla="*/ 2 h 14"/>
              <a:gd name="T8" fmla="*/ 6 w 10"/>
              <a:gd name="T9" fmla="*/ 2 h 14"/>
              <a:gd name="T10" fmla="*/ 9 w 10"/>
              <a:gd name="T11" fmla="*/ 3 h 14"/>
              <a:gd name="T12" fmla="*/ 9 w 10"/>
              <a:gd name="T13" fmla="*/ 0 h 14"/>
              <a:gd name="T14" fmla="*/ 6 w 10"/>
              <a:gd name="T15" fmla="*/ 0 h 14"/>
              <a:gd name="T16" fmla="*/ 2 w 10"/>
              <a:gd name="T17" fmla="*/ 1 h 14"/>
              <a:gd name="T18" fmla="*/ 0 w 10"/>
              <a:gd name="T19" fmla="*/ 4 h 14"/>
              <a:gd name="T20" fmla="*/ 4 w 10"/>
              <a:gd name="T21" fmla="*/ 8 h 14"/>
              <a:gd name="T22" fmla="*/ 6 w 10"/>
              <a:gd name="T23" fmla="*/ 9 h 14"/>
              <a:gd name="T24" fmla="*/ 7 w 10"/>
              <a:gd name="T25" fmla="*/ 10 h 14"/>
              <a:gd name="T26" fmla="*/ 6 w 10"/>
              <a:gd name="T27" fmla="*/ 11 h 14"/>
              <a:gd name="T28" fmla="*/ 4 w 10"/>
              <a:gd name="T29" fmla="*/ 12 h 14"/>
              <a:gd name="T30" fmla="*/ 0 w 10"/>
              <a:gd name="T31" fmla="*/ 10 h 14"/>
              <a:gd name="T32" fmla="*/ 0 w 10"/>
              <a:gd name="T33" fmla="*/ 13 h 14"/>
              <a:gd name="T34" fmla="*/ 4 w 10"/>
              <a:gd name="T35" fmla="*/ 14 h 14"/>
              <a:gd name="T36" fmla="*/ 8 w 10"/>
              <a:gd name="T37" fmla="*/ 13 h 14"/>
              <a:gd name="T38" fmla="*/ 10 w 10"/>
              <a:gd name="T39" fmla="*/ 10 h 14"/>
              <a:gd name="T40" fmla="*/ 9 w 10"/>
              <a:gd name="T41" fmla="*/ 8 h 14"/>
              <a:gd name="T42" fmla="*/ 6 w 10"/>
              <a:gd name="T43" fmla="*/ 6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 h="14">
                <a:moveTo>
                  <a:pt x="6" y="6"/>
                </a:moveTo>
                <a:cubicBezTo>
                  <a:pt x="5" y="5"/>
                  <a:pt x="4" y="5"/>
                  <a:pt x="4" y="5"/>
                </a:cubicBezTo>
                <a:cubicBezTo>
                  <a:pt x="4" y="4"/>
                  <a:pt x="3" y="4"/>
                  <a:pt x="3" y="4"/>
                </a:cubicBezTo>
                <a:cubicBezTo>
                  <a:pt x="3" y="3"/>
                  <a:pt x="4" y="3"/>
                  <a:pt x="4" y="2"/>
                </a:cubicBezTo>
                <a:cubicBezTo>
                  <a:pt x="5" y="2"/>
                  <a:pt x="5" y="2"/>
                  <a:pt x="6" y="2"/>
                </a:cubicBezTo>
                <a:cubicBezTo>
                  <a:pt x="7" y="2"/>
                  <a:pt x="8" y="2"/>
                  <a:pt x="9" y="3"/>
                </a:cubicBezTo>
                <a:cubicBezTo>
                  <a:pt x="9" y="0"/>
                  <a:pt x="9" y="0"/>
                  <a:pt x="9" y="0"/>
                </a:cubicBezTo>
                <a:cubicBezTo>
                  <a:pt x="8" y="0"/>
                  <a:pt x="7" y="0"/>
                  <a:pt x="6" y="0"/>
                </a:cubicBezTo>
                <a:cubicBezTo>
                  <a:pt x="4" y="0"/>
                  <a:pt x="3" y="0"/>
                  <a:pt x="2" y="1"/>
                </a:cubicBezTo>
                <a:cubicBezTo>
                  <a:pt x="1" y="2"/>
                  <a:pt x="0" y="3"/>
                  <a:pt x="0" y="4"/>
                </a:cubicBezTo>
                <a:cubicBezTo>
                  <a:pt x="0" y="6"/>
                  <a:pt x="1" y="7"/>
                  <a:pt x="4" y="8"/>
                </a:cubicBezTo>
                <a:cubicBezTo>
                  <a:pt x="5" y="8"/>
                  <a:pt x="6" y="9"/>
                  <a:pt x="6" y="9"/>
                </a:cubicBezTo>
                <a:cubicBezTo>
                  <a:pt x="7" y="10"/>
                  <a:pt x="7" y="10"/>
                  <a:pt x="7" y="10"/>
                </a:cubicBezTo>
                <a:cubicBezTo>
                  <a:pt x="7" y="11"/>
                  <a:pt x="6" y="11"/>
                  <a:pt x="6" y="11"/>
                </a:cubicBezTo>
                <a:cubicBezTo>
                  <a:pt x="6" y="12"/>
                  <a:pt x="5" y="12"/>
                  <a:pt x="4" y="12"/>
                </a:cubicBezTo>
                <a:cubicBezTo>
                  <a:pt x="3" y="12"/>
                  <a:pt x="2" y="11"/>
                  <a:pt x="0" y="10"/>
                </a:cubicBezTo>
                <a:cubicBezTo>
                  <a:pt x="0" y="13"/>
                  <a:pt x="0" y="13"/>
                  <a:pt x="0" y="13"/>
                </a:cubicBezTo>
                <a:cubicBezTo>
                  <a:pt x="1" y="14"/>
                  <a:pt x="3" y="14"/>
                  <a:pt x="4" y="14"/>
                </a:cubicBezTo>
                <a:cubicBezTo>
                  <a:pt x="6" y="14"/>
                  <a:pt x="7" y="14"/>
                  <a:pt x="8" y="13"/>
                </a:cubicBezTo>
                <a:cubicBezTo>
                  <a:pt x="9" y="12"/>
                  <a:pt x="10" y="11"/>
                  <a:pt x="10" y="10"/>
                </a:cubicBezTo>
                <a:cubicBezTo>
                  <a:pt x="10" y="9"/>
                  <a:pt x="10" y="8"/>
                  <a:pt x="9" y="8"/>
                </a:cubicBezTo>
                <a:cubicBezTo>
                  <a:pt x="9" y="7"/>
                  <a:pt x="8" y="6"/>
                  <a:pt x="6" y="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6" name="Freeform 43">
            <a:extLst>
              <a:ext uri="{FF2B5EF4-FFF2-40B4-BE49-F238E27FC236}">
                <a16:creationId xmlns:a16="http://schemas.microsoft.com/office/drawing/2014/main" id="{DB0A177B-8180-4A93-8E88-40E52A81569A}"/>
              </a:ext>
            </a:extLst>
          </xdr:cNvPr>
          <xdr:cNvSpPr>
            <a:spLocks/>
          </xdr:cNvSpPr>
        </xdr:nvSpPr>
        <xdr:spPr bwMode="auto">
          <a:xfrm>
            <a:off x="907733" y="221114"/>
            <a:ext cx="162926" cy="197839"/>
          </a:xfrm>
          <a:custGeom>
            <a:avLst/>
            <a:gdLst>
              <a:gd name="T0" fmla="*/ 10 w 14"/>
              <a:gd name="T1" fmla="*/ 7 h 17"/>
              <a:gd name="T2" fmla="*/ 3 w 14"/>
              <a:gd name="T3" fmla="*/ 7 h 17"/>
              <a:gd name="T4" fmla="*/ 3 w 14"/>
              <a:gd name="T5" fmla="*/ 0 h 17"/>
              <a:gd name="T6" fmla="*/ 0 w 14"/>
              <a:gd name="T7" fmla="*/ 0 h 17"/>
              <a:gd name="T8" fmla="*/ 0 w 14"/>
              <a:gd name="T9" fmla="*/ 17 h 17"/>
              <a:gd name="T10" fmla="*/ 3 w 14"/>
              <a:gd name="T11" fmla="*/ 17 h 17"/>
              <a:gd name="T12" fmla="*/ 3 w 14"/>
              <a:gd name="T13" fmla="*/ 9 h 17"/>
              <a:gd name="T14" fmla="*/ 10 w 14"/>
              <a:gd name="T15" fmla="*/ 9 h 17"/>
              <a:gd name="T16" fmla="*/ 10 w 14"/>
              <a:gd name="T17" fmla="*/ 17 h 17"/>
              <a:gd name="T18" fmla="*/ 14 w 14"/>
              <a:gd name="T19" fmla="*/ 17 h 17"/>
              <a:gd name="T20" fmla="*/ 14 w 14"/>
              <a:gd name="T21" fmla="*/ 0 h 17"/>
              <a:gd name="T22" fmla="*/ 10 w 14"/>
              <a:gd name="T23" fmla="*/ 0 h 17"/>
              <a:gd name="T24" fmla="*/ 10 w 14"/>
              <a:gd name="T25" fmla="*/ 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4" h="17">
                <a:moveTo>
                  <a:pt x="10" y="7"/>
                </a:moveTo>
                <a:lnTo>
                  <a:pt x="3" y="7"/>
                </a:lnTo>
                <a:lnTo>
                  <a:pt x="3" y="0"/>
                </a:lnTo>
                <a:lnTo>
                  <a:pt x="0" y="0"/>
                </a:lnTo>
                <a:lnTo>
                  <a:pt x="0" y="17"/>
                </a:lnTo>
                <a:lnTo>
                  <a:pt x="3" y="17"/>
                </a:lnTo>
                <a:lnTo>
                  <a:pt x="3" y="9"/>
                </a:lnTo>
                <a:lnTo>
                  <a:pt x="10" y="9"/>
                </a:lnTo>
                <a:lnTo>
                  <a:pt x="10" y="17"/>
                </a:lnTo>
                <a:lnTo>
                  <a:pt x="14" y="17"/>
                </a:lnTo>
                <a:lnTo>
                  <a:pt x="14" y="0"/>
                </a:lnTo>
                <a:lnTo>
                  <a:pt x="10" y="0"/>
                </a:lnTo>
                <a:lnTo>
                  <a:pt x="10" y="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7" name="Freeform 44">
            <a:extLst>
              <a:ext uri="{FF2B5EF4-FFF2-40B4-BE49-F238E27FC236}">
                <a16:creationId xmlns:a16="http://schemas.microsoft.com/office/drawing/2014/main" id="{65A2711A-60B1-5F74-85C7-9025A6EA8D0A}"/>
              </a:ext>
            </a:extLst>
          </xdr:cNvPr>
          <xdr:cNvSpPr>
            <a:spLocks noEditPoints="1"/>
          </xdr:cNvSpPr>
        </xdr:nvSpPr>
        <xdr:spPr bwMode="auto">
          <a:xfrm>
            <a:off x="1093934" y="221114"/>
            <a:ext cx="197839" cy="197839"/>
          </a:xfrm>
          <a:custGeom>
            <a:avLst/>
            <a:gdLst>
              <a:gd name="T0" fmla="*/ 7 w 14"/>
              <a:gd name="T1" fmla="*/ 0 h 14"/>
              <a:gd name="T2" fmla="*/ 2 w 14"/>
              <a:gd name="T3" fmla="*/ 2 h 14"/>
              <a:gd name="T4" fmla="*/ 0 w 14"/>
              <a:gd name="T5" fmla="*/ 7 h 14"/>
              <a:gd name="T6" fmla="*/ 2 w 14"/>
              <a:gd name="T7" fmla="*/ 12 h 14"/>
              <a:gd name="T8" fmla="*/ 7 w 14"/>
              <a:gd name="T9" fmla="*/ 14 h 14"/>
              <a:gd name="T10" fmla="*/ 12 w 14"/>
              <a:gd name="T11" fmla="*/ 12 h 14"/>
              <a:gd name="T12" fmla="*/ 14 w 14"/>
              <a:gd name="T13" fmla="*/ 7 h 14"/>
              <a:gd name="T14" fmla="*/ 12 w 14"/>
              <a:gd name="T15" fmla="*/ 2 h 14"/>
              <a:gd name="T16" fmla="*/ 7 w 14"/>
              <a:gd name="T17" fmla="*/ 0 h 14"/>
              <a:gd name="T18" fmla="*/ 10 w 14"/>
              <a:gd name="T19" fmla="*/ 10 h 14"/>
              <a:gd name="T20" fmla="*/ 7 w 14"/>
              <a:gd name="T21" fmla="*/ 12 h 14"/>
              <a:gd name="T22" fmla="*/ 4 w 14"/>
              <a:gd name="T23" fmla="*/ 10 h 14"/>
              <a:gd name="T24" fmla="*/ 3 w 14"/>
              <a:gd name="T25" fmla="*/ 7 h 14"/>
              <a:gd name="T26" fmla="*/ 4 w 14"/>
              <a:gd name="T27" fmla="*/ 4 h 14"/>
              <a:gd name="T28" fmla="*/ 7 w 14"/>
              <a:gd name="T29" fmla="*/ 2 h 14"/>
              <a:gd name="T30" fmla="*/ 10 w 14"/>
              <a:gd name="T31" fmla="*/ 4 h 14"/>
              <a:gd name="T32" fmla="*/ 11 w 14"/>
              <a:gd name="T33" fmla="*/ 7 h 14"/>
              <a:gd name="T34" fmla="*/ 10 w 14"/>
              <a:gd name="T35" fmla="*/ 10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4" h="14">
                <a:moveTo>
                  <a:pt x="7" y="0"/>
                </a:moveTo>
                <a:cubicBezTo>
                  <a:pt x="5" y="0"/>
                  <a:pt x="4" y="0"/>
                  <a:pt x="2" y="2"/>
                </a:cubicBezTo>
                <a:cubicBezTo>
                  <a:pt x="1" y="3"/>
                  <a:pt x="0" y="5"/>
                  <a:pt x="0" y="7"/>
                </a:cubicBezTo>
                <a:cubicBezTo>
                  <a:pt x="0" y="9"/>
                  <a:pt x="1" y="11"/>
                  <a:pt x="2" y="12"/>
                </a:cubicBezTo>
                <a:cubicBezTo>
                  <a:pt x="3" y="13"/>
                  <a:pt x="5" y="14"/>
                  <a:pt x="7" y="14"/>
                </a:cubicBezTo>
                <a:cubicBezTo>
                  <a:pt x="9" y="14"/>
                  <a:pt x="11" y="13"/>
                  <a:pt x="12" y="12"/>
                </a:cubicBezTo>
                <a:cubicBezTo>
                  <a:pt x="13" y="11"/>
                  <a:pt x="14" y="9"/>
                  <a:pt x="14" y="7"/>
                </a:cubicBezTo>
                <a:cubicBezTo>
                  <a:pt x="14" y="5"/>
                  <a:pt x="13" y="3"/>
                  <a:pt x="12" y="2"/>
                </a:cubicBezTo>
                <a:cubicBezTo>
                  <a:pt x="11" y="0"/>
                  <a:pt x="9" y="0"/>
                  <a:pt x="7" y="0"/>
                </a:cubicBezTo>
                <a:close/>
                <a:moveTo>
                  <a:pt x="10" y="10"/>
                </a:moveTo>
                <a:cubicBezTo>
                  <a:pt x="9" y="11"/>
                  <a:pt x="8" y="12"/>
                  <a:pt x="7" y="12"/>
                </a:cubicBezTo>
                <a:cubicBezTo>
                  <a:pt x="6" y="12"/>
                  <a:pt x="5" y="11"/>
                  <a:pt x="4" y="10"/>
                </a:cubicBezTo>
                <a:cubicBezTo>
                  <a:pt x="4" y="9"/>
                  <a:pt x="3" y="8"/>
                  <a:pt x="3" y="7"/>
                </a:cubicBezTo>
                <a:cubicBezTo>
                  <a:pt x="3" y="6"/>
                  <a:pt x="4" y="4"/>
                  <a:pt x="4" y="4"/>
                </a:cubicBezTo>
                <a:cubicBezTo>
                  <a:pt x="5" y="3"/>
                  <a:pt x="6" y="2"/>
                  <a:pt x="7" y="2"/>
                </a:cubicBezTo>
                <a:cubicBezTo>
                  <a:pt x="8" y="2"/>
                  <a:pt x="9" y="3"/>
                  <a:pt x="10" y="4"/>
                </a:cubicBezTo>
                <a:cubicBezTo>
                  <a:pt x="11" y="4"/>
                  <a:pt x="11" y="6"/>
                  <a:pt x="11" y="7"/>
                </a:cubicBezTo>
                <a:cubicBezTo>
                  <a:pt x="11" y="8"/>
                  <a:pt x="11" y="9"/>
                  <a:pt x="10" y="1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8" name="Freeform 45">
            <a:extLst>
              <a:ext uri="{FF2B5EF4-FFF2-40B4-BE49-F238E27FC236}">
                <a16:creationId xmlns:a16="http://schemas.microsoft.com/office/drawing/2014/main" id="{261AD754-BB21-BD32-2BA2-20F24A31A727}"/>
              </a:ext>
            </a:extLst>
          </xdr:cNvPr>
          <xdr:cNvSpPr>
            <a:spLocks noEditPoints="1"/>
          </xdr:cNvSpPr>
        </xdr:nvSpPr>
        <xdr:spPr bwMode="auto">
          <a:xfrm>
            <a:off x="1315049" y="221114"/>
            <a:ext cx="139651" cy="197839"/>
          </a:xfrm>
          <a:custGeom>
            <a:avLst/>
            <a:gdLst>
              <a:gd name="T0" fmla="*/ 5 w 10"/>
              <a:gd name="T1" fmla="*/ 0 h 14"/>
              <a:gd name="T2" fmla="*/ 0 w 10"/>
              <a:gd name="T3" fmla="*/ 0 h 14"/>
              <a:gd name="T4" fmla="*/ 0 w 10"/>
              <a:gd name="T5" fmla="*/ 14 h 14"/>
              <a:gd name="T6" fmla="*/ 3 w 10"/>
              <a:gd name="T7" fmla="*/ 14 h 14"/>
              <a:gd name="T8" fmla="*/ 3 w 10"/>
              <a:gd name="T9" fmla="*/ 9 h 14"/>
              <a:gd name="T10" fmla="*/ 5 w 10"/>
              <a:gd name="T11" fmla="*/ 9 h 14"/>
              <a:gd name="T12" fmla="*/ 9 w 10"/>
              <a:gd name="T13" fmla="*/ 8 h 14"/>
              <a:gd name="T14" fmla="*/ 10 w 10"/>
              <a:gd name="T15" fmla="*/ 4 h 14"/>
              <a:gd name="T16" fmla="*/ 5 w 10"/>
              <a:gd name="T17" fmla="*/ 0 h 14"/>
              <a:gd name="T18" fmla="*/ 5 w 10"/>
              <a:gd name="T19" fmla="*/ 7 h 14"/>
              <a:gd name="T20" fmla="*/ 3 w 10"/>
              <a:gd name="T21" fmla="*/ 7 h 14"/>
              <a:gd name="T22" fmla="*/ 3 w 10"/>
              <a:gd name="T23" fmla="*/ 2 h 14"/>
              <a:gd name="T24" fmla="*/ 5 w 10"/>
              <a:gd name="T25" fmla="*/ 2 h 14"/>
              <a:gd name="T26" fmla="*/ 7 w 10"/>
              <a:gd name="T27" fmla="*/ 4 h 14"/>
              <a:gd name="T28" fmla="*/ 5 w 10"/>
              <a:gd name="T29" fmla="*/ 7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0" h="14">
                <a:moveTo>
                  <a:pt x="5" y="0"/>
                </a:moveTo>
                <a:cubicBezTo>
                  <a:pt x="0" y="0"/>
                  <a:pt x="0" y="0"/>
                  <a:pt x="0" y="0"/>
                </a:cubicBezTo>
                <a:cubicBezTo>
                  <a:pt x="0" y="14"/>
                  <a:pt x="0" y="14"/>
                  <a:pt x="0" y="14"/>
                </a:cubicBezTo>
                <a:cubicBezTo>
                  <a:pt x="3" y="14"/>
                  <a:pt x="3" y="14"/>
                  <a:pt x="3" y="14"/>
                </a:cubicBezTo>
                <a:cubicBezTo>
                  <a:pt x="3" y="9"/>
                  <a:pt x="3" y="9"/>
                  <a:pt x="3" y="9"/>
                </a:cubicBezTo>
                <a:cubicBezTo>
                  <a:pt x="5" y="9"/>
                  <a:pt x="5" y="9"/>
                  <a:pt x="5" y="9"/>
                </a:cubicBezTo>
                <a:cubicBezTo>
                  <a:pt x="6" y="9"/>
                  <a:pt x="8" y="9"/>
                  <a:pt x="9" y="8"/>
                </a:cubicBezTo>
                <a:cubicBezTo>
                  <a:pt x="10" y="7"/>
                  <a:pt x="10" y="6"/>
                  <a:pt x="10" y="4"/>
                </a:cubicBezTo>
                <a:cubicBezTo>
                  <a:pt x="10" y="1"/>
                  <a:pt x="9" y="0"/>
                  <a:pt x="5" y="0"/>
                </a:cubicBezTo>
                <a:close/>
                <a:moveTo>
                  <a:pt x="5" y="7"/>
                </a:moveTo>
                <a:cubicBezTo>
                  <a:pt x="3" y="7"/>
                  <a:pt x="3" y="7"/>
                  <a:pt x="3" y="7"/>
                </a:cubicBezTo>
                <a:cubicBezTo>
                  <a:pt x="3" y="2"/>
                  <a:pt x="3" y="2"/>
                  <a:pt x="3" y="2"/>
                </a:cubicBezTo>
                <a:cubicBezTo>
                  <a:pt x="5" y="2"/>
                  <a:pt x="5" y="2"/>
                  <a:pt x="5" y="2"/>
                </a:cubicBezTo>
                <a:cubicBezTo>
                  <a:pt x="6" y="2"/>
                  <a:pt x="7" y="3"/>
                  <a:pt x="7" y="4"/>
                </a:cubicBezTo>
                <a:cubicBezTo>
                  <a:pt x="7" y="6"/>
                  <a:pt x="6" y="7"/>
                  <a:pt x="5" y="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790847</xdr:colOff>
      <xdr:row>104</xdr:row>
      <xdr:rowOff>68231</xdr:rowOff>
    </xdr:from>
    <xdr:to>
      <xdr:col>10</xdr:col>
      <xdr:colOff>528941</xdr:colOff>
      <xdr:row>105</xdr:row>
      <xdr:rowOff>195647</xdr:rowOff>
    </xdr:to>
    <xdr:sp macro="" textlink="">
      <xdr:nvSpPr>
        <xdr:cNvPr id="159" name="テキスト ボックス 41">
          <a:extLst>
            <a:ext uri="{FF2B5EF4-FFF2-40B4-BE49-F238E27FC236}">
              <a16:creationId xmlns:a16="http://schemas.microsoft.com/office/drawing/2014/main" id="{B821EEFA-1E71-4ECB-9B19-535CB16CD4F7}"/>
            </a:ext>
          </a:extLst>
        </xdr:cNvPr>
        <xdr:cNvSpPr txBox="1">
          <a:spLocks noChangeArrowheads="1"/>
        </xdr:cNvSpPr>
      </xdr:nvSpPr>
      <xdr:spPr bwMode="auto">
        <a:xfrm>
          <a:off x="7525022" y="23871206"/>
          <a:ext cx="1795494"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9</xdr:col>
      <xdr:colOff>879981</xdr:colOff>
      <xdr:row>104</xdr:row>
      <xdr:rowOff>69224</xdr:rowOff>
    </xdr:from>
    <xdr:to>
      <xdr:col>11</xdr:col>
      <xdr:colOff>647329</xdr:colOff>
      <xdr:row>105</xdr:row>
      <xdr:rowOff>196640</xdr:rowOff>
    </xdr:to>
    <xdr:sp macro="" textlink="">
      <xdr:nvSpPr>
        <xdr:cNvPr id="160" name="テキスト ボックス 41">
          <a:extLst>
            <a:ext uri="{FF2B5EF4-FFF2-40B4-BE49-F238E27FC236}">
              <a16:creationId xmlns:a16="http://schemas.microsoft.com/office/drawing/2014/main" id="{41E392BA-86B0-4DFD-A241-6B87776D896A}"/>
            </a:ext>
          </a:extLst>
        </xdr:cNvPr>
        <xdr:cNvSpPr txBox="1">
          <a:spLocks noChangeArrowheads="1"/>
        </xdr:cNvSpPr>
      </xdr:nvSpPr>
      <xdr:spPr bwMode="auto">
        <a:xfrm>
          <a:off x="8642856" y="23872199"/>
          <a:ext cx="1824748"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10</xdr:col>
      <xdr:colOff>888584</xdr:colOff>
      <xdr:row>102</xdr:row>
      <xdr:rowOff>92620</xdr:rowOff>
    </xdr:from>
    <xdr:to>
      <xdr:col>12</xdr:col>
      <xdr:colOff>383976</xdr:colOff>
      <xdr:row>104</xdr:row>
      <xdr:rowOff>220152</xdr:rowOff>
    </xdr:to>
    <xdr:grpSp>
      <xdr:nvGrpSpPr>
        <xdr:cNvPr id="161" name="グループ化 160">
          <a:extLst>
            <a:ext uri="{FF2B5EF4-FFF2-40B4-BE49-F238E27FC236}">
              <a16:creationId xmlns:a16="http://schemas.microsoft.com/office/drawing/2014/main" id="{7B5C9ACA-072C-475A-9854-0AB0C7222120}"/>
            </a:ext>
          </a:extLst>
        </xdr:cNvPr>
        <xdr:cNvGrpSpPr/>
      </xdr:nvGrpSpPr>
      <xdr:grpSpPr>
        <a:xfrm>
          <a:off x="10566273" y="23108484"/>
          <a:ext cx="1542112" cy="574629"/>
          <a:chOff x="12824082" y="2239871"/>
          <a:chExt cx="1821521" cy="547299"/>
        </a:xfrm>
      </xdr:grpSpPr>
      <xdr:sp macro="" textlink="">
        <xdr:nvSpPr>
          <xdr:cNvPr id="162" name="矢印: 左 161">
            <a:extLst>
              <a:ext uri="{FF2B5EF4-FFF2-40B4-BE49-F238E27FC236}">
                <a16:creationId xmlns:a16="http://schemas.microsoft.com/office/drawing/2014/main" id="{8C1CE199-AFD2-C2EC-5517-BE9EE1BC25E9}"/>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63" name="テキスト ボックス 41">
            <a:extLst>
              <a:ext uri="{FF2B5EF4-FFF2-40B4-BE49-F238E27FC236}">
                <a16:creationId xmlns:a16="http://schemas.microsoft.com/office/drawing/2014/main" id="{7C626550-AE02-B768-0B55-1A11DDB6F810}"/>
              </a:ext>
            </a:extLst>
          </xdr:cNvPr>
          <xdr:cNvSpPr txBox="1">
            <a:spLocks noChangeArrowheads="1"/>
          </xdr:cNvSpPr>
        </xdr:nvSpPr>
        <xdr:spPr bwMode="auto">
          <a:xfrm>
            <a:off x="12824082" y="2340581"/>
            <a:ext cx="1821521" cy="397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11</xdr:col>
      <xdr:colOff>478685</xdr:colOff>
      <xdr:row>81</xdr:row>
      <xdr:rowOff>197646</xdr:rowOff>
    </xdr:from>
    <xdr:to>
      <xdr:col>13</xdr:col>
      <xdr:colOff>36764</xdr:colOff>
      <xdr:row>87</xdr:row>
      <xdr:rowOff>74513</xdr:rowOff>
    </xdr:to>
    <xdr:sp macro="" textlink="">
      <xdr:nvSpPr>
        <xdr:cNvPr id="164" name="テキスト ボックス 41">
          <a:extLst>
            <a:ext uri="{FF2B5EF4-FFF2-40B4-BE49-F238E27FC236}">
              <a16:creationId xmlns:a16="http://schemas.microsoft.com/office/drawing/2014/main" id="{B150ED55-EDA8-4801-A87C-44BD26DBA0F5}"/>
            </a:ext>
          </a:extLst>
        </xdr:cNvPr>
        <xdr:cNvSpPr txBox="1">
          <a:spLocks noChangeArrowheads="1"/>
        </xdr:cNvSpPr>
      </xdr:nvSpPr>
      <xdr:spPr bwMode="auto">
        <a:xfrm>
          <a:off x="10298960" y="18523746"/>
          <a:ext cx="1615479" cy="1305617"/>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自家消費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11</xdr:col>
      <xdr:colOff>535875</xdr:colOff>
      <xdr:row>83</xdr:row>
      <xdr:rowOff>114295</xdr:rowOff>
    </xdr:from>
    <xdr:to>
      <xdr:col>12</xdr:col>
      <xdr:colOff>956068</xdr:colOff>
      <xdr:row>85</xdr:row>
      <xdr:rowOff>81290</xdr:rowOff>
    </xdr:to>
    <xdr:grpSp>
      <xdr:nvGrpSpPr>
        <xdr:cNvPr id="165" name="グループ化 164">
          <a:extLst>
            <a:ext uri="{FF2B5EF4-FFF2-40B4-BE49-F238E27FC236}">
              <a16:creationId xmlns:a16="http://schemas.microsoft.com/office/drawing/2014/main" id="{25D0CFAD-99E8-4475-B7E3-31013980EF8D}"/>
            </a:ext>
          </a:extLst>
        </xdr:cNvPr>
        <xdr:cNvGrpSpPr/>
      </xdr:nvGrpSpPr>
      <xdr:grpSpPr>
        <a:xfrm>
          <a:off x="11238511" y="18852568"/>
          <a:ext cx="1445141" cy="420442"/>
          <a:chOff x="7524327" y="483966"/>
          <a:chExt cx="622720" cy="721761"/>
        </a:xfrm>
        <a:solidFill>
          <a:schemeClr val="accent6">
            <a:lumMod val="60000"/>
            <a:lumOff val="40000"/>
          </a:schemeClr>
        </a:solidFill>
      </xdr:grpSpPr>
      <xdr:sp macro="" textlink="">
        <xdr:nvSpPr>
          <xdr:cNvPr id="166" name="円/楕円 29">
            <a:extLst>
              <a:ext uri="{FF2B5EF4-FFF2-40B4-BE49-F238E27FC236}">
                <a16:creationId xmlns:a16="http://schemas.microsoft.com/office/drawing/2014/main" id="{18116EAD-185F-3828-2D71-0D014CF4B007}"/>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67" name="テキスト ボックス 297">
            <a:extLst>
              <a:ext uri="{FF2B5EF4-FFF2-40B4-BE49-F238E27FC236}">
                <a16:creationId xmlns:a16="http://schemas.microsoft.com/office/drawing/2014/main" id="{1C1AAF5C-8073-DAE9-3C00-52F64BAA13FF}"/>
              </a:ext>
            </a:extLst>
          </xdr:cNvPr>
          <xdr:cNvSpPr txBox="1"/>
        </xdr:nvSpPr>
        <xdr:spPr>
          <a:xfrm>
            <a:off x="7587601" y="504499"/>
            <a:ext cx="496174" cy="70122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11</xdr:col>
      <xdr:colOff>508871</xdr:colOff>
      <xdr:row>88</xdr:row>
      <xdr:rowOff>93094</xdr:rowOff>
    </xdr:from>
    <xdr:to>
      <xdr:col>13</xdr:col>
      <xdr:colOff>63802</xdr:colOff>
      <xdr:row>93</xdr:row>
      <xdr:rowOff>208460</xdr:rowOff>
    </xdr:to>
    <xdr:sp macro="" textlink="">
      <xdr:nvSpPr>
        <xdr:cNvPr id="168" name="テキスト ボックス 41">
          <a:extLst>
            <a:ext uri="{FF2B5EF4-FFF2-40B4-BE49-F238E27FC236}">
              <a16:creationId xmlns:a16="http://schemas.microsoft.com/office/drawing/2014/main" id="{70653D98-30EB-446C-994C-16F2CCBBB4AD}"/>
            </a:ext>
          </a:extLst>
        </xdr:cNvPr>
        <xdr:cNvSpPr txBox="1">
          <a:spLocks noChangeArrowheads="1"/>
        </xdr:cNvSpPr>
      </xdr:nvSpPr>
      <xdr:spPr bwMode="auto">
        <a:xfrm>
          <a:off x="10329146" y="20086069"/>
          <a:ext cx="1612331" cy="1305991"/>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10</xdr:col>
      <xdr:colOff>235968</xdr:colOff>
      <xdr:row>90</xdr:row>
      <xdr:rowOff>34174</xdr:rowOff>
    </xdr:from>
    <xdr:to>
      <xdr:col>11</xdr:col>
      <xdr:colOff>1000240</xdr:colOff>
      <xdr:row>92</xdr:row>
      <xdr:rowOff>149004</xdr:rowOff>
    </xdr:to>
    <xdr:grpSp>
      <xdr:nvGrpSpPr>
        <xdr:cNvPr id="169" name="グループ化 168">
          <a:extLst>
            <a:ext uri="{FF2B5EF4-FFF2-40B4-BE49-F238E27FC236}">
              <a16:creationId xmlns:a16="http://schemas.microsoft.com/office/drawing/2014/main" id="{255E3BA9-6FC5-4CA7-8078-DDED564E47C5}"/>
            </a:ext>
          </a:extLst>
        </xdr:cNvPr>
        <xdr:cNvGrpSpPr/>
      </xdr:nvGrpSpPr>
      <xdr:grpSpPr>
        <a:xfrm>
          <a:off x="9920007" y="20345226"/>
          <a:ext cx="1779694" cy="565103"/>
          <a:chOff x="12824082" y="2239871"/>
          <a:chExt cx="1821521" cy="547299"/>
        </a:xfrm>
      </xdr:grpSpPr>
      <xdr:sp macro="" textlink="">
        <xdr:nvSpPr>
          <xdr:cNvPr id="170" name="矢印: 左 169">
            <a:extLst>
              <a:ext uri="{FF2B5EF4-FFF2-40B4-BE49-F238E27FC236}">
                <a16:creationId xmlns:a16="http://schemas.microsoft.com/office/drawing/2014/main" id="{0660A5EB-EFB8-0F48-00D2-43440E9F6317}"/>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71" name="テキスト ボックス 41">
            <a:extLst>
              <a:ext uri="{FF2B5EF4-FFF2-40B4-BE49-F238E27FC236}">
                <a16:creationId xmlns:a16="http://schemas.microsoft.com/office/drawing/2014/main" id="{4BC87BDD-D250-BAFF-476A-EEEF40C74376}"/>
              </a:ext>
            </a:extLst>
          </xdr:cNvPr>
          <xdr:cNvSpPr txBox="1">
            <a:spLocks noChangeArrowheads="1"/>
          </xdr:cNvSpPr>
        </xdr:nvSpPr>
        <xdr:spPr bwMode="auto">
          <a:xfrm>
            <a:off x="12824082" y="2340580"/>
            <a:ext cx="1821521" cy="404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12</xdr:col>
      <xdr:colOff>183935</xdr:colOff>
      <xdr:row>102</xdr:row>
      <xdr:rowOff>201043</xdr:rowOff>
    </xdr:from>
    <xdr:to>
      <xdr:col>12</xdr:col>
      <xdr:colOff>570295</xdr:colOff>
      <xdr:row>104</xdr:row>
      <xdr:rowOff>49024</xdr:rowOff>
    </xdr:to>
    <xdr:sp macro="" textlink="">
      <xdr:nvSpPr>
        <xdr:cNvPr id="172" name="Freeform 41">
          <a:extLst>
            <a:ext uri="{FF2B5EF4-FFF2-40B4-BE49-F238E27FC236}">
              <a16:creationId xmlns:a16="http://schemas.microsoft.com/office/drawing/2014/main" id="{AC92CAA4-1D8F-477C-BAE1-1CEEC116A665}"/>
            </a:ext>
          </a:extLst>
        </xdr:cNvPr>
        <xdr:cNvSpPr>
          <a:spLocks noChangeAspect="1" noEditPoints="1"/>
        </xdr:cNvSpPr>
      </xdr:nvSpPr>
      <xdr:spPr bwMode="auto">
        <a:xfrm>
          <a:off x="11032910" y="23527768"/>
          <a:ext cx="386360" cy="324231"/>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11</xdr:col>
      <xdr:colOff>508871</xdr:colOff>
      <xdr:row>96</xdr:row>
      <xdr:rowOff>220198</xdr:rowOff>
    </xdr:from>
    <xdr:to>
      <xdr:col>13</xdr:col>
      <xdr:colOff>80684</xdr:colOff>
      <xdr:row>100</xdr:row>
      <xdr:rowOff>182331</xdr:rowOff>
    </xdr:to>
    <xdr:sp macro="" textlink="">
      <xdr:nvSpPr>
        <xdr:cNvPr id="173" name="テキスト ボックス 41">
          <a:extLst>
            <a:ext uri="{FF2B5EF4-FFF2-40B4-BE49-F238E27FC236}">
              <a16:creationId xmlns:a16="http://schemas.microsoft.com/office/drawing/2014/main" id="{B0C3AAAB-4547-479C-BC1A-15AD8BCC8520}"/>
            </a:ext>
          </a:extLst>
        </xdr:cNvPr>
        <xdr:cNvSpPr txBox="1">
          <a:spLocks noChangeArrowheads="1"/>
        </xdr:cNvSpPr>
      </xdr:nvSpPr>
      <xdr:spPr bwMode="auto">
        <a:xfrm>
          <a:off x="10329146" y="22118173"/>
          <a:ext cx="1629213" cy="914633"/>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ja-JP" altLang="en-US" sz="1400">
              <a:solidFill>
                <a:prstClr val="black"/>
              </a:solidFill>
              <a:latin typeface="Meiryo UI" panose="020B0604030504040204" pitchFamily="50" charset="-128"/>
              <a:ea typeface="Meiryo UI" panose="020B0604030504040204" pitchFamily="50" charset="-128"/>
            </a:rPr>
            <a:t>事業者</a:t>
          </a:r>
          <a:r>
            <a:rPr lang="en-US" altLang="ja-JP" sz="1400">
              <a:solidFill>
                <a:prstClr val="black"/>
              </a:solidFill>
              <a:latin typeface="Meiryo UI" panose="020B0604030504040204" pitchFamily="50" charset="-128"/>
              <a:ea typeface="Meiryo UI" panose="020B0604030504040204" pitchFamily="50" charset="-128"/>
            </a:rPr>
            <a:t>C</a:t>
          </a:r>
          <a:r>
            <a:rPr lang="ja-JP" altLang="en-US" sz="1200">
              <a:solidFill>
                <a:prstClr val="black"/>
              </a:solidFill>
              <a:latin typeface="Meiryo UI" panose="020B0604030504040204" pitchFamily="50" charset="-128"/>
              <a:ea typeface="Meiryo UI" panose="020B0604030504040204" pitchFamily="50" charset="-128"/>
            </a:rPr>
            <a:t>（協議中）</a:t>
          </a: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環境証書</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11</xdr:col>
      <xdr:colOff>728141</xdr:colOff>
      <xdr:row>98</xdr:row>
      <xdr:rowOff>51155</xdr:rowOff>
    </xdr:from>
    <xdr:to>
      <xdr:col>12</xdr:col>
      <xdr:colOff>858237</xdr:colOff>
      <xdr:row>100</xdr:row>
      <xdr:rowOff>51171</xdr:rowOff>
    </xdr:to>
    <xdr:grpSp>
      <xdr:nvGrpSpPr>
        <xdr:cNvPr id="174" name="グループ化 173">
          <a:extLst>
            <a:ext uri="{FF2B5EF4-FFF2-40B4-BE49-F238E27FC236}">
              <a16:creationId xmlns:a16="http://schemas.microsoft.com/office/drawing/2014/main" id="{375A0823-38BB-4B58-BB78-C944CA00B365}"/>
            </a:ext>
          </a:extLst>
        </xdr:cNvPr>
        <xdr:cNvGrpSpPr/>
      </xdr:nvGrpSpPr>
      <xdr:grpSpPr>
        <a:xfrm>
          <a:off x="11433952" y="22163298"/>
          <a:ext cx="1148694" cy="450289"/>
          <a:chOff x="12868234" y="4617230"/>
          <a:chExt cx="1415218" cy="626189"/>
        </a:xfrm>
        <a:solidFill>
          <a:schemeClr val="accent6">
            <a:lumMod val="60000"/>
            <a:lumOff val="40000"/>
          </a:schemeClr>
        </a:solidFill>
      </xdr:grpSpPr>
      <xdr:sp macro="" textlink="">
        <xdr:nvSpPr>
          <xdr:cNvPr id="175" name="円/楕円 29">
            <a:extLst>
              <a:ext uri="{FF2B5EF4-FFF2-40B4-BE49-F238E27FC236}">
                <a16:creationId xmlns:a16="http://schemas.microsoft.com/office/drawing/2014/main" id="{15EC19DC-22E7-6421-EC2B-FB73739B9CDD}"/>
              </a:ext>
            </a:extLst>
          </xdr:cNvPr>
          <xdr:cNvSpPr>
            <a:spLocks noChangeAspect="1"/>
          </xdr:cNvSpPr>
        </xdr:nvSpPr>
        <xdr:spPr>
          <a:xfrm flipH="1">
            <a:off x="12868234" y="4617230"/>
            <a:ext cx="1396833" cy="532984"/>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76" name="テキスト ボックス 308">
            <a:extLst>
              <a:ext uri="{FF2B5EF4-FFF2-40B4-BE49-F238E27FC236}">
                <a16:creationId xmlns:a16="http://schemas.microsoft.com/office/drawing/2014/main" id="{018DE40A-5CEE-9185-930E-835F85A3145F}"/>
              </a:ext>
            </a:extLst>
          </xdr:cNvPr>
          <xdr:cNvSpPr txBox="1"/>
        </xdr:nvSpPr>
        <xdr:spPr>
          <a:xfrm>
            <a:off x="12869134" y="4655879"/>
            <a:ext cx="1414318" cy="5875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11</xdr:col>
      <xdr:colOff>842415</xdr:colOff>
      <xdr:row>101</xdr:row>
      <xdr:rowOff>122239</xdr:rowOff>
    </xdr:from>
    <xdr:to>
      <xdr:col>13</xdr:col>
      <xdr:colOff>72125</xdr:colOff>
      <xdr:row>106</xdr:row>
      <xdr:rowOff>36256</xdr:rowOff>
    </xdr:to>
    <xdr:sp macro="" textlink="">
      <xdr:nvSpPr>
        <xdr:cNvPr id="177" name="テキスト ボックス 41">
          <a:extLst>
            <a:ext uri="{FF2B5EF4-FFF2-40B4-BE49-F238E27FC236}">
              <a16:creationId xmlns:a16="http://schemas.microsoft.com/office/drawing/2014/main" id="{1A4400DA-74C3-4B93-AA98-27A9FB8D3D10}"/>
            </a:ext>
          </a:extLst>
        </xdr:cNvPr>
        <xdr:cNvSpPr txBox="1">
          <a:spLocks noChangeArrowheads="1"/>
        </xdr:cNvSpPr>
      </xdr:nvSpPr>
      <xdr:spPr bwMode="auto">
        <a:xfrm>
          <a:off x="10662690" y="23210839"/>
          <a:ext cx="1287110" cy="1104642"/>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11</xdr:col>
      <xdr:colOff>956580</xdr:colOff>
      <xdr:row>90</xdr:row>
      <xdr:rowOff>43478</xdr:rowOff>
    </xdr:from>
    <xdr:to>
      <xdr:col>12</xdr:col>
      <xdr:colOff>584391</xdr:colOff>
      <xdr:row>92</xdr:row>
      <xdr:rowOff>92462</xdr:rowOff>
    </xdr:to>
    <xdr:sp macro="" textlink="">
      <xdr:nvSpPr>
        <xdr:cNvPr id="178" name="Freeform 41">
          <a:extLst>
            <a:ext uri="{FF2B5EF4-FFF2-40B4-BE49-F238E27FC236}">
              <a16:creationId xmlns:a16="http://schemas.microsoft.com/office/drawing/2014/main" id="{187B318B-B3C5-40E1-A03E-F0BB14F83D4E}"/>
            </a:ext>
          </a:extLst>
        </xdr:cNvPr>
        <xdr:cNvSpPr>
          <a:spLocks noChangeAspect="1" noEditPoints="1"/>
        </xdr:cNvSpPr>
      </xdr:nvSpPr>
      <xdr:spPr bwMode="auto">
        <a:xfrm>
          <a:off x="10776855" y="20512703"/>
          <a:ext cx="656511" cy="525234"/>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2</xdr:col>
      <xdr:colOff>104740</xdr:colOff>
      <xdr:row>94</xdr:row>
      <xdr:rowOff>143501</xdr:rowOff>
    </xdr:from>
    <xdr:to>
      <xdr:col>3</xdr:col>
      <xdr:colOff>1085366</xdr:colOff>
      <xdr:row>100</xdr:row>
      <xdr:rowOff>113130</xdr:rowOff>
    </xdr:to>
    <xdr:sp macro="" textlink="">
      <xdr:nvSpPr>
        <xdr:cNvPr id="179" name="テキスト ボックス 41">
          <a:extLst>
            <a:ext uri="{FF2B5EF4-FFF2-40B4-BE49-F238E27FC236}">
              <a16:creationId xmlns:a16="http://schemas.microsoft.com/office/drawing/2014/main" id="{40171B8B-950F-442A-91EF-F23AEB6FE3DF}"/>
            </a:ext>
          </a:extLst>
        </xdr:cNvPr>
        <xdr:cNvSpPr txBox="1">
          <a:spLocks noChangeArrowheads="1"/>
        </xdr:cNvSpPr>
      </xdr:nvSpPr>
      <xdr:spPr bwMode="auto">
        <a:xfrm>
          <a:off x="647665" y="21565226"/>
          <a:ext cx="1580701" cy="1398379"/>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xdr:txBody>
    </xdr:sp>
    <xdr:clientData/>
  </xdr:twoCellAnchor>
  <xdr:twoCellAnchor>
    <xdr:from>
      <xdr:col>2</xdr:col>
      <xdr:colOff>10021</xdr:colOff>
      <xdr:row>97</xdr:row>
      <xdr:rowOff>216193</xdr:rowOff>
    </xdr:from>
    <xdr:to>
      <xdr:col>3</xdr:col>
      <xdr:colOff>1227558</xdr:colOff>
      <xdr:row>100</xdr:row>
      <xdr:rowOff>183362</xdr:rowOff>
    </xdr:to>
    <xdr:sp macro="" textlink="">
      <xdr:nvSpPr>
        <xdr:cNvPr id="180" name="テキスト ボックス 41">
          <a:extLst>
            <a:ext uri="{FF2B5EF4-FFF2-40B4-BE49-F238E27FC236}">
              <a16:creationId xmlns:a16="http://schemas.microsoft.com/office/drawing/2014/main" id="{7D8461AF-1D90-43CD-8AA9-76C0F14EF307}"/>
            </a:ext>
          </a:extLst>
        </xdr:cNvPr>
        <xdr:cNvSpPr txBox="1">
          <a:spLocks noChangeArrowheads="1"/>
        </xdr:cNvSpPr>
      </xdr:nvSpPr>
      <xdr:spPr bwMode="auto">
        <a:xfrm>
          <a:off x="552946" y="22352293"/>
          <a:ext cx="1817612" cy="681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非</a:t>
          </a: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再エネ</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405559</xdr:colOff>
      <xdr:row>95</xdr:row>
      <xdr:rowOff>65181</xdr:rowOff>
    </xdr:from>
    <xdr:to>
      <xdr:col>3</xdr:col>
      <xdr:colOff>763330</xdr:colOff>
      <xdr:row>98</xdr:row>
      <xdr:rowOff>56823</xdr:rowOff>
    </xdr:to>
    <xdr:grpSp>
      <xdr:nvGrpSpPr>
        <xdr:cNvPr id="181" name="グループ化 180">
          <a:extLst>
            <a:ext uri="{FF2B5EF4-FFF2-40B4-BE49-F238E27FC236}">
              <a16:creationId xmlns:a16="http://schemas.microsoft.com/office/drawing/2014/main" id="{DBD76DBC-4E25-4B79-AD8C-E77BCE0D7EFA}"/>
            </a:ext>
          </a:extLst>
        </xdr:cNvPr>
        <xdr:cNvGrpSpPr/>
      </xdr:nvGrpSpPr>
      <xdr:grpSpPr>
        <a:xfrm>
          <a:off x="962916" y="21508265"/>
          <a:ext cx="960732" cy="663876"/>
          <a:chOff x="0" y="0"/>
          <a:chExt cx="811213" cy="485775"/>
        </a:xfrm>
        <a:solidFill>
          <a:schemeClr val="accent6">
            <a:lumMod val="75000"/>
          </a:schemeClr>
        </a:solidFill>
      </xdr:grpSpPr>
      <xdr:sp macro="" textlink="">
        <xdr:nvSpPr>
          <xdr:cNvPr id="182" name="Freeform 32">
            <a:extLst>
              <a:ext uri="{FF2B5EF4-FFF2-40B4-BE49-F238E27FC236}">
                <a16:creationId xmlns:a16="http://schemas.microsoft.com/office/drawing/2014/main" id="{BC4DB4CD-7158-B0CA-E06B-79888DAA5EFF}"/>
              </a:ext>
            </a:extLst>
          </xdr:cNvPr>
          <xdr:cNvSpPr>
            <a:spLocks noEditPoints="1"/>
          </xdr:cNvSpPr>
        </xdr:nvSpPr>
        <xdr:spPr bwMode="auto">
          <a:xfrm>
            <a:off x="0" y="219075"/>
            <a:ext cx="619125" cy="266700"/>
          </a:xfrm>
          <a:custGeom>
            <a:avLst/>
            <a:gdLst>
              <a:gd name="T0" fmla="*/ 316 w 336"/>
              <a:gd name="T1" fmla="*/ 66 h 145"/>
              <a:gd name="T2" fmla="*/ 315 w 336"/>
              <a:gd name="T3" fmla="*/ 51 h 145"/>
              <a:gd name="T4" fmla="*/ 222 w 336"/>
              <a:gd name="T5" fmla="*/ 40 h 145"/>
              <a:gd name="T6" fmla="*/ 213 w 336"/>
              <a:gd name="T7" fmla="*/ 49 h 145"/>
              <a:gd name="T8" fmla="*/ 212 w 336"/>
              <a:gd name="T9" fmla="*/ 34 h 145"/>
              <a:gd name="T10" fmla="*/ 119 w 336"/>
              <a:gd name="T11" fmla="*/ 22 h 145"/>
              <a:gd name="T12" fmla="*/ 109 w 336"/>
              <a:gd name="T13" fmla="*/ 31 h 145"/>
              <a:gd name="T14" fmla="*/ 108 w 336"/>
              <a:gd name="T15" fmla="*/ 16 h 145"/>
              <a:gd name="T16" fmla="*/ 15 w 336"/>
              <a:gd name="T17" fmla="*/ 4 h 145"/>
              <a:gd name="T18" fmla="*/ 4 w 336"/>
              <a:gd name="T19" fmla="*/ 95 h 145"/>
              <a:gd name="T20" fmla="*/ 97 w 336"/>
              <a:gd name="T21" fmla="*/ 106 h 145"/>
              <a:gd name="T22" fmla="*/ 111 w 336"/>
              <a:gd name="T23" fmla="*/ 69 h 145"/>
              <a:gd name="T24" fmla="*/ 108 w 336"/>
              <a:gd name="T25" fmla="*/ 113 h 145"/>
              <a:gd name="T26" fmla="*/ 200 w 336"/>
              <a:gd name="T27" fmla="*/ 124 h 145"/>
              <a:gd name="T28" fmla="*/ 214 w 336"/>
              <a:gd name="T29" fmla="*/ 87 h 145"/>
              <a:gd name="T30" fmla="*/ 211 w 336"/>
              <a:gd name="T31" fmla="*/ 131 h 145"/>
              <a:gd name="T32" fmla="*/ 304 w 336"/>
              <a:gd name="T33" fmla="*/ 141 h 145"/>
              <a:gd name="T34" fmla="*/ 321 w 336"/>
              <a:gd name="T35" fmla="*/ 105 h 145"/>
              <a:gd name="T36" fmla="*/ 332 w 336"/>
              <a:gd name="T37" fmla="*/ 120 h 145"/>
              <a:gd name="T38" fmla="*/ 103 w 336"/>
              <a:gd name="T39" fmla="*/ 36 h 145"/>
              <a:gd name="T40" fmla="*/ 99 w 336"/>
              <a:gd name="T41" fmla="*/ 61 h 145"/>
              <a:gd name="T42" fmla="*/ 92 w 336"/>
              <a:gd name="T43" fmla="*/ 101 h 145"/>
              <a:gd name="T44" fmla="*/ 9 w 336"/>
              <a:gd name="T45" fmla="*/ 90 h 145"/>
              <a:gd name="T46" fmla="*/ 20 w 336"/>
              <a:gd name="T47" fmla="*/ 9 h 145"/>
              <a:gd name="T48" fmla="*/ 103 w 336"/>
              <a:gd name="T49" fmla="*/ 20 h 145"/>
              <a:gd name="T50" fmla="*/ 103 w 336"/>
              <a:gd name="T51" fmla="*/ 36 h 145"/>
              <a:gd name="T52" fmla="*/ 111 w 336"/>
              <a:gd name="T53" fmla="*/ 62 h 145"/>
              <a:gd name="T54" fmla="*/ 106 w 336"/>
              <a:gd name="T55" fmla="*/ 49 h 145"/>
              <a:gd name="T56" fmla="*/ 206 w 336"/>
              <a:gd name="T57" fmla="*/ 56 h 145"/>
              <a:gd name="T58" fmla="*/ 201 w 336"/>
              <a:gd name="T59" fmla="*/ 86 h 145"/>
              <a:gd name="T60" fmla="*/ 193 w 336"/>
              <a:gd name="T61" fmla="*/ 121 h 145"/>
              <a:gd name="T62" fmla="*/ 111 w 336"/>
              <a:gd name="T63" fmla="*/ 105 h 145"/>
              <a:gd name="T64" fmla="*/ 127 w 336"/>
              <a:gd name="T65" fmla="*/ 25 h 145"/>
              <a:gd name="T66" fmla="*/ 209 w 336"/>
              <a:gd name="T67" fmla="*/ 41 h 145"/>
              <a:gd name="T68" fmla="*/ 210 w 336"/>
              <a:gd name="T69" fmla="*/ 67 h 145"/>
              <a:gd name="T70" fmla="*/ 208 w 336"/>
              <a:gd name="T71" fmla="*/ 79 h 145"/>
              <a:gd name="T72" fmla="*/ 310 w 336"/>
              <a:gd name="T73" fmla="*/ 72 h 145"/>
              <a:gd name="T74" fmla="*/ 306 w 336"/>
              <a:gd name="T75" fmla="*/ 96 h 145"/>
              <a:gd name="T76" fmla="*/ 300 w 336"/>
              <a:gd name="T77" fmla="*/ 136 h 145"/>
              <a:gd name="T78" fmla="*/ 217 w 336"/>
              <a:gd name="T79" fmla="*/ 126 h 145"/>
              <a:gd name="T80" fmla="*/ 227 w 336"/>
              <a:gd name="T81" fmla="*/ 45 h 145"/>
              <a:gd name="T82" fmla="*/ 310 w 336"/>
              <a:gd name="T83" fmla="*/ 56 h 145"/>
              <a:gd name="T84" fmla="*/ 310 w 336"/>
              <a:gd name="T85" fmla="*/ 72 h 145"/>
              <a:gd name="T86" fmla="*/ 313 w 336"/>
              <a:gd name="T87" fmla="*/ 84 h 145"/>
              <a:gd name="T88" fmla="*/ 311 w 336"/>
              <a:gd name="T89" fmla="*/ 96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336" h="145">
                <a:moveTo>
                  <a:pt x="335" y="114"/>
                </a:moveTo>
                <a:cubicBezTo>
                  <a:pt x="316" y="66"/>
                  <a:pt x="316" y="66"/>
                  <a:pt x="316" y="66"/>
                </a:cubicBezTo>
                <a:cubicBezTo>
                  <a:pt x="318" y="55"/>
                  <a:pt x="318" y="55"/>
                  <a:pt x="318" y="55"/>
                </a:cubicBezTo>
                <a:cubicBezTo>
                  <a:pt x="318" y="53"/>
                  <a:pt x="317" y="51"/>
                  <a:pt x="315" y="51"/>
                </a:cubicBezTo>
                <a:cubicBezTo>
                  <a:pt x="226" y="37"/>
                  <a:pt x="226" y="37"/>
                  <a:pt x="226" y="37"/>
                </a:cubicBezTo>
                <a:cubicBezTo>
                  <a:pt x="224" y="36"/>
                  <a:pt x="222" y="38"/>
                  <a:pt x="222" y="40"/>
                </a:cubicBezTo>
                <a:cubicBezTo>
                  <a:pt x="218" y="62"/>
                  <a:pt x="218" y="62"/>
                  <a:pt x="218" y="62"/>
                </a:cubicBezTo>
                <a:cubicBezTo>
                  <a:pt x="213" y="49"/>
                  <a:pt x="213" y="49"/>
                  <a:pt x="213" y="49"/>
                </a:cubicBezTo>
                <a:cubicBezTo>
                  <a:pt x="215" y="38"/>
                  <a:pt x="215" y="38"/>
                  <a:pt x="215" y="38"/>
                </a:cubicBezTo>
                <a:cubicBezTo>
                  <a:pt x="215" y="36"/>
                  <a:pt x="214" y="34"/>
                  <a:pt x="212" y="34"/>
                </a:cubicBezTo>
                <a:cubicBezTo>
                  <a:pt x="123" y="19"/>
                  <a:pt x="123" y="19"/>
                  <a:pt x="123" y="19"/>
                </a:cubicBezTo>
                <a:cubicBezTo>
                  <a:pt x="121" y="18"/>
                  <a:pt x="119" y="20"/>
                  <a:pt x="119" y="22"/>
                </a:cubicBezTo>
                <a:cubicBezTo>
                  <a:pt x="115" y="45"/>
                  <a:pt x="115" y="45"/>
                  <a:pt x="115" y="45"/>
                </a:cubicBezTo>
                <a:cubicBezTo>
                  <a:pt x="109" y="31"/>
                  <a:pt x="109" y="31"/>
                  <a:pt x="109" y="31"/>
                </a:cubicBezTo>
                <a:cubicBezTo>
                  <a:pt x="111" y="20"/>
                  <a:pt x="111" y="20"/>
                  <a:pt x="111" y="20"/>
                </a:cubicBezTo>
                <a:cubicBezTo>
                  <a:pt x="112" y="18"/>
                  <a:pt x="110" y="16"/>
                  <a:pt x="108" y="16"/>
                </a:cubicBezTo>
                <a:cubicBezTo>
                  <a:pt x="20" y="1"/>
                  <a:pt x="20" y="1"/>
                  <a:pt x="20" y="1"/>
                </a:cubicBezTo>
                <a:cubicBezTo>
                  <a:pt x="18" y="0"/>
                  <a:pt x="16" y="2"/>
                  <a:pt x="15" y="4"/>
                </a:cubicBezTo>
                <a:cubicBezTo>
                  <a:pt x="1" y="90"/>
                  <a:pt x="1" y="90"/>
                  <a:pt x="1" y="90"/>
                </a:cubicBezTo>
                <a:cubicBezTo>
                  <a:pt x="0" y="92"/>
                  <a:pt x="2" y="94"/>
                  <a:pt x="4" y="95"/>
                </a:cubicBezTo>
                <a:cubicBezTo>
                  <a:pt x="92" y="110"/>
                  <a:pt x="92" y="110"/>
                  <a:pt x="92" y="110"/>
                </a:cubicBezTo>
                <a:cubicBezTo>
                  <a:pt x="94" y="110"/>
                  <a:pt x="96" y="108"/>
                  <a:pt x="97" y="106"/>
                </a:cubicBezTo>
                <a:cubicBezTo>
                  <a:pt x="103" y="68"/>
                  <a:pt x="103" y="68"/>
                  <a:pt x="103" y="68"/>
                </a:cubicBezTo>
                <a:cubicBezTo>
                  <a:pt x="111" y="69"/>
                  <a:pt x="111" y="69"/>
                  <a:pt x="111" y="69"/>
                </a:cubicBezTo>
                <a:cubicBezTo>
                  <a:pt x="104" y="108"/>
                  <a:pt x="104" y="108"/>
                  <a:pt x="104" y="108"/>
                </a:cubicBezTo>
                <a:cubicBezTo>
                  <a:pt x="104" y="110"/>
                  <a:pt x="106" y="112"/>
                  <a:pt x="108" y="113"/>
                </a:cubicBezTo>
                <a:cubicBezTo>
                  <a:pt x="196" y="128"/>
                  <a:pt x="196" y="128"/>
                  <a:pt x="196" y="128"/>
                </a:cubicBezTo>
                <a:cubicBezTo>
                  <a:pt x="198" y="128"/>
                  <a:pt x="200" y="126"/>
                  <a:pt x="200" y="124"/>
                </a:cubicBezTo>
                <a:cubicBezTo>
                  <a:pt x="207" y="86"/>
                  <a:pt x="207" y="86"/>
                  <a:pt x="207" y="86"/>
                </a:cubicBezTo>
                <a:cubicBezTo>
                  <a:pt x="214" y="87"/>
                  <a:pt x="214" y="87"/>
                  <a:pt x="214" y="87"/>
                </a:cubicBezTo>
                <a:cubicBezTo>
                  <a:pt x="208" y="126"/>
                  <a:pt x="208" y="126"/>
                  <a:pt x="208" y="126"/>
                </a:cubicBezTo>
                <a:cubicBezTo>
                  <a:pt x="208" y="128"/>
                  <a:pt x="209" y="130"/>
                  <a:pt x="211" y="131"/>
                </a:cubicBezTo>
                <a:cubicBezTo>
                  <a:pt x="300" y="145"/>
                  <a:pt x="300" y="145"/>
                  <a:pt x="300" y="145"/>
                </a:cubicBezTo>
                <a:cubicBezTo>
                  <a:pt x="302" y="145"/>
                  <a:pt x="304" y="144"/>
                  <a:pt x="304" y="141"/>
                </a:cubicBezTo>
                <a:cubicBezTo>
                  <a:pt x="310" y="104"/>
                  <a:pt x="310" y="104"/>
                  <a:pt x="310" y="104"/>
                </a:cubicBezTo>
                <a:cubicBezTo>
                  <a:pt x="321" y="105"/>
                  <a:pt x="321" y="105"/>
                  <a:pt x="321" y="105"/>
                </a:cubicBezTo>
                <a:cubicBezTo>
                  <a:pt x="326" y="117"/>
                  <a:pt x="326" y="117"/>
                  <a:pt x="326" y="117"/>
                </a:cubicBezTo>
                <a:cubicBezTo>
                  <a:pt x="327" y="119"/>
                  <a:pt x="330" y="120"/>
                  <a:pt x="332" y="120"/>
                </a:cubicBezTo>
                <a:cubicBezTo>
                  <a:pt x="334" y="119"/>
                  <a:pt x="336" y="116"/>
                  <a:pt x="335" y="114"/>
                </a:cubicBezTo>
                <a:close/>
                <a:moveTo>
                  <a:pt x="103" y="36"/>
                </a:moveTo>
                <a:cubicBezTo>
                  <a:pt x="103" y="38"/>
                  <a:pt x="103" y="38"/>
                  <a:pt x="103" y="38"/>
                </a:cubicBezTo>
                <a:cubicBezTo>
                  <a:pt x="99" y="61"/>
                  <a:pt x="99" y="61"/>
                  <a:pt x="99" y="61"/>
                </a:cubicBezTo>
                <a:cubicBezTo>
                  <a:pt x="98" y="68"/>
                  <a:pt x="98" y="68"/>
                  <a:pt x="98" y="68"/>
                </a:cubicBezTo>
                <a:cubicBezTo>
                  <a:pt x="92" y="101"/>
                  <a:pt x="92" y="101"/>
                  <a:pt x="92" y="101"/>
                </a:cubicBezTo>
                <a:cubicBezTo>
                  <a:pt x="92" y="102"/>
                  <a:pt x="90" y="103"/>
                  <a:pt x="89" y="103"/>
                </a:cubicBezTo>
                <a:cubicBezTo>
                  <a:pt x="9" y="90"/>
                  <a:pt x="9" y="90"/>
                  <a:pt x="9" y="90"/>
                </a:cubicBezTo>
                <a:cubicBezTo>
                  <a:pt x="8" y="90"/>
                  <a:pt x="7" y="88"/>
                  <a:pt x="7" y="87"/>
                </a:cubicBezTo>
                <a:cubicBezTo>
                  <a:pt x="20" y="9"/>
                  <a:pt x="20" y="9"/>
                  <a:pt x="20" y="9"/>
                </a:cubicBezTo>
                <a:cubicBezTo>
                  <a:pt x="20" y="8"/>
                  <a:pt x="22" y="7"/>
                  <a:pt x="23" y="7"/>
                </a:cubicBezTo>
                <a:cubicBezTo>
                  <a:pt x="103" y="20"/>
                  <a:pt x="103" y="20"/>
                  <a:pt x="103" y="20"/>
                </a:cubicBezTo>
                <a:cubicBezTo>
                  <a:pt x="104" y="21"/>
                  <a:pt x="105" y="22"/>
                  <a:pt x="105" y="23"/>
                </a:cubicBezTo>
                <a:lnTo>
                  <a:pt x="103" y="36"/>
                </a:lnTo>
                <a:close/>
                <a:moveTo>
                  <a:pt x="106" y="49"/>
                </a:moveTo>
                <a:cubicBezTo>
                  <a:pt x="111" y="62"/>
                  <a:pt x="111" y="62"/>
                  <a:pt x="111" y="62"/>
                </a:cubicBezTo>
                <a:cubicBezTo>
                  <a:pt x="104" y="61"/>
                  <a:pt x="104" y="61"/>
                  <a:pt x="104" y="61"/>
                </a:cubicBezTo>
                <a:lnTo>
                  <a:pt x="106" y="49"/>
                </a:lnTo>
                <a:close/>
                <a:moveTo>
                  <a:pt x="207" y="54"/>
                </a:moveTo>
                <a:cubicBezTo>
                  <a:pt x="206" y="56"/>
                  <a:pt x="206" y="56"/>
                  <a:pt x="206" y="56"/>
                </a:cubicBezTo>
                <a:cubicBezTo>
                  <a:pt x="203" y="79"/>
                  <a:pt x="203" y="79"/>
                  <a:pt x="203" y="79"/>
                </a:cubicBezTo>
                <a:cubicBezTo>
                  <a:pt x="201" y="86"/>
                  <a:pt x="201" y="86"/>
                  <a:pt x="201" y="86"/>
                </a:cubicBezTo>
                <a:cubicBezTo>
                  <a:pt x="196" y="119"/>
                  <a:pt x="196" y="119"/>
                  <a:pt x="196" y="119"/>
                </a:cubicBezTo>
                <a:cubicBezTo>
                  <a:pt x="195" y="120"/>
                  <a:pt x="194" y="121"/>
                  <a:pt x="193" y="121"/>
                </a:cubicBezTo>
                <a:cubicBezTo>
                  <a:pt x="113" y="108"/>
                  <a:pt x="113" y="108"/>
                  <a:pt x="113" y="108"/>
                </a:cubicBezTo>
                <a:cubicBezTo>
                  <a:pt x="112" y="108"/>
                  <a:pt x="111" y="106"/>
                  <a:pt x="111" y="105"/>
                </a:cubicBezTo>
                <a:cubicBezTo>
                  <a:pt x="124" y="27"/>
                  <a:pt x="124" y="27"/>
                  <a:pt x="124" y="27"/>
                </a:cubicBezTo>
                <a:cubicBezTo>
                  <a:pt x="124" y="26"/>
                  <a:pt x="125" y="25"/>
                  <a:pt x="127" y="25"/>
                </a:cubicBezTo>
                <a:cubicBezTo>
                  <a:pt x="207" y="38"/>
                  <a:pt x="207" y="38"/>
                  <a:pt x="207" y="38"/>
                </a:cubicBezTo>
                <a:cubicBezTo>
                  <a:pt x="208" y="39"/>
                  <a:pt x="209" y="40"/>
                  <a:pt x="209" y="41"/>
                </a:cubicBezTo>
                <a:lnTo>
                  <a:pt x="207" y="54"/>
                </a:lnTo>
                <a:close/>
                <a:moveTo>
                  <a:pt x="210" y="67"/>
                </a:moveTo>
                <a:cubicBezTo>
                  <a:pt x="215" y="80"/>
                  <a:pt x="215" y="80"/>
                  <a:pt x="215" y="80"/>
                </a:cubicBezTo>
                <a:cubicBezTo>
                  <a:pt x="208" y="79"/>
                  <a:pt x="208" y="79"/>
                  <a:pt x="208" y="79"/>
                </a:cubicBezTo>
                <a:lnTo>
                  <a:pt x="210" y="67"/>
                </a:lnTo>
                <a:close/>
                <a:moveTo>
                  <a:pt x="310" y="72"/>
                </a:moveTo>
                <a:cubicBezTo>
                  <a:pt x="309" y="74"/>
                  <a:pt x="309" y="74"/>
                  <a:pt x="309" y="74"/>
                </a:cubicBezTo>
                <a:cubicBezTo>
                  <a:pt x="306" y="96"/>
                  <a:pt x="306" y="96"/>
                  <a:pt x="306" y="96"/>
                </a:cubicBezTo>
                <a:cubicBezTo>
                  <a:pt x="305" y="103"/>
                  <a:pt x="305" y="103"/>
                  <a:pt x="305" y="103"/>
                </a:cubicBezTo>
                <a:cubicBezTo>
                  <a:pt x="300" y="136"/>
                  <a:pt x="300" y="136"/>
                  <a:pt x="300" y="136"/>
                </a:cubicBezTo>
                <a:cubicBezTo>
                  <a:pt x="299" y="138"/>
                  <a:pt x="298" y="139"/>
                  <a:pt x="297" y="138"/>
                </a:cubicBezTo>
                <a:cubicBezTo>
                  <a:pt x="217" y="126"/>
                  <a:pt x="217" y="126"/>
                  <a:pt x="217" y="126"/>
                </a:cubicBezTo>
                <a:cubicBezTo>
                  <a:pt x="215" y="126"/>
                  <a:pt x="214" y="124"/>
                  <a:pt x="214" y="123"/>
                </a:cubicBezTo>
                <a:cubicBezTo>
                  <a:pt x="227" y="45"/>
                  <a:pt x="227" y="45"/>
                  <a:pt x="227" y="45"/>
                </a:cubicBezTo>
                <a:cubicBezTo>
                  <a:pt x="227" y="44"/>
                  <a:pt x="228" y="43"/>
                  <a:pt x="230" y="43"/>
                </a:cubicBezTo>
                <a:cubicBezTo>
                  <a:pt x="310" y="56"/>
                  <a:pt x="310" y="56"/>
                  <a:pt x="310" y="56"/>
                </a:cubicBezTo>
                <a:cubicBezTo>
                  <a:pt x="311" y="56"/>
                  <a:pt x="312" y="57"/>
                  <a:pt x="312" y="59"/>
                </a:cubicBezTo>
                <a:lnTo>
                  <a:pt x="310" y="72"/>
                </a:lnTo>
                <a:close/>
                <a:moveTo>
                  <a:pt x="311" y="96"/>
                </a:moveTo>
                <a:cubicBezTo>
                  <a:pt x="313" y="84"/>
                  <a:pt x="313" y="84"/>
                  <a:pt x="313" y="84"/>
                </a:cubicBezTo>
                <a:cubicBezTo>
                  <a:pt x="318" y="97"/>
                  <a:pt x="318" y="97"/>
                  <a:pt x="318" y="97"/>
                </a:cubicBezTo>
                <a:lnTo>
                  <a:pt x="311"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3" name="Freeform 5">
            <a:extLst>
              <a:ext uri="{FF2B5EF4-FFF2-40B4-BE49-F238E27FC236}">
                <a16:creationId xmlns:a16="http://schemas.microsoft.com/office/drawing/2014/main" id="{43AC6C38-D222-21A9-E7BB-4C7630ECC858}"/>
              </a:ext>
            </a:extLst>
          </xdr:cNvPr>
          <xdr:cNvSpPr>
            <a:spLocks/>
          </xdr:cNvSpPr>
        </xdr:nvSpPr>
        <xdr:spPr bwMode="auto">
          <a:xfrm>
            <a:off x="131763" y="307975"/>
            <a:ext cx="41275" cy="41275"/>
          </a:xfrm>
          <a:custGeom>
            <a:avLst/>
            <a:gdLst>
              <a:gd name="T0" fmla="*/ 3 w 26"/>
              <a:gd name="T1" fmla="*/ 0 h 26"/>
              <a:gd name="T2" fmla="*/ 0 w 26"/>
              <a:gd name="T3" fmla="*/ 22 h 26"/>
              <a:gd name="T4" fmla="*/ 23 w 26"/>
              <a:gd name="T5" fmla="*/ 26 h 26"/>
              <a:gd name="T6" fmla="*/ 26 w 26"/>
              <a:gd name="T7" fmla="*/ 3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2"/>
                </a:lnTo>
                <a:lnTo>
                  <a:pt x="23" y="26"/>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4" name="Freeform 6">
            <a:extLst>
              <a:ext uri="{FF2B5EF4-FFF2-40B4-BE49-F238E27FC236}">
                <a16:creationId xmlns:a16="http://schemas.microsoft.com/office/drawing/2014/main" id="{4CA65A5F-FF16-6650-B69B-DC712CE8D4A7}"/>
              </a:ext>
            </a:extLst>
          </xdr:cNvPr>
          <xdr:cNvSpPr>
            <a:spLocks/>
          </xdr:cNvSpPr>
        </xdr:nvSpPr>
        <xdr:spPr bwMode="auto">
          <a:xfrm>
            <a:off x="74613" y="347662"/>
            <a:ext cx="41275" cy="41275"/>
          </a:xfrm>
          <a:custGeom>
            <a:avLst/>
            <a:gdLst>
              <a:gd name="T0" fmla="*/ 3 w 26"/>
              <a:gd name="T1" fmla="*/ 0 h 26"/>
              <a:gd name="T2" fmla="*/ 0 w 26"/>
              <a:gd name="T3" fmla="*/ 21 h 26"/>
              <a:gd name="T4" fmla="*/ 23 w 26"/>
              <a:gd name="T5" fmla="*/ 26 h 26"/>
              <a:gd name="T6" fmla="*/ 26 w 26"/>
              <a:gd name="T7" fmla="*/ 4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1"/>
                </a:lnTo>
                <a:lnTo>
                  <a:pt x="23" y="26"/>
                </a:lnTo>
                <a:lnTo>
                  <a:pt x="26"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5" name="Freeform 7">
            <a:extLst>
              <a:ext uri="{FF2B5EF4-FFF2-40B4-BE49-F238E27FC236}">
                <a16:creationId xmlns:a16="http://schemas.microsoft.com/office/drawing/2014/main" id="{4F212687-4A06-D42F-A19A-C9E9CD447D46}"/>
              </a:ext>
            </a:extLst>
          </xdr:cNvPr>
          <xdr:cNvSpPr>
            <a:spLocks/>
          </xdr:cNvSpPr>
        </xdr:nvSpPr>
        <xdr:spPr bwMode="auto">
          <a:xfrm>
            <a:off x="33338" y="290512"/>
            <a:ext cx="41275" cy="42863"/>
          </a:xfrm>
          <a:custGeom>
            <a:avLst/>
            <a:gdLst>
              <a:gd name="T0" fmla="*/ 26 w 26"/>
              <a:gd name="T1" fmla="*/ 4 h 27"/>
              <a:gd name="T2" fmla="*/ 5 w 26"/>
              <a:gd name="T3" fmla="*/ 0 h 27"/>
              <a:gd name="T4" fmla="*/ 0 w 26"/>
              <a:gd name="T5" fmla="*/ 22 h 27"/>
              <a:gd name="T6" fmla="*/ 22 w 26"/>
              <a:gd name="T7" fmla="*/ 27 h 27"/>
              <a:gd name="T8" fmla="*/ 26 w 26"/>
              <a:gd name="T9" fmla="*/ 4 h 27"/>
            </a:gdLst>
            <a:ahLst/>
            <a:cxnLst>
              <a:cxn ang="0">
                <a:pos x="T0" y="T1"/>
              </a:cxn>
              <a:cxn ang="0">
                <a:pos x="T2" y="T3"/>
              </a:cxn>
              <a:cxn ang="0">
                <a:pos x="T4" y="T5"/>
              </a:cxn>
              <a:cxn ang="0">
                <a:pos x="T6" y="T7"/>
              </a:cxn>
              <a:cxn ang="0">
                <a:pos x="T8" y="T9"/>
              </a:cxn>
            </a:cxnLst>
            <a:rect l="0" t="0" r="r" b="b"/>
            <a:pathLst>
              <a:path w="26" h="27">
                <a:moveTo>
                  <a:pt x="26" y="4"/>
                </a:moveTo>
                <a:lnTo>
                  <a:pt x="5" y="0"/>
                </a:lnTo>
                <a:lnTo>
                  <a:pt x="0" y="22"/>
                </a:lnTo>
                <a:lnTo>
                  <a:pt x="22" y="27"/>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6" name="Freeform 8">
            <a:extLst>
              <a:ext uri="{FF2B5EF4-FFF2-40B4-BE49-F238E27FC236}">
                <a16:creationId xmlns:a16="http://schemas.microsoft.com/office/drawing/2014/main" id="{A8F8FCD8-2DE6-F632-F7E5-B1092DFB6E01}"/>
              </a:ext>
            </a:extLst>
          </xdr:cNvPr>
          <xdr:cNvSpPr>
            <a:spLocks/>
          </xdr:cNvSpPr>
        </xdr:nvSpPr>
        <xdr:spPr bwMode="auto">
          <a:xfrm>
            <a:off x="88900" y="25241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7" name="Freeform 9">
            <a:extLst>
              <a:ext uri="{FF2B5EF4-FFF2-40B4-BE49-F238E27FC236}">
                <a16:creationId xmlns:a16="http://schemas.microsoft.com/office/drawing/2014/main" id="{49F1EC8F-550D-AC30-580C-9B9174F3C0C2}"/>
              </a:ext>
            </a:extLst>
          </xdr:cNvPr>
          <xdr:cNvSpPr>
            <a:spLocks/>
          </xdr:cNvSpPr>
        </xdr:nvSpPr>
        <xdr:spPr bwMode="auto">
          <a:xfrm>
            <a:off x="80963" y="300037"/>
            <a:ext cx="42863" cy="39688"/>
          </a:xfrm>
          <a:custGeom>
            <a:avLst/>
            <a:gdLst>
              <a:gd name="T0" fmla="*/ 0 w 27"/>
              <a:gd name="T1" fmla="*/ 22 h 25"/>
              <a:gd name="T2" fmla="*/ 24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4"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8" name="Freeform 10">
            <a:extLst>
              <a:ext uri="{FF2B5EF4-FFF2-40B4-BE49-F238E27FC236}">
                <a16:creationId xmlns:a16="http://schemas.microsoft.com/office/drawing/2014/main" id="{EC02DA08-8811-4799-5958-533C5DFDFB1B}"/>
              </a:ext>
            </a:extLst>
          </xdr:cNvPr>
          <xdr:cNvSpPr>
            <a:spLocks/>
          </xdr:cNvSpPr>
        </xdr:nvSpPr>
        <xdr:spPr bwMode="auto">
          <a:xfrm>
            <a:off x="42863" y="244475"/>
            <a:ext cx="39688" cy="41275"/>
          </a:xfrm>
          <a:custGeom>
            <a:avLst/>
            <a:gdLst>
              <a:gd name="T0" fmla="*/ 22 w 22"/>
              <a:gd name="T1" fmla="*/ 3 h 22"/>
              <a:gd name="T2" fmla="*/ 5 w 22"/>
              <a:gd name="T3" fmla="*/ 1 h 22"/>
              <a:gd name="T4" fmla="*/ 2 w 22"/>
              <a:gd name="T5" fmla="*/ 3 h 22"/>
              <a:gd name="T6" fmla="*/ 0 w 22"/>
              <a:gd name="T7" fmla="*/ 18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8"/>
                  <a:pt x="0" y="18"/>
                  <a:pt x="0" y="18"/>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9" name="Freeform 11">
            <a:extLst>
              <a:ext uri="{FF2B5EF4-FFF2-40B4-BE49-F238E27FC236}">
                <a16:creationId xmlns:a16="http://schemas.microsoft.com/office/drawing/2014/main" id="{2D1D53B1-8033-0F8B-14D7-7F8F9CB767B6}"/>
              </a:ext>
            </a:extLst>
          </xdr:cNvPr>
          <xdr:cNvSpPr>
            <a:spLocks/>
          </xdr:cNvSpPr>
        </xdr:nvSpPr>
        <xdr:spPr bwMode="auto">
          <a:xfrm>
            <a:off x="138113" y="261937"/>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4"/>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0" name="Freeform 12">
            <a:extLst>
              <a:ext uri="{FF2B5EF4-FFF2-40B4-BE49-F238E27FC236}">
                <a16:creationId xmlns:a16="http://schemas.microsoft.com/office/drawing/2014/main" id="{4071EC9E-28DD-70D3-E7EE-A73D3A5A1C6A}"/>
              </a:ext>
            </a:extLst>
          </xdr:cNvPr>
          <xdr:cNvSpPr>
            <a:spLocks/>
          </xdr:cNvSpPr>
        </xdr:nvSpPr>
        <xdr:spPr bwMode="auto">
          <a:xfrm>
            <a:off x="123825" y="355600"/>
            <a:ext cx="41275" cy="39688"/>
          </a:xfrm>
          <a:custGeom>
            <a:avLst/>
            <a:gdLst>
              <a:gd name="T0" fmla="*/ 0 w 22"/>
              <a:gd name="T1" fmla="*/ 19 h 22"/>
              <a:gd name="T2" fmla="*/ 17 w 22"/>
              <a:gd name="T3" fmla="*/ 22 h 22"/>
              <a:gd name="T4" fmla="*/ 20 w 22"/>
              <a:gd name="T5" fmla="*/ 20 h 22"/>
              <a:gd name="T6" fmla="*/ 22 w 22"/>
              <a:gd name="T7" fmla="*/ 3 h 22"/>
              <a:gd name="T8" fmla="*/ 3 w 22"/>
              <a:gd name="T9" fmla="*/ 0 h 22"/>
              <a:gd name="T10" fmla="*/ 0 w 22"/>
              <a:gd name="T11" fmla="*/ 19 h 22"/>
            </a:gdLst>
            <a:ahLst/>
            <a:cxnLst>
              <a:cxn ang="0">
                <a:pos x="T0" y="T1"/>
              </a:cxn>
              <a:cxn ang="0">
                <a:pos x="T2" y="T3"/>
              </a:cxn>
              <a:cxn ang="0">
                <a:pos x="T4" y="T5"/>
              </a:cxn>
              <a:cxn ang="0">
                <a:pos x="T6" y="T7"/>
              </a:cxn>
              <a:cxn ang="0">
                <a:pos x="T8" y="T9"/>
              </a:cxn>
              <a:cxn ang="0">
                <a:pos x="T10" y="T11"/>
              </a:cxn>
            </a:cxnLst>
            <a:rect l="0" t="0" r="r" b="b"/>
            <a:pathLst>
              <a:path w="22" h="22">
                <a:moveTo>
                  <a:pt x="0" y="19"/>
                </a:moveTo>
                <a:cubicBezTo>
                  <a:pt x="17" y="22"/>
                  <a:pt x="17" y="22"/>
                  <a:pt x="17" y="22"/>
                </a:cubicBezTo>
                <a:cubicBezTo>
                  <a:pt x="18" y="22"/>
                  <a:pt x="19" y="21"/>
                  <a:pt x="20" y="20"/>
                </a:cubicBezTo>
                <a:cubicBezTo>
                  <a:pt x="22" y="3"/>
                  <a:pt x="22" y="3"/>
                  <a:pt x="22"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1" name="Freeform 13">
            <a:extLst>
              <a:ext uri="{FF2B5EF4-FFF2-40B4-BE49-F238E27FC236}">
                <a16:creationId xmlns:a16="http://schemas.microsoft.com/office/drawing/2014/main" id="{C1D8C674-BDFE-A68B-BBEF-715D8B65D39A}"/>
              </a:ext>
            </a:extLst>
          </xdr:cNvPr>
          <xdr:cNvSpPr>
            <a:spLocks/>
          </xdr:cNvSpPr>
        </xdr:nvSpPr>
        <xdr:spPr bwMode="auto">
          <a:xfrm>
            <a:off x="25400" y="338137"/>
            <a:ext cx="41275" cy="41275"/>
          </a:xfrm>
          <a:custGeom>
            <a:avLst/>
            <a:gdLst>
              <a:gd name="T0" fmla="*/ 3 w 22"/>
              <a:gd name="T1" fmla="*/ 0 h 22"/>
              <a:gd name="T2" fmla="*/ 1 w 22"/>
              <a:gd name="T3" fmla="*/ 16 h 22"/>
              <a:gd name="T4" fmla="*/ 3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1" y="16"/>
                  <a:pt x="1" y="16"/>
                  <a:pt x="1" y="16"/>
                </a:cubicBezTo>
                <a:cubicBezTo>
                  <a:pt x="0" y="18"/>
                  <a:pt x="1" y="19"/>
                  <a:pt x="3"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2" name="Freeform 14">
            <a:extLst>
              <a:ext uri="{FF2B5EF4-FFF2-40B4-BE49-F238E27FC236}">
                <a16:creationId xmlns:a16="http://schemas.microsoft.com/office/drawing/2014/main" id="{85EB5940-240D-DADD-1366-5FCEFB4C16AF}"/>
              </a:ext>
            </a:extLst>
          </xdr:cNvPr>
          <xdr:cNvSpPr>
            <a:spLocks/>
          </xdr:cNvSpPr>
        </xdr:nvSpPr>
        <xdr:spPr bwMode="auto">
          <a:xfrm>
            <a:off x="320675" y="339725"/>
            <a:ext cx="42863" cy="42863"/>
          </a:xfrm>
          <a:custGeom>
            <a:avLst/>
            <a:gdLst>
              <a:gd name="T0" fmla="*/ 5 w 27"/>
              <a:gd name="T1" fmla="*/ 0 h 27"/>
              <a:gd name="T2" fmla="*/ 0 w 27"/>
              <a:gd name="T3" fmla="*/ 22 h 27"/>
              <a:gd name="T4" fmla="*/ 23 w 27"/>
              <a:gd name="T5" fmla="*/ 27 h 27"/>
              <a:gd name="T6" fmla="*/ 27 w 27"/>
              <a:gd name="T7" fmla="*/ 4 h 27"/>
              <a:gd name="T8" fmla="*/ 5 w 27"/>
              <a:gd name="T9" fmla="*/ 0 h 27"/>
            </a:gdLst>
            <a:ahLst/>
            <a:cxnLst>
              <a:cxn ang="0">
                <a:pos x="T0" y="T1"/>
              </a:cxn>
              <a:cxn ang="0">
                <a:pos x="T2" y="T3"/>
              </a:cxn>
              <a:cxn ang="0">
                <a:pos x="T4" y="T5"/>
              </a:cxn>
              <a:cxn ang="0">
                <a:pos x="T6" y="T7"/>
              </a:cxn>
              <a:cxn ang="0">
                <a:pos x="T8" y="T9"/>
              </a:cxn>
            </a:cxnLst>
            <a:rect l="0" t="0" r="r" b="b"/>
            <a:pathLst>
              <a:path w="27" h="27">
                <a:moveTo>
                  <a:pt x="5" y="0"/>
                </a:moveTo>
                <a:lnTo>
                  <a:pt x="0" y="22"/>
                </a:lnTo>
                <a:lnTo>
                  <a:pt x="23" y="27"/>
                </a:lnTo>
                <a:lnTo>
                  <a:pt x="27" y="4"/>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3" name="Freeform 15">
            <a:extLst>
              <a:ext uri="{FF2B5EF4-FFF2-40B4-BE49-F238E27FC236}">
                <a16:creationId xmlns:a16="http://schemas.microsoft.com/office/drawing/2014/main" id="{2090FE59-9901-0C15-FCA1-A95D29F105F5}"/>
              </a:ext>
            </a:extLst>
          </xdr:cNvPr>
          <xdr:cNvSpPr>
            <a:spLocks/>
          </xdr:cNvSpPr>
        </xdr:nvSpPr>
        <xdr:spPr bwMode="auto">
          <a:xfrm>
            <a:off x="263525" y="381000"/>
            <a:ext cx="44450" cy="41275"/>
          </a:xfrm>
          <a:custGeom>
            <a:avLst/>
            <a:gdLst>
              <a:gd name="T0" fmla="*/ 5 w 28"/>
              <a:gd name="T1" fmla="*/ 0 h 26"/>
              <a:gd name="T2" fmla="*/ 0 w 28"/>
              <a:gd name="T3" fmla="*/ 21 h 26"/>
              <a:gd name="T4" fmla="*/ 24 w 28"/>
              <a:gd name="T5" fmla="*/ 26 h 26"/>
              <a:gd name="T6" fmla="*/ 28 w 28"/>
              <a:gd name="T7" fmla="*/ 3 h 26"/>
              <a:gd name="T8" fmla="*/ 5 w 28"/>
              <a:gd name="T9" fmla="*/ 0 h 26"/>
            </a:gdLst>
            <a:ahLst/>
            <a:cxnLst>
              <a:cxn ang="0">
                <a:pos x="T0" y="T1"/>
              </a:cxn>
              <a:cxn ang="0">
                <a:pos x="T2" y="T3"/>
              </a:cxn>
              <a:cxn ang="0">
                <a:pos x="T4" y="T5"/>
              </a:cxn>
              <a:cxn ang="0">
                <a:pos x="T6" y="T7"/>
              </a:cxn>
              <a:cxn ang="0">
                <a:pos x="T8" y="T9"/>
              </a:cxn>
            </a:cxnLst>
            <a:rect l="0" t="0" r="r" b="b"/>
            <a:pathLst>
              <a:path w="28" h="26">
                <a:moveTo>
                  <a:pt x="5" y="0"/>
                </a:moveTo>
                <a:lnTo>
                  <a:pt x="0" y="21"/>
                </a:lnTo>
                <a:lnTo>
                  <a:pt x="24" y="26"/>
                </a:lnTo>
                <a:lnTo>
                  <a:pt x="28" y="3"/>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4" name="Freeform 16">
            <a:extLst>
              <a:ext uri="{FF2B5EF4-FFF2-40B4-BE49-F238E27FC236}">
                <a16:creationId xmlns:a16="http://schemas.microsoft.com/office/drawing/2014/main" id="{774803D7-3C03-06CA-DB4B-09F0A7FE793F}"/>
              </a:ext>
            </a:extLst>
          </xdr:cNvPr>
          <xdr:cNvSpPr>
            <a:spLocks/>
          </xdr:cNvSpPr>
        </xdr:nvSpPr>
        <xdr:spPr bwMode="auto">
          <a:xfrm>
            <a:off x="225425" y="323850"/>
            <a:ext cx="39688" cy="42863"/>
          </a:xfrm>
          <a:custGeom>
            <a:avLst/>
            <a:gdLst>
              <a:gd name="T0" fmla="*/ 25 w 25"/>
              <a:gd name="T1" fmla="*/ 3 h 27"/>
              <a:gd name="T2" fmla="*/ 3 w 25"/>
              <a:gd name="T3" fmla="*/ 0 h 27"/>
              <a:gd name="T4" fmla="*/ 0 w 25"/>
              <a:gd name="T5" fmla="*/ 22 h 27"/>
              <a:gd name="T6" fmla="*/ 22 w 25"/>
              <a:gd name="T7" fmla="*/ 27 h 27"/>
              <a:gd name="T8" fmla="*/ 25 w 25"/>
              <a:gd name="T9" fmla="*/ 3 h 27"/>
            </a:gdLst>
            <a:ahLst/>
            <a:cxnLst>
              <a:cxn ang="0">
                <a:pos x="T0" y="T1"/>
              </a:cxn>
              <a:cxn ang="0">
                <a:pos x="T2" y="T3"/>
              </a:cxn>
              <a:cxn ang="0">
                <a:pos x="T4" y="T5"/>
              </a:cxn>
              <a:cxn ang="0">
                <a:pos x="T6" y="T7"/>
              </a:cxn>
              <a:cxn ang="0">
                <a:pos x="T8" y="T9"/>
              </a:cxn>
            </a:cxnLst>
            <a:rect l="0" t="0" r="r" b="b"/>
            <a:pathLst>
              <a:path w="25" h="27">
                <a:moveTo>
                  <a:pt x="25" y="3"/>
                </a:moveTo>
                <a:lnTo>
                  <a:pt x="3" y="0"/>
                </a:lnTo>
                <a:lnTo>
                  <a:pt x="0" y="22"/>
                </a:lnTo>
                <a:lnTo>
                  <a:pt x="22" y="27"/>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5" name="Freeform 17">
            <a:extLst>
              <a:ext uri="{FF2B5EF4-FFF2-40B4-BE49-F238E27FC236}">
                <a16:creationId xmlns:a16="http://schemas.microsoft.com/office/drawing/2014/main" id="{DE405F64-0B02-94FB-5104-9BB986832F12}"/>
              </a:ext>
            </a:extLst>
          </xdr:cNvPr>
          <xdr:cNvSpPr>
            <a:spLocks/>
          </xdr:cNvSpPr>
        </xdr:nvSpPr>
        <xdr:spPr bwMode="auto">
          <a:xfrm>
            <a:off x="280988" y="285750"/>
            <a:ext cx="41275" cy="39688"/>
          </a:xfrm>
          <a:custGeom>
            <a:avLst/>
            <a:gdLst>
              <a:gd name="T0" fmla="*/ 23 w 26"/>
              <a:gd name="T1" fmla="*/ 25 h 25"/>
              <a:gd name="T2" fmla="*/ 26 w 26"/>
              <a:gd name="T3" fmla="*/ 4 h 25"/>
              <a:gd name="T4" fmla="*/ 3 w 26"/>
              <a:gd name="T5" fmla="*/ 0 h 25"/>
              <a:gd name="T6" fmla="*/ 0 w 26"/>
              <a:gd name="T7" fmla="*/ 22 h 25"/>
              <a:gd name="T8" fmla="*/ 23 w 26"/>
              <a:gd name="T9" fmla="*/ 25 h 25"/>
            </a:gdLst>
            <a:ahLst/>
            <a:cxnLst>
              <a:cxn ang="0">
                <a:pos x="T0" y="T1"/>
              </a:cxn>
              <a:cxn ang="0">
                <a:pos x="T2" y="T3"/>
              </a:cxn>
              <a:cxn ang="0">
                <a:pos x="T4" y="T5"/>
              </a:cxn>
              <a:cxn ang="0">
                <a:pos x="T6" y="T7"/>
              </a:cxn>
              <a:cxn ang="0">
                <a:pos x="T8" y="T9"/>
              </a:cxn>
            </a:cxnLst>
            <a:rect l="0" t="0" r="r" b="b"/>
            <a:pathLst>
              <a:path w="26" h="25">
                <a:moveTo>
                  <a:pt x="23" y="25"/>
                </a:moveTo>
                <a:lnTo>
                  <a:pt x="26"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6" name="Freeform 18">
            <a:extLst>
              <a:ext uri="{FF2B5EF4-FFF2-40B4-BE49-F238E27FC236}">
                <a16:creationId xmlns:a16="http://schemas.microsoft.com/office/drawing/2014/main" id="{8C5CCD34-0FC5-9AC1-8099-1CE62A572B2C}"/>
              </a:ext>
            </a:extLst>
          </xdr:cNvPr>
          <xdr:cNvSpPr>
            <a:spLocks/>
          </xdr:cNvSpPr>
        </xdr:nvSpPr>
        <xdr:spPr bwMode="auto">
          <a:xfrm>
            <a:off x="273050" y="333375"/>
            <a:ext cx="42863" cy="39688"/>
          </a:xfrm>
          <a:custGeom>
            <a:avLst/>
            <a:gdLst>
              <a:gd name="T0" fmla="*/ 0 w 27"/>
              <a:gd name="T1" fmla="*/ 22 h 25"/>
              <a:gd name="T2" fmla="*/ 23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3"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7" name="Freeform 19">
            <a:extLst>
              <a:ext uri="{FF2B5EF4-FFF2-40B4-BE49-F238E27FC236}">
                <a16:creationId xmlns:a16="http://schemas.microsoft.com/office/drawing/2014/main" id="{F7CB605B-2587-D560-11A2-8F27092428D6}"/>
              </a:ext>
            </a:extLst>
          </xdr:cNvPr>
          <xdr:cNvSpPr>
            <a:spLocks/>
          </xdr:cNvSpPr>
        </xdr:nvSpPr>
        <xdr:spPr bwMode="auto">
          <a:xfrm>
            <a:off x="234950" y="277812"/>
            <a:ext cx="38100" cy="39688"/>
          </a:xfrm>
          <a:custGeom>
            <a:avLst/>
            <a:gdLst>
              <a:gd name="T0" fmla="*/ 21 w 21"/>
              <a:gd name="T1" fmla="*/ 3 h 22"/>
              <a:gd name="T2" fmla="*/ 5 w 21"/>
              <a:gd name="T3" fmla="*/ 1 h 22"/>
              <a:gd name="T4" fmla="*/ 2 w 21"/>
              <a:gd name="T5" fmla="*/ 3 h 22"/>
              <a:gd name="T6" fmla="*/ 0 w 21"/>
              <a:gd name="T7" fmla="*/ 18 h 22"/>
              <a:gd name="T8" fmla="*/ 18 w 21"/>
              <a:gd name="T9" fmla="*/ 22 h 22"/>
              <a:gd name="T10" fmla="*/ 21 w 21"/>
              <a:gd name="T11" fmla="*/ 3 h 22"/>
            </a:gdLst>
            <a:ahLst/>
            <a:cxnLst>
              <a:cxn ang="0">
                <a:pos x="T0" y="T1"/>
              </a:cxn>
              <a:cxn ang="0">
                <a:pos x="T2" y="T3"/>
              </a:cxn>
              <a:cxn ang="0">
                <a:pos x="T4" y="T5"/>
              </a:cxn>
              <a:cxn ang="0">
                <a:pos x="T6" y="T7"/>
              </a:cxn>
              <a:cxn ang="0">
                <a:pos x="T8" y="T9"/>
              </a:cxn>
              <a:cxn ang="0">
                <a:pos x="T10" y="T11"/>
              </a:cxn>
            </a:cxnLst>
            <a:rect l="0" t="0" r="r" b="b"/>
            <a:pathLst>
              <a:path w="21" h="22">
                <a:moveTo>
                  <a:pt x="21" y="3"/>
                </a:moveTo>
                <a:cubicBezTo>
                  <a:pt x="5" y="1"/>
                  <a:pt x="5" y="1"/>
                  <a:pt x="5" y="1"/>
                </a:cubicBezTo>
                <a:cubicBezTo>
                  <a:pt x="4" y="0"/>
                  <a:pt x="2" y="1"/>
                  <a:pt x="2" y="3"/>
                </a:cubicBezTo>
                <a:cubicBezTo>
                  <a:pt x="0" y="18"/>
                  <a:pt x="0" y="18"/>
                  <a:pt x="0" y="18"/>
                </a:cubicBezTo>
                <a:cubicBezTo>
                  <a:pt x="18" y="22"/>
                  <a:pt x="18" y="22"/>
                  <a:pt x="18" y="22"/>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8" name="Freeform 20">
            <a:extLst>
              <a:ext uri="{FF2B5EF4-FFF2-40B4-BE49-F238E27FC236}">
                <a16:creationId xmlns:a16="http://schemas.microsoft.com/office/drawing/2014/main" id="{3ABAA0FF-1F30-AAA0-7526-6269A376B764}"/>
              </a:ext>
            </a:extLst>
          </xdr:cNvPr>
          <xdr:cNvSpPr>
            <a:spLocks/>
          </xdr:cNvSpPr>
        </xdr:nvSpPr>
        <xdr:spPr bwMode="auto">
          <a:xfrm>
            <a:off x="330200" y="293687"/>
            <a:ext cx="41275" cy="39688"/>
          </a:xfrm>
          <a:custGeom>
            <a:avLst/>
            <a:gdLst>
              <a:gd name="T0" fmla="*/ 20 w 22"/>
              <a:gd name="T1" fmla="*/ 21 h 21"/>
              <a:gd name="T2" fmla="*/ 22 w 22"/>
              <a:gd name="T3" fmla="*/ 6 h 21"/>
              <a:gd name="T4" fmla="*/ 20 w 22"/>
              <a:gd name="T5" fmla="*/ 3 h 21"/>
              <a:gd name="T6" fmla="*/ 3 w 22"/>
              <a:gd name="T7" fmla="*/ 0 h 21"/>
              <a:gd name="T8" fmla="*/ 0 w 22"/>
              <a:gd name="T9" fmla="*/ 18 h 21"/>
              <a:gd name="T10" fmla="*/ 20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20" y="21"/>
                </a:moveTo>
                <a:cubicBezTo>
                  <a:pt x="22" y="6"/>
                  <a:pt x="22" y="6"/>
                  <a:pt x="22" y="6"/>
                </a:cubicBezTo>
                <a:cubicBezTo>
                  <a:pt x="22" y="4"/>
                  <a:pt x="21" y="3"/>
                  <a:pt x="20" y="3"/>
                </a:cubicBezTo>
                <a:cubicBezTo>
                  <a:pt x="3" y="0"/>
                  <a:pt x="3" y="0"/>
                  <a:pt x="3" y="0"/>
                </a:cubicBezTo>
                <a:cubicBezTo>
                  <a:pt x="0" y="18"/>
                  <a:pt x="0" y="18"/>
                  <a:pt x="0" y="18"/>
                </a:cubicBezTo>
                <a:lnTo>
                  <a:pt x="20"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9" name="Freeform 21">
            <a:extLst>
              <a:ext uri="{FF2B5EF4-FFF2-40B4-BE49-F238E27FC236}">
                <a16:creationId xmlns:a16="http://schemas.microsoft.com/office/drawing/2014/main" id="{DE95E7D6-E56E-0AE0-82B4-F22105E60157}"/>
              </a:ext>
            </a:extLst>
          </xdr:cNvPr>
          <xdr:cNvSpPr>
            <a:spLocks/>
          </xdr:cNvSpPr>
        </xdr:nvSpPr>
        <xdr:spPr bwMode="auto">
          <a:xfrm>
            <a:off x="314325" y="388937"/>
            <a:ext cx="41275" cy="39688"/>
          </a:xfrm>
          <a:custGeom>
            <a:avLst/>
            <a:gdLst>
              <a:gd name="T0" fmla="*/ 0 w 23"/>
              <a:gd name="T1" fmla="*/ 19 h 22"/>
              <a:gd name="T2" fmla="*/ 17 w 23"/>
              <a:gd name="T3" fmla="*/ 22 h 22"/>
              <a:gd name="T4" fmla="*/ 20 w 23"/>
              <a:gd name="T5" fmla="*/ 20 h 22"/>
              <a:gd name="T6" fmla="*/ 23 w 23"/>
              <a:gd name="T7" fmla="*/ 3 h 22"/>
              <a:gd name="T8" fmla="*/ 3 w 23"/>
              <a:gd name="T9" fmla="*/ 0 h 22"/>
              <a:gd name="T10" fmla="*/ 0 w 23"/>
              <a:gd name="T11" fmla="*/ 19 h 22"/>
            </a:gdLst>
            <a:ahLst/>
            <a:cxnLst>
              <a:cxn ang="0">
                <a:pos x="T0" y="T1"/>
              </a:cxn>
              <a:cxn ang="0">
                <a:pos x="T2" y="T3"/>
              </a:cxn>
              <a:cxn ang="0">
                <a:pos x="T4" y="T5"/>
              </a:cxn>
              <a:cxn ang="0">
                <a:pos x="T6" y="T7"/>
              </a:cxn>
              <a:cxn ang="0">
                <a:pos x="T8" y="T9"/>
              </a:cxn>
              <a:cxn ang="0">
                <a:pos x="T10" y="T11"/>
              </a:cxn>
            </a:cxnLst>
            <a:rect l="0" t="0" r="r" b="b"/>
            <a:pathLst>
              <a:path w="23" h="22">
                <a:moveTo>
                  <a:pt x="0" y="19"/>
                </a:moveTo>
                <a:cubicBezTo>
                  <a:pt x="17" y="22"/>
                  <a:pt x="17" y="22"/>
                  <a:pt x="17" y="22"/>
                </a:cubicBezTo>
                <a:cubicBezTo>
                  <a:pt x="19" y="22"/>
                  <a:pt x="20" y="21"/>
                  <a:pt x="20" y="20"/>
                </a:cubicBezTo>
                <a:cubicBezTo>
                  <a:pt x="23" y="3"/>
                  <a:pt x="23" y="3"/>
                  <a:pt x="23"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0" name="Freeform 22">
            <a:extLst>
              <a:ext uri="{FF2B5EF4-FFF2-40B4-BE49-F238E27FC236}">
                <a16:creationId xmlns:a16="http://schemas.microsoft.com/office/drawing/2014/main" id="{BB893391-85AD-B463-CD6A-27BE0965220C}"/>
              </a:ext>
            </a:extLst>
          </xdr:cNvPr>
          <xdr:cNvSpPr>
            <a:spLocks/>
          </xdr:cNvSpPr>
        </xdr:nvSpPr>
        <xdr:spPr bwMode="auto">
          <a:xfrm>
            <a:off x="217488" y="371475"/>
            <a:ext cx="41275" cy="41275"/>
          </a:xfrm>
          <a:custGeom>
            <a:avLst/>
            <a:gdLst>
              <a:gd name="T0" fmla="*/ 3 w 22"/>
              <a:gd name="T1" fmla="*/ 0 h 22"/>
              <a:gd name="T2" fmla="*/ 0 w 22"/>
              <a:gd name="T3" fmla="*/ 16 h 22"/>
              <a:gd name="T4" fmla="*/ 2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0" y="16"/>
                  <a:pt x="0" y="16"/>
                  <a:pt x="0" y="16"/>
                </a:cubicBezTo>
                <a:cubicBezTo>
                  <a:pt x="0" y="18"/>
                  <a:pt x="1" y="19"/>
                  <a:pt x="2"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1" name="Freeform 23">
            <a:extLst>
              <a:ext uri="{FF2B5EF4-FFF2-40B4-BE49-F238E27FC236}">
                <a16:creationId xmlns:a16="http://schemas.microsoft.com/office/drawing/2014/main" id="{1C463CD6-CC6D-6ABC-BA29-2FA3E1C4B1CA}"/>
              </a:ext>
            </a:extLst>
          </xdr:cNvPr>
          <xdr:cNvSpPr>
            <a:spLocks/>
          </xdr:cNvSpPr>
        </xdr:nvSpPr>
        <xdr:spPr bwMode="auto">
          <a:xfrm>
            <a:off x="512763" y="371475"/>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2" name="Freeform 24">
            <a:extLst>
              <a:ext uri="{FF2B5EF4-FFF2-40B4-BE49-F238E27FC236}">
                <a16:creationId xmlns:a16="http://schemas.microsoft.com/office/drawing/2014/main" id="{4DBF25ED-4A1D-DCBE-57E6-50F99FEAF180}"/>
              </a:ext>
            </a:extLst>
          </xdr:cNvPr>
          <xdr:cNvSpPr>
            <a:spLocks/>
          </xdr:cNvSpPr>
        </xdr:nvSpPr>
        <xdr:spPr bwMode="auto">
          <a:xfrm>
            <a:off x="455613" y="412750"/>
            <a:ext cx="42863" cy="39688"/>
          </a:xfrm>
          <a:custGeom>
            <a:avLst/>
            <a:gdLst>
              <a:gd name="T0" fmla="*/ 4 w 27"/>
              <a:gd name="T1" fmla="*/ 0 h 25"/>
              <a:gd name="T2" fmla="*/ 0 w 27"/>
              <a:gd name="T3" fmla="*/ 22 h 25"/>
              <a:gd name="T4" fmla="*/ 23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3"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3" name="Freeform 25">
            <a:extLst>
              <a:ext uri="{FF2B5EF4-FFF2-40B4-BE49-F238E27FC236}">
                <a16:creationId xmlns:a16="http://schemas.microsoft.com/office/drawing/2014/main" id="{2C71611C-F6AE-6918-74C4-EE5B74DE0F4F}"/>
              </a:ext>
            </a:extLst>
          </xdr:cNvPr>
          <xdr:cNvSpPr>
            <a:spLocks/>
          </xdr:cNvSpPr>
        </xdr:nvSpPr>
        <xdr:spPr bwMode="auto">
          <a:xfrm>
            <a:off x="417513" y="357187"/>
            <a:ext cx="38100" cy="39688"/>
          </a:xfrm>
          <a:custGeom>
            <a:avLst/>
            <a:gdLst>
              <a:gd name="T0" fmla="*/ 24 w 24"/>
              <a:gd name="T1" fmla="*/ 3 h 25"/>
              <a:gd name="T2" fmla="*/ 3 w 24"/>
              <a:gd name="T3" fmla="*/ 0 h 25"/>
              <a:gd name="T4" fmla="*/ 0 w 24"/>
              <a:gd name="T5" fmla="*/ 22 h 25"/>
              <a:gd name="T6" fmla="*/ 21 w 24"/>
              <a:gd name="T7" fmla="*/ 25 h 25"/>
              <a:gd name="T8" fmla="*/ 24 w 24"/>
              <a:gd name="T9" fmla="*/ 3 h 25"/>
            </a:gdLst>
            <a:ahLst/>
            <a:cxnLst>
              <a:cxn ang="0">
                <a:pos x="T0" y="T1"/>
              </a:cxn>
              <a:cxn ang="0">
                <a:pos x="T2" y="T3"/>
              </a:cxn>
              <a:cxn ang="0">
                <a:pos x="T4" y="T5"/>
              </a:cxn>
              <a:cxn ang="0">
                <a:pos x="T6" y="T7"/>
              </a:cxn>
              <a:cxn ang="0">
                <a:pos x="T8" y="T9"/>
              </a:cxn>
            </a:cxnLst>
            <a:rect l="0" t="0" r="r" b="b"/>
            <a:pathLst>
              <a:path w="24" h="25">
                <a:moveTo>
                  <a:pt x="24" y="3"/>
                </a:moveTo>
                <a:lnTo>
                  <a:pt x="3" y="0"/>
                </a:lnTo>
                <a:lnTo>
                  <a:pt x="0" y="22"/>
                </a:lnTo>
                <a:lnTo>
                  <a:pt x="21" y="25"/>
                </a:lnTo>
                <a:lnTo>
                  <a:pt x="24"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4" name="Freeform 26">
            <a:extLst>
              <a:ext uri="{FF2B5EF4-FFF2-40B4-BE49-F238E27FC236}">
                <a16:creationId xmlns:a16="http://schemas.microsoft.com/office/drawing/2014/main" id="{81E755A1-2E87-84BF-74AC-9732B5E9D21F}"/>
              </a:ext>
            </a:extLst>
          </xdr:cNvPr>
          <xdr:cNvSpPr>
            <a:spLocks/>
          </xdr:cNvSpPr>
        </xdr:nvSpPr>
        <xdr:spPr bwMode="auto">
          <a:xfrm>
            <a:off x="469900" y="317500"/>
            <a:ext cx="42863" cy="41275"/>
          </a:xfrm>
          <a:custGeom>
            <a:avLst/>
            <a:gdLst>
              <a:gd name="T0" fmla="*/ 24 w 27"/>
              <a:gd name="T1" fmla="*/ 26 h 26"/>
              <a:gd name="T2" fmla="*/ 27 w 27"/>
              <a:gd name="T3" fmla="*/ 4 h 26"/>
              <a:gd name="T4" fmla="*/ 4 w 27"/>
              <a:gd name="T5" fmla="*/ 0 h 26"/>
              <a:gd name="T6" fmla="*/ 0 w 27"/>
              <a:gd name="T7" fmla="*/ 21 h 26"/>
              <a:gd name="T8" fmla="*/ 24 w 27"/>
              <a:gd name="T9" fmla="*/ 26 h 26"/>
            </a:gdLst>
            <a:ahLst/>
            <a:cxnLst>
              <a:cxn ang="0">
                <a:pos x="T0" y="T1"/>
              </a:cxn>
              <a:cxn ang="0">
                <a:pos x="T2" y="T3"/>
              </a:cxn>
              <a:cxn ang="0">
                <a:pos x="T4" y="T5"/>
              </a:cxn>
              <a:cxn ang="0">
                <a:pos x="T6" y="T7"/>
              </a:cxn>
              <a:cxn ang="0">
                <a:pos x="T8" y="T9"/>
              </a:cxn>
            </a:cxnLst>
            <a:rect l="0" t="0" r="r" b="b"/>
            <a:pathLst>
              <a:path w="27" h="26">
                <a:moveTo>
                  <a:pt x="24" y="26"/>
                </a:moveTo>
                <a:lnTo>
                  <a:pt x="27" y="4"/>
                </a:lnTo>
                <a:lnTo>
                  <a:pt x="4" y="0"/>
                </a:lnTo>
                <a:lnTo>
                  <a:pt x="0" y="21"/>
                </a:lnTo>
                <a:lnTo>
                  <a:pt x="24"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5" name="Freeform 27">
            <a:extLst>
              <a:ext uri="{FF2B5EF4-FFF2-40B4-BE49-F238E27FC236}">
                <a16:creationId xmlns:a16="http://schemas.microsoft.com/office/drawing/2014/main" id="{A9A51C2A-D68B-B69E-E992-76F38E62C651}"/>
              </a:ext>
            </a:extLst>
          </xdr:cNvPr>
          <xdr:cNvSpPr>
            <a:spLocks/>
          </xdr:cNvSpPr>
        </xdr:nvSpPr>
        <xdr:spPr bwMode="auto">
          <a:xfrm>
            <a:off x="463550" y="365125"/>
            <a:ext cx="41275" cy="41275"/>
          </a:xfrm>
          <a:custGeom>
            <a:avLst/>
            <a:gdLst>
              <a:gd name="T0" fmla="*/ 0 w 26"/>
              <a:gd name="T1" fmla="*/ 22 h 26"/>
              <a:gd name="T2" fmla="*/ 23 w 26"/>
              <a:gd name="T3" fmla="*/ 26 h 26"/>
              <a:gd name="T4" fmla="*/ 26 w 26"/>
              <a:gd name="T5" fmla="*/ 3 h 26"/>
              <a:gd name="T6" fmla="*/ 3 w 26"/>
              <a:gd name="T7" fmla="*/ 0 h 26"/>
              <a:gd name="T8" fmla="*/ 0 w 26"/>
              <a:gd name="T9" fmla="*/ 22 h 26"/>
            </a:gdLst>
            <a:ahLst/>
            <a:cxnLst>
              <a:cxn ang="0">
                <a:pos x="T0" y="T1"/>
              </a:cxn>
              <a:cxn ang="0">
                <a:pos x="T2" y="T3"/>
              </a:cxn>
              <a:cxn ang="0">
                <a:pos x="T4" y="T5"/>
              </a:cxn>
              <a:cxn ang="0">
                <a:pos x="T6" y="T7"/>
              </a:cxn>
              <a:cxn ang="0">
                <a:pos x="T8" y="T9"/>
              </a:cxn>
            </a:cxnLst>
            <a:rect l="0" t="0" r="r" b="b"/>
            <a:pathLst>
              <a:path w="26" h="26">
                <a:moveTo>
                  <a:pt x="0" y="22"/>
                </a:moveTo>
                <a:lnTo>
                  <a:pt x="23" y="26"/>
                </a:lnTo>
                <a:lnTo>
                  <a:pt x="26" y="3"/>
                </a:lnTo>
                <a:lnTo>
                  <a:pt x="3"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6" name="Freeform 28">
            <a:extLst>
              <a:ext uri="{FF2B5EF4-FFF2-40B4-BE49-F238E27FC236}">
                <a16:creationId xmlns:a16="http://schemas.microsoft.com/office/drawing/2014/main" id="{F728DBD9-E56D-DAEA-DFE0-8D9439F252E8}"/>
              </a:ext>
            </a:extLst>
          </xdr:cNvPr>
          <xdr:cNvSpPr>
            <a:spLocks/>
          </xdr:cNvSpPr>
        </xdr:nvSpPr>
        <xdr:spPr bwMode="auto">
          <a:xfrm>
            <a:off x="423863" y="311150"/>
            <a:ext cx="39688" cy="38100"/>
          </a:xfrm>
          <a:custGeom>
            <a:avLst/>
            <a:gdLst>
              <a:gd name="T0" fmla="*/ 21 w 21"/>
              <a:gd name="T1" fmla="*/ 3 h 21"/>
              <a:gd name="T2" fmla="*/ 5 w 21"/>
              <a:gd name="T3" fmla="*/ 0 h 21"/>
              <a:gd name="T4" fmla="*/ 2 w 21"/>
              <a:gd name="T5" fmla="*/ 3 h 21"/>
              <a:gd name="T6" fmla="*/ 0 w 21"/>
              <a:gd name="T7" fmla="*/ 18 h 21"/>
              <a:gd name="T8" fmla="*/ 18 w 21"/>
              <a:gd name="T9" fmla="*/ 21 h 21"/>
              <a:gd name="T10" fmla="*/ 21 w 21"/>
              <a:gd name="T11" fmla="*/ 3 h 21"/>
            </a:gdLst>
            <a:ahLst/>
            <a:cxnLst>
              <a:cxn ang="0">
                <a:pos x="T0" y="T1"/>
              </a:cxn>
              <a:cxn ang="0">
                <a:pos x="T2" y="T3"/>
              </a:cxn>
              <a:cxn ang="0">
                <a:pos x="T4" y="T5"/>
              </a:cxn>
              <a:cxn ang="0">
                <a:pos x="T6" y="T7"/>
              </a:cxn>
              <a:cxn ang="0">
                <a:pos x="T8" y="T9"/>
              </a:cxn>
              <a:cxn ang="0">
                <a:pos x="T10" y="T11"/>
              </a:cxn>
            </a:cxnLst>
            <a:rect l="0" t="0" r="r" b="b"/>
            <a:pathLst>
              <a:path w="21" h="21">
                <a:moveTo>
                  <a:pt x="21" y="3"/>
                </a:moveTo>
                <a:cubicBezTo>
                  <a:pt x="5" y="0"/>
                  <a:pt x="5" y="0"/>
                  <a:pt x="5" y="0"/>
                </a:cubicBezTo>
                <a:cubicBezTo>
                  <a:pt x="4" y="0"/>
                  <a:pt x="2" y="1"/>
                  <a:pt x="2" y="3"/>
                </a:cubicBezTo>
                <a:cubicBezTo>
                  <a:pt x="0" y="18"/>
                  <a:pt x="0" y="18"/>
                  <a:pt x="0" y="18"/>
                </a:cubicBezTo>
                <a:cubicBezTo>
                  <a:pt x="18" y="21"/>
                  <a:pt x="18" y="21"/>
                  <a:pt x="18" y="21"/>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7" name="Freeform 29">
            <a:extLst>
              <a:ext uri="{FF2B5EF4-FFF2-40B4-BE49-F238E27FC236}">
                <a16:creationId xmlns:a16="http://schemas.microsoft.com/office/drawing/2014/main" id="{9578D496-E038-01B6-8885-6C3D548D96A0}"/>
              </a:ext>
            </a:extLst>
          </xdr:cNvPr>
          <xdr:cNvSpPr>
            <a:spLocks/>
          </xdr:cNvSpPr>
        </xdr:nvSpPr>
        <xdr:spPr bwMode="auto">
          <a:xfrm>
            <a:off x="520700" y="325437"/>
            <a:ext cx="41275" cy="41275"/>
          </a:xfrm>
          <a:custGeom>
            <a:avLst/>
            <a:gdLst>
              <a:gd name="T0" fmla="*/ 20 w 23"/>
              <a:gd name="T1" fmla="*/ 22 h 22"/>
              <a:gd name="T2" fmla="*/ 22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2" y="6"/>
                  <a:pt x="22" y="6"/>
                  <a:pt x="22"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8" name="Freeform 30">
            <a:extLst>
              <a:ext uri="{FF2B5EF4-FFF2-40B4-BE49-F238E27FC236}">
                <a16:creationId xmlns:a16="http://schemas.microsoft.com/office/drawing/2014/main" id="{41E1763C-AB6C-0126-E7C4-4DFE286D40A9}"/>
              </a:ext>
            </a:extLst>
          </xdr:cNvPr>
          <xdr:cNvSpPr>
            <a:spLocks/>
          </xdr:cNvSpPr>
        </xdr:nvSpPr>
        <xdr:spPr bwMode="auto">
          <a:xfrm>
            <a:off x="504825" y="422275"/>
            <a:ext cx="42863" cy="38100"/>
          </a:xfrm>
          <a:custGeom>
            <a:avLst/>
            <a:gdLst>
              <a:gd name="T0" fmla="*/ 0 w 23"/>
              <a:gd name="T1" fmla="*/ 18 h 21"/>
              <a:gd name="T2" fmla="*/ 17 w 23"/>
              <a:gd name="T3" fmla="*/ 21 h 21"/>
              <a:gd name="T4" fmla="*/ 20 w 23"/>
              <a:gd name="T5" fmla="*/ 19 h 21"/>
              <a:gd name="T6" fmla="*/ 23 w 23"/>
              <a:gd name="T7" fmla="*/ 3 h 21"/>
              <a:gd name="T8" fmla="*/ 3 w 23"/>
              <a:gd name="T9" fmla="*/ 0 h 21"/>
              <a:gd name="T10" fmla="*/ 0 w 23"/>
              <a:gd name="T11" fmla="*/ 18 h 21"/>
            </a:gdLst>
            <a:ahLst/>
            <a:cxnLst>
              <a:cxn ang="0">
                <a:pos x="T0" y="T1"/>
              </a:cxn>
              <a:cxn ang="0">
                <a:pos x="T2" y="T3"/>
              </a:cxn>
              <a:cxn ang="0">
                <a:pos x="T4" y="T5"/>
              </a:cxn>
              <a:cxn ang="0">
                <a:pos x="T6" y="T7"/>
              </a:cxn>
              <a:cxn ang="0">
                <a:pos x="T8" y="T9"/>
              </a:cxn>
              <a:cxn ang="0">
                <a:pos x="T10" y="T11"/>
              </a:cxn>
            </a:cxnLst>
            <a:rect l="0" t="0" r="r" b="b"/>
            <a:pathLst>
              <a:path w="23" h="21">
                <a:moveTo>
                  <a:pt x="0" y="18"/>
                </a:moveTo>
                <a:cubicBezTo>
                  <a:pt x="17" y="21"/>
                  <a:pt x="17" y="21"/>
                  <a:pt x="17" y="21"/>
                </a:cubicBezTo>
                <a:cubicBezTo>
                  <a:pt x="18" y="21"/>
                  <a:pt x="20" y="20"/>
                  <a:pt x="20" y="19"/>
                </a:cubicBezTo>
                <a:cubicBezTo>
                  <a:pt x="23" y="3"/>
                  <a:pt x="23" y="3"/>
                  <a:pt x="23" y="3"/>
                </a:cubicBezTo>
                <a:cubicBezTo>
                  <a:pt x="3" y="0"/>
                  <a:pt x="3" y="0"/>
                  <a:pt x="3" y="0"/>
                </a:cubicBez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9" name="Freeform 31">
            <a:extLst>
              <a:ext uri="{FF2B5EF4-FFF2-40B4-BE49-F238E27FC236}">
                <a16:creationId xmlns:a16="http://schemas.microsoft.com/office/drawing/2014/main" id="{D3A8218C-28B9-531B-878E-248D079D750A}"/>
              </a:ext>
            </a:extLst>
          </xdr:cNvPr>
          <xdr:cNvSpPr>
            <a:spLocks/>
          </xdr:cNvSpPr>
        </xdr:nvSpPr>
        <xdr:spPr bwMode="auto">
          <a:xfrm>
            <a:off x="409575" y="404812"/>
            <a:ext cx="38100" cy="41275"/>
          </a:xfrm>
          <a:custGeom>
            <a:avLst/>
            <a:gdLst>
              <a:gd name="T0" fmla="*/ 2 w 21"/>
              <a:gd name="T1" fmla="*/ 0 h 22"/>
              <a:gd name="T2" fmla="*/ 0 w 21"/>
              <a:gd name="T3" fmla="*/ 16 h 22"/>
              <a:gd name="T4" fmla="*/ 2 w 21"/>
              <a:gd name="T5" fmla="*/ 19 h 22"/>
              <a:gd name="T6" fmla="*/ 18 w 21"/>
              <a:gd name="T7" fmla="*/ 22 h 22"/>
              <a:gd name="T8" fmla="*/ 21 w 21"/>
              <a:gd name="T9" fmla="*/ 3 h 22"/>
              <a:gd name="T10" fmla="*/ 2 w 21"/>
              <a:gd name="T11" fmla="*/ 0 h 22"/>
            </a:gdLst>
            <a:ahLst/>
            <a:cxnLst>
              <a:cxn ang="0">
                <a:pos x="T0" y="T1"/>
              </a:cxn>
              <a:cxn ang="0">
                <a:pos x="T2" y="T3"/>
              </a:cxn>
              <a:cxn ang="0">
                <a:pos x="T4" y="T5"/>
              </a:cxn>
              <a:cxn ang="0">
                <a:pos x="T6" y="T7"/>
              </a:cxn>
              <a:cxn ang="0">
                <a:pos x="T8" y="T9"/>
              </a:cxn>
              <a:cxn ang="0">
                <a:pos x="T10" y="T11"/>
              </a:cxn>
            </a:cxnLst>
            <a:rect l="0" t="0" r="r" b="b"/>
            <a:pathLst>
              <a:path w="21" h="22">
                <a:moveTo>
                  <a:pt x="2" y="0"/>
                </a:moveTo>
                <a:cubicBezTo>
                  <a:pt x="0" y="16"/>
                  <a:pt x="0" y="16"/>
                  <a:pt x="0" y="16"/>
                </a:cubicBezTo>
                <a:cubicBezTo>
                  <a:pt x="0" y="18"/>
                  <a:pt x="1" y="19"/>
                  <a:pt x="2" y="19"/>
                </a:cubicBezTo>
                <a:cubicBezTo>
                  <a:pt x="18" y="22"/>
                  <a:pt x="18" y="22"/>
                  <a:pt x="18" y="22"/>
                </a:cubicBezTo>
                <a:cubicBezTo>
                  <a:pt x="21" y="3"/>
                  <a:pt x="21" y="3"/>
                  <a:pt x="21" y="3"/>
                </a:cubicBezTo>
                <a:lnTo>
                  <a:pt x="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0" name="Freeform 33">
            <a:extLst>
              <a:ext uri="{FF2B5EF4-FFF2-40B4-BE49-F238E27FC236}">
                <a16:creationId xmlns:a16="http://schemas.microsoft.com/office/drawing/2014/main" id="{0E391E90-EE01-D32F-6D50-F5C6CCE0E288}"/>
              </a:ext>
            </a:extLst>
          </xdr:cNvPr>
          <xdr:cNvSpPr>
            <a:spLocks/>
          </xdr:cNvSpPr>
        </xdr:nvSpPr>
        <xdr:spPr bwMode="auto">
          <a:xfrm>
            <a:off x="227013" y="196850"/>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1" name="Freeform 34">
            <a:extLst>
              <a:ext uri="{FF2B5EF4-FFF2-40B4-BE49-F238E27FC236}">
                <a16:creationId xmlns:a16="http://schemas.microsoft.com/office/drawing/2014/main" id="{4329064C-4FD3-33F7-11AC-F26CA255B5DD}"/>
              </a:ext>
            </a:extLst>
          </xdr:cNvPr>
          <xdr:cNvSpPr>
            <a:spLocks/>
          </xdr:cNvSpPr>
        </xdr:nvSpPr>
        <xdr:spPr bwMode="auto">
          <a:xfrm>
            <a:off x="131763" y="182562"/>
            <a:ext cx="39688" cy="39688"/>
          </a:xfrm>
          <a:custGeom>
            <a:avLst/>
            <a:gdLst>
              <a:gd name="T0" fmla="*/ 25 w 25"/>
              <a:gd name="T1" fmla="*/ 3 h 25"/>
              <a:gd name="T2" fmla="*/ 3 w 25"/>
              <a:gd name="T3" fmla="*/ 0 h 25"/>
              <a:gd name="T4" fmla="*/ 0 w 25"/>
              <a:gd name="T5" fmla="*/ 22 h 25"/>
              <a:gd name="T6" fmla="*/ 22 w 25"/>
              <a:gd name="T7" fmla="*/ 25 h 25"/>
              <a:gd name="T8" fmla="*/ 25 w 25"/>
              <a:gd name="T9" fmla="*/ 3 h 25"/>
            </a:gdLst>
            <a:ahLst/>
            <a:cxnLst>
              <a:cxn ang="0">
                <a:pos x="T0" y="T1"/>
              </a:cxn>
              <a:cxn ang="0">
                <a:pos x="T2" y="T3"/>
              </a:cxn>
              <a:cxn ang="0">
                <a:pos x="T4" y="T5"/>
              </a:cxn>
              <a:cxn ang="0">
                <a:pos x="T6" y="T7"/>
              </a:cxn>
              <a:cxn ang="0">
                <a:pos x="T8" y="T9"/>
              </a:cxn>
            </a:cxnLst>
            <a:rect l="0" t="0" r="r" b="b"/>
            <a:pathLst>
              <a:path w="25" h="25">
                <a:moveTo>
                  <a:pt x="25" y="3"/>
                </a:moveTo>
                <a:lnTo>
                  <a:pt x="3" y="0"/>
                </a:lnTo>
                <a:lnTo>
                  <a:pt x="0" y="22"/>
                </a:lnTo>
                <a:lnTo>
                  <a:pt x="22" y="25"/>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2" name="Freeform 35">
            <a:extLst>
              <a:ext uri="{FF2B5EF4-FFF2-40B4-BE49-F238E27FC236}">
                <a16:creationId xmlns:a16="http://schemas.microsoft.com/office/drawing/2014/main" id="{23135683-65B0-9C79-969E-22C04DBFC440}"/>
              </a:ext>
            </a:extLst>
          </xdr:cNvPr>
          <xdr:cNvSpPr>
            <a:spLocks/>
          </xdr:cNvSpPr>
        </xdr:nvSpPr>
        <xdr:spPr bwMode="auto">
          <a:xfrm>
            <a:off x="187325" y="142875"/>
            <a:ext cx="41275" cy="41275"/>
          </a:xfrm>
          <a:custGeom>
            <a:avLst/>
            <a:gdLst>
              <a:gd name="T0" fmla="*/ 23 w 26"/>
              <a:gd name="T1" fmla="*/ 26 h 26"/>
              <a:gd name="T2" fmla="*/ 26 w 26"/>
              <a:gd name="T3" fmla="*/ 4 h 26"/>
              <a:gd name="T4" fmla="*/ 3 w 26"/>
              <a:gd name="T5" fmla="*/ 0 h 26"/>
              <a:gd name="T6" fmla="*/ 0 w 26"/>
              <a:gd name="T7" fmla="*/ 21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1"/>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3" name="Freeform 36">
            <a:extLst>
              <a:ext uri="{FF2B5EF4-FFF2-40B4-BE49-F238E27FC236}">
                <a16:creationId xmlns:a16="http://schemas.microsoft.com/office/drawing/2014/main" id="{9F8666ED-B0D8-63DD-5722-8790F8E3E428}"/>
              </a:ext>
            </a:extLst>
          </xdr:cNvPr>
          <xdr:cNvSpPr>
            <a:spLocks/>
          </xdr:cNvSpPr>
        </xdr:nvSpPr>
        <xdr:spPr bwMode="auto">
          <a:xfrm>
            <a:off x="177800" y="188912"/>
            <a:ext cx="44450" cy="42863"/>
          </a:xfrm>
          <a:custGeom>
            <a:avLst/>
            <a:gdLst>
              <a:gd name="T0" fmla="*/ 0 w 28"/>
              <a:gd name="T1" fmla="*/ 22 h 27"/>
              <a:gd name="T2" fmla="*/ 23 w 28"/>
              <a:gd name="T3" fmla="*/ 27 h 27"/>
              <a:gd name="T4" fmla="*/ 28 w 28"/>
              <a:gd name="T5" fmla="*/ 4 h 27"/>
              <a:gd name="T6" fmla="*/ 4 w 28"/>
              <a:gd name="T7" fmla="*/ 0 h 27"/>
              <a:gd name="T8" fmla="*/ 0 w 28"/>
              <a:gd name="T9" fmla="*/ 22 h 27"/>
            </a:gdLst>
            <a:ahLst/>
            <a:cxnLst>
              <a:cxn ang="0">
                <a:pos x="T0" y="T1"/>
              </a:cxn>
              <a:cxn ang="0">
                <a:pos x="T2" y="T3"/>
              </a:cxn>
              <a:cxn ang="0">
                <a:pos x="T4" y="T5"/>
              </a:cxn>
              <a:cxn ang="0">
                <a:pos x="T6" y="T7"/>
              </a:cxn>
              <a:cxn ang="0">
                <a:pos x="T8" y="T9"/>
              </a:cxn>
            </a:cxnLst>
            <a:rect l="0" t="0" r="r" b="b"/>
            <a:pathLst>
              <a:path w="28" h="27">
                <a:moveTo>
                  <a:pt x="0" y="22"/>
                </a:moveTo>
                <a:lnTo>
                  <a:pt x="23" y="27"/>
                </a:lnTo>
                <a:lnTo>
                  <a:pt x="28"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4" name="Freeform 37">
            <a:extLst>
              <a:ext uri="{FF2B5EF4-FFF2-40B4-BE49-F238E27FC236}">
                <a16:creationId xmlns:a16="http://schemas.microsoft.com/office/drawing/2014/main" id="{DF19D75E-332B-C9B5-4913-FD1BB676777C}"/>
              </a:ext>
            </a:extLst>
          </xdr:cNvPr>
          <xdr:cNvSpPr>
            <a:spLocks/>
          </xdr:cNvSpPr>
        </xdr:nvSpPr>
        <xdr:spPr bwMode="auto">
          <a:xfrm>
            <a:off x="138113" y="136525"/>
            <a:ext cx="41275" cy="38100"/>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5"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5" name="Freeform 38">
            <a:extLst>
              <a:ext uri="{FF2B5EF4-FFF2-40B4-BE49-F238E27FC236}">
                <a16:creationId xmlns:a16="http://schemas.microsoft.com/office/drawing/2014/main" id="{0866DA6A-D3CF-B322-932B-30513F37A44E}"/>
              </a:ext>
            </a:extLst>
          </xdr:cNvPr>
          <xdr:cNvSpPr>
            <a:spLocks/>
          </xdr:cNvSpPr>
        </xdr:nvSpPr>
        <xdr:spPr bwMode="auto">
          <a:xfrm>
            <a:off x="236538" y="150812"/>
            <a:ext cx="39688" cy="39688"/>
          </a:xfrm>
          <a:custGeom>
            <a:avLst/>
            <a:gdLst>
              <a:gd name="T0" fmla="*/ 19 w 22"/>
              <a:gd name="T1" fmla="*/ 22 h 22"/>
              <a:gd name="T2" fmla="*/ 22 w 22"/>
              <a:gd name="T3" fmla="*/ 6 h 22"/>
              <a:gd name="T4" fmla="*/ 20 w 22"/>
              <a:gd name="T5" fmla="*/ 3 h 22"/>
              <a:gd name="T6" fmla="*/ 3 w 22"/>
              <a:gd name="T7" fmla="*/ 0 h 22"/>
              <a:gd name="T8" fmla="*/ 0 w 22"/>
              <a:gd name="T9" fmla="*/ 19 h 22"/>
              <a:gd name="T10" fmla="*/ 19 w 22"/>
              <a:gd name="T11" fmla="*/ 22 h 22"/>
            </a:gdLst>
            <a:ahLst/>
            <a:cxnLst>
              <a:cxn ang="0">
                <a:pos x="T0" y="T1"/>
              </a:cxn>
              <a:cxn ang="0">
                <a:pos x="T2" y="T3"/>
              </a:cxn>
              <a:cxn ang="0">
                <a:pos x="T4" y="T5"/>
              </a:cxn>
              <a:cxn ang="0">
                <a:pos x="T6" y="T7"/>
              </a:cxn>
              <a:cxn ang="0">
                <a:pos x="T8" y="T9"/>
              </a:cxn>
              <a:cxn ang="0">
                <a:pos x="T10" y="T11"/>
              </a:cxn>
            </a:cxnLst>
            <a:rect l="0" t="0" r="r" b="b"/>
            <a:pathLst>
              <a:path w="22" h="22">
                <a:moveTo>
                  <a:pt x="19" y="22"/>
                </a:moveTo>
                <a:cubicBezTo>
                  <a:pt x="22" y="6"/>
                  <a:pt x="22" y="6"/>
                  <a:pt x="22" y="6"/>
                </a:cubicBezTo>
                <a:cubicBezTo>
                  <a:pt x="22" y="5"/>
                  <a:pt x="21" y="3"/>
                  <a:pt x="20" y="3"/>
                </a:cubicBezTo>
                <a:cubicBezTo>
                  <a:pt x="3" y="0"/>
                  <a:pt x="3" y="0"/>
                  <a:pt x="3" y="0"/>
                </a:cubicBezTo>
                <a:cubicBezTo>
                  <a:pt x="0" y="19"/>
                  <a:pt x="0" y="19"/>
                  <a:pt x="0" y="19"/>
                </a:cubicBezTo>
                <a:lnTo>
                  <a:pt x="19"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6" name="Freeform 39">
            <a:extLst>
              <a:ext uri="{FF2B5EF4-FFF2-40B4-BE49-F238E27FC236}">
                <a16:creationId xmlns:a16="http://schemas.microsoft.com/office/drawing/2014/main" id="{900CAE33-0260-E5DF-9598-00FC6F549FCE}"/>
              </a:ext>
            </a:extLst>
          </xdr:cNvPr>
          <xdr:cNvSpPr>
            <a:spLocks/>
          </xdr:cNvSpPr>
        </xdr:nvSpPr>
        <xdr:spPr bwMode="auto">
          <a:xfrm>
            <a:off x="419100" y="230187"/>
            <a:ext cx="42863" cy="41275"/>
          </a:xfrm>
          <a:custGeom>
            <a:avLst/>
            <a:gdLst>
              <a:gd name="T0" fmla="*/ 3 w 27"/>
              <a:gd name="T1" fmla="*/ 0 h 26"/>
              <a:gd name="T2" fmla="*/ 0 w 27"/>
              <a:gd name="T3" fmla="*/ 23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3"/>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7" name="Freeform 40">
            <a:extLst>
              <a:ext uri="{FF2B5EF4-FFF2-40B4-BE49-F238E27FC236}">
                <a16:creationId xmlns:a16="http://schemas.microsoft.com/office/drawing/2014/main" id="{B24B5E7C-07A6-EA8C-0C87-60BDDE023B12}"/>
              </a:ext>
            </a:extLst>
          </xdr:cNvPr>
          <xdr:cNvSpPr>
            <a:spLocks/>
          </xdr:cNvSpPr>
        </xdr:nvSpPr>
        <xdr:spPr bwMode="auto">
          <a:xfrm>
            <a:off x="322263" y="214312"/>
            <a:ext cx="41275" cy="41275"/>
          </a:xfrm>
          <a:custGeom>
            <a:avLst/>
            <a:gdLst>
              <a:gd name="T0" fmla="*/ 26 w 26"/>
              <a:gd name="T1" fmla="*/ 4 h 26"/>
              <a:gd name="T2" fmla="*/ 4 w 26"/>
              <a:gd name="T3" fmla="*/ 0 h 26"/>
              <a:gd name="T4" fmla="*/ 0 w 26"/>
              <a:gd name="T5" fmla="*/ 23 h 26"/>
              <a:gd name="T6" fmla="*/ 21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1"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8" name="Freeform 41">
            <a:extLst>
              <a:ext uri="{FF2B5EF4-FFF2-40B4-BE49-F238E27FC236}">
                <a16:creationId xmlns:a16="http://schemas.microsoft.com/office/drawing/2014/main" id="{B6522B54-E0C2-53BF-B733-BA44FFF3990D}"/>
              </a:ext>
            </a:extLst>
          </xdr:cNvPr>
          <xdr:cNvSpPr>
            <a:spLocks/>
          </xdr:cNvSpPr>
        </xdr:nvSpPr>
        <xdr:spPr bwMode="auto">
          <a:xfrm>
            <a:off x="377825" y="176212"/>
            <a:ext cx="42863" cy="41275"/>
          </a:xfrm>
          <a:custGeom>
            <a:avLst/>
            <a:gdLst>
              <a:gd name="T0" fmla="*/ 22 w 27"/>
              <a:gd name="T1" fmla="*/ 26 h 26"/>
              <a:gd name="T2" fmla="*/ 27 w 27"/>
              <a:gd name="T3" fmla="*/ 4 h 26"/>
              <a:gd name="T4" fmla="*/ 4 w 27"/>
              <a:gd name="T5" fmla="*/ 0 h 26"/>
              <a:gd name="T6" fmla="*/ 0 w 27"/>
              <a:gd name="T7" fmla="*/ 21 h 26"/>
              <a:gd name="T8" fmla="*/ 22 w 27"/>
              <a:gd name="T9" fmla="*/ 26 h 26"/>
            </a:gdLst>
            <a:ahLst/>
            <a:cxnLst>
              <a:cxn ang="0">
                <a:pos x="T0" y="T1"/>
              </a:cxn>
              <a:cxn ang="0">
                <a:pos x="T2" y="T3"/>
              </a:cxn>
              <a:cxn ang="0">
                <a:pos x="T4" y="T5"/>
              </a:cxn>
              <a:cxn ang="0">
                <a:pos x="T6" y="T7"/>
              </a:cxn>
              <a:cxn ang="0">
                <a:pos x="T8" y="T9"/>
              </a:cxn>
            </a:cxnLst>
            <a:rect l="0" t="0" r="r" b="b"/>
            <a:pathLst>
              <a:path w="27" h="26">
                <a:moveTo>
                  <a:pt x="22" y="26"/>
                </a:moveTo>
                <a:lnTo>
                  <a:pt x="27" y="4"/>
                </a:lnTo>
                <a:lnTo>
                  <a:pt x="4" y="0"/>
                </a:lnTo>
                <a:lnTo>
                  <a:pt x="0" y="21"/>
                </a:lnTo>
                <a:lnTo>
                  <a:pt x="22"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9" name="Freeform 42">
            <a:extLst>
              <a:ext uri="{FF2B5EF4-FFF2-40B4-BE49-F238E27FC236}">
                <a16:creationId xmlns:a16="http://schemas.microsoft.com/office/drawing/2014/main" id="{8D44657B-16A7-AF0B-338B-5441117E3385}"/>
              </a:ext>
            </a:extLst>
          </xdr:cNvPr>
          <xdr:cNvSpPr>
            <a:spLocks/>
          </xdr:cNvSpPr>
        </xdr:nvSpPr>
        <xdr:spPr bwMode="auto">
          <a:xfrm>
            <a:off x="368300" y="222250"/>
            <a:ext cx="42863" cy="42863"/>
          </a:xfrm>
          <a:custGeom>
            <a:avLst/>
            <a:gdLst>
              <a:gd name="T0" fmla="*/ 0 w 27"/>
              <a:gd name="T1" fmla="*/ 22 h 27"/>
              <a:gd name="T2" fmla="*/ 24 w 27"/>
              <a:gd name="T3" fmla="*/ 27 h 27"/>
              <a:gd name="T4" fmla="*/ 27 w 27"/>
              <a:gd name="T5" fmla="*/ 4 h 27"/>
              <a:gd name="T6" fmla="*/ 4 w 27"/>
              <a:gd name="T7" fmla="*/ 0 h 27"/>
              <a:gd name="T8" fmla="*/ 0 w 27"/>
              <a:gd name="T9" fmla="*/ 22 h 27"/>
            </a:gdLst>
            <a:ahLst/>
            <a:cxnLst>
              <a:cxn ang="0">
                <a:pos x="T0" y="T1"/>
              </a:cxn>
              <a:cxn ang="0">
                <a:pos x="T2" y="T3"/>
              </a:cxn>
              <a:cxn ang="0">
                <a:pos x="T4" y="T5"/>
              </a:cxn>
              <a:cxn ang="0">
                <a:pos x="T6" y="T7"/>
              </a:cxn>
              <a:cxn ang="0">
                <a:pos x="T8" y="T9"/>
              </a:cxn>
            </a:cxnLst>
            <a:rect l="0" t="0" r="r" b="b"/>
            <a:pathLst>
              <a:path w="27" h="27">
                <a:moveTo>
                  <a:pt x="0" y="22"/>
                </a:moveTo>
                <a:lnTo>
                  <a:pt x="24" y="27"/>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0" name="Freeform 43">
            <a:extLst>
              <a:ext uri="{FF2B5EF4-FFF2-40B4-BE49-F238E27FC236}">
                <a16:creationId xmlns:a16="http://schemas.microsoft.com/office/drawing/2014/main" id="{F16A2509-33F8-1783-A51C-72A0694F24B7}"/>
              </a:ext>
            </a:extLst>
          </xdr:cNvPr>
          <xdr:cNvSpPr>
            <a:spLocks/>
          </xdr:cNvSpPr>
        </xdr:nvSpPr>
        <xdr:spPr bwMode="auto">
          <a:xfrm>
            <a:off x="330200" y="168275"/>
            <a:ext cx="41275" cy="39688"/>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4"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1" name="Freeform 44">
            <a:extLst>
              <a:ext uri="{FF2B5EF4-FFF2-40B4-BE49-F238E27FC236}">
                <a16:creationId xmlns:a16="http://schemas.microsoft.com/office/drawing/2014/main" id="{209E31E5-2E59-9623-BA14-79B586ED492B}"/>
              </a:ext>
            </a:extLst>
          </xdr:cNvPr>
          <xdr:cNvSpPr>
            <a:spLocks/>
          </xdr:cNvSpPr>
        </xdr:nvSpPr>
        <xdr:spPr bwMode="auto">
          <a:xfrm>
            <a:off x="425450" y="184150"/>
            <a:ext cx="42863" cy="39688"/>
          </a:xfrm>
          <a:custGeom>
            <a:avLst/>
            <a:gdLst>
              <a:gd name="T0" fmla="*/ 20 w 23"/>
              <a:gd name="T1" fmla="*/ 22 h 22"/>
              <a:gd name="T2" fmla="*/ 23 w 23"/>
              <a:gd name="T3" fmla="*/ 6 h 22"/>
              <a:gd name="T4" fmla="*/ 21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2" name="Freeform 45">
            <a:extLst>
              <a:ext uri="{FF2B5EF4-FFF2-40B4-BE49-F238E27FC236}">
                <a16:creationId xmlns:a16="http://schemas.microsoft.com/office/drawing/2014/main" id="{80FF21E4-B3F5-7E09-BD95-CAD780EB2042}"/>
              </a:ext>
            </a:extLst>
          </xdr:cNvPr>
          <xdr:cNvSpPr>
            <a:spLocks/>
          </xdr:cNvSpPr>
        </xdr:nvSpPr>
        <xdr:spPr bwMode="auto">
          <a:xfrm>
            <a:off x="608013" y="263525"/>
            <a:ext cx="42863" cy="39688"/>
          </a:xfrm>
          <a:custGeom>
            <a:avLst/>
            <a:gdLst>
              <a:gd name="T0" fmla="*/ 4 w 27"/>
              <a:gd name="T1" fmla="*/ 0 h 25"/>
              <a:gd name="T2" fmla="*/ 0 w 27"/>
              <a:gd name="T3" fmla="*/ 22 h 25"/>
              <a:gd name="T4" fmla="*/ 24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4"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3" name="Freeform 46">
            <a:extLst>
              <a:ext uri="{FF2B5EF4-FFF2-40B4-BE49-F238E27FC236}">
                <a16:creationId xmlns:a16="http://schemas.microsoft.com/office/drawing/2014/main" id="{F9D41B3C-374B-0241-A5C3-88890D9B724E}"/>
              </a:ext>
            </a:extLst>
          </xdr:cNvPr>
          <xdr:cNvSpPr>
            <a:spLocks/>
          </xdr:cNvSpPr>
        </xdr:nvSpPr>
        <xdr:spPr bwMode="auto">
          <a:xfrm>
            <a:off x="600075" y="311150"/>
            <a:ext cx="41275" cy="42863"/>
          </a:xfrm>
          <a:custGeom>
            <a:avLst/>
            <a:gdLst>
              <a:gd name="T0" fmla="*/ 3 w 26"/>
              <a:gd name="T1" fmla="*/ 0 h 27"/>
              <a:gd name="T2" fmla="*/ 0 w 26"/>
              <a:gd name="T3" fmla="*/ 22 h 27"/>
              <a:gd name="T4" fmla="*/ 23 w 26"/>
              <a:gd name="T5" fmla="*/ 27 h 27"/>
              <a:gd name="T6" fmla="*/ 26 w 26"/>
              <a:gd name="T7" fmla="*/ 3 h 27"/>
              <a:gd name="T8" fmla="*/ 3 w 26"/>
              <a:gd name="T9" fmla="*/ 0 h 27"/>
            </a:gdLst>
            <a:ahLst/>
            <a:cxnLst>
              <a:cxn ang="0">
                <a:pos x="T0" y="T1"/>
              </a:cxn>
              <a:cxn ang="0">
                <a:pos x="T2" y="T3"/>
              </a:cxn>
              <a:cxn ang="0">
                <a:pos x="T4" y="T5"/>
              </a:cxn>
              <a:cxn ang="0">
                <a:pos x="T6" y="T7"/>
              </a:cxn>
              <a:cxn ang="0">
                <a:pos x="T8" y="T9"/>
              </a:cxn>
            </a:cxnLst>
            <a:rect l="0" t="0" r="r" b="b"/>
            <a:pathLst>
              <a:path w="26" h="27">
                <a:moveTo>
                  <a:pt x="3" y="0"/>
                </a:moveTo>
                <a:lnTo>
                  <a:pt x="0" y="22"/>
                </a:lnTo>
                <a:lnTo>
                  <a:pt x="23" y="27"/>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4" name="Freeform 47">
            <a:extLst>
              <a:ext uri="{FF2B5EF4-FFF2-40B4-BE49-F238E27FC236}">
                <a16:creationId xmlns:a16="http://schemas.microsoft.com/office/drawing/2014/main" id="{581894C9-1ABA-439C-A2B8-75518672DB71}"/>
              </a:ext>
            </a:extLst>
          </xdr:cNvPr>
          <xdr:cNvSpPr>
            <a:spLocks/>
          </xdr:cNvSpPr>
        </xdr:nvSpPr>
        <xdr:spPr bwMode="auto">
          <a:xfrm>
            <a:off x="512763" y="247650"/>
            <a:ext cx="41275" cy="41275"/>
          </a:xfrm>
          <a:custGeom>
            <a:avLst/>
            <a:gdLst>
              <a:gd name="T0" fmla="*/ 26 w 26"/>
              <a:gd name="T1" fmla="*/ 4 h 26"/>
              <a:gd name="T2" fmla="*/ 4 w 26"/>
              <a:gd name="T3" fmla="*/ 0 h 26"/>
              <a:gd name="T4" fmla="*/ 0 w 26"/>
              <a:gd name="T5" fmla="*/ 22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2"/>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5" name="Freeform 48">
            <a:extLst>
              <a:ext uri="{FF2B5EF4-FFF2-40B4-BE49-F238E27FC236}">
                <a16:creationId xmlns:a16="http://schemas.microsoft.com/office/drawing/2014/main" id="{AB26A4C6-8D4E-8575-B15C-5DA70B32B3DA}"/>
              </a:ext>
            </a:extLst>
          </xdr:cNvPr>
          <xdr:cNvSpPr>
            <a:spLocks/>
          </xdr:cNvSpPr>
        </xdr:nvSpPr>
        <xdr:spPr bwMode="auto">
          <a:xfrm>
            <a:off x="568325" y="20796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6" name="Freeform 49">
            <a:extLst>
              <a:ext uri="{FF2B5EF4-FFF2-40B4-BE49-F238E27FC236}">
                <a16:creationId xmlns:a16="http://schemas.microsoft.com/office/drawing/2014/main" id="{DC9737F3-585D-8F86-EA32-6214396BBB2D}"/>
              </a:ext>
            </a:extLst>
          </xdr:cNvPr>
          <xdr:cNvSpPr>
            <a:spLocks/>
          </xdr:cNvSpPr>
        </xdr:nvSpPr>
        <xdr:spPr bwMode="auto">
          <a:xfrm>
            <a:off x="560388" y="255587"/>
            <a:ext cx="42863" cy="41275"/>
          </a:xfrm>
          <a:custGeom>
            <a:avLst/>
            <a:gdLst>
              <a:gd name="T0" fmla="*/ 0 w 27"/>
              <a:gd name="T1" fmla="*/ 22 h 26"/>
              <a:gd name="T2" fmla="*/ 23 w 27"/>
              <a:gd name="T3" fmla="*/ 26 h 26"/>
              <a:gd name="T4" fmla="*/ 27 w 27"/>
              <a:gd name="T5" fmla="*/ 4 h 26"/>
              <a:gd name="T6" fmla="*/ 4 w 27"/>
              <a:gd name="T7" fmla="*/ 0 h 26"/>
              <a:gd name="T8" fmla="*/ 0 w 27"/>
              <a:gd name="T9" fmla="*/ 22 h 26"/>
            </a:gdLst>
            <a:ahLst/>
            <a:cxnLst>
              <a:cxn ang="0">
                <a:pos x="T0" y="T1"/>
              </a:cxn>
              <a:cxn ang="0">
                <a:pos x="T2" y="T3"/>
              </a:cxn>
              <a:cxn ang="0">
                <a:pos x="T4" y="T5"/>
              </a:cxn>
              <a:cxn ang="0">
                <a:pos x="T6" y="T7"/>
              </a:cxn>
              <a:cxn ang="0">
                <a:pos x="T8" y="T9"/>
              </a:cxn>
            </a:cxnLst>
            <a:rect l="0" t="0" r="r" b="b"/>
            <a:pathLst>
              <a:path w="27" h="26">
                <a:moveTo>
                  <a:pt x="0" y="22"/>
                </a:moveTo>
                <a:lnTo>
                  <a:pt x="23" y="26"/>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7" name="Freeform 50">
            <a:extLst>
              <a:ext uri="{FF2B5EF4-FFF2-40B4-BE49-F238E27FC236}">
                <a16:creationId xmlns:a16="http://schemas.microsoft.com/office/drawing/2014/main" id="{3195B1A4-C48E-1EA6-01F2-F9A8FEEBF7C4}"/>
              </a:ext>
            </a:extLst>
          </xdr:cNvPr>
          <xdr:cNvSpPr>
            <a:spLocks/>
          </xdr:cNvSpPr>
        </xdr:nvSpPr>
        <xdr:spPr bwMode="auto">
          <a:xfrm>
            <a:off x="520700" y="201612"/>
            <a:ext cx="39688" cy="39688"/>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1"/>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8" name="Freeform 51">
            <a:extLst>
              <a:ext uri="{FF2B5EF4-FFF2-40B4-BE49-F238E27FC236}">
                <a16:creationId xmlns:a16="http://schemas.microsoft.com/office/drawing/2014/main" id="{A2B2DAAB-1F4E-174B-86BC-49C895CF568D}"/>
              </a:ext>
            </a:extLst>
          </xdr:cNvPr>
          <xdr:cNvSpPr>
            <a:spLocks/>
          </xdr:cNvSpPr>
        </xdr:nvSpPr>
        <xdr:spPr bwMode="auto">
          <a:xfrm>
            <a:off x="617538" y="217487"/>
            <a:ext cx="41275" cy="38100"/>
          </a:xfrm>
          <a:custGeom>
            <a:avLst/>
            <a:gdLst>
              <a:gd name="T0" fmla="*/ 19 w 22"/>
              <a:gd name="T1" fmla="*/ 21 h 21"/>
              <a:gd name="T2" fmla="*/ 22 w 22"/>
              <a:gd name="T3" fmla="*/ 5 h 21"/>
              <a:gd name="T4" fmla="*/ 20 w 22"/>
              <a:gd name="T5" fmla="*/ 2 h 21"/>
              <a:gd name="T6" fmla="*/ 2 w 22"/>
              <a:gd name="T7" fmla="*/ 0 h 21"/>
              <a:gd name="T8" fmla="*/ 0 w 22"/>
              <a:gd name="T9" fmla="*/ 18 h 21"/>
              <a:gd name="T10" fmla="*/ 19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19" y="21"/>
                </a:moveTo>
                <a:cubicBezTo>
                  <a:pt x="22" y="5"/>
                  <a:pt x="22" y="5"/>
                  <a:pt x="22" y="5"/>
                </a:cubicBezTo>
                <a:cubicBezTo>
                  <a:pt x="22" y="4"/>
                  <a:pt x="21" y="3"/>
                  <a:pt x="20" y="2"/>
                </a:cubicBezTo>
                <a:cubicBezTo>
                  <a:pt x="2" y="0"/>
                  <a:pt x="2" y="0"/>
                  <a:pt x="2" y="0"/>
                </a:cubicBezTo>
                <a:cubicBezTo>
                  <a:pt x="0" y="18"/>
                  <a:pt x="0" y="18"/>
                  <a:pt x="0" y="18"/>
                </a:cubicBezTo>
                <a:lnTo>
                  <a:pt x="19"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9" name="Freeform 52">
            <a:extLst>
              <a:ext uri="{FF2B5EF4-FFF2-40B4-BE49-F238E27FC236}">
                <a16:creationId xmlns:a16="http://schemas.microsoft.com/office/drawing/2014/main" id="{95FE5201-F742-3482-2728-F7C137FC5560}"/>
              </a:ext>
            </a:extLst>
          </xdr:cNvPr>
          <xdr:cNvSpPr>
            <a:spLocks noEditPoints="1"/>
          </xdr:cNvSpPr>
        </xdr:nvSpPr>
        <xdr:spPr bwMode="auto">
          <a:xfrm>
            <a:off x="107950" y="109537"/>
            <a:ext cx="608013" cy="268288"/>
          </a:xfrm>
          <a:custGeom>
            <a:avLst/>
            <a:gdLst>
              <a:gd name="T0" fmla="*/ 311 w 330"/>
              <a:gd name="T1" fmla="*/ 65 h 145"/>
              <a:gd name="T2" fmla="*/ 309 w 330"/>
              <a:gd name="T3" fmla="*/ 50 h 145"/>
              <a:gd name="T4" fmla="*/ 216 w 330"/>
              <a:gd name="T5" fmla="*/ 39 h 145"/>
              <a:gd name="T6" fmla="*/ 208 w 330"/>
              <a:gd name="T7" fmla="*/ 48 h 145"/>
              <a:gd name="T8" fmla="*/ 206 w 330"/>
              <a:gd name="T9" fmla="*/ 33 h 145"/>
              <a:gd name="T10" fmla="*/ 113 w 330"/>
              <a:gd name="T11" fmla="*/ 21 h 145"/>
              <a:gd name="T12" fmla="*/ 104 w 330"/>
              <a:gd name="T13" fmla="*/ 30 h 145"/>
              <a:gd name="T14" fmla="*/ 103 w 330"/>
              <a:gd name="T15" fmla="*/ 15 h 145"/>
              <a:gd name="T16" fmla="*/ 10 w 330"/>
              <a:gd name="T17" fmla="*/ 3 h 145"/>
              <a:gd name="T18" fmla="*/ 6 w 330"/>
              <a:gd name="T19" fmla="*/ 62 h 145"/>
              <a:gd name="T20" fmla="*/ 18 w 330"/>
              <a:gd name="T21" fmla="*/ 6 h 145"/>
              <a:gd name="T22" fmla="*/ 100 w 330"/>
              <a:gd name="T23" fmla="*/ 23 h 145"/>
              <a:gd name="T24" fmla="*/ 97 w 330"/>
              <a:gd name="T25" fmla="*/ 38 h 145"/>
              <a:gd name="T26" fmla="*/ 92 w 330"/>
              <a:gd name="T27" fmla="*/ 67 h 145"/>
              <a:gd name="T28" fmla="*/ 96 w 330"/>
              <a:gd name="T29" fmla="*/ 78 h 145"/>
              <a:gd name="T30" fmla="*/ 105 w 330"/>
              <a:gd name="T31" fmla="*/ 69 h 145"/>
              <a:gd name="T32" fmla="*/ 109 w 330"/>
              <a:gd name="T33" fmla="*/ 80 h 145"/>
              <a:gd name="T34" fmla="*/ 121 w 330"/>
              <a:gd name="T35" fmla="*/ 24 h 145"/>
              <a:gd name="T36" fmla="*/ 203 w 330"/>
              <a:gd name="T37" fmla="*/ 41 h 145"/>
              <a:gd name="T38" fmla="*/ 201 w 330"/>
              <a:gd name="T39" fmla="*/ 56 h 145"/>
              <a:gd name="T40" fmla="*/ 196 w 330"/>
              <a:gd name="T41" fmla="*/ 85 h 145"/>
              <a:gd name="T42" fmla="*/ 200 w 330"/>
              <a:gd name="T43" fmla="*/ 95 h 145"/>
              <a:gd name="T44" fmla="*/ 209 w 330"/>
              <a:gd name="T45" fmla="*/ 87 h 145"/>
              <a:gd name="T46" fmla="*/ 213 w 330"/>
              <a:gd name="T47" fmla="*/ 97 h 145"/>
              <a:gd name="T48" fmla="*/ 224 w 330"/>
              <a:gd name="T49" fmla="*/ 42 h 145"/>
              <a:gd name="T50" fmla="*/ 306 w 330"/>
              <a:gd name="T51" fmla="*/ 58 h 145"/>
              <a:gd name="T52" fmla="*/ 304 w 330"/>
              <a:gd name="T53" fmla="*/ 73 h 145"/>
              <a:gd name="T54" fmla="*/ 299 w 330"/>
              <a:gd name="T55" fmla="*/ 102 h 145"/>
              <a:gd name="T56" fmla="*/ 291 w 330"/>
              <a:gd name="T57" fmla="*/ 138 h 145"/>
              <a:gd name="T58" fmla="*/ 285 w 330"/>
              <a:gd name="T59" fmla="*/ 143 h 145"/>
              <a:gd name="T60" fmla="*/ 299 w 330"/>
              <a:gd name="T61" fmla="*/ 141 h 145"/>
              <a:gd name="T62" fmla="*/ 316 w 330"/>
              <a:gd name="T63" fmla="*/ 104 h 145"/>
              <a:gd name="T64" fmla="*/ 326 w 330"/>
              <a:gd name="T65" fmla="*/ 119 h 145"/>
              <a:gd name="T66" fmla="*/ 99 w 330"/>
              <a:gd name="T67" fmla="*/ 61 h 145"/>
              <a:gd name="T68" fmla="*/ 106 w 330"/>
              <a:gd name="T69" fmla="*/ 62 h 145"/>
              <a:gd name="T70" fmla="*/ 202 w 330"/>
              <a:gd name="T71" fmla="*/ 79 h 145"/>
              <a:gd name="T72" fmla="*/ 210 w 330"/>
              <a:gd name="T73" fmla="*/ 80 h 145"/>
              <a:gd name="T74" fmla="*/ 306 w 330"/>
              <a:gd name="T75" fmla="*/ 96 h 145"/>
              <a:gd name="T76" fmla="*/ 313 w 330"/>
              <a:gd name="T77" fmla="*/ 97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5">
                <a:moveTo>
                  <a:pt x="329" y="113"/>
                </a:moveTo>
                <a:cubicBezTo>
                  <a:pt x="311" y="65"/>
                  <a:pt x="311" y="65"/>
                  <a:pt x="311" y="65"/>
                </a:cubicBezTo>
                <a:cubicBezTo>
                  <a:pt x="312" y="55"/>
                  <a:pt x="312" y="55"/>
                  <a:pt x="312" y="55"/>
                </a:cubicBezTo>
                <a:cubicBezTo>
                  <a:pt x="313" y="52"/>
                  <a:pt x="311" y="50"/>
                  <a:pt x="309" y="50"/>
                </a:cubicBezTo>
                <a:cubicBezTo>
                  <a:pt x="221" y="36"/>
                  <a:pt x="221" y="36"/>
                  <a:pt x="221" y="36"/>
                </a:cubicBezTo>
                <a:cubicBezTo>
                  <a:pt x="219" y="36"/>
                  <a:pt x="217" y="37"/>
                  <a:pt x="216" y="39"/>
                </a:cubicBezTo>
                <a:cubicBezTo>
                  <a:pt x="213" y="62"/>
                  <a:pt x="213" y="62"/>
                  <a:pt x="213" y="62"/>
                </a:cubicBezTo>
                <a:cubicBezTo>
                  <a:pt x="208" y="48"/>
                  <a:pt x="208" y="48"/>
                  <a:pt x="208" y="48"/>
                </a:cubicBezTo>
                <a:cubicBezTo>
                  <a:pt x="209" y="38"/>
                  <a:pt x="209" y="38"/>
                  <a:pt x="209" y="38"/>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20"/>
                  <a:pt x="106" y="20"/>
                  <a:pt x="106" y="20"/>
                </a:cubicBezTo>
                <a:cubicBezTo>
                  <a:pt x="106" y="17"/>
                  <a:pt x="105" y="15"/>
                  <a:pt x="103" y="15"/>
                </a:cubicBezTo>
                <a:cubicBezTo>
                  <a:pt x="14" y="0"/>
                  <a:pt x="14" y="0"/>
                  <a:pt x="14" y="0"/>
                </a:cubicBezTo>
                <a:cubicBezTo>
                  <a:pt x="12" y="0"/>
                  <a:pt x="10" y="1"/>
                  <a:pt x="10" y="3"/>
                </a:cubicBezTo>
                <a:cubicBezTo>
                  <a:pt x="0" y="62"/>
                  <a:pt x="0" y="62"/>
                  <a:pt x="0" y="62"/>
                </a:cubicBezTo>
                <a:cubicBezTo>
                  <a:pt x="6" y="62"/>
                  <a:pt x="6" y="62"/>
                  <a:pt x="6" y="62"/>
                </a:cubicBezTo>
                <a:cubicBezTo>
                  <a:pt x="15" y="9"/>
                  <a:pt x="15" y="9"/>
                  <a:pt x="15" y="9"/>
                </a:cubicBezTo>
                <a:cubicBezTo>
                  <a:pt x="15" y="7"/>
                  <a:pt x="16" y="6"/>
                  <a:pt x="18" y="6"/>
                </a:cubicBezTo>
                <a:cubicBezTo>
                  <a:pt x="97" y="20"/>
                  <a:pt x="97" y="20"/>
                  <a:pt x="97" y="20"/>
                </a:cubicBezTo>
                <a:cubicBezTo>
                  <a:pt x="99" y="20"/>
                  <a:pt x="100" y="21"/>
                  <a:pt x="100"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8"/>
                  <a:pt x="96" y="78"/>
                  <a:pt x="96" y="78"/>
                </a:cubicBezTo>
                <a:cubicBezTo>
                  <a:pt x="98" y="68"/>
                  <a:pt x="98" y="68"/>
                  <a:pt x="98" y="68"/>
                </a:cubicBezTo>
                <a:cubicBezTo>
                  <a:pt x="105" y="69"/>
                  <a:pt x="105" y="69"/>
                  <a:pt x="105" y="69"/>
                </a:cubicBezTo>
                <a:cubicBezTo>
                  <a:pt x="104" y="79"/>
                  <a:pt x="104" y="79"/>
                  <a:pt x="104" y="79"/>
                </a:cubicBezTo>
                <a:cubicBezTo>
                  <a:pt x="109" y="80"/>
                  <a:pt x="109" y="80"/>
                  <a:pt x="109" y="80"/>
                </a:cubicBezTo>
                <a:cubicBezTo>
                  <a:pt x="118" y="27"/>
                  <a:pt x="118" y="27"/>
                  <a:pt x="118" y="27"/>
                </a:cubicBezTo>
                <a:cubicBezTo>
                  <a:pt x="119"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7"/>
                  <a:pt x="207" y="97"/>
                  <a:pt x="207" y="97"/>
                </a:cubicBezTo>
                <a:cubicBezTo>
                  <a:pt x="213" y="97"/>
                  <a:pt x="213" y="97"/>
                  <a:pt x="213" y="97"/>
                </a:cubicBezTo>
                <a:cubicBezTo>
                  <a:pt x="221" y="45"/>
                  <a:pt x="221" y="45"/>
                  <a:pt x="221" y="45"/>
                </a:cubicBezTo>
                <a:cubicBezTo>
                  <a:pt x="221" y="43"/>
                  <a:pt x="223" y="42"/>
                  <a:pt x="224" y="42"/>
                </a:cubicBezTo>
                <a:cubicBezTo>
                  <a:pt x="304" y="55"/>
                  <a:pt x="304" y="55"/>
                  <a:pt x="304" y="55"/>
                </a:cubicBezTo>
                <a:cubicBezTo>
                  <a:pt x="306" y="55"/>
                  <a:pt x="306" y="57"/>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6"/>
                  <a:pt x="294" y="136"/>
                  <a:pt x="294" y="136"/>
                </a:cubicBezTo>
                <a:cubicBezTo>
                  <a:pt x="294" y="137"/>
                  <a:pt x="292" y="138"/>
                  <a:pt x="291" y="138"/>
                </a:cubicBezTo>
                <a:cubicBezTo>
                  <a:pt x="286" y="137"/>
                  <a:pt x="286" y="137"/>
                  <a:pt x="286" y="137"/>
                </a:cubicBezTo>
                <a:cubicBezTo>
                  <a:pt x="285" y="143"/>
                  <a:pt x="285" y="143"/>
                  <a:pt x="285" y="143"/>
                </a:cubicBezTo>
                <a:cubicBezTo>
                  <a:pt x="294" y="144"/>
                  <a:pt x="294" y="144"/>
                  <a:pt x="294" y="144"/>
                </a:cubicBezTo>
                <a:cubicBezTo>
                  <a:pt x="296" y="145"/>
                  <a:pt x="298" y="143"/>
                  <a:pt x="299" y="141"/>
                </a:cubicBezTo>
                <a:cubicBezTo>
                  <a:pt x="305" y="103"/>
                  <a:pt x="305" y="103"/>
                  <a:pt x="305" y="103"/>
                </a:cubicBezTo>
                <a:cubicBezTo>
                  <a:pt x="316" y="104"/>
                  <a:pt x="316" y="104"/>
                  <a:pt x="316" y="104"/>
                </a:cubicBezTo>
                <a:cubicBezTo>
                  <a:pt x="320" y="116"/>
                  <a:pt x="320" y="116"/>
                  <a:pt x="320" y="116"/>
                </a:cubicBezTo>
                <a:cubicBezTo>
                  <a:pt x="321" y="119"/>
                  <a:pt x="324" y="120"/>
                  <a:pt x="326" y="119"/>
                </a:cubicBezTo>
                <a:cubicBezTo>
                  <a:pt x="329" y="118"/>
                  <a:pt x="330" y="115"/>
                  <a:pt x="329" y="113"/>
                </a:cubicBezTo>
                <a:close/>
                <a:moveTo>
                  <a:pt x="99" y="61"/>
                </a:moveTo>
                <a:cubicBezTo>
                  <a:pt x="101" y="48"/>
                  <a:pt x="101" y="48"/>
                  <a:pt x="101" y="48"/>
                </a:cubicBezTo>
                <a:cubicBezTo>
                  <a:pt x="106" y="62"/>
                  <a:pt x="106" y="62"/>
                  <a:pt x="106" y="62"/>
                </a:cubicBezTo>
                <a:lnTo>
                  <a:pt x="99" y="61"/>
                </a:lnTo>
                <a:close/>
                <a:moveTo>
                  <a:pt x="202" y="79"/>
                </a:moveTo>
                <a:cubicBezTo>
                  <a:pt x="205" y="66"/>
                  <a:pt x="205" y="66"/>
                  <a:pt x="205" y="66"/>
                </a:cubicBezTo>
                <a:cubicBezTo>
                  <a:pt x="210" y="80"/>
                  <a:pt x="210" y="80"/>
                  <a:pt x="210" y="80"/>
                </a:cubicBezTo>
                <a:lnTo>
                  <a:pt x="202" y="79"/>
                </a:lnTo>
                <a:close/>
                <a:moveTo>
                  <a:pt x="306" y="96"/>
                </a:moveTo>
                <a:cubicBezTo>
                  <a:pt x="308" y="83"/>
                  <a:pt x="308" y="83"/>
                  <a:pt x="308" y="83"/>
                </a:cubicBezTo>
                <a:cubicBezTo>
                  <a:pt x="313" y="97"/>
                  <a:pt x="313" y="97"/>
                  <a:pt x="313" y="97"/>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0" name="Freeform 53">
            <a:extLst>
              <a:ext uri="{FF2B5EF4-FFF2-40B4-BE49-F238E27FC236}">
                <a16:creationId xmlns:a16="http://schemas.microsoft.com/office/drawing/2014/main" id="{CE4D7478-56E0-6B93-ED73-8101DDCAB8D7}"/>
              </a:ext>
            </a:extLst>
          </xdr:cNvPr>
          <xdr:cNvSpPr>
            <a:spLocks/>
          </xdr:cNvSpPr>
        </xdr:nvSpPr>
        <xdr:spPr bwMode="auto">
          <a:xfrm>
            <a:off x="322263" y="85725"/>
            <a:ext cx="42863" cy="42863"/>
          </a:xfrm>
          <a:custGeom>
            <a:avLst/>
            <a:gdLst>
              <a:gd name="T0" fmla="*/ 4 w 27"/>
              <a:gd name="T1" fmla="*/ 0 h 27"/>
              <a:gd name="T2" fmla="*/ 0 w 27"/>
              <a:gd name="T3" fmla="*/ 22 h 27"/>
              <a:gd name="T4" fmla="*/ 24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4"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1" name="Freeform 54">
            <a:extLst>
              <a:ext uri="{FF2B5EF4-FFF2-40B4-BE49-F238E27FC236}">
                <a16:creationId xmlns:a16="http://schemas.microsoft.com/office/drawing/2014/main" id="{106D0CB4-F8A3-EBB1-50A5-3458067F71E1}"/>
              </a:ext>
            </a:extLst>
          </xdr:cNvPr>
          <xdr:cNvSpPr>
            <a:spLocks/>
          </xdr:cNvSpPr>
        </xdr:nvSpPr>
        <xdr:spPr bwMode="auto">
          <a:xfrm>
            <a:off x="227013" y="69850"/>
            <a:ext cx="41275" cy="41275"/>
          </a:xfrm>
          <a:custGeom>
            <a:avLst/>
            <a:gdLst>
              <a:gd name="T0" fmla="*/ 26 w 26"/>
              <a:gd name="T1" fmla="*/ 4 h 26"/>
              <a:gd name="T2" fmla="*/ 4 w 26"/>
              <a:gd name="T3" fmla="*/ 0 h 26"/>
              <a:gd name="T4" fmla="*/ 0 w 26"/>
              <a:gd name="T5" fmla="*/ 23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2" name="Freeform 55">
            <a:extLst>
              <a:ext uri="{FF2B5EF4-FFF2-40B4-BE49-F238E27FC236}">
                <a16:creationId xmlns:a16="http://schemas.microsoft.com/office/drawing/2014/main" id="{B76224A2-40C7-5976-7EDF-57F508932F48}"/>
              </a:ext>
            </a:extLst>
          </xdr:cNvPr>
          <xdr:cNvSpPr>
            <a:spLocks/>
          </xdr:cNvSpPr>
        </xdr:nvSpPr>
        <xdr:spPr bwMode="auto">
          <a:xfrm>
            <a:off x="282575" y="33337"/>
            <a:ext cx="42863" cy="38100"/>
          </a:xfrm>
          <a:custGeom>
            <a:avLst/>
            <a:gdLst>
              <a:gd name="T0" fmla="*/ 23 w 27"/>
              <a:gd name="T1" fmla="*/ 24 h 24"/>
              <a:gd name="T2" fmla="*/ 27 w 27"/>
              <a:gd name="T3" fmla="*/ 3 h 24"/>
              <a:gd name="T4" fmla="*/ 3 w 27"/>
              <a:gd name="T5" fmla="*/ 0 h 24"/>
              <a:gd name="T6" fmla="*/ 0 w 27"/>
              <a:gd name="T7" fmla="*/ 20 h 24"/>
              <a:gd name="T8" fmla="*/ 23 w 27"/>
              <a:gd name="T9" fmla="*/ 24 h 24"/>
            </a:gdLst>
            <a:ahLst/>
            <a:cxnLst>
              <a:cxn ang="0">
                <a:pos x="T0" y="T1"/>
              </a:cxn>
              <a:cxn ang="0">
                <a:pos x="T2" y="T3"/>
              </a:cxn>
              <a:cxn ang="0">
                <a:pos x="T4" y="T5"/>
              </a:cxn>
              <a:cxn ang="0">
                <a:pos x="T6" y="T7"/>
              </a:cxn>
              <a:cxn ang="0">
                <a:pos x="T8" y="T9"/>
              </a:cxn>
            </a:cxnLst>
            <a:rect l="0" t="0" r="r" b="b"/>
            <a:pathLst>
              <a:path w="27" h="24">
                <a:moveTo>
                  <a:pt x="23" y="24"/>
                </a:moveTo>
                <a:lnTo>
                  <a:pt x="27" y="3"/>
                </a:lnTo>
                <a:lnTo>
                  <a:pt x="3" y="0"/>
                </a:lnTo>
                <a:lnTo>
                  <a:pt x="0" y="20"/>
                </a:lnTo>
                <a:lnTo>
                  <a:pt x="23" y="2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3" name="Freeform 56">
            <a:extLst>
              <a:ext uri="{FF2B5EF4-FFF2-40B4-BE49-F238E27FC236}">
                <a16:creationId xmlns:a16="http://schemas.microsoft.com/office/drawing/2014/main" id="{463174B9-17B8-8E3B-5096-C387F179AE12}"/>
              </a:ext>
            </a:extLst>
          </xdr:cNvPr>
          <xdr:cNvSpPr>
            <a:spLocks/>
          </xdr:cNvSpPr>
        </xdr:nvSpPr>
        <xdr:spPr bwMode="auto">
          <a:xfrm>
            <a:off x="273050" y="79375"/>
            <a:ext cx="44450" cy="39688"/>
          </a:xfrm>
          <a:custGeom>
            <a:avLst/>
            <a:gdLst>
              <a:gd name="T0" fmla="*/ 0 w 28"/>
              <a:gd name="T1" fmla="*/ 22 h 25"/>
              <a:gd name="T2" fmla="*/ 23 w 28"/>
              <a:gd name="T3" fmla="*/ 25 h 25"/>
              <a:gd name="T4" fmla="*/ 28 w 28"/>
              <a:gd name="T5" fmla="*/ 3 h 25"/>
              <a:gd name="T6" fmla="*/ 5 w 28"/>
              <a:gd name="T7" fmla="*/ 0 h 25"/>
              <a:gd name="T8" fmla="*/ 0 w 28"/>
              <a:gd name="T9" fmla="*/ 22 h 25"/>
            </a:gdLst>
            <a:ahLst/>
            <a:cxnLst>
              <a:cxn ang="0">
                <a:pos x="T0" y="T1"/>
              </a:cxn>
              <a:cxn ang="0">
                <a:pos x="T2" y="T3"/>
              </a:cxn>
              <a:cxn ang="0">
                <a:pos x="T4" y="T5"/>
              </a:cxn>
              <a:cxn ang="0">
                <a:pos x="T6" y="T7"/>
              </a:cxn>
              <a:cxn ang="0">
                <a:pos x="T8" y="T9"/>
              </a:cxn>
            </a:cxnLst>
            <a:rect l="0" t="0" r="r" b="b"/>
            <a:pathLst>
              <a:path w="28" h="25">
                <a:moveTo>
                  <a:pt x="0" y="22"/>
                </a:moveTo>
                <a:lnTo>
                  <a:pt x="23" y="25"/>
                </a:lnTo>
                <a:lnTo>
                  <a:pt x="28" y="3"/>
                </a:lnTo>
                <a:lnTo>
                  <a:pt x="5"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4" name="Freeform 57">
            <a:extLst>
              <a:ext uri="{FF2B5EF4-FFF2-40B4-BE49-F238E27FC236}">
                <a16:creationId xmlns:a16="http://schemas.microsoft.com/office/drawing/2014/main" id="{BFD73E54-BE60-F8E7-1BF0-AC02B9888C90}"/>
              </a:ext>
            </a:extLst>
          </xdr:cNvPr>
          <xdr:cNvSpPr>
            <a:spLocks/>
          </xdr:cNvSpPr>
        </xdr:nvSpPr>
        <xdr:spPr bwMode="auto">
          <a:xfrm>
            <a:off x="234950" y="25400"/>
            <a:ext cx="39688" cy="38100"/>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0"/>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5" name="Freeform 58">
            <a:extLst>
              <a:ext uri="{FF2B5EF4-FFF2-40B4-BE49-F238E27FC236}">
                <a16:creationId xmlns:a16="http://schemas.microsoft.com/office/drawing/2014/main" id="{C5D3711A-6E65-141E-80A2-2841726D8451}"/>
              </a:ext>
            </a:extLst>
          </xdr:cNvPr>
          <xdr:cNvSpPr>
            <a:spLocks/>
          </xdr:cNvSpPr>
        </xdr:nvSpPr>
        <xdr:spPr bwMode="auto">
          <a:xfrm>
            <a:off x="330200" y="39687"/>
            <a:ext cx="42863" cy="41275"/>
          </a:xfrm>
          <a:custGeom>
            <a:avLst/>
            <a:gdLst>
              <a:gd name="T0" fmla="*/ 20 w 23"/>
              <a:gd name="T1" fmla="*/ 22 h 22"/>
              <a:gd name="T2" fmla="*/ 23 w 23"/>
              <a:gd name="T3" fmla="*/ 6 h 22"/>
              <a:gd name="T4" fmla="*/ 21 w 23"/>
              <a:gd name="T5" fmla="*/ 3 h 22"/>
              <a:gd name="T6" fmla="*/ 4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4" y="0"/>
                  <a:pt x="4" y="0"/>
                  <a:pt x="4"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6" name="Freeform 59">
            <a:extLst>
              <a:ext uri="{FF2B5EF4-FFF2-40B4-BE49-F238E27FC236}">
                <a16:creationId xmlns:a16="http://schemas.microsoft.com/office/drawing/2014/main" id="{978B26C3-EE13-3B33-ACD2-7489F93F0A0E}"/>
              </a:ext>
            </a:extLst>
          </xdr:cNvPr>
          <xdr:cNvSpPr>
            <a:spLocks/>
          </xdr:cNvSpPr>
        </xdr:nvSpPr>
        <xdr:spPr bwMode="auto">
          <a:xfrm>
            <a:off x="514350" y="119062"/>
            <a:ext cx="42863" cy="42863"/>
          </a:xfrm>
          <a:custGeom>
            <a:avLst/>
            <a:gdLst>
              <a:gd name="T0" fmla="*/ 4 w 27"/>
              <a:gd name="T1" fmla="*/ 0 h 27"/>
              <a:gd name="T2" fmla="*/ 0 w 27"/>
              <a:gd name="T3" fmla="*/ 22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7" name="Freeform 60">
            <a:extLst>
              <a:ext uri="{FF2B5EF4-FFF2-40B4-BE49-F238E27FC236}">
                <a16:creationId xmlns:a16="http://schemas.microsoft.com/office/drawing/2014/main" id="{E41F05A6-2FDF-C448-FC0D-F98B9E6560B6}"/>
              </a:ext>
            </a:extLst>
          </xdr:cNvPr>
          <xdr:cNvSpPr>
            <a:spLocks/>
          </xdr:cNvSpPr>
        </xdr:nvSpPr>
        <xdr:spPr bwMode="auto">
          <a:xfrm>
            <a:off x="417513" y="103187"/>
            <a:ext cx="39688" cy="41275"/>
          </a:xfrm>
          <a:custGeom>
            <a:avLst/>
            <a:gdLst>
              <a:gd name="T0" fmla="*/ 25 w 25"/>
              <a:gd name="T1" fmla="*/ 4 h 26"/>
              <a:gd name="T2" fmla="*/ 4 w 25"/>
              <a:gd name="T3" fmla="*/ 0 h 26"/>
              <a:gd name="T4" fmla="*/ 0 w 25"/>
              <a:gd name="T5" fmla="*/ 23 h 26"/>
              <a:gd name="T6" fmla="*/ 22 w 25"/>
              <a:gd name="T7" fmla="*/ 26 h 26"/>
              <a:gd name="T8" fmla="*/ 25 w 25"/>
              <a:gd name="T9" fmla="*/ 4 h 26"/>
            </a:gdLst>
            <a:ahLst/>
            <a:cxnLst>
              <a:cxn ang="0">
                <a:pos x="T0" y="T1"/>
              </a:cxn>
              <a:cxn ang="0">
                <a:pos x="T2" y="T3"/>
              </a:cxn>
              <a:cxn ang="0">
                <a:pos x="T4" y="T5"/>
              </a:cxn>
              <a:cxn ang="0">
                <a:pos x="T6" y="T7"/>
              </a:cxn>
              <a:cxn ang="0">
                <a:pos x="T8" y="T9"/>
              </a:cxn>
            </a:cxnLst>
            <a:rect l="0" t="0" r="r" b="b"/>
            <a:pathLst>
              <a:path w="25" h="26">
                <a:moveTo>
                  <a:pt x="25" y="4"/>
                </a:moveTo>
                <a:lnTo>
                  <a:pt x="4" y="0"/>
                </a:lnTo>
                <a:lnTo>
                  <a:pt x="0" y="23"/>
                </a:lnTo>
                <a:lnTo>
                  <a:pt x="22" y="26"/>
                </a:lnTo>
                <a:lnTo>
                  <a:pt x="25"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8" name="Freeform 61">
            <a:extLst>
              <a:ext uri="{FF2B5EF4-FFF2-40B4-BE49-F238E27FC236}">
                <a16:creationId xmlns:a16="http://schemas.microsoft.com/office/drawing/2014/main" id="{C7B3DF84-3472-61E5-C99F-2516FB483741}"/>
              </a:ext>
            </a:extLst>
          </xdr:cNvPr>
          <xdr:cNvSpPr>
            <a:spLocks/>
          </xdr:cNvSpPr>
        </xdr:nvSpPr>
        <xdr:spPr bwMode="auto">
          <a:xfrm>
            <a:off x="471488" y="65087"/>
            <a:ext cx="42863" cy="39688"/>
          </a:xfrm>
          <a:custGeom>
            <a:avLst/>
            <a:gdLst>
              <a:gd name="T0" fmla="*/ 24 w 27"/>
              <a:gd name="T1" fmla="*/ 25 h 25"/>
              <a:gd name="T2" fmla="*/ 27 w 27"/>
              <a:gd name="T3" fmla="*/ 4 h 25"/>
              <a:gd name="T4" fmla="*/ 4 w 27"/>
              <a:gd name="T5" fmla="*/ 0 h 25"/>
              <a:gd name="T6" fmla="*/ 0 w 27"/>
              <a:gd name="T7" fmla="*/ 21 h 25"/>
              <a:gd name="T8" fmla="*/ 24 w 27"/>
              <a:gd name="T9" fmla="*/ 25 h 25"/>
            </a:gdLst>
            <a:ahLst/>
            <a:cxnLst>
              <a:cxn ang="0">
                <a:pos x="T0" y="T1"/>
              </a:cxn>
              <a:cxn ang="0">
                <a:pos x="T2" y="T3"/>
              </a:cxn>
              <a:cxn ang="0">
                <a:pos x="T4" y="T5"/>
              </a:cxn>
              <a:cxn ang="0">
                <a:pos x="T6" y="T7"/>
              </a:cxn>
              <a:cxn ang="0">
                <a:pos x="T8" y="T9"/>
              </a:cxn>
            </a:cxnLst>
            <a:rect l="0" t="0" r="r" b="b"/>
            <a:pathLst>
              <a:path w="27" h="25">
                <a:moveTo>
                  <a:pt x="24" y="25"/>
                </a:moveTo>
                <a:lnTo>
                  <a:pt x="27" y="4"/>
                </a:lnTo>
                <a:lnTo>
                  <a:pt x="4" y="0"/>
                </a:lnTo>
                <a:lnTo>
                  <a:pt x="0" y="21"/>
                </a:lnTo>
                <a:lnTo>
                  <a:pt x="24"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9" name="Freeform 62">
            <a:extLst>
              <a:ext uri="{FF2B5EF4-FFF2-40B4-BE49-F238E27FC236}">
                <a16:creationId xmlns:a16="http://schemas.microsoft.com/office/drawing/2014/main" id="{FEE984AA-599D-08E8-6CDB-D121F1DEF8A4}"/>
              </a:ext>
            </a:extLst>
          </xdr:cNvPr>
          <xdr:cNvSpPr>
            <a:spLocks/>
          </xdr:cNvSpPr>
        </xdr:nvSpPr>
        <xdr:spPr bwMode="auto">
          <a:xfrm>
            <a:off x="465138" y="111125"/>
            <a:ext cx="42863" cy="41275"/>
          </a:xfrm>
          <a:custGeom>
            <a:avLst/>
            <a:gdLst>
              <a:gd name="T0" fmla="*/ 0 w 27"/>
              <a:gd name="T1" fmla="*/ 23 h 26"/>
              <a:gd name="T2" fmla="*/ 23 w 27"/>
              <a:gd name="T3" fmla="*/ 26 h 26"/>
              <a:gd name="T4" fmla="*/ 27 w 27"/>
              <a:gd name="T5" fmla="*/ 4 h 26"/>
              <a:gd name="T6" fmla="*/ 3 w 27"/>
              <a:gd name="T7" fmla="*/ 0 h 26"/>
              <a:gd name="T8" fmla="*/ 0 w 27"/>
              <a:gd name="T9" fmla="*/ 23 h 26"/>
            </a:gdLst>
            <a:ahLst/>
            <a:cxnLst>
              <a:cxn ang="0">
                <a:pos x="T0" y="T1"/>
              </a:cxn>
              <a:cxn ang="0">
                <a:pos x="T2" y="T3"/>
              </a:cxn>
              <a:cxn ang="0">
                <a:pos x="T4" y="T5"/>
              </a:cxn>
              <a:cxn ang="0">
                <a:pos x="T6" y="T7"/>
              </a:cxn>
              <a:cxn ang="0">
                <a:pos x="T8" y="T9"/>
              </a:cxn>
            </a:cxnLst>
            <a:rect l="0" t="0" r="r" b="b"/>
            <a:pathLst>
              <a:path w="27" h="26">
                <a:moveTo>
                  <a:pt x="0" y="23"/>
                </a:moveTo>
                <a:lnTo>
                  <a:pt x="23" y="26"/>
                </a:lnTo>
                <a:lnTo>
                  <a:pt x="27" y="4"/>
                </a:lnTo>
                <a:lnTo>
                  <a:pt x="3"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0" name="Freeform 63">
            <a:extLst>
              <a:ext uri="{FF2B5EF4-FFF2-40B4-BE49-F238E27FC236}">
                <a16:creationId xmlns:a16="http://schemas.microsoft.com/office/drawing/2014/main" id="{47C77A3A-BFBD-9D0A-0371-CCCAC0EB6140}"/>
              </a:ext>
            </a:extLst>
          </xdr:cNvPr>
          <xdr:cNvSpPr>
            <a:spLocks/>
          </xdr:cNvSpPr>
        </xdr:nvSpPr>
        <xdr:spPr bwMode="auto">
          <a:xfrm>
            <a:off x="425450" y="57150"/>
            <a:ext cx="41275" cy="39688"/>
          </a:xfrm>
          <a:custGeom>
            <a:avLst/>
            <a:gdLst>
              <a:gd name="T0" fmla="*/ 22 w 22"/>
              <a:gd name="T1" fmla="*/ 3 h 22"/>
              <a:gd name="T2" fmla="*/ 5 w 22"/>
              <a:gd name="T3" fmla="*/ 1 h 22"/>
              <a:gd name="T4" fmla="*/ 2 w 22"/>
              <a:gd name="T5" fmla="*/ 3 h 22"/>
              <a:gd name="T6" fmla="*/ 0 w 22"/>
              <a:gd name="T7" fmla="*/ 19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9"/>
                  <a:pt x="0" y="19"/>
                  <a:pt x="0" y="19"/>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1" name="Freeform 64">
            <a:extLst>
              <a:ext uri="{FF2B5EF4-FFF2-40B4-BE49-F238E27FC236}">
                <a16:creationId xmlns:a16="http://schemas.microsoft.com/office/drawing/2014/main" id="{366203AA-22C7-5812-0366-96AF0705AB0D}"/>
              </a:ext>
            </a:extLst>
          </xdr:cNvPr>
          <xdr:cNvSpPr>
            <a:spLocks/>
          </xdr:cNvSpPr>
        </xdr:nvSpPr>
        <xdr:spPr bwMode="auto">
          <a:xfrm>
            <a:off x="522288" y="73025"/>
            <a:ext cx="42863" cy="41275"/>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2" name="Freeform 65">
            <a:extLst>
              <a:ext uri="{FF2B5EF4-FFF2-40B4-BE49-F238E27FC236}">
                <a16:creationId xmlns:a16="http://schemas.microsoft.com/office/drawing/2014/main" id="{4D32317A-2374-4A1D-DF46-3D4AE0181D21}"/>
              </a:ext>
            </a:extLst>
          </xdr:cNvPr>
          <xdr:cNvSpPr>
            <a:spLocks/>
          </xdr:cNvSpPr>
        </xdr:nvSpPr>
        <xdr:spPr bwMode="auto">
          <a:xfrm>
            <a:off x="704850" y="152400"/>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3" name="Freeform 66">
            <a:extLst>
              <a:ext uri="{FF2B5EF4-FFF2-40B4-BE49-F238E27FC236}">
                <a16:creationId xmlns:a16="http://schemas.microsoft.com/office/drawing/2014/main" id="{588A4716-2903-2F88-C91D-AACD6D73223A}"/>
              </a:ext>
            </a:extLst>
          </xdr:cNvPr>
          <xdr:cNvSpPr>
            <a:spLocks/>
          </xdr:cNvSpPr>
        </xdr:nvSpPr>
        <xdr:spPr bwMode="auto">
          <a:xfrm>
            <a:off x="695325" y="200025"/>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4" name="Freeform 67">
            <a:extLst>
              <a:ext uri="{FF2B5EF4-FFF2-40B4-BE49-F238E27FC236}">
                <a16:creationId xmlns:a16="http://schemas.microsoft.com/office/drawing/2014/main" id="{0DD60D50-59BE-2C7D-D416-E447058D9BCD}"/>
              </a:ext>
            </a:extLst>
          </xdr:cNvPr>
          <xdr:cNvSpPr>
            <a:spLocks/>
          </xdr:cNvSpPr>
        </xdr:nvSpPr>
        <xdr:spPr bwMode="auto">
          <a:xfrm>
            <a:off x="608013" y="136525"/>
            <a:ext cx="41275" cy="41275"/>
          </a:xfrm>
          <a:custGeom>
            <a:avLst/>
            <a:gdLst>
              <a:gd name="T0" fmla="*/ 26 w 26"/>
              <a:gd name="T1" fmla="*/ 3 h 26"/>
              <a:gd name="T2" fmla="*/ 4 w 26"/>
              <a:gd name="T3" fmla="*/ 0 h 26"/>
              <a:gd name="T4" fmla="*/ 0 w 26"/>
              <a:gd name="T5" fmla="*/ 23 h 26"/>
              <a:gd name="T6" fmla="*/ 22 w 26"/>
              <a:gd name="T7" fmla="*/ 26 h 26"/>
              <a:gd name="T8" fmla="*/ 26 w 26"/>
              <a:gd name="T9" fmla="*/ 3 h 26"/>
            </a:gdLst>
            <a:ahLst/>
            <a:cxnLst>
              <a:cxn ang="0">
                <a:pos x="T0" y="T1"/>
              </a:cxn>
              <a:cxn ang="0">
                <a:pos x="T2" y="T3"/>
              </a:cxn>
              <a:cxn ang="0">
                <a:pos x="T4" y="T5"/>
              </a:cxn>
              <a:cxn ang="0">
                <a:pos x="T6" y="T7"/>
              </a:cxn>
              <a:cxn ang="0">
                <a:pos x="T8" y="T9"/>
              </a:cxn>
            </a:cxnLst>
            <a:rect l="0" t="0" r="r" b="b"/>
            <a:pathLst>
              <a:path w="26" h="26">
                <a:moveTo>
                  <a:pt x="26" y="3"/>
                </a:moveTo>
                <a:lnTo>
                  <a:pt x="4" y="0"/>
                </a:lnTo>
                <a:lnTo>
                  <a:pt x="0" y="23"/>
                </a:lnTo>
                <a:lnTo>
                  <a:pt x="22" y="26"/>
                </a:lnTo>
                <a:lnTo>
                  <a:pt x="26"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5" name="Freeform 68">
            <a:extLst>
              <a:ext uri="{FF2B5EF4-FFF2-40B4-BE49-F238E27FC236}">
                <a16:creationId xmlns:a16="http://schemas.microsoft.com/office/drawing/2014/main" id="{2B006592-F3CD-5D12-6423-B47B828E0F6D}"/>
              </a:ext>
            </a:extLst>
          </xdr:cNvPr>
          <xdr:cNvSpPr>
            <a:spLocks/>
          </xdr:cNvSpPr>
        </xdr:nvSpPr>
        <xdr:spPr bwMode="auto">
          <a:xfrm>
            <a:off x="663575" y="96837"/>
            <a:ext cx="41275" cy="41275"/>
          </a:xfrm>
          <a:custGeom>
            <a:avLst/>
            <a:gdLst>
              <a:gd name="T0" fmla="*/ 23 w 26"/>
              <a:gd name="T1" fmla="*/ 26 h 26"/>
              <a:gd name="T2" fmla="*/ 26 w 26"/>
              <a:gd name="T3" fmla="*/ 4 h 26"/>
              <a:gd name="T4" fmla="*/ 3 w 26"/>
              <a:gd name="T5" fmla="*/ 0 h 26"/>
              <a:gd name="T6" fmla="*/ 0 w 26"/>
              <a:gd name="T7" fmla="*/ 22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2"/>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6" name="Freeform 69">
            <a:extLst>
              <a:ext uri="{FF2B5EF4-FFF2-40B4-BE49-F238E27FC236}">
                <a16:creationId xmlns:a16="http://schemas.microsoft.com/office/drawing/2014/main" id="{FA9F1775-E5ED-E67C-9A8F-35132EFE5A7B}"/>
              </a:ext>
            </a:extLst>
          </xdr:cNvPr>
          <xdr:cNvSpPr>
            <a:spLocks/>
          </xdr:cNvSpPr>
        </xdr:nvSpPr>
        <xdr:spPr bwMode="auto">
          <a:xfrm>
            <a:off x="654050" y="142875"/>
            <a:ext cx="42863" cy="42863"/>
          </a:xfrm>
          <a:custGeom>
            <a:avLst/>
            <a:gdLst>
              <a:gd name="T0" fmla="*/ 0 w 27"/>
              <a:gd name="T1" fmla="*/ 23 h 27"/>
              <a:gd name="T2" fmla="*/ 24 w 27"/>
              <a:gd name="T3" fmla="*/ 27 h 27"/>
              <a:gd name="T4" fmla="*/ 27 w 27"/>
              <a:gd name="T5" fmla="*/ 5 h 27"/>
              <a:gd name="T6" fmla="*/ 4 w 27"/>
              <a:gd name="T7" fmla="*/ 0 h 27"/>
              <a:gd name="T8" fmla="*/ 0 w 27"/>
              <a:gd name="T9" fmla="*/ 23 h 27"/>
            </a:gdLst>
            <a:ahLst/>
            <a:cxnLst>
              <a:cxn ang="0">
                <a:pos x="T0" y="T1"/>
              </a:cxn>
              <a:cxn ang="0">
                <a:pos x="T2" y="T3"/>
              </a:cxn>
              <a:cxn ang="0">
                <a:pos x="T4" y="T5"/>
              </a:cxn>
              <a:cxn ang="0">
                <a:pos x="T6" y="T7"/>
              </a:cxn>
              <a:cxn ang="0">
                <a:pos x="T8" y="T9"/>
              </a:cxn>
            </a:cxnLst>
            <a:rect l="0" t="0" r="r" b="b"/>
            <a:pathLst>
              <a:path w="27" h="27">
                <a:moveTo>
                  <a:pt x="0" y="23"/>
                </a:moveTo>
                <a:lnTo>
                  <a:pt x="24" y="27"/>
                </a:lnTo>
                <a:lnTo>
                  <a:pt x="27" y="5"/>
                </a:lnTo>
                <a:lnTo>
                  <a:pt x="4"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7" name="Freeform 70">
            <a:extLst>
              <a:ext uri="{FF2B5EF4-FFF2-40B4-BE49-F238E27FC236}">
                <a16:creationId xmlns:a16="http://schemas.microsoft.com/office/drawing/2014/main" id="{86FA54B9-C44F-4BF2-B389-9A8D12BFE2FC}"/>
              </a:ext>
            </a:extLst>
          </xdr:cNvPr>
          <xdr:cNvSpPr>
            <a:spLocks/>
          </xdr:cNvSpPr>
        </xdr:nvSpPr>
        <xdr:spPr bwMode="auto">
          <a:xfrm>
            <a:off x="615950" y="90487"/>
            <a:ext cx="41275" cy="38100"/>
          </a:xfrm>
          <a:custGeom>
            <a:avLst/>
            <a:gdLst>
              <a:gd name="T0" fmla="*/ 22 w 22"/>
              <a:gd name="T1" fmla="*/ 3 h 21"/>
              <a:gd name="T2" fmla="*/ 5 w 22"/>
              <a:gd name="T3" fmla="*/ 1 h 21"/>
              <a:gd name="T4" fmla="*/ 2 w 22"/>
              <a:gd name="T5" fmla="*/ 3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5" y="1"/>
                  <a:pt x="5" y="1"/>
                  <a:pt x="5" y="1"/>
                </a:cubicBezTo>
                <a:cubicBezTo>
                  <a:pt x="4" y="0"/>
                  <a:pt x="3" y="1"/>
                  <a:pt x="2" y="3"/>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8" name="Freeform 71">
            <a:extLst>
              <a:ext uri="{FF2B5EF4-FFF2-40B4-BE49-F238E27FC236}">
                <a16:creationId xmlns:a16="http://schemas.microsoft.com/office/drawing/2014/main" id="{BA620879-1B5A-14F8-68AA-275B8C13D0EF}"/>
              </a:ext>
            </a:extLst>
          </xdr:cNvPr>
          <xdr:cNvSpPr>
            <a:spLocks/>
          </xdr:cNvSpPr>
        </xdr:nvSpPr>
        <xdr:spPr bwMode="auto">
          <a:xfrm>
            <a:off x="711200" y="104775"/>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9" name="Freeform 72">
            <a:extLst>
              <a:ext uri="{FF2B5EF4-FFF2-40B4-BE49-F238E27FC236}">
                <a16:creationId xmlns:a16="http://schemas.microsoft.com/office/drawing/2014/main" id="{6D608D7A-73EB-BAD0-AB07-0FA219DDBF16}"/>
              </a:ext>
            </a:extLst>
          </xdr:cNvPr>
          <xdr:cNvSpPr>
            <a:spLocks noEditPoints="1"/>
          </xdr:cNvSpPr>
        </xdr:nvSpPr>
        <xdr:spPr bwMode="auto">
          <a:xfrm>
            <a:off x="203200" y="0"/>
            <a:ext cx="608013" cy="265113"/>
          </a:xfrm>
          <a:custGeom>
            <a:avLst/>
            <a:gdLst>
              <a:gd name="T0" fmla="*/ 311 w 330"/>
              <a:gd name="T1" fmla="*/ 65 h 144"/>
              <a:gd name="T2" fmla="*/ 309 w 330"/>
              <a:gd name="T3" fmla="*/ 50 h 144"/>
              <a:gd name="T4" fmla="*/ 216 w 330"/>
              <a:gd name="T5" fmla="*/ 39 h 144"/>
              <a:gd name="T6" fmla="*/ 207 w 330"/>
              <a:gd name="T7" fmla="*/ 48 h 144"/>
              <a:gd name="T8" fmla="*/ 206 w 330"/>
              <a:gd name="T9" fmla="*/ 33 h 144"/>
              <a:gd name="T10" fmla="*/ 113 w 330"/>
              <a:gd name="T11" fmla="*/ 21 h 144"/>
              <a:gd name="T12" fmla="*/ 104 w 330"/>
              <a:gd name="T13" fmla="*/ 30 h 144"/>
              <a:gd name="T14" fmla="*/ 102 w 330"/>
              <a:gd name="T15" fmla="*/ 15 h 144"/>
              <a:gd name="T16" fmla="*/ 10 w 330"/>
              <a:gd name="T17" fmla="*/ 3 h 144"/>
              <a:gd name="T18" fmla="*/ 5 w 330"/>
              <a:gd name="T19" fmla="*/ 62 h 144"/>
              <a:gd name="T20" fmla="*/ 17 w 330"/>
              <a:gd name="T21" fmla="*/ 6 h 144"/>
              <a:gd name="T22" fmla="*/ 99 w 330"/>
              <a:gd name="T23" fmla="*/ 23 h 144"/>
              <a:gd name="T24" fmla="*/ 97 w 330"/>
              <a:gd name="T25" fmla="*/ 38 h 144"/>
              <a:gd name="T26" fmla="*/ 92 w 330"/>
              <a:gd name="T27" fmla="*/ 67 h 144"/>
              <a:gd name="T28" fmla="*/ 96 w 330"/>
              <a:gd name="T29" fmla="*/ 77 h 144"/>
              <a:gd name="T30" fmla="*/ 105 w 330"/>
              <a:gd name="T31" fmla="*/ 69 h 144"/>
              <a:gd name="T32" fmla="*/ 109 w 330"/>
              <a:gd name="T33" fmla="*/ 80 h 144"/>
              <a:gd name="T34" fmla="*/ 121 w 330"/>
              <a:gd name="T35" fmla="*/ 24 h 144"/>
              <a:gd name="T36" fmla="*/ 203 w 330"/>
              <a:gd name="T37" fmla="*/ 41 h 144"/>
              <a:gd name="T38" fmla="*/ 201 w 330"/>
              <a:gd name="T39" fmla="*/ 56 h 144"/>
              <a:gd name="T40" fmla="*/ 196 w 330"/>
              <a:gd name="T41" fmla="*/ 85 h 144"/>
              <a:gd name="T42" fmla="*/ 200 w 330"/>
              <a:gd name="T43" fmla="*/ 95 h 144"/>
              <a:gd name="T44" fmla="*/ 209 w 330"/>
              <a:gd name="T45" fmla="*/ 87 h 144"/>
              <a:gd name="T46" fmla="*/ 213 w 330"/>
              <a:gd name="T47" fmla="*/ 97 h 144"/>
              <a:gd name="T48" fmla="*/ 224 w 330"/>
              <a:gd name="T49" fmla="*/ 42 h 144"/>
              <a:gd name="T50" fmla="*/ 306 w 330"/>
              <a:gd name="T51" fmla="*/ 58 h 144"/>
              <a:gd name="T52" fmla="*/ 304 w 330"/>
              <a:gd name="T53" fmla="*/ 73 h 144"/>
              <a:gd name="T54" fmla="*/ 299 w 330"/>
              <a:gd name="T55" fmla="*/ 102 h 144"/>
              <a:gd name="T56" fmla="*/ 291 w 330"/>
              <a:gd name="T57" fmla="*/ 138 h 144"/>
              <a:gd name="T58" fmla="*/ 285 w 330"/>
              <a:gd name="T59" fmla="*/ 142 h 144"/>
              <a:gd name="T60" fmla="*/ 299 w 330"/>
              <a:gd name="T61" fmla="*/ 141 h 144"/>
              <a:gd name="T62" fmla="*/ 316 w 330"/>
              <a:gd name="T63" fmla="*/ 104 h 144"/>
              <a:gd name="T64" fmla="*/ 326 w 330"/>
              <a:gd name="T65" fmla="*/ 119 h 144"/>
              <a:gd name="T66" fmla="*/ 99 w 330"/>
              <a:gd name="T67" fmla="*/ 61 h 144"/>
              <a:gd name="T68" fmla="*/ 106 w 330"/>
              <a:gd name="T69" fmla="*/ 61 h 144"/>
              <a:gd name="T70" fmla="*/ 202 w 330"/>
              <a:gd name="T71" fmla="*/ 78 h 144"/>
              <a:gd name="T72" fmla="*/ 209 w 330"/>
              <a:gd name="T73" fmla="*/ 79 h 144"/>
              <a:gd name="T74" fmla="*/ 306 w 330"/>
              <a:gd name="T75" fmla="*/ 96 h 144"/>
              <a:gd name="T76" fmla="*/ 313 w 330"/>
              <a:gd name="T77" fmla="*/ 96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4">
                <a:moveTo>
                  <a:pt x="329" y="113"/>
                </a:moveTo>
                <a:cubicBezTo>
                  <a:pt x="311" y="65"/>
                  <a:pt x="311" y="65"/>
                  <a:pt x="311" y="65"/>
                </a:cubicBezTo>
                <a:cubicBezTo>
                  <a:pt x="312" y="54"/>
                  <a:pt x="312" y="54"/>
                  <a:pt x="312" y="54"/>
                </a:cubicBezTo>
                <a:cubicBezTo>
                  <a:pt x="313" y="52"/>
                  <a:pt x="311" y="50"/>
                  <a:pt x="309" y="50"/>
                </a:cubicBezTo>
                <a:cubicBezTo>
                  <a:pt x="221" y="36"/>
                  <a:pt x="221" y="36"/>
                  <a:pt x="221" y="36"/>
                </a:cubicBezTo>
                <a:cubicBezTo>
                  <a:pt x="218" y="36"/>
                  <a:pt x="216" y="37"/>
                  <a:pt x="216" y="39"/>
                </a:cubicBezTo>
                <a:cubicBezTo>
                  <a:pt x="213" y="61"/>
                  <a:pt x="213" y="61"/>
                  <a:pt x="213" y="61"/>
                </a:cubicBezTo>
                <a:cubicBezTo>
                  <a:pt x="207" y="48"/>
                  <a:pt x="207" y="48"/>
                  <a:pt x="207" y="48"/>
                </a:cubicBezTo>
                <a:cubicBezTo>
                  <a:pt x="209" y="37"/>
                  <a:pt x="209" y="37"/>
                  <a:pt x="209" y="37"/>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19"/>
                  <a:pt x="106" y="19"/>
                  <a:pt x="106" y="19"/>
                </a:cubicBezTo>
                <a:cubicBezTo>
                  <a:pt x="106" y="17"/>
                  <a:pt x="104" y="15"/>
                  <a:pt x="102" y="15"/>
                </a:cubicBezTo>
                <a:cubicBezTo>
                  <a:pt x="14" y="0"/>
                  <a:pt x="14" y="0"/>
                  <a:pt x="14" y="0"/>
                </a:cubicBezTo>
                <a:cubicBezTo>
                  <a:pt x="12" y="0"/>
                  <a:pt x="10" y="1"/>
                  <a:pt x="10" y="3"/>
                </a:cubicBezTo>
                <a:cubicBezTo>
                  <a:pt x="0" y="61"/>
                  <a:pt x="0" y="61"/>
                  <a:pt x="0" y="61"/>
                </a:cubicBezTo>
                <a:cubicBezTo>
                  <a:pt x="5" y="62"/>
                  <a:pt x="5" y="62"/>
                  <a:pt x="5" y="62"/>
                </a:cubicBezTo>
                <a:cubicBezTo>
                  <a:pt x="14" y="8"/>
                  <a:pt x="14" y="8"/>
                  <a:pt x="14" y="8"/>
                </a:cubicBezTo>
                <a:cubicBezTo>
                  <a:pt x="15" y="7"/>
                  <a:pt x="16" y="6"/>
                  <a:pt x="17" y="6"/>
                </a:cubicBezTo>
                <a:cubicBezTo>
                  <a:pt x="97" y="20"/>
                  <a:pt x="97" y="20"/>
                  <a:pt x="97" y="20"/>
                </a:cubicBezTo>
                <a:cubicBezTo>
                  <a:pt x="99" y="20"/>
                  <a:pt x="100" y="21"/>
                  <a:pt x="99"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7"/>
                  <a:pt x="96" y="77"/>
                  <a:pt x="96" y="77"/>
                </a:cubicBezTo>
                <a:cubicBezTo>
                  <a:pt x="97" y="68"/>
                  <a:pt x="97" y="68"/>
                  <a:pt x="97" y="68"/>
                </a:cubicBezTo>
                <a:cubicBezTo>
                  <a:pt x="105" y="69"/>
                  <a:pt x="105" y="69"/>
                  <a:pt x="105" y="69"/>
                </a:cubicBezTo>
                <a:cubicBezTo>
                  <a:pt x="104" y="79"/>
                  <a:pt x="104" y="79"/>
                  <a:pt x="104" y="79"/>
                </a:cubicBezTo>
                <a:cubicBezTo>
                  <a:pt x="109" y="80"/>
                  <a:pt x="109" y="80"/>
                  <a:pt x="109" y="80"/>
                </a:cubicBezTo>
                <a:cubicBezTo>
                  <a:pt x="118" y="26"/>
                  <a:pt x="118" y="26"/>
                  <a:pt x="118" y="26"/>
                </a:cubicBezTo>
                <a:cubicBezTo>
                  <a:pt x="118"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6"/>
                  <a:pt x="207" y="96"/>
                  <a:pt x="207" y="96"/>
                </a:cubicBezTo>
                <a:cubicBezTo>
                  <a:pt x="213" y="97"/>
                  <a:pt x="213" y="97"/>
                  <a:pt x="213" y="97"/>
                </a:cubicBezTo>
                <a:cubicBezTo>
                  <a:pt x="221" y="44"/>
                  <a:pt x="221" y="44"/>
                  <a:pt x="221" y="44"/>
                </a:cubicBezTo>
                <a:cubicBezTo>
                  <a:pt x="221" y="43"/>
                  <a:pt x="223" y="42"/>
                  <a:pt x="224" y="42"/>
                </a:cubicBezTo>
                <a:cubicBezTo>
                  <a:pt x="304" y="55"/>
                  <a:pt x="304" y="55"/>
                  <a:pt x="304" y="55"/>
                </a:cubicBezTo>
                <a:cubicBezTo>
                  <a:pt x="305" y="55"/>
                  <a:pt x="306" y="56"/>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5"/>
                  <a:pt x="294" y="135"/>
                  <a:pt x="294" y="135"/>
                </a:cubicBezTo>
                <a:cubicBezTo>
                  <a:pt x="294" y="137"/>
                  <a:pt x="292" y="138"/>
                  <a:pt x="291" y="138"/>
                </a:cubicBezTo>
                <a:cubicBezTo>
                  <a:pt x="286" y="137"/>
                  <a:pt x="286" y="137"/>
                  <a:pt x="286" y="137"/>
                </a:cubicBezTo>
                <a:cubicBezTo>
                  <a:pt x="285" y="142"/>
                  <a:pt x="285" y="142"/>
                  <a:pt x="285" y="142"/>
                </a:cubicBezTo>
                <a:cubicBezTo>
                  <a:pt x="294" y="144"/>
                  <a:pt x="294" y="144"/>
                  <a:pt x="294" y="144"/>
                </a:cubicBezTo>
                <a:cubicBezTo>
                  <a:pt x="296" y="144"/>
                  <a:pt x="298" y="143"/>
                  <a:pt x="299" y="141"/>
                </a:cubicBezTo>
                <a:cubicBezTo>
                  <a:pt x="305" y="103"/>
                  <a:pt x="305" y="103"/>
                  <a:pt x="305" y="103"/>
                </a:cubicBezTo>
                <a:cubicBezTo>
                  <a:pt x="316" y="104"/>
                  <a:pt x="316" y="104"/>
                  <a:pt x="316" y="104"/>
                </a:cubicBezTo>
                <a:cubicBezTo>
                  <a:pt x="320" y="116"/>
                  <a:pt x="320" y="116"/>
                  <a:pt x="320" y="116"/>
                </a:cubicBezTo>
                <a:cubicBezTo>
                  <a:pt x="321" y="118"/>
                  <a:pt x="324" y="120"/>
                  <a:pt x="326" y="119"/>
                </a:cubicBezTo>
                <a:cubicBezTo>
                  <a:pt x="329" y="118"/>
                  <a:pt x="330" y="115"/>
                  <a:pt x="329" y="113"/>
                </a:cubicBezTo>
                <a:close/>
                <a:moveTo>
                  <a:pt x="99" y="61"/>
                </a:moveTo>
                <a:cubicBezTo>
                  <a:pt x="101" y="48"/>
                  <a:pt x="101" y="48"/>
                  <a:pt x="101" y="48"/>
                </a:cubicBezTo>
                <a:cubicBezTo>
                  <a:pt x="106" y="61"/>
                  <a:pt x="106" y="61"/>
                  <a:pt x="106" y="61"/>
                </a:cubicBezTo>
                <a:lnTo>
                  <a:pt x="99" y="61"/>
                </a:lnTo>
                <a:close/>
                <a:moveTo>
                  <a:pt x="202" y="78"/>
                </a:moveTo>
                <a:cubicBezTo>
                  <a:pt x="204" y="66"/>
                  <a:pt x="204" y="66"/>
                  <a:pt x="204" y="66"/>
                </a:cubicBezTo>
                <a:cubicBezTo>
                  <a:pt x="209" y="79"/>
                  <a:pt x="209" y="79"/>
                  <a:pt x="209" y="79"/>
                </a:cubicBezTo>
                <a:lnTo>
                  <a:pt x="202" y="78"/>
                </a:lnTo>
                <a:close/>
                <a:moveTo>
                  <a:pt x="306" y="96"/>
                </a:moveTo>
                <a:cubicBezTo>
                  <a:pt x="308" y="83"/>
                  <a:pt x="308" y="83"/>
                  <a:pt x="308" y="83"/>
                </a:cubicBezTo>
                <a:cubicBezTo>
                  <a:pt x="313" y="96"/>
                  <a:pt x="313" y="96"/>
                  <a:pt x="313" y="96"/>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1918040</xdr:colOff>
      <xdr:row>92</xdr:row>
      <xdr:rowOff>92463</xdr:rowOff>
    </xdr:from>
    <xdr:to>
      <xdr:col>3</xdr:col>
      <xdr:colOff>2283266</xdr:colOff>
      <xdr:row>99</xdr:row>
      <xdr:rowOff>144991</xdr:rowOff>
    </xdr:to>
    <xdr:sp macro="" textlink="">
      <xdr:nvSpPr>
        <xdr:cNvPr id="250" name="正方形/長方形 249">
          <a:extLst>
            <a:ext uri="{FF2B5EF4-FFF2-40B4-BE49-F238E27FC236}">
              <a16:creationId xmlns:a16="http://schemas.microsoft.com/office/drawing/2014/main" id="{4BD74E35-7577-4E58-80C6-E7E5528601BB}"/>
            </a:ext>
          </a:extLst>
        </xdr:cNvPr>
        <xdr:cNvSpPr/>
      </xdr:nvSpPr>
      <xdr:spPr>
        <a:xfrm>
          <a:off x="3061040" y="21037938"/>
          <a:ext cx="365226" cy="1719403"/>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1923356</xdr:colOff>
      <xdr:row>97</xdr:row>
      <xdr:rowOff>99288</xdr:rowOff>
    </xdr:from>
    <xdr:to>
      <xdr:col>4</xdr:col>
      <xdr:colOff>747025</xdr:colOff>
      <xdr:row>100</xdr:row>
      <xdr:rowOff>72546</xdr:rowOff>
    </xdr:to>
    <xdr:sp macro="" textlink="">
      <xdr:nvSpPr>
        <xdr:cNvPr id="251" name="矢印: 右 250">
          <a:extLst>
            <a:ext uri="{FF2B5EF4-FFF2-40B4-BE49-F238E27FC236}">
              <a16:creationId xmlns:a16="http://schemas.microsoft.com/office/drawing/2014/main" id="{49B870C6-AEE9-41EB-8D41-06107CE3D9AE}"/>
            </a:ext>
          </a:extLst>
        </xdr:cNvPr>
        <xdr:cNvSpPr/>
      </xdr:nvSpPr>
      <xdr:spPr>
        <a:xfrm>
          <a:off x="3066356" y="22235388"/>
          <a:ext cx="1462094" cy="68763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1009002</xdr:colOff>
      <xdr:row>94</xdr:row>
      <xdr:rowOff>196359</xdr:rowOff>
    </xdr:from>
    <xdr:to>
      <xdr:col>3</xdr:col>
      <xdr:colOff>2121735</xdr:colOff>
      <xdr:row>96</xdr:row>
      <xdr:rowOff>124913</xdr:rowOff>
    </xdr:to>
    <xdr:sp macro="" textlink="">
      <xdr:nvSpPr>
        <xdr:cNvPr id="252" name="正方形/長方形 251">
          <a:extLst>
            <a:ext uri="{FF2B5EF4-FFF2-40B4-BE49-F238E27FC236}">
              <a16:creationId xmlns:a16="http://schemas.microsoft.com/office/drawing/2014/main" id="{6BFC12D0-C20B-4E6B-9675-3527447D951B}"/>
            </a:ext>
          </a:extLst>
        </xdr:cNvPr>
        <xdr:cNvSpPr/>
      </xdr:nvSpPr>
      <xdr:spPr>
        <a:xfrm>
          <a:off x="2152002" y="21618084"/>
          <a:ext cx="1112733" cy="40480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1403087</xdr:colOff>
      <xdr:row>91</xdr:row>
      <xdr:rowOff>172100</xdr:rowOff>
    </xdr:from>
    <xdr:to>
      <xdr:col>4</xdr:col>
      <xdr:colOff>586009</xdr:colOff>
      <xdr:row>94</xdr:row>
      <xdr:rowOff>106240</xdr:rowOff>
    </xdr:to>
    <xdr:sp macro="" textlink="">
      <xdr:nvSpPr>
        <xdr:cNvPr id="253" name="テキスト ボックス 41">
          <a:extLst>
            <a:ext uri="{FF2B5EF4-FFF2-40B4-BE49-F238E27FC236}">
              <a16:creationId xmlns:a16="http://schemas.microsoft.com/office/drawing/2014/main" id="{D6043EE3-94CA-4739-A8A3-6F2B7FC149B9}"/>
            </a:ext>
          </a:extLst>
        </xdr:cNvPr>
        <xdr:cNvSpPr txBox="1">
          <a:spLocks noChangeArrowheads="1"/>
        </xdr:cNvSpPr>
      </xdr:nvSpPr>
      <xdr:spPr bwMode="auto">
        <a:xfrm>
          <a:off x="2546087" y="20879450"/>
          <a:ext cx="1821347" cy="64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3</xdr:col>
      <xdr:colOff>1334903</xdr:colOff>
      <xdr:row>97</xdr:row>
      <xdr:rowOff>158508</xdr:rowOff>
    </xdr:from>
    <xdr:to>
      <xdr:col>4</xdr:col>
      <xdr:colOff>546400</xdr:colOff>
      <xdr:row>100</xdr:row>
      <xdr:rowOff>93021</xdr:rowOff>
    </xdr:to>
    <xdr:sp macro="" textlink="">
      <xdr:nvSpPr>
        <xdr:cNvPr id="254" name="テキスト ボックス 41">
          <a:extLst>
            <a:ext uri="{FF2B5EF4-FFF2-40B4-BE49-F238E27FC236}">
              <a16:creationId xmlns:a16="http://schemas.microsoft.com/office/drawing/2014/main" id="{C2DAF8AB-F0C2-4934-8936-0168B9223C30}"/>
            </a:ext>
          </a:extLst>
        </xdr:cNvPr>
        <xdr:cNvSpPr txBox="1">
          <a:spLocks noChangeArrowheads="1"/>
        </xdr:cNvSpPr>
      </xdr:nvSpPr>
      <xdr:spPr bwMode="auto">
        <a:xfrm>
          <a:off x="2477903" y="22294608"/>
          <a:ext cx="1849922" cy="648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148738</xdr:colOff>
      <xdr:row>75</xdr:row>
      <xdr:rowOff>186825</xdr:rowOff>
    </xdr:from>
    <xdr:to>
      <xdr:col>3</xdr:col>
      <xdr:colOff>1306503</xdr:colOff>
      <xdr:row>77</xdr:row>
      <xdr:rowOff>37963</xdr:rowOff>
    </xdr:to>
    <xdr:sp macro="" textlink="">
      <xdr:nvSpPr>
        <xdr:cNvPr id="255" name="正方形/長方形 254">
          <a:extLst>
            <a:ext uri="{FF2B5EF4-FFF2-40B4-BE49-F238E27FC236}">
              <a16:creationId xmlns:a16="http://schemas.microsoft.com/office/drawing/2014/main" id="{4614CAF9-249D-4D97-A0EA-69F46F7952CE}"/>
            </a:ext>
          </a:extLst>
        </xdr:cNvPr>
        <xdr:cNvSpPr/>
      </xdr:nvSpPr>
      <xdr:spPr>
        <a:xfrm>
          <a:off x="434488" y="17084175"/>
          <a:ext cx="2015015" cy="327388"/>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供給</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382969</xdr:colOff>
      <xdr:row>75</xdr:row>
      <xdr:rowOff>185821</xdr:rowOff>
    </xdr:from>
    <xdr:to>
      <xdr:col>13</xdr:col>
      <xdr:colOff>205586</xdr:colOff>
      <xdr:row>77</xdr:row>
      <xdr:rowOff>37266</xdr:rowOff>
    </xdr:to>
    <xdr:sp macro="" textlink="">
      <xdr:nvSpPr>
        <xdr:cNvPr id="256" name="正方形/長方形 255">
          <a:extLst>
            <a:ext uri="{FF2B5EF4-FFF2-40B4-BE49-F238E27FC236}">
              <a16:creationId xmlns:a16="http://schemas.microsoft.com/office/drawing/2014/main" id="{53B93F40-EAED-4AD3-851B-95A6B663C2CD}"/>
            </a:ext>
          </a:extLst>
        </xdr:cNvPr>
        <xdr:cNvSpPr/>
      </xdr:nvSpPr>
      <xdr:spPr>
        <a:xfrm>
          <a:off x="7117144" y="17083171"/>
          <a:ext cx="4966117" cy="327695"/>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需要</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2</xdr:col>
      <xdr:colOff>411286</xdr:colOff>
      <xdr:row>72</xdr:row>
      <xdr:rowOff>229145</xdr:rowOff>
    </xdr:from>
    <xdr:ext cx="10927772" cy="521425"/>
    <xdr:sp macro="" textlink="">
      <xdr:nvSpPr>
        <xdr:cNvPr id="257" name="テキスト ボックス 256">
          <a:extLst>
            <a:ext uri="{FF2B5EF4-FFF2-40B4-BE49-F238E27FC236}">
              <a16:creationId xmlns:a16="http://schemas.microsoft.com/office/drawing/2014/main" id="{F07DCE20-B13B-4217-B700-14425C3A791B}"/>
            </a:ext>
          </a:extLst>
        </xdr:cNvPr>
        <xdr:cNvSpPr txBox="1"/>
      </xdr:nvSpPr>
      <xdr:spPr>
        <a:xfrm>
          <a:off x="954211" y="16412120"/>
          <a:ext cx="10927772"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000"/>
            <a:t>【</a:t>
          </a:r>
          <a:r>
            <a:rPr kumimoji="1" lang="ja-JP" altLang="en-US" sz="2000"/>
            <a:t>参考図</a:t>
          </a:r>
          <a:r>
            <a:rPr kumimoji="1" lang="en-US" altLang="ja-JP" sz="2000"/>
            <a:t>】</a:t>
          </a:r>
          <a:r>
            <a:rPr kumimoji="1" lang="ja-JP" altLang="en-US" sz="2000"/>
            <a:t>電力調達・需給管理　（必要に応じて図・書式をご利用ください）</a:t>
          </a:r>
        </a:p>
      </xdr:txBody>
    </xdr:sp>
    <xdr:clientData/>
  </xdr:oneCellAnchor>
  <xdr:oneCellAnchor>
    <xdr:from>
      <xdr:col>14</xdr:col>
      <xdr:colOff>333375</xdr:colOff>
      <xdr:row>1</xdr:row>
      <xdr:rowOff>0</xdr:rowOff>
    </xdr:from>
    <xdr:ext cx="2993906" cy="1267715"/>
    <xdr:sp macro="" textlink="">
      <xdr:nvSpPr>
        <xdr:cNvPr id="258" name="吹き出し: 角を丸めた四角形 4">
          <a:extLst>
            <a:ext uri="{FF2B5EF4-FFF2-40B4-BE49-F238E27FC236}">
              <a16:creationId xmlns:a16="http://schemas.microsoft.com/office/drawing/2014/main" id="{EFAD634A-B29C-4F47-8379-1A5A847F77F8}"/>
            </a:ext>
          </a:extLst>
        </xdr:cNvPr>
        <xdr:cNvSpPr/>
      </xdr:nvSpPr>
      <xdr:spPr>
        <a:xfrm>
          <a:off x="13228760" y="307731"/>
          <a:ext cx="2993906" cy="1267715"/>
        </a:xfrm>
        <a:prstGeom prst="wedgeRoundRectCallout">
          <a:avLst>
            <a:gd name="adj1" fmla="val 43853"/>
            <a:gd name="adj2" fmla="val 755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absoluteAnchor>
    <xdr:pos x="19527514" y="10837215"/>
    <xdr:ext cx="7975264" cy="9056293"/>
    <xdr:pic>
      <xdr:nvPicPr>
        <xdr:cNvPr id="259" name="図 1">
          <a:extLst>
            <a:ext uri="{FF2B5EF4-FFF2-40B4-BE49-F238E27FC236}">
              <a16:creationId xmlns:a16="http://schemas.microsoft.com/office/drawing/2014/main" id="{02777CB9-781A-4EC0-A3B4-73CDA19B9F99}"/>
            </a:ext>
          </a:extLst>
        </xdr:cNvPr>
        <xdr:cNvPicPr>
          <a:picLocks noChangeAspect="1"/>
        </xdr:cNvPicPr>
      </xdr:nvPicPr>
      <xdr:blipFill>
        <a:blip xmlns:r="http://schemas.openxmlformats.org/officeDocument/2006/relationships" r:embed="rId4"/>
        <a:stretch>
          <a:fillRect/>
        </a:stretch>
      </xdr:blipFill>
      <xdr:spPr>
        <a:xfrm>
          <a:off x="19527514" y="10837215"/>
          <a:ext cx="7975264" cy="9056293"/>
        </a:xfrm>
        <a:prstGeom prst="rect">
          <a:avLst/>
        </a:prstGeom>
      </xdr:spPr>
    </xdr:pic>
    <xdr:clientData/>
  </xdr:absoluteAnchor>
  <xdr:twoCellAnchor>
    <xdr:from>
      <xdr:col>0</xdr:col>
      <xdr:colOff>47625</xdr:colOff>
      <xdr:row>11</xdr:row>
      <xdr:rowOff>78187</xdr:rowOff>
    </xdr:from>
    <xdr:to>
      <xdr:col>0</xdr:col>
      <xdr:colOff>227639</xdr:colOff>
      <xdr:row>15</xdr:row>
      <xdr:rowOff>209886</xdr:rowOff>
    </xdr:to>
    <xdr:sp macro="" textlink="">
      <xdr:nvSpPr>
        <xdr:cNvPr id="274" name="左中かっこ 10">
          <a:extLst>
            <a:ext uri="{FF2B5EF4-FFF2-40B4-BE49-F238E27FC236}">
              <a16:creationId xmlns:a16="http://schemas.microsoft.com/office/drawing/2014/main" id="{3B6EF9AB-A9B2-41AB-A5E8-8806472F7C86}"/>
            </a:ext>
          </a:extLst>
        </xdr:cNvPr>
        <xdr:cNvSpPr/>
      </xdr:nvSpPr>
      <xdr:spPr>
        <a:xfrm flipH="1">
          <a:off x="47625" y="2992837"/>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723899</xdr:colOff>
      <xdr:row>87</xdr:row>
      <xdr:rowOff>3348</xdr:rowOff>
    </xdr:from>
    <xdr:to>
      <xdr:col>38</xdr:col>
      <xdr:colOff>342899</xdr:colOff>
      <xdr:row>145</xdr:row>
      <xdr:rowOff>114300</xdr:rowOff>
    </xdr:to>
    <xdr:grpSp>
      <xdr:nvGrpSpPr>
        <xdr:cNvPr id="266" name="グループ化 265">
          <a:extLst>
            <a:ext uri="{FF2B5EF4-FFF2-40B4-BE49-F238E27FC236}">
              <a16:creationId xmlns:a16="http://schemas.microsoft.com/office/drawing/2014/main" id="{C3897DD5-0A3E-DD70-4051-3998DC150DD2}"/>
            </a:ext>
          </a:extLst>
        </xdr:cNvPr>
        <xdr:cNvGrpSpPr/>
      </xdr:nvGrpSpPr>
      <xdr:grpSpPr>
        <a:xfrm>
          <a:off x="13470081" y="19645341"/>
          <a:ext cx="10338954" cy="13165686"/>
          <a:chOff x="12468224" y="18843798"/>
          <a:chExt cx="13068300" cy="13922202"/>
        </a:xfrm>
      </xdr:grpSpPr>
      <xdr:sp macro="" textlink="">
        <xdr:nvSpPr>
          <xdr:cNvPr id="276" name="四角形: 角を丸くする 275">
            <a:extLst>
              <a:ext uri="{FF2B5EF4-FFF2-40B4-BE49-F238E27FC236}">
                <a16:creationId xmlns:a16="http://schemas.microsoft.com/office/drawing/2014/main" id="{61329D04-9418-418C-809F-192DB9E00494}"/>
              </a:ext>
            </a:extLst>
          </xdr:cNvPr>
          <xdr:cNvSpPr/>
        </xdr:nvSpPr>
        <xdr:spPr>
          <a:xfrm>
            <a:off x="12468224" y="18843798"/>
            <a:ext cx="13068300" cy="1392220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pic>
        <xdr:nvPicPr>
          <xdr:cNvPr id="277" name="図 276">
            <a:extLst>
              <a:ext uri="{FF2B5EF4-FFF2-40B4-BE49-F238E27FC236}">
                <a16:creationId xmlns:a16="http://schemas.microsoft.com/office/drawing/2014/main" id="{046D8BA2-C05F-41A7-ADC1-D28F5DE64F7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696323" y="20162555"/>
            <a:ext cx="11031049" cy="61734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8" name="図 277">
            <a:extLst>
              <a:ext uri="{FF2B5EF4-FFF2-40B4-BE49-F238E27FC236}">
                <a16:creationId xmlns:a16="http://schemas.microsoft.com/office/drawing/2014/main" id="{6D96852A-5F9A-4DF4-B696-75AAF850EAE2}"/>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4210" b="6796"/>
          <a:stretch/>
        </xdr:blipFill>
        <xdr:spPr bwMode="auto">
          <a:xfrm>
            <a:off x="13055600" y="2658490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203344</xdr:colOff>
      <xdr:row>90</xdr:row>
      <xdr:rowOff>102574</xdr:rowOff>
    </xdr:from>
    <xdr:to>
      <xdr:col>9</xdr:col>
      <xdr:colOff>132021</xdr:colOff>
      <xdr:row>93</xdr:row>
      <xdr:rowOff>179274</xdr:rowOff>
    </xdr:to>
    <xdr:sp macro="" textlink="">
      <xdr:nvSpPr>
        <xdr:cNvPr id="263" name="矢印: 右 262">
          <a:extLst>
            <a:ext uri="{FF2B5EF4-FFF2-40B4-BE49-F238E27FC236}">
              <a16:creationId xmlns:a16="http://schemas.microsoft.com/office/drawing/2014/main" id="{00B7E6AF-B26F-7E30-A392-5E73368B7C13}"/>
            </a:ext>
          </a:extLst>
        </xdr:cNvPr>
        <xdr:cNvSpPr/>
      </xdr:nvSpPr>
      <xdr:spPr>
        <a:xfrm>
          <a:off x="5918344" y="20324882"/>
          <a:ext cx="1980215" cy="780084"/>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3</xdr:col>
      <xdr:colOff>840441</xdr:colOff>
      <xdr:row>26</xdr:row>
      <xdr:rowOff>1667</xdr:rowOff>
    </xdr:from>
    <xdr:ext cx="4023071" cy="1273944"/>
    <xdr:sp macro="" textlink="">
      <xdr:nvSpPr>
        <xdr:cNvPr id="264" name="吹き出し: 角を丸めた四角形 263">
          <a:extLst>
            <a:ext uri="{FF2B5EF4-FFF2-40B4-BE49-F238E27FC236}">
              <a16:creationId xmlns:a16="http://schemas.microsoft.com/office/drawing/2014/main" id="{3663BCD9-C953-4446-9247-4C50F06FE2CE}"/>
            </a:ext>
          </a:extLst>
        </xdr:cNvPr>
        <xdr:cNvSpPr/>
      </xdr:nvSpPr>
      <xdr:spPr>
        <a:xfrm>
          <a:off x="1994647" y="5951991"/>
          <a:ext cx="4023071" cy="1273944"/>
        </a:xfrm>
        <a:prstGeom prst="wedgeRoundRectCallout">
          <a:avLst>
            <a:gd name="adj1" fmla="val -75825"/>
            <a:gd name="adj2" fmla="val -707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18</xdr:col>
      <xdr:colOff>769176</xdr:colOff>
      <xdr:row>0</xdr:row>
      <xdr:rowOff>66674</xdr:rowOff>
    </xdr:from>
    <xdr:ext cx="4246482" cy="1057275"/>
    <xdr:sp macro="" textlink="">
      <xdr:nvSpPr>
        <xdr:cNvPr id="268" name="吹き出し: 角を丸めた四角形 4">
          <a:extLst>
            <a:ext uri="{FF2B5EF4-FFF2-40B4-BE49-F238E27FC236}">
              <a16:creationId xmlns:a16="http://schemas.microsoft.com/office/drawing/2014/main" id="{C9C07B0A-E14F-4B26-9DEC-5FF7805298DF}"/>
            </a:ext>
          </a:extLst>
        </xdr:cNvPr>
        <xdr:cNvSpPr/>
      </xdr:nvSpPr>
      <xdr:spPr>
        <a:xfrm>
          <a:off x="19590576" y="66674"/>
          <a:ext cx="4246482" cy="1057275"/>
        </a:xfrm>
        <a:prstGeom prst="wedgeRoundRectCallout">
          <a:avLst>
            <a:gd name="adj1" fmla="val -50847"/>
            <a:gd name="adj2" fmla="val 771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初期値として、民生・家庭には低圧、それ以外の施設には高圧が入力されています。必要に応じて変更ください。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本列は様式１への貼付は不要です</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xdr:txBody>
    </xdr:sp>
    <xdr:clientData/>
  </xdr:oneCellAnchor>
  <xdr:twoCellAnchor editAs="oneCell">
    <xdr:from>
      <xdr:col>5</xdr:col>
      <xdr:colOff>9525</xdr:colOff>
      <xdr:row>2</xdr:row>
      <xdr:rowOff>190500</xdr:rowOff>
    </xdr:from>
    <xdr:to>
      <xdr:col>9</xdr:col>
      <xdr:colOff>447675</xdr:colOff>
      <xdr:row>6</xdr:row>
      <xdr:rowOff>70757</xdr:rowOff>
    </xdr:to>
    <xdr:sp macro="" textlink="">
      <xdr:nvSpPr>
        <xdr:cNvPr id="3" name="吹き出し: 角を丸めた四角形 62">
          <a:extLst>
            <a:ext uri="{FF2B5EF4-FFF2-40B4-BE49-F238E27FC236}">
              <a16:creationId xmlns:a16="http://schemas.microsoft.com/office/drawing/2014/main" id="{7076A71D-9797-4CBE-BAC4-242D81B2BCD9}"/>
            </a:ext>
          </a:extLst>
        </xdr:cNvPr>
        <xdr:cNvSpPr/>
      </xdr:nvSpPr>
      <xdr:spPr>
        <a:xfrm>
          <a:off x="4686300" y="733425"/>
          <a:ext cx="4419600" cy="680357"/>
        </a:xfrm>
        <a:prstGeom prst="wedgeRoundRectCallout">
          <a:avLst>
            <a:gd name="adj1" fmla="val -34647"/>
            <a:gd name="adj2" fmla="val 6935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地方公共団体が所有する廃棄物処理施設に該当する場合は、○を記入してください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absoluteAnchor>
    <xdr:pos x="1562100" y="8229600"/>
    <xdr:ext cx="8016861" cy="8167754"/>
    <xdr:pic>
      <xdr:nvPicPr>
        <xdr:cNvPr id="261" name="図 4">
          <a:extLst>
            <a:ext uri="{FF2B5EF4-FFF2-40B4-BE49-F238E27FC236}">
              <a16:creationId xmlns:a16="http://schemas.microsoft.com/office/drawing/2014/main" id="{5006B502-1CD4-4EA8-9535-FB6CC58150F6}"/>
            </a:ext>
          </a:extLst>
        </xdr:cNvPr>
        <xdr:cNvPicPr>
          <a:picLocks noChangeAspect="1"/>
        </xdr:cNvPicPr>
      </xdr:nvPicPr>
      <xdr:blipFill>
        <a:blip xmlns:r="http://schemas.openxmlformats.org/officeDocument/2006/relationships" r:embed="rId7"/>
        <a:stretch>
          <a:fillRect/>
        </a:stretch>
      </xdr:blipFill>
      <xdr:spPr>
        <a:xfrm>
          <a:off x="1562100" y="8229600"/>
          <a:ext cx="8016861" cy="8167754"/>
        </a:xfrm>
        <a:prstGeom prst="rect">
          <a:avLst/>
        </a:prstGeom>
      </xdr:spPr>
    </xdr:pic>
    <xdr:clientData/>
  </xdr:absoluteAnchor>
  <xdr:twoCellAnchor>
    <xdr:from>
      <xdr:col>18</xdr:col>
      <xdr:colOff>1127449</xdr:colOff>
      <xdr:row>6</xdr:row>
      <xdr:rowOff>174949</xdr:rowOff>
    </xdr:from>
    <xdr:to>
      <xdr:col>49</xdr:col>
      <xdr:colOff>109633</xdr:colOff>
      <xdr:row>48</xdr:row>
      <xdr:rowOff>185058</xdr:rowOff>
    </xdr:to>
    <xdr:grpSp>
      <xdr:nvGrpSpPr>
        <xdr:cNvPr id="267" name="グループ化 266">
          <a:extLst>
            <a:ext uri="{FF2B5EF4-FFF2-40B4-BE49-F238E27FC236}">
              <a16:creationId xmlns:a16="http://schemas.microsoft.com/office/drawing/2014/main" id="{FDBDBF22-2EAD-4692-9FC7-6C908922FDB2}"/>
            </a:ext>
          </a:extLst>
        </xdr:cNvPr>
        <xdr:cNvGrpSpPr/>
      </xdr:nvGrpSpPr>
      <xdr:grpSpPr>
        <a:xfrm>
          <a:off x="19903533" y="1425033"/>
          <a:ext cx="11289061" cy="9303623"/>
          <a:chOff x="18592800" y="-163"/>
          <a:chExt cx="9609858" cy="9037781"/>
        </a:xfrm>
      </xdr:grpSpPr>
      <xdr:sp macro="" textlink="">
        <xdr:nvSpPr>
          <xdr:cNvPr id="271" name="吹き出し: 角を丸めた四角形 270">
            <a:extLst>
              <a:ext uri="{FF2B5EF4-FFF2-40B4-BE49-F238E27FC236}">
                <a16:creationId xmlns:a16="http://schemas.microsoft.com/office/drawing/2014/main" id="{AE3D2AF0-92E9-7D4A-1042-64F29F093B84}"/>
              </a:ext>
            </a:extLst>
          </xdr:cNvPr>
          <xdr:cNvSpPr/>
        </xdr:nvSpPr>
        <xdr:spPr>
          <a:xfrm>
            <a:off x="18592800" y="-163"/>
            <a:ext cx="9609858" cy="9037781"/>
          </a:xfrm>
          <a:prstGeom prst="wedgeRoundRectCallout">
            <a:avLst>
              <a:gd name="adj1" fmla="val -54462"/>
              <a:gd name="adj2" fmla="val -240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72" name="図 271">
            <a:extLst>
              <a:ext uri="{FF2B5EF4-FFF2-40B4-BE49-F238E27FC236}">
                <a16:creationId xmlns:a16="http://schemas.microsoft.com/office/drawing/2014/main" id="{E624AB06-C83B-3BF2-5E65-8EDE3FE2CB3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73" name="テキスト ボックス 50">
            <a:extLst>
              <a:ext uri="{FF2B5EF4-FFF2-40B4-BE49-F238E27FC236}">
                <a16:creationId xmlns:a16="http://schemas.microsoft.com/office/drawing/2014/main" id="{EF527943-F896-47F5-BFBF-3078C2A67AB0}"/>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75" name="テキスト ボックス 53">
            <a:extLst>
              <a:ext uri="{FF2B5EF4-FFF2-40B4-BE49-F238E27FC236}">
                <a16:creationId xmlns:a16="http://schemas.microsoft.com/office/drawing/2014/main" id="{83FBE079-48AA-2C14-1F8C-7A3F9EE23E77}"/>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89" name="テキスト ボックス 55">
            <a:extLst>
              <a:ext uri="{FF2B5EF4-FFF2-40B4-BE49-F238E27FC236}">
                <a16:creationId xmlns:a16="http://schemas.microsoft.com/office/drawing/2014/main" id="{8472EE90-1241-6087-C1B4-ABD4B31218E4}"/>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90" name="テキスト ボックス 58">
            <a:extLst>
              <a:ext uri="{FF2B5EF4-FFF2-40B4-BE49-F238E27FC236}">
                <a16:creationId xmlns:a16="http://schemas.microsoft.com/office/drawing/2014/main" id="{41136874-31D8-6A1D-EB54-C4299CDED623}"/>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91" name="図 290">
            <a:extLst>
              <a:ext uri="{FF2B5EF4-FFF2-40B4-BE49-F238E27FC236}">
                <a16:creationId xmlns:a16="http://schemas.microsoft.com/office/drawing/2014/main" id="{6EDEAA9F-A0FF-890E-4CA5-B8CAD238F54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92" name="図 291">
            <a:extLst>
              <a:ext uri="{FF2B5EF4-FFF2-40B4-BE49-F238E27FC236}">
                <a16:creationId xmlns:a16="http://schemas.microsoft.com/office/drawing/2014/main" id="{3989083E-7E9B-863B-9943-8D3AB7FA827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93" name="図 292">
            <a:extLst>
              <a:ext uri="{FF2B5EF4-FFF2-40B4-BE49-F238E27FC236}">
                <a16:creationId xmlns:a16="http://schemas.microsoft.com/office/drawing/2014/main" id="{622C597B-AE8E-5560-A8A8-778D7496AD3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1125681</xdr:colOff>
      <xdr:row>1</xdr:row>
      <xdr:rowOff>184005</xdr:rowOff>
    </xdr:from>
    <xdr:to>
      <xdr:col>10</xdr:col>
      <xdr:colOff>16203</xdr:colOff>
      <xdr:row>2</xdr:row>
      <xdr:rowOff>836456</xdr:rowOff>
    </xdr:to>
    <xdr:pic>
      <xdr:nvPicPr>
        <xdr:cNvPr id="2" name="図 1">
          <a:extLst>
            <a:ext uri="{FF2B5EF4-FFF2-40B4-BE49-F238E27FC236}">
              <a16:creationId xmlns:a16="http://schemas.microsoft.com/office/drawing/2014/main" id="{82F8B9B7-45DB-464C-ABAF-5FA9678B8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30653" y="368011"/>
          <a:ext cx="2343334" cy="923047"/>
        </a:xfrm>
        <a:prstGeom prst="rect">
          <a:avLst/>
        </a:prstGeom>
      </xdr:spPr>
    </xdr:pic>
    <xdr:clientData/>
  </xdr:twoCellAnchor>
  <xdr:twoCellAnchor editAs="absolute">
    <xdr:from>
      <xdr:col>7</xdr:col>
      <xdr:colOff>1350614</xdr:colOff>
      <xdr:row>2</xdr:row>
      <xdr:rowOff>561975</xdr:rowOff>
    </xdr:from>
    <xdr:to>
      <xdr:col>21</xdr:col>
      <xdr:colOff>99088</xdr:colOff>
      <xdr:row>5</xdr:row>
      <xdr:rowOff>104689</xdr:rowOff>
    </xdr:to>
    <xdr:sp macro="" textlink="">
      <xdr:nvSpPr>
        <xdr:cNvPr id="8" name="吹き出し: 角を丸めた四角形 9">
          <a:extLst>
            <a:ext uri="{FF2B5EF4-FFF2-40B4-BE49-F238E27FC236}">
              <a16:creationId xmlns:a16="http://schemas.microsoft.com/office/drawing/2014/main" id="{6708C315-E696-4950-91CF-31A06D6019FE}"/>
            </a:ext>
          </a:extLst>
        </xdr:cNvPr>
        <xdr:cNvSpPr/>
      </xdr:nvSpPr>
      <xdr:spPr>
        <a:xfrm>
          <a:off x="9970739" y="1066800"/>
          <a:ext cx="3444299" cy="904789"/>
        </a:xfrm>
        <a:prstGeom prst="wedgeRoundRectCallout">
          <a:avLst>
            <a:gd name="adj1" fmla="val -45751"/>
            <a:gd name="adj2" fmla="val 736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157928</xdr:colOff>
      <xdr:row>5</xdr:row>
      <xdr:rowOff>72510</xdr:rowOff>
    </xdr:from>
    <xdr:to>
      <xdr:col>29</xdr:col>
      <xdr:colOff>539068</xdr:colOff>
      <xdr:row>18</xdr:row>
      <xdr:rowOff>65993</xdr:rowOff>
    </xdr:to>
    <xdr:pic>
      <xdr:nvPicPr>
        <xdr:cNvPr id="9" name="図 2">
          <a:extLst>
            <a:ext uri="{FF2B5EF4-FFF2-40B4-BE49-F238E27FC236}">
              <a16:creationId xmlns:a16="http://schemas.microsoft.com/office/drawing/2014/main" id="{8F42D8A3-BE98-4E5D-84CD-036A18DDEBE7}"/>
            </a:ext>
          </a:extLst>
        </xdr:cNvPr>
        <xdr:cNvPicPr>
          <a:picLocks noChangeAspect="1"/>
        </xdr:cNvPicPr>
      </xdr:nvPicPr>
      <xdr:blipFill>
        <a:blip xmlns:r="http://schemas.openxmlformats.org/officeDocument/2006/relationships" r:embed="rId2"/>
        <a:stretch>
          <a:fillRect/>
        </a:stretch>
      </xdr:blipFill>
      <xdr:spPr>
        <a:xfrm>
          <a:off x="11245028" y="1939410"/>
          <a:ext cx="8096390" cy="5832308"/>
        </a:xfrm>
        <a:prstGeom prst="rect">
          <a:avLst/>
        </a:prstGeom>
      </xdr:spPr>
    </xdr:pic>
    <xdr:clientData/>
  </xdr:twoCellAnchor>
  <xdr:twoCellAnchor editAs="absolute">
    <xdr:from>
      <xdr:col>5</xdr:col>
      <xdr:colOff>1543050</xdr:colOff>
      <xdr:row>12</xdr:row>
      <xdr:rowOff>95250</xdr:rowOff>
    </xdr:from>
    <xdr:to>
      <xdr:col>8</xdr:col>
      <xdr:colOff>803562</xdr:colOff>
      <xdr:row>15</xdr:row>
      <xdr:rowOff>278350</xdr:rowOff>
    </xdr:to>
    <xdr:sp macro="" textlink="">
      <xdr:nvSpPr>
        <xdr:cNvPr id="11" name="吹き出し: 角を丸めた四角形 21">
          <a:extLst>
            <a:ext uri="{FF2B5EF4-FFF2-40B4-BE49-F238E27FC236}">
              <a16:creationId xmlns:a16="http://schemas.microsoft.com/office/drawing/2014/main" id="{8E54937C-F5C7-4CFF-90F7-E22D2DFEB42A}"/>
            </a:ext>
          </a:extLst>
        </xdr:cNvPr>
        <xdr:cNvSpPr/>
      </xdr:nvSpPr>
      <xdr:spPr>
        <a:xfrm>
          <a:off x="6610350" y="5276850"/>
          <a:ext cx="5280312" cy="100225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本項目の数値は後続の</a:t>
          </a:r>
          <a:r>
            <a:rPr kumimoji="1" lang="en-US" altLang="ja-JP" sz="1400" b="1">
              <a:solidFill>
                <a:srgbClr val="FF0000"/>
              </a:solidFill>
              <a:latin typeface="Meiryo UI" panose="020B0604030504040204" pitchFamily="50" charset="-128"/>
              <a:ea typeface="Meiryo UI" panose="020B0604030504040204" pitchFamily="50" charset="-128"/>
            </a:rPr>
            <a:t>"4.3</a:t>
          </a:r>
          <a:r>
            <a:rPr kumimoji="1" lang="ja-JP" altLang="en-US" sz="1400" b="1">
              <a:solidFill>
                <a:srgbClr val="FF0000"/>
              </a:solidFill>
              <a:latin typeface="Meiryo UI" panose="020B0604030504040204" pitchFamily="50" charset="-128"/>
              <a:ea typeface="Meiryo UI" panose="020B0604030504040204" pitchFamily="50" charset="-128"/>
            </a:rPr>
            <a:t>電力供給状況</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民生部門電力以外</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のシートを入力することで自動的に反映されます</a:t>
          </a:r>
        </a:p>
      </xdr:txBody>
    </xdr:sp>
    <xdr:clientData/>
  </xdr:twoCellAnchor>
  <xdr:twoCellAnchor editAs="absolute">
    <xdr:from>
      <xdr:col>1</xdr:col>
      <xdr:colOff>142875</xdr:colOff>
      <xdr:row>10</xdr:row>
      <xdr:rowOff>247650</xdr:rowOff>
    </xdr:from>
    <xdr:to>
      <xdr:col>5</xdr:col>
      <xdr:colOff>540205</xdr:colOff>
      <xdr:row>12</xdr:row>
      <xdr:rowOff>108857</xdr:rowOff>
    </xdr:to>
    <xdr:sp macro="" textlink="">
      <xdr:nvSpPr>
        <xdr:cNvPr id="3" name="吹き出し: 角を丸めた四角形 4">
          <a:extLst>
            <a:ext uri="{FF2B5EF4-FFF2-40B4-BE49-F238E27FC236}">
              <a16:creationId xmlns:a16="http://schemas.microsoft.com/office/drawing/2014/main" id="{BD7654B0-A9E2-4103-8745-0B5AD32B9E01}"/>
            </a:ext>
          </a:extLst>
        </xdr:cNvPr>
        <xdr:cNvSpPr/>
      </xdr:nvSpPr>
      <xdr:spPr>
        <a:xfrm>
          <a:off x="266700" y="48006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395186</xdr:colOff>
      <xdr:row>0</xdr:row>
      <xdr:rowOff>220896</xdr:rowOff>
    </xdr:from>
    <xdr:to>
      <xdr:col>9</xdr:col>
      <xdr:colOff>190500</xdr:colOff>
      <xdr:row>3</xdr:row>
      <xdr:rowOff>162954</xdr:rowOff>
    </xdr:to>
    <xdr:pic>
      <xdr:nvPicPr>
        <xdr:cNvPr id="2" name="図 1">
          <a:extLst>
            <a:ext uri="{FF2B5EF4-FFF2-40B4-BE49-F238E27FC236}">
              <a16:creationId xmlns:a16="http://schemas.microsoft.com/office/drawing/2014/main" id="{BA6E2426-C7E1-4871-ABEA-5CAC257BF2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136" y="220896"/>
          <a:ext cx="1690789" cy="656433"/>
        </a:xfrm>
        <a:prstGeom prst="rect">
          <a:avLst/>
        </a:prstGeom>
      </xdr:spPr>
    </xdr:pic>
    <xdr:clientData/>
  </xdr:twoCellAnchor>
  <xdr:twoCellAnchor editAs="absolute">
    <xdr:from>
      <xdr:col>9</xdr:col>
      <xdr:colOff>649368</xdr:colOff>
      <xdr:row>7</xdr:row>
      <xdr:rowOff>202051</xdr:rowOff>
    </xdr:from>
    <xdr:to>
      <xdr:col>21</xdr:col>
      <xdr:colOff>170055</xdr:colOff>
      <xdr:row>51</xdr:row>
      <xdr:rowOff>138136</xdr:rowOff>
    </xdr:to>
    <xdr:pic>
      <xdr:nvPicPr>
        <xdr:cNvPr id="3" name="図 1">
          <a:extLst>
            <a:ext uri="{FF2B5EF4-FFF2-40B4-BE49-F238E27FC236}">
              <a16:creationId xmlns:a16="http://schemas.microsoft.com/office/drawing/2014/main" id="{59B31803-6FFC-44B1-8FD8-1602131A8728}"/>
            </a:ext>
          </a:extLst>
        </xdr:cNvPr>
        <xdr:cNvPicPr>
          <a:picLocks noChangeAspect="1"/>
        </xdr:cNvPicPr>
      </xdr:nvPicPr>
      <xdr:blipFill>
        <a:blip xmlns:r="http://schemas.openxmlformats.org/officeDocument/2006/relationships" r:embed="rId2"/>
        <a:stretch>
          <a:fillRect/>
        </a:stretch>
      </xdr:blipFill>
      <xdr:spPr>
        <a:xfrm>
          <a:off x="8621793" y="1545076"/>
          <a:ext cx="8312262" cy="9080085"/>
        </a:xfrm>
        <a:prstGeom prst="rect">
          <a:avLst/>
        </a:prstGeom>
      </xdr:spPr>
    </xdr:pic>
    <xdr:clientData/>
  </xdr:twoCellAnchor>
  <xdr:twoCellAnchor editAs="absolute">
    <xdr:from>
      <xdr:col>10</xdr:col>
      <xdr:colOff>49293</xdr:colOff>
      <xdr:row>54</xdr:row>
      <xdr:rowOff>76242</xdr:rowOff>
    </xdr:from>
    <xdr:to>
      <xdr:col>21</xdr:col>
      <xdr:colOff>198870</xdr:colOff>
      <xdr:row>90</xdr:row>
      <xdr:rowOff>184791</xdr:rowOff>
    </xdr:to>
    <xdr:pic>
      <xdr:nvPicPr>
        <xdr:cNvPr id="4" name="図 4">
          <a:extLst>
            <a:ext uri="{FF2B5EF4-FFF2-40B4-BE49-F238E27FC236}">
              <a16:creationId xmlns:a16="http://schemas.microsoft.com/office/drawing/2014/main" id="{FF2809EB-B326-4F11-9714-C32D78FBF00E}"/>
            </a:ext>
          </a:extLst>
        </xdr:cNvPr>
        <xdr:cNvPicPr>
          <a:picLocks noChangeAspect="1"/>
        </xdr:cNvPicPr>
      </xdr:nvPicPr>
      <xdr:blipFill>
        <a:blip xmlns:r="http://schemas.openxmlformats.org/officeDocument/2006/relationships" r:embed="rId3"/>
        <a:stretch>
          <a:fillRect/>
        </a:stretch>
      </xdr:blipFill>
      <xdr:spPr>
        <a:xfrm>
          <a:off x="8707518" y="11039517"/>
          <a:ext cx="8255352" cy="8300049"/>
        </a:xfrm>
        <a:prstGeom prst="rect">
          <a:avLst/>
        </a:prstGeom>
      </xdr:spPr>
    </xdr:pic>
    <xdr:clientData/>
  </xdr:twoCellAnchor>
  <xdr:twoCellAnchor editAs="oneCell">
    <xdr:from>
      <xdr:col>3</xdr:col>
      <xdr:colOff>506649</xdr:colOff>
      <xdr:row>9</xdr:row>
      <xdr:rowOff>233575</xdr:rowOff>
    </xdr:from>
    <xdr:to>
      <xdr:col>5</xdr:col>
      <xdr:colOff>1743234</xdr:colOff>
      <xdr:row>14</xdr:row>
      <xdr:rowOff>133350</xdr:rowOff>
    </xdr:to>
    <xdr:sp macro="" textlink="">
      <xdr:nvSpPr>
        <xdr:cNvPr id="5" name="吹き出し: 角を丸めた四角形 64">
          <a:extLst>
            <a:ext uri="{FF2B5EF4-FFF2-40B4-BE49-F238E27FC236}">
              <a16:creationId xmlns:a16="http://schemas.microsoft.com/office/drawing/2014/main" id="{5A06F552-2C94-4DD5-B2D2-6930D2F0AFD5}"/>
            </a:ext>
          </a:extLst>
        </xdr:cNvPr>
        <xdr:cNvSpPr/>
      </xdr:nvSpPr>
      <xdr:spPr>
        <a:xfrm>
          <a:off x="1535349" y="2214775"/>
          <a:ext cx="3941685" cy="852275"/>
        </a:xfrm>
        <a:prstGeom prst="wedgeRoundRectCallout">
          <a:avLst>
            <a:gd name="adj1" fmla="val -37406"/>
            <a:gd name="adj2" fmla="val -9095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施設名は”民生電力需要量”シートにおける</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施設名と同一の場所を記入してください</a:t>
          </a:r>
        </a:p>
      </xdr:txBody>
    </xdr:sp>
    <xdr:clientData/>
  </xdr:twoCellAnchor>
  <xdr:twoCellAnchor editAs="absolute">
    <xdr:from>
      <xdr:col>3</xdr:col>
      <xdr:colOff>1213565</xdr:colOff>
      <xdr:row>0</xdr:row>
      <xdr:rowOff>219075</xdr:rowOff>
    </xdr:from>
    <xdr:to>
      <xdr:col>6</xdr:col>
      <xdr:colOff>642988</xdr:colOff>
      <xdr:row>7</xdr:row>
      <xdr:rowOff>114219</xdr:rowOff>
    </xdr:to>
    <xdr:sp macro="" textlink="">
      <xdr:nvSpPr>
        <xdr:cNvPr id="6" name="四角形: 角を丸くする 7">
          <a:extLst>
            <a:ext uri="{FF2B5EF4-FFF2-40B4-BE49-F238E27FC236}">
              <a16:creationId xmlns:a16="http://schemas.microsoft.com/office/drawing/2014/main" id="{7CE6E4BC-1B2B-4AF6-8A7A-E1418B97F8D2}"/>
            </a:ext>
          </a:extLst>
        </xdr:cNvPr>
        <xdr:cNvSpPr/>
      </xdr:nvSpPr>
      <xdr:spPr>
        <a:xfrm>
          <a:off x="2242265" y="219075"/>
          <a:ext cx="4477673" cy="123816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すべての施設で電力削減量が０である場合、</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本シートは</a:t>
          </a:r>
          <a:r>
            <a:rPr kumimoji="1" lang="en-US" altLang="ja-JP" sz="1400" b="1">
              <a:solidFill>
                <a:sysClr val="windowText" lastClr="000000"/>
              </a:solidFill>
              <a:latin typeface="Meiryo UI" panose="020B0604030504040204" pitchFamily="50" charset="-128"/>
              <a:ea typeface="Meiryo UI" panose="020B0604030504040204" pitchFamily="50" charset="-128"/>
            </a:rPr>
            <a:t>Word</a:t>
          </a:r>
          <a:r>
            <a:rPr kumimoji="1" lang="ja-JP" altLang="en-US" sz="1400" b="1">
              <a:solidFill>
                <a:sysClr val="windowText" lastClr="000000"/>
              </a:solidFill>
              <a:latin typeface="Meiryo UI" panose="020B0604030504040204" pitchFamily="50" charset="-128"/>
              <a:ea typeface="Meiryo UI" panose="020B0604030504040204" pitchFamily="50" charset="-128"/>
            </a:rPr>
            <a:t>の様式１に貼り付けず、</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貼り付け箇所に「該当なし」と記載してください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xdr:col>
      <xdr:colOff>1089925</xdr:colOff>
      <xdr:row>34</xdr:row>
      <xdr:rowOff>0</xdr:rowOff>
    </xdr:from>
    <xdr:to>
      <xdr:col>6</xdr:col>
      <xdr:colOff>7382</xdr:colOff>
      <xdr:row>40</xdr:row>
      <xdr:rowOff>54280</xdr:rowOff>
    </xdr:to>
    <xdr:sp macro="" textlink="">
      <xdr:nvSpPr>
        <xdr:cNvPr id="7" name="吹き出し: 角を丸めた四角形 2">
          <a:extLst>
            <a:ext uri="{FF2B5EF4-FFF2-40B4-BE49-F238E27FC236}">
              <a16:creationId xmlns:a16="http://schemas.microsoft.com/office/drawing/2014/main" id="{3F6A490B-FCAC-4158-9267-A263492343E9}"/>
            </a:ext>
          </a:extLst>
        </xdr:cNvPr>
        <xdr:cNvSpPr/>
      </xdr:nvSpPr>
      <xdr:spPr>
        <a:xfrm>
          <a:off x="2123489" y="6810696"/>
          <a:ext cx="3963680" cy="1270238"/>
        </a:xfrm>
        <a:prstGeom prst="wedgeRoundRectCallout">
          <a:avLst>
            <a:gd name="adj1" fmla="val -96698"/>
            <a:gd name="adj2" fmla="val -767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複製された場合、赤文字で表示されます</a:t>
          </a:r>
        </a:p>
      </xdr:txBody>
    </xdr:sp>
    <xdr:clientData/>
  </xdr:twoCellAnchor>
  <xdr:twoCellAnchor editAs="oneCell">
    <xdr:from>
      <xdr:col>3</xdr:col>
      <xdr:colOff>1233298</xdr:colOff>
      <xdr:row>26</xdr:row>
      <xdr:rowOff>220352</xdr:rowOff>
    </xdr:from>
    <xdr:to>
      <xdr:col>6</xdr:col>
      <xdr:colOff>670418</xdr:colOff>
      <xdr:row>30</xdr:row>
      <xdr:rowOff>210133</xdr:rowOff>
    </xdr:to>
    <xdr:sp macro="" textlink="">
      <xdr:nvSpPr>
        <xdr:cNvPr id="8" name="吹き出し: 角を丸めた四角形 62">
          <a:extLst>
            <a:ext uri="{FF2B5EF4-FFF2-40B4-BE49-F238E27FC236}">
              <a16:creationId xmlns:a16="http://schemas.microsoft.com/office/drawing/2014/main" id="{DDE76BC1-3CC3-43D6-B15B-999F728E25E8}"/>
            </a:ext>
          </a:extLst>
        </xdr:cNvPr>
        <xdr:cNvSpPr/>
      </xdr:nvSpPr>
      <xdr:spPr>
        <a:xfrm>
          <a:off x="2266862" y="5631363"/>
          <a:ext cx="4483343" cy="962547"/>
        </a:xfrm>
        <a:prstGeom prst="wedgeRoundRectCallout">
          <a:avLst>
            <a:gd name="adj1" fmla="val -95151"/>
            <a:gd name="adj2" fmla="val -1785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78138</xdr:colOff>
      <xdr:row>18</xdr:row>
      <xdr:rowOff>48092</xdr:rowOff>
    </xdr:from>
    <xdr:to>
      <xdr:col>0</xdr:col>
      <xdr:colOff>277202</xdr:colOff>
      <xdr:row>22</xdr:row>
      <xdr:rowOff>209706</xdr:rowOff>
    </xdr:to>
    <xdr:sp macro="" textlink="">
      <xdr:nvSpPr>
        <xdr:cNvPr id="9" name="左中かっこ 10">
          <a:extLst>
            <a:ext uri="{FF2B5EF4-FFF2-40B4-BE49-F238E27FC236}">
              <a16:creationId xmlns:a16="http://schemas.microsoft.com/office/drawing/2014/main" id="{B8818DBB-DB0F-4149-8CA1-56DA479B91A4}"/>
            </a:ext>
          </a:extLst>
        </xdr:cNvPr>
        <xdr:cNvSpPr/>
      </xdr:nvSpPr>
      <xdr:spPr>
        <a:xfrm flipH="1">
          <a:off x="78138" y="3756762"/>
          <a:ext cx="199064" cy="113438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78138</xdr:colOff>
      <xdr:row>29</xdr:row>
      <xdr:rowOff>220399</xdr:rowOff>
    </xdr:from>
    <xdr:to>
      <xdr:col>0</xdr:col>
      <xdr:colOff>277202</xdr:colOff>
      <xdr:row>30</xdr:row>
      <xdr:rowOff>189101</xdr:rowOff>
    </xdr:to>
    <xdr:sp macro="" textlink="">
      <xdr:nvSpPr>
        <xdr:cNvPr id="10" name="左中かっこ 11">
          <a:extLst>
            <a:ext uri="{FF2B5EF4-FFF2-40B4-BE49-F238E27FC236}">
              <a16:creationId xmlns:a16="http://schemas.microsoft.com/office/drawing/2014/main" id="{D3016CB0-1EDB-4B7C-BD8D-A9D93F7FFA45}"/>
            </a:ext>
          </a:extLst>
        </xdr:cNvPr>
        <xdr:cNvSpPr/>
      </xdr:nvSpPr>
      <xdr:spPr>
        <a:xfrm flipH="1">
          <a:off x="78138" y="6360984"/>
          <a:ext cx="199064" cy="211894"/>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2</xdr:col>
      <xdr:colOff>390525</xdr:colOff>
      <xdr:row>65</xdr:row>
      <xdr:rowOff>133350</xdr:rowOff>
    </xdr:from>
    <xdr:to>
      <xdr:col>6</xdr:col>
      <xdr:colOff>6805</xdr:colOff>
      <xdr:row>68</xdr:row>
      <xdr:rowOff>51707</xdr:rowOff>
    </xdr:to>
    <xdr:sp macro="" textlink="">
      <xdr:nvSpPr>
        <xdr:cNvPr id="11" name="吹き出し: 角を丸めた四角形 4">
          <a:extLst>
            <a:ext uri="{FF2B5EF4-FFF2-40B4-BE49-F238E27FC236}">
              <a16:creationId xmlns:a16="http://schemas.microsoft.com/office/drawing/2014/main" id="{9B531C65-82DD-480D-8423-48EF8980388C}"/>
            </a:ext>
          </a:extLst>
        </xdr:cNvPr>
        <xdr:cNvSpPr/>
      </xdr:nvSpPr>
      <xdr:spPr>
        <a:xfrm>
          <a:off x="742950" y="134778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oneCellAnchor>
    <xdr:from>
      <xdr:col>9</xdr:col>
      <xdr:colOff>630319</xdr:colOff>
      <xdr:row>0</xdr:row>
      <xdr:rowOff>68701</xdr:rowOff>
    </xdr:from>
    <xdr:ext cx="4246482" cy="1057275"/>
    <xdr:sp macro="" textlink="">
      <xdr:nvSpPr>
        <xdr:cNvPr id="12" name="吹き出し: 角を丸めた四角形 4">
          <a:extLst>
            <a:ext uri="{FF2B5EF4-FFF2-40B4-BE49-F238E27FC236}">
              <a16:creationId xmlns:a16="http://schemas.microsoft.com/office/drawing/2014/main" id="{E8B531D0-C784-4D6F-90D9-F7E00DFA1C58}"/>
            </a:ext>
          </a:extLst>
        </xdr:cNvPr>
        <xdr:cNvSpPr/>
      </xdr:nvSpPr>
      <xdr:spPr>
        <a:xfrm>
          <a:off x="8602744" y="68701"/>
          <a:ext cx="4246482" cy="1057275"/>
        </a:xfrm>
        <a:prstGeom prst="wedgeRoundRectCallout">
          <a:avLst>
            <a:gd name="adj1" fmla="val -50847"/>
            <a:gd name="adj2" fmla="val 771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初期値として、民生・家庭には低圧、それ以外の施設には高圧が入力されています。必要に応じて変更ください。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本列は様式１への貼付は不要です</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xdr:txBody>
    </xdr:sp>
    <xdr:clientData/>
  </xdr:oneCellAnchor>
</xdr:wsDr>
</file>

<file path=xl/drawings/drawing26.xml><?xml version="1.0" encoding="utf-8"?>
<xdr:wsDr xmlns:xdr="http://schemas.openxmlformats.org/drawingml/2006/spreadsheetDrawing" xmlns:a="http://schemas.openxmlformats.org/drawingml/2006/main">
  <xdr:twoCellAnchor editAs="oneCell">
    <xdr:from>
      <xdr:col>3</xdr:col>
      <xdr:colOff>267833</xdr:colOff>
      <xdr:row>10</xdr:row>
      <xdr:rowOff>88055</xdr:rowOff>
    </xdr:from>
    <xdr:to>
      <xdr:col>5</xdr:col>
      <xdr:colOff>454633</xdr:colOff>
      <xdr:row>15</xdr:row>
      <xdr:rowOff>231920</xdr:rowOff>
    </xdr:to>
    <xdr:sp macro="" textlink="">
      <xdr:nvSpPr>
        <xdr:cNvPr id="5" name="吹き出し: 角を丸めた四角形 62">
          <a:extLst>
            <a:ext uri="{FF2B5EF4-FFF2-40B4-BE49-F238E27FC236}">
              <a16:creationId xmlns:a16="http://schemas.microsoft.com/office/drawing/2014/main" id="{6DA95C4D-595E-48E1-B8A9-3CB9B9D9E0AC}"/>
            </a:ext>
          </a:extLst>
        </xdr:cNvPr>
        <xdr:cNvSpPr/>
      </xdr:nvSpPr>
      <xdr:spPr>
        <a:xfrm>
          <a:off x="1106033" y="2688380"/>
          <a:ext cx="4330175" cy="1096365"/>
        </a:xfrm>
        <a:prstGeom prst="wedgeRoundRectCallout">
          <a:avLst>
            <a:gd name="adj1" fmla="val -74734"/>
            <a:gd name="adj2" fmla="val -709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632064</xdr:colOff>
      <xdr:row>7</xdr:row>
      <xdr:rowOff>31676</xdr:rowOff>
    </xdr:from>
    <xdr:to>
      <xdr:col>7</xdr:col>
      <xdr:colOff>651199</xdr:colOff>
      <xdr:row>12</xdr:row>
      <xdr:rowOff>206656</xdr:rowOff>
    </xdr:to>
    <xdr:sp macro="" textlink="">
      <xdr:nvSpPr>
        <xdr:cNvPr id="6" name="吹き出し: 角を丸めた四角形 10">
          <a:extLst>
            <a:ext uri="{FF2B5EF4-FFF2-40B4-BE49-F238E27FC236}">
              <a16:creationId xmlns:a16="http://schemas.microsoft.com/office/drawing/2014/main" id="{EBBE27D2-E34E-438E-A577-DA310C88945D}"/>
            </a:ext>
          </a:extLst>
        </xdr:cNvPr>
        <xdr:cNvSpPr/>
      </xdr:nvSpPr>
      <xdr:spPr>
        <a:xfrm>
          <a:off x="5613639" y="1917626"/>
          <a:ext cx="3381460" cy="1127480"/>
        </a:xfrm>
        <a:prstGeom prst="wedgeRoundRectCallout">
          <a:avLst>
            <a:gd name="adj1" fmla="val 38269"/>
            <a:gd name="adj2" fmla="val -829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排出削減量は数値で入力してください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（削減量の算定をできない場合は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341219</xdr:colOff>
      <xdr:row>0</xdr:row>
      <xdr:rowOff>93169</xdr:rowOff>
    </xdr:from>
    <xdr:to>
      <xdr:col>8</xdr:col>
      <xdr:colOff>904876</xdr:colOff>
      <xdr:row>3</xdr:row>
      <xdr:rowOff>15604</xdr:rowOff>
    </xdr:to>
    <xdr:pic>
      <xdr:nvPicPr>
        <xdr:cNvPr id="2" name="図 1">
          <a:extLst>
            <a:ext uri="{FF2B5EF4-FFF2-40B4-BE49-F238E27FC236}">
              <a16:creationId xmlns:a16="http://schemas.microsoft.com/office/drawing/2014/main" id="{4D5217A0-F64B-4F14-8617-52A28D510E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5119" y="93169"/>
          <a:ext cx="1601882" cy="636810"/>
        </a:xfrm>
        <a:prstGeom prst="rect">
          <a:avLst/>
        </a:prstGeom>
      </xdr:spPr>
    </xdr:pic>
    <xdr:clientData/>
  </xdr:twoCellAnchor>
  <xdr:twoCellAnchor>
    <xdr:from>
      <xdr:col>0</xdr:col>
      <xdr:colOff>64942</xdr:colOff>
      <xdr:row>7</xdr:row>
      <xdr:rowOff>57150</xdr:rowOff>
    </xdr:from>
    <xdr:to>
      <xdr:col>0</xdr:col>
      <xdr:colOff>171449</xdr:colOff>
      <xdr:row>9</xdr:row>
      <xdr:rowOff>209550</xdr:rowOff>
    </xdr:to>
    <xdr:sp macro="" textlink="">
      <xdr:nvSpPr>
        <xdr:cNvPr id="9" name="左中かっこ 6">
          <a:extLst>
            <a:ext uri="{FF2B5EF4-FFF2-40B4-BE49-F238E27FC236}">
              <a16:creationId xmlns:a16="http://schemas.microsoft.com/office/drawing/2014/main" id="{D34799B2-8348-4949-8883-A56609BDC87B}"/>
            </a:ext>
          </a:extLst>
        </xdr:cNvPr>
        <xdr:cNvSpPr/>
      </xdr:nvSpPr>
      <xdr:spPr>
        <a:xfrm flipH="1">
          <a:off x="64942" y="1943100"/>
          <a:ext cx="106507" cy="62865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15</xdr:row>
      <xdr:rowOff>45707</xdr:rowOff>
    </xdr:from>
    <xdr:to>
      <xdr:col>0</xdr:col>
      <xdr:colOff>172045</xdr:colOff>
      <xdr:row>15</xdr:row>
      <xdr:rowOff>236289</xdr:rowOff>
    </xdr:to>
    <xdr:sp macro="" textlink="">
      <xdr:nvSpPr>
        <xdr:cNvPr id="10" name="左中かっこ 7">
          <a:extLst>
            <a:ext uri="{FF2B5EF4-FFF2-40B4-BE49-F238E27FC236}">
              <a16:creationId xmlns:a16="http://schemas.microsoft.com/office/drawing/2014/main" id="{6A96668F-EE69-4908-906C-48100B75CB4D}"/>
            </a:ext>
          </a:extLst>
        </xdr:cNvPr>
        <xdr:cNvSpPr/>
      </xdr:nvSpPr>
      <xdr:spPr>
        <a:xfrm flipH="1">
          <a:off x="66675" y="3598532"/>
          <a:ext cx="105370" cy="190582"/>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361950</xdr:colOff>
      <xdr:row>25</xdr:row>
      <xdr:rowOff>200026</xdr:rowOff>
    </xdr:from>
    <xdr:ext cx="3781425" cy="1657350"/>
    <xdr:sp macro="" textlink="">
      <xdr:nvSpPr>
        <xdr:cNvPr id="12" name="四角形: 角を丸くする 11">
          <a:extLst>
            <a:ext uri="{FF2B5EF4-FFF2-40B4-BE49-F238E27FC236}">
              <a16:creationId xmlns:a16="http://schemas.microsoft.com/office/drawing/2014/main" id="{B47998DE-564A-4921-A832-6969894F32B6}"/>
            </a:ext>
          </a:extLst>
        </xdr:cNvPr>
        <xdr:cNvSpPr/>
      </xdr:nvSpPr>
      <xdr:spPr>
        <a:xfrm>
          <a:off x="1200150" y="5657851"/>
          <a:ext cx="3781425" cy="16573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取組の合計が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以下に収まるよう、同じ進捗度のものはまとめてご記載ください。</a:t>
          </a:r>
          <a:br>
            <a:rPr kumimoji="1" lang="en-US" altLang="ja-JP" sz="1400" b="0">
              <a:solidFill>
                <a:srgbClr val="FF0000"/>
              </a:solidFill>
              <a:latin typeface="Meiryo UI" panose="020B0604030504040204" pitchFamily="50" charset="-128"/>
              <a:ea typeface="Meiryo UI" panose="020B0604030504040204" pitchFamily="50" charset="-128"/>
            </a:rPr>
          </a:b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どうしても</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30</a:t>
          </a:r>
          <a:r>
            <a:rPr kumimoji="1" lang="ja-JP" altLang="en-US" sz="1400" b="0">
              <a:solidFill>
                <a:sysClr val="windowText" lastClr="000000"/>
              </a:solidFill>
              <a:effectLst/>
              <a:latin typeface="Meiryo UI" panose="020B0604030504040204" pitchFamily="50" charset="-128"/>
              <a:ea typeface="Meiryo UI" panose="020B0604030504040204" pitchFamily="50" charset="-128"/>
              <a:cs typeface="+mn-cs"/>
            </a:rPr>
            <a:t>以下</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にまとめることが難しい場合は、環境省へお問い合わせください。</a:t>
          </a:r>
        </a:p>
      </xdr:txBody>
    </xdr:sp>
    <xdr:clientData/>
  </xdr:oneCellAnchor>
  <xdr:twoCellAnchor editAs="oneCell">
    <xdr:from>
      <xdr:col>3</xdr:col>
      <xdr:colOff>208443</xdr:colOff>
      <xdr:row>17</xdr:row>
      <xdr:rowOff>224768</xdr:rowOff>
    </xdr:from>
    <xdr:to>
      <xdr:col>4</xdr:col>
      <xdr:colOff>3409950</xdr:colOff>
      <xdr:row>23</xdr:row>
      <xdr:rowOff>185457</xdr:rowOff>
    </xdr:to>
    <xdr:sp macro="" textlink="">
      <xdr:nvSpPr>
        <xdr:cNvPr id="4" name="吹き出し: 角を丸めた四角形 3">
          <a:extLst>
            <a:ext uri="{FF2B5EF4-FFF2-40B4-BE49-F238E27FC236}">
              <a16:creationId xmlns:a16="http://schemas.microsoft.com/office/drawing/2014/main" id="{434F9EB6-178A-49C7-928E-D27CB2284A9E}"/>
            </a:ext>
          </a:extLst>
        </xdr:cNvPr>
        <xdr:cNvSpPr/>
      </xdr:nvSpPr>
      <xdr:spPr>
        <a:xfrm>
          <a:off x="1046643" y="4015718"/>
          <a:ext cx="3773007" cy="1151314"/>
        </a:xfrm>
        <a:prstGeom prst="wedgeRoundRectCallout">
          <a:avLst>
            <a:gd name="adj1" fmla="val -73683"/>
            <a:gd name="adj2" fmla="val -806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1765280</xdr:colOff>
      <xdr:row>0</xdr:row>
      <xdr:rowOff>0</xdr:rowOff>
    </xdr:from>
    <xdr:to>
      <xdr:col>7</xdr:col>
      <xdr:colOff>1019175</xdr:colOff>
      <xdr:row>4</xdr:row>
      <xdr:rowOff>0</xdr:rowOff>
    </xdr:to>
    <xdr:sp macro="" textlink="">
      <xdr:nvSpPr>
        <xdr:cNvPr id="7" name="吹き出し: 角を丸めた四角形 2">
          <a:extLst>
            <a:ext uri="{FF2B5EF4-FFF2-40B4-BE49-F238E27FC236}">
              <a16:creationId xmlns:a16="http://schemas.microsoft.com/office/drawing/2014/main" id="{808851A3-7C33-4502-8E59-DFF40B32A9C6}"/>
            </a:ext>
          </a:extLst>
        </xdr:cNvPr>
        <xdr:cNvSpPr/>
      </xdr:nvSpPr>
      <xdr:spPr>
        <a:xfrm>
          <a:off x="6746855" y="0"/>
          <a:ext cx="2616220" cy="790575"/>
        </a:xfrm>
        <a:prstGeom prst="wedgeRoundRectCallout">
          <a:avLst>
            <a:gd name="adj1" fmla="val 51762"/>
            <a:gd name="adj2" fmla="val 7907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I</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3</xdr:col>
      <xdr:colOff>257174</xdr:colOff>
      <xdr:row>7</xdr:row>
      <xdr:rowOff>47625</xdr:rowOff>
    </xdr:from>
    <xdr:to>
      <xdr:col>5</xdr:col>
      <xdr:colOff>438150</xdr:colOff>
      <xdr:row>10</xdr:row>
      <xdr:rowOff>28575</xdr:rowOff>
    </xdr:to>
    <xdr:sp macro="" textlink="">
      <xdr:nvSpPr>
        <xdr:cNvPr id="8" name="吹き出し: 角を丸めた四角形 2">
          <a:extLst>
            <a:ext uri="{FF2B5EF4-FFF2-40B4-BE49-F238E27FC236}">
              <a16:creationId xmlns:a16="http://schemas.microsoft.com/office/drawing/2014/main" id="{B7E91CF3-D0CB-4ED0-8AC4-56ACAB8CE48C}"/>
            </a:ext>
          </a:extLst>
        </xdr:cNvPr>
        <xdr:cNvSpPr/>
      </xdr:nvSpPr>
      <xdr:spPr>
        <a:xfrm>
          <a:off x="1095374" y="1933575"/>
          <a:ext cx="4324351" cy="695325"/>
        </a:xfrm>
        <a:prstGeom prst="wedgeRoundRectCallout">
          <a:avLst>
            <a:gd name="adj1" fmla="val -58997"/>
            <a:gd name="adj2" fmla="val -4474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民生部門以外の取組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は、”</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①</a:t>
          </a:r>
          <a:r>
            <a:rPr kumimoji="1" lang="en-US" altLang="ja-JP" sz="1400" b="0" baseline="0">
              <a:solidFill>
                <a:sysClr val="windowText" lastClr="000000"/>
              </a:solidFill>
              <a:latin typeface="Meiryo UI" panose="020B0604030504040204" pitchFamily="50" charset="-128"/>
              <a:ea typeface="Meiryo UI" panose="020B0604030504040204" pitchFamily="50" charset="-128"/>
              <a:cs typeface="+mn-cs"/>
            </a:rPr>
            <a:t>-1</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、①</a:t>
          </a:r>
          <a:r>
            <a:rPr kumimoji="1" lang="en-US" altLang="ja-JP" sz="1400" b="0" baseline="0">
              <a:solidFill>
                <a:sysClr val="windowText" lastClr="000000"/>
              </a:solidFill>
              <a:latin typeface="Meiryo UI" panose="020B0604030504040204" pitchFamily="50" charset="-128"/>
              <a:ea typeface="Meiryo UI" panose="020B0604030504040204" pitchFamily="50" charset="-128"/>
              <a:cs typeface="+mn-cs"/>
            </a:rPr>
            <a:t>-2...</a:t>
          </a:r>
          <a:r>
            <a:rPr kumimoji="1" lang="ja-JP" altLang="en-US" sz="1400" b="0" baseline="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-2</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”と</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いうように</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区分ごとに</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通し番号を記入してください。</a:t>
          </a:r>
        </a:p>
      </xdr:txBody>
    </xdr:sp>
    <xdr:clientData/>
  </xdr:twoCellAnchor>
  <xdr:twoCellAnchor editAs="absolute">
    <xdr:from>
      <xdr:col>0</xdr:col>
      <xdr:colOff>0</xdr:colOff>
      <xdr:row>2</xdr:row>
      <xdr:rowOff>180975</xdr:rowOff>
    </xdr:from>
    <xdr:to>
      <xdr:col>5</xdr:col>
      <xdr:colOff>359230</xdr:colOff>
      <xdr:row>4</xdr:row>
      <xdr:rowOff>356507</xdr:rowOff>
    </xdr:to>
    <xdr:sp macro="" textlink="">
      <xdr:nvSpPr>
        <xdr:cNvPr id="11" name="吹き出し: 角を丸めた四角形 4">
          <a:extLst>
            <a:ext uri="{FF2B5EF4-FFF2-40B4-BE49-F238E27FC236}">
              <a16:creationId xmlns:a16="http://schemas.microsoft.com/office/drawing/2014/main" id="{BE039EE3-0965-40F7-AFB8-2E40048C91D0}"/>
            </a:ext>
          </a:extLst>
        </xdr:cNvPr>
        <xdr:cNvSpPr/>
      </xdr:nvSpPr>
      <xdr:spPr>
        <a:xfrm>
          <a:off x="0" y="657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10</xdr:col>
      <xdr:colOff>47625</xdr:colOff>
      <xdr:row>0</xdr:row>
      <xdr:rowOff>38101</xdr:rowOff>
    </xdr:from>
    <xdr:to>
      <xdr:col>15</xdr:col>
      <xdr:colOff>168295</xdr:colOff>
      <xdr:row>4</xdr:row>
      <xdr:rowOff>266700</xdr:rowOff>
    </xdr:to>
    <xdr:sp macro="" textlink="">
      <xdr:nvSpPr>
        <xdr:cNvPr id="3" name="吹き出し: 角を丸めた四角形 2">
          <a:extLst>
            <a:ext uri="{FF2B5EF4-FFF2-40B4-BE49-F238E27FC236}">
              <a16:creationId xmlns:a16="http://schemas.microsoft.com/office/drawing/2014/main" id="{3753BF92-6149-4E93-A348-F48DFC75F74E}"/>
            </a:ext>
          </a:extLst>
        </xdr:cNvPr>
        <xdr:cNvSpPr/>
      </xdr:nvSpPr>
      <xdr:spPr>
        <a:xfrm>
          <a:off x="11258550" y="38101"/>
          <a:ext cx="2616220" cy="1019174"/>
        </a:xfrm>
        <a:prstGeom prst="wedgeRoundRectCallout">
          <a:avLst>
            <a:gd name="adj1" fmla="val -61466"/>
            <a:gd name="adj2" fmla="val 446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関連事業者、関係部局、地権者など合意形成に必要な事業者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ct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総数を記載してください。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148827</xdr:colOff>
      <xdr:row>1</xdr:row>
      <xdr:rowOff>576570</xdr:rowOff>
    </xdr:from>
    <xdr:to>
      <xdr:col>11</xdr:col>
      <xdr:colOff>9921</xdr:colOff>
      <xdr:row>4</xdr:row>
      <xdr:rowOff>80391</xdr:rowOff>
    </xdr:to>
    <xdr:pic>
      <xdr:nvPicPr>
        <xdr:cNvPr id="2" name="図 1">
          <a:extLst>
            <a:ext uri="{FF2B5EF4-FFF2-40B4-BE49-F238E27FC236}">
              <a16:creationId xmlns:a16="http://schemas.microsoft.com/office/drawing/2014/main" id="{83611D62-6BAB-4701-AC7B-513F64230F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0377" y="814695"/>
          <a:ext cx="2299494" cy="903996"/>
        </a:xfrm>
        <a:prstGeom prst="rect">
          <a:avLst/>
        </a:prstGeom>
      </xdr:spPr>
    </xdr:pic>
    <xdr:clientData/>
  </xdr:twoCellAnchor>
  <xdr:twoCellAnchor editAs="absolute">
    <xdr:from>
      <xdr:col>11</xdr:col>
      <xdr:colOff>101896</xdr:colOff>
      <xdr:row>1</xdr:row>
      <xdr:rowOff>200025</xdr:rowOff>
    </xdr:from>
    <xdr:to>
      <xdr:col>27</xdr:col>
      <xdr:colOff>342900</xdr:colOff>
      <xdr:row>3</xdr:row>
      <xdr:rowOff>244223</xdr:rowOff>
    </xdr:to>
    <xdr:sp macro="" textlink="">
      <xdr:nvSpPr>
        <xdr:cNvPr id="5" name="吹き出し: 角を丸めた四角形 21">
          <a:extLst>
            <a:ext uri="{FF2B5EF4-FFF2-40B4-BE49-F238E27FC236}">
              <a16:creationId xmlns:a16="http://schemas.microsoft.com/office/drawing/2014/main" id="{59E4DAAA-6EBE-46F0-83E9-76B0471EF458}"/>
            </a:ext>
          </a:extLst>
        </xdr:cNvPr>
        <xdr:cNvSpPr/>
      </xdr:nvSpPr>
      <xdr:spPr>
        <a:xfrm flipH="1">
          <a:off x="11131846" y="438150"/>
          <a:ext cx="3660479" cy="112052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1</xdr:col>
      <xdr:colOff>117475</xdr:colOff>
      <xdr:row>10</xdr:row>
      <xdr:rowOff>462523</xdr:rowOff>
    </xdr:from>
    <xdr:to>
      <xdr:col>4</xdr:col>
      <xdr:colOff>1724243</xdr:colOff>
      <xdr:row>17</xdr:row>
      <xdr:rowOff>160152</xdr:rowOff>
    </xdr:to>
    <xdr:sp macro="" textlink="">
      <xdr:nvSpPr>
        <xdr:cNvPr id="6" name="吹き出し: 角を丸めた四角形 62">
          <a:extLst>
            <a:ext uri="{FF2B5EF4-FFF2-40B4-BE49-F238E27FC236}">
              <a16:creationId xmlns:a16="http://schemas.microsoft.com/office/drawing/2014/main" id="{1DAD54E0-61F2-4EB0-801A-791FE100F0CF}"/>
            </a:ext>
          </a:extLst>
        </xdr:cNvPr>
        <xdr:cNvSpPr/>
      </xdr:nvSpPr>
      <xdr:spPr>
        <a:xfrm>
          <a:off x="279400" y="3415273"/>
          <a:ext cx="3940393" cy="1393079"/>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対象となる取組名を選択してください。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4.3</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民生部門電力以外の排出削減取組」のシートで記載された取組名が表示されます。なお、一度選択された施設名は表示されません。</a:t>
          </a:r>
        </a:p>
      </xdr:txBody>
    </xdr:sp>
    <xdr:clientData/>
  </xdr:twoCellAnchor>
  <xdr:twoCellAnchor editAs="oneCell">
    <xdr:from>
      <xdr:col>4</xdr:col>
      <xdr:colOff>2110076</xdr:colOff>
      <xdr:row>16</xdr:row>
      <xdr:rowOff>69961</xdr:rowOff>
    </xdr:from>
    <xdr:to>
      <xdr:col>7</xdr:col>
      <xdr:colOff>1116864</xdr:colOff>
      <xdr:row>18</xdr:row>
      <xdr:rowOff>180975</xdr:rowOff>
    </xdr:to>
    <xdr:sp macro="" textlink="">
      <xdr:nvSpPr>
        <xdr:cNvPr id="7" name="吹き出し: 角を丸めた四角形 62">
          <a:extLst>
            <a:ext uri="{FF2B5EF4-FFF2-40B4-BE49-F238E27FC236}">
              <a16:creationId xmlns:a16="http://schemas.microsoft.com/office/drawing/2014/main" id="{9EFCDA05-D23E-4D7C-8274-A5F49FCD190E}"/>
            </a:ext>
          </a:extLst>
        </xdr:cNvPr>
        <xdr:cNvSpPr/>
      </xdr:nvSpPr>
      <xdr:spPr>
        <a:xfrm>
          <a:off x="4605626" y="4641961"/>
          <a:ext cx="3959788" cy="1501664"/>
        </a:xfrm>
        <a:prstGeom prst="wedgeRoundRectCallout">
          <a:avLst>
            <a:gd name="adj1" fmla="val -40372"/>
            <a:gd name="adj2" fmla="val -851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9</xdr:col>
      <xdr:colOff>1108887</xdr:colOff>
      <xdr:row>17</xdr:row>
      <xdr:rowOff>736304</xdr:rowOff>
    </xdr:from>
    <xdr:to>
      <xdr:col>28</xdr:col>
      <xdr:colOff>500718</xdr:colOff>
      <xdr:row>18</xdr:row>
      <xdr:rowOff>685327</xdr:rowOff>
    </xdr:to>
    <xdr:sp macro="" textlink="">
      <xdr:nvSpPr>
        <xdr:cNvPr id="8" name="吹き出し: 角を丸めた四角形 62">
          <a:extLst>
            <a:ext uri="{FF2B5EF4-FFF2-40B4-BE49-F238E27FC236}">
              <a16:creationId xmlns:a16="http://schemas.microsoft.com/office/drawing/2014/main" id="{1AC8B74E-7347-427D-905A-23B5A045FD8C}"/>
            </a:ext>
          </a:extLst>
        </xdr:cNvPr>
        <xdr:cNvSpPr/>
      </xdr:nvSpPr>
      <xdr:spPr>
        <a:xfrm>
          <a:off x="10843437" y="5384504"/>
          <a:ext cx="4792506" cy="1263473"/>
        </a:xfrm>
        <a:prstGeom prst="wedgeRoundRectCallout">
          <a:avLst>
            <a:gd name="adj1" fmla="val -63466"/>
            <a:gd name="adj2" fmla="val -397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「懸念事項」と「懸念事項への対応策」について記載してください。枠内に収まる分量で記載を御願いします。もしも枠を超えざるを得ない場合は、文字サイズを小さくして枠に収めてください。</a:t>
          </a:r>
        </a:p>
      </xdr:txBody>
    </xdr:sp>
    <xdr:clientData/>
  </xdr:twoCellAnchor>
  <xdr:oneCellAnchor>
    <xdr:from>
      <xdr:col>11</xdr:col>
      <xdr:colOff>119245</xdr:colOff>
      <xdr:row>4</xdr:row>
      <xdr:rowOff>30162</xdr:rowOff>
    </xdr:from>
    <xdr:ext cx="2976380" cy="851964"/>
    <xdr:sp macro="" textlink="">
      <xdr:nvSpPr>
        <xdr:cNvPr id="9" name="吹き出し: 角を丸めた四角形 63">
          <a:extLst>
            <a:ext uri="{FF2B5EF4-FFF2-40B4-BE49-F238E27FC236}">
              <a16:creationId xmlns:a16="http://schemas.microsoft.com/office/drawing/2014/main" id="{4AB2ED81-9E64-49C2-A66B-2117C3C084A8}"/>
            </a:ext>
          </a:extLst>
        </xdr:cNvPr>
        <xdr:cNvSpPr/>
      </xdr:nvSpPr>
      <xdr:spPr>
        <a:xfrm>
          <a:off x="11149195" y="1668462"/>
          <a:ext cx="2976380" cy="851964"/>
        </a:xfrm>
        <a:prstGeom prst="wedgeRoundRectCallout">
          <a:avLst>
            <a:gd name="adj1" fmla="val -64203"/>
            <a:gd name="adj2" fmla="val 1835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合意プロセスの行が余る場合は行削除、足りなければ行追加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306033</xdr:colOff>
      <xdr:row>10</xdr:row>
      <xdr:rowOff>609600</xdr:rowOff>
    </xdr:from>
    <xdr:ext cx="3713896" cy="771099"/>
    <xdr:sp macro="" textlink="">
      <xdr:nvSpPr>
        <xdr:cNvPr id="10" name="吹き出し: 角を丸めた四角形 63">
          <a:extLst>
            <a:ext uri="{FF2B5EF4-FFF2-40B4-BE49-F238E27FC236}">
              <a16:creationId xmlns:a16="http://schemas.microsoft.com/office/drawing/2014/main" id="{E152E7A2-B081-4B9D-A216-59C03ED51787}"/>
            </a:ext>
          </a:extLst>
        </xdr:cNvPr>
        <xdr:cNvSpPr/>
      </xdr:nvSpPr>
      <xdr:spPr>
        <a:xfrm>
          <a:off x="11335983" y="3562350"/>
          <a:ext cx="3713896" cy="771099"/>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”の範囲を行コピーし挿入してください</a:t>
          </a:r>
        </a:p>
      </xdr:txBody>
    </xdr:sp>
    <xdr:clientData/>
  </xdr:oneCellAnchor>
  <xdr:twoCellAnchor>
    <xdr:from>
      <xdr:col>10</xdr:col>
      <xdr:colOff>44993</xdr:colOff>
      <xdr:row>10</xdr:row>
      <xdr:rowOff>695722</xdr:rowOff>
    </xdr:from>
    <xdr:to>
      <xdr:col>11</xdr:col>
      <xdr:colOff>251354</xdr:colOff>
      <xdr:row>15</xdr:row>
      <xdr:rowOff>24222</xdr:rowOff>
    </xdr:to>
    <xdr:sp macro="" textlink="">
      <xdr:nvSpPr>
        <xdr:cNvPr id="12" name="左中かっこ 36">
          <a:extLst>
            <a:ext uri="{FF2B5EF4-FFF2-40B4-BE49-F238E27FC236}">
              <a16:creationId xmlns:a16="http://schemas.microsoft.com/office/drawing/2014/main" id="{4AC5F942-536B-4899-9591-AD36CF4AE1BF}"/>
            </a:ext>
          </a:extLst>
        </xdr:cNvPr>
        <xdr:cNvSpPr/>
      </xdr:nvSpPr>
      <xdr:spPr>
        <a:xfrm flipH="1">
          <a:off x="10922543" y="3648472"/>
          <a:ext cx="358761" cy="852500"/>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1</xdr:col>
      <xdr:colOff>57150</xdr:colOff>
      <xdr:row>3</xdr:row>
      <xdr:rowOff>95250</xdr:rowOff>
    </xdr:from>
    <xdr:to>
      <xdr:col>5</xdr:col>
      <xdr:colOff>397330</xdr:colOff>
      <xdr:row>5</xdr:row>
      <xdr:rowOff>89807</xdr:rowOff>
    </xdr:to>
    <xdr:sp macro="" textlink="">
      <xdr:nvSpPr>
        <xdr:cNvPr id="13" name="吹き出し: 角を丸めた四角形 4">
          <a:extLst>
            <a:ext uri="{FF2B5EF4-FFF2-40B4-BE49-F238E27FC236}">
              <a16:creationId xmlns:a16="http://schemas.microsoft.com/office/drawing/2014/main" id="{AF846E08-D6C4-48D1-A897-986523D1DA1E}"/>
            </a:ext>
          </a:extLst>
        </xdr:cNvPr>
        <xdr:cNvSpPr/>
      </xdr:nvSpPr>
      <xdr:spPr>
        <a:xfrm>
          <a:off x="219075" y="14097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2925504</xdr:colOff>
      <xdr:row>0</xdr:row>
      <xdr:rowOff>151986</xdr:rowOff>
    </xdr:from>
    <xdr:to>
      <xdr:col>14</xdr:col>
      <xdr:colOff>1344366</xdr:colOff>
      <xdr:row>3</xdr:row>
      <xdr:rowOff>182712</xdr:rowOff>
    </xdr:to>
    <xdr:pic>
      <xdr:nvPicPr>
        <xdr:cNvPr id="2" name="図 1">
          <a:extLst>
            <a:ext uri="{FF2B5EF4-FFF2-40B4-BE49-F238E27FC236}">
              <a16:creationId xmlns:a16="http://schemas.microsoft.com/office/drawing/2014/main" id="{CA3C56F0-7CCA-4F15-9107-493A0221D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31879" y="151986"/>
          <a:ext cx="1914746" cy="745101"/>
        </a:xfrm>
        <a:prstGeom prst="rect">
          <a:avLst/>
        </a:prstGeom>
      </xdr:spPr>
    </xdr:pic>
    <xdr:clientData/>
  </xdr:twoCellAnchor>
  <xdr:oneCellAnchor>
    <xdr:from>
      <xdr:col>13</xdr:col>
      <xdr:colOff>11443</xdr:colOff>
      <xdr:row>2</xdr:row>
      <xdr:rowOff>167821</xdr:rowOff>
    </xdr:from>
    <xdr:ext cx="2993906" cy="1003753"/>
    <xdr:sp macro="" textlink="">
      <xdr:nvSpPr>
        <xdr:cNvPr id="3" name="吹き出し: 角を丸めた四角形 4">
          <a:extLst>
            <a:ext uri="{FF2B5EF4-FFF2-40B4-BE49-F238E27FC236}">
              <a16:creationId xmlns:a16="http://schemas.microsoft.com/office/drawing/2014/main" id="{B2CC09A6-6D30-4E11-83CC-E5B68EE56520}"/>
            </a:ext>
          </a:extLst>
        </xdr:cNvPr>
        <xdr:cNvSpPr/>
      </xdr:nvSpPr>
      <xdr:spPr>
        <a:xfrm>
          <a:off x="14156068" y="644071"/>
          <a:ext cx="2993906" cy="1003753"/>
        </a:xfrm>
        <a:prstGeom prst="wedgeRoundRectCallout">
          <a:avLst>
            <a:gd name="adj1" fmla="val 51488"/>
            <a:gd name="adj2" fmla="val 804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oneCellAnchor>
    <xdr:from>
      <xdr:col>3</xdr:col>
      <xdr:colOff>972190</xdr:colOff>
      <xdr:row>11</xdr:row>
      <xdr:rowOff>62368</xdr:rowOff>
    </xdr:from>
    <xdr:ext cx="4023071" cy="1227425"/>
    <xdr:sp macro="" textlink="">
      <xdr:nvSpPr>
        <xdr:cNvPr id="4" name="吹き出し: 角を丸めた四角形 3">
          <a:extLst>
            <a:ext uri="{FF2B5EF4-FFF2-40B4-BE49-F238E27FC236}">
              <a16:creationId xmlns:a16="http://schemas.microsoft.com/office/drawing/2014/main" id="{42FB482F-20DA-4345-8AE4-2FD698E6FEC9}"/>
            </a:ext>
          </a:extLst>
        </xdr:cNvPr>
        <xdr:cNvSpPr/>
      </xdr:nvSpPr>
      <xdr:spPr>
        <a:xfrm>
          <a:off x="2117458" y="3010582"/>
          <a:ext cx="4023071" cy="1227425"/>
        </a:xfrm>
        <a:prstGeom prst="wedgeRoundRectCallout">
          <a:avLst>
            <a:gd name="adj1" fmla="val -101869"/>
            <a:gd name="adj2" fmla="val -67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本行を</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0</xdr:col>
      <xdr:colOff>172729</xdr:colOff>
      <xdr:row>17</xdr:row>
      <xdr:rowOff>126997</xdr:rowOff>
    </xdr:from>
    <xdr:ext cx="4514373" cy="1216028"/>
    <xdr:sp macro="" textlink="">
      <xdr:nvSpPr>
        <xdr:cNvPr id="5" name="吹き出し: 角を丸めた四角形 62">
          <a:extLst>
            <a:ext uri="{FF2B5EF4-FFF2-40B4-BE49-F238E27FC236}">
              <a16:creationId xmlns:a16="http://schemas.microsoft.com/office/drawing/2014/main" id="{6331B502-6ABC-45BE-9000-D65F092FF04A}"/>
            </a:ext>
          </a:extLst>
        </xdr:cNvPr>
        <xdr:cNvSpPr/>
      </xdr:nvSpPr>
      <xdr:spPr>
        <a:xfrm>
          <a:off x="172729" y="4498972"/>
          <a:ext cx="4514373" cy="1216028"/>
        </a:xfrm>
        <a:prstGeom prst="wedgeRoundRectCallout">
          <a:avLst>
            <a:gd name="adj1" fmla="val -47805"/>
            <a:gd name="adj2" fmla="val -89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68036</xdr:colOff>
      <xdr:row>12</xdr:row>
      <xdr:rowOff>35153</xdr:rowOff>
    </xdr:from>
    <xdr:to>
      <xdr:col>0</xdr:col>
      <xdr:colOff>248050</xdr:colOff>
      <xdr:row>16</xdr:row>
      <xdr:rowOff>166852</xdr:rowOff>
    </xdr:to>
    <xdr:sp macro="" textlink="">
      <xdr:nvSpPr>
        <xdr:cNvPr id="6" name="左中かっこ 10">
          <a:extLst>
            <a:ext uri="{FF2B5EF4-FFF2-40B4-BE49-F238E27FC236}">
              <a16:creationId xmlns:a16="http://schemas.microsoft.com/office/drawing/2014/main" id="{25DFE417-E8BB-4CAD-97E5-20050AA2E19F}"/>
            </a:ext>
          </a:extLst>
        </xdr:cNvPr>
        <xdr:cNvSpPr/>
      </xdr:nvSpPr>
      <xdr:spPr>
        <a:xfrm flipH="1">
          <a:off x="68036" y="3221492"/>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absoluteAnchor>
    <xdr:pos x="22282301" y="9811321"/>
    <xdr:ext cx="7975264" cy="9056293"/>
    <xdr:pic>
      <xdr:nvPicPr>
        <xdr:cNvPr id="262" name="図 1">
          <a:extLst>
            <a:ext uri="{FF2B5EF4-FFF2-40B4-BE49-F238E27FC236}">
              <a16:creationId xmlns:a16="http://schemas.microsoft.com/office/drawing/2014/main" id="{26659BA8-F88B-4815-8E5E-A5483657CD06}"/>
            </a:ext>
          </a:extLst>
        </xdr:cNvPr>
        <xdr:cNvPicPr>
          <a:picLocks noChangeAspect="1"/>
        </xdr:cNvPicPr>
      </xdr:nvPicPr>
      <xdr:blipFill>
        <a:blip xmlns:r="http://schemas.openxmlformats.org/officeDocument/2006/relationships" r:embed="rId2"/>
        <a:stretch>
          <a:fillRect/>
        </a:stretch>
      </xdr:blipFill>
      <xdr:spPr>
        <a:xfrm>
          <a:off x="22282301" y="9811321"/>
          <a:ext cx="7975264" cy="9056293"/>
        </a:xfrm>
        <a:prstGeom prst="rect">
          <a:avLst/>
        </a:prstGeom>
      </xdr:spPr>
    </xdr:pic>
    <xdr:clientData/>
  </xdr:absoluteAnchor>
  <xdr:absoluteAnchor>
    <xdr:pos x="30465676" y="587899"/>
    <xdr:ext cx="8016861" cy="8167754"/>
    <xdr:pic>
      <xdr:nvPicPr>
        <xdr:cNvPr id="263" name="図 4">
          <a:extLst>
            <a:ext uri="{FF2B5EF4-FFF2-40B4-BE49-F238E27FC236}">
              <a16:creationId xmlns:a16="http://schemas.microsoft.com/office/drawing/2014/main" id="{5F0190B4-22D7-44F9-B58D-40AB6F0DA2D5}"/>
            </a:ext>
          </a:extLst>
        </xdr:cNvPr>
        <xdr:cNvPicPr>
          <a:picLocks noChangeAspect="1"/>
        </xdr:cNvPicPr>
      </xdr:nvPicPr>
      <xdr:blipFill>
        <a:blip xmlns:r="http://schemas.openxmlformats.org/officeDocument/2006/relationships" r:embed="rId3"/>
        <a:stretch>
          <a:fillRect/>
        </a:stretch>
      </xdr:blipFill>
      <xdr:spPr>
        <a:xfrm>
          <a:off x="30465676" y="587899"/>
          <a:ext cx="8016861" cy="8167754"/>
        </a:xfrm>
        <a:prstGeom prst="rect">
          <a:avLst/>
        </a:prstGeom>
      </xdr:spPr>
    </xdr:pic>
    <xdr:clientData/>
  </xdr:absoluteAnchor>
  <xdr:oneCellAnchor>
    <xdr:from>
      <xdr:col>7</xdr:col>
      <xdr:colOff>1025115</xdr:colOff>
      <xdr:row>11</xdr:row>
      <xdr:rowOff>70648</xdr:rowOff>
    </xdr:from>
    <xdr:ext cx="5736587" cy="3641725"/>
    <xdr:sp macro="" textlink="">
      <xdr:nvSpPr>
        <xdr:cNvPr id="264" name="吹き出し: 角を丸めた四角形 62">
          <a:extLst>
            <a:ext uri="{FF2B5EF4-FFF2-40B4-BE49-F238E27FC236}">
              <a16:creationId xmlns:a16="http://schemas.microsoft.com/office/drawing/2014/main" id="{7A2F3C73-7674-44CA-A763-8AF0D2B2C6FC}"/>
            </a:ext>
          </a:extLst>
        </xdr:cNvPr>
        <xdr:cNvSpPr/>
      </xdr:nvSpPr>
      <xdr:spPr>
        <a:xfrm>
          <a:off x="7755417" y="3022351"/>
          <a:ext cx="5736587" cy="3641725"/>
        </a:xfrm>
        <a:prstGeom prst="wedgeRoundRectCallout">
          <a:avLst>
            <a:gd name="adj1" fmla="val 49920"/>
            <a:gd name="adj2" fmla="val -648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13</xdr:col>
      <xdr:colOff>816316</xdr:colOff>
      <xdr:row>110</xdr:row>
      <xdr:rowOff>138900</xdr:rowOff>
    </xdr:from>
    <xdr:ext cx="10028629" cy="5118831"/>
    <xdr:pic>
      <xdr:nvPicPr>
        <xdr:cNvPr id="267" name="図 266">
          <a:extLst>
            <a:ext uri="{FF2B5EF4-FFF2-40B4-BE49-F238E27FC236}">
              <a16:creationId xmlns:a16="http://schemas.microsoft.com/office/drawing/2014/main" id="{1B33826A-4465-49FA-9BB2-FBEED14AEBE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210" b="6796"/>
        <a:stretch/>
      </xdr:blipFill>
      <xdr:spPr bwMode="auto">
        <a:xfrm>
          <a:off x="13754441" y="2694497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201678</xdr:colOff>
      <xdr:row>2</xdr:row>
      <xdr:rowOff>85913</xdr:rowOff>
    </xdr:from>
    <xdr:to>
      <xdr:col>39</xdr:col>
      <xdr:colOff>240080</xdr:colOff>
      <xdr:row>38</xdr:row>
      <xdr:rowOff>229848</xdr:rowOff>
    </xdr:to>
    <xdr:grpSp>
      <xdr:nvGrpSpPr>
        <xdr:cNvPr id="268" name="グループ化 267">
          <a:extLst>
            <a:ext uri="{FF2B5EF4-FFF2-40B4-BE49-F238E27FC236}">
              <a16:creationId xmlns:a16="http://schemas.microsoft.com/office/drawing/2014/main" id="{0AF67DCC-4085-45F9-8FB2-D1C55334E564}"/>
            </a:ext>
          </a:extLst>
        </xdr:cNvPr>
        <xdr:cNvGrpSpPr/>
      </xdr:nvGrpSpPr>
      <xdr:grpSpPr>
        <a:xfrm>
          <a:off x="22400412" y="533011"/>
          <a:ext cx="9580720" cy="8650337"/>
          <a:chOff x="18592800" y="0"/>
          <a:chExt cx="9609858" cy="9029183"/>
        </a:xfrm>
      </xdr:grpSpPr>
      <xdr:sp macro="" textlink="">
        <xdr:nvSpPr>
          <xdr:cNvPr id="269" name="吹き出し: 角を丸めた四角形 268">
            <a:extLst>
              <a:ext uri="{FF2B5EF4-FFF2-40B4-BE49-F238E27FC236}">
                <a16:creationId xmlns:a16="http://schemas.microsoft.com/office/drawing/2014/main" id="{5EDEC7E5-5B35-D6D4-6C13-95105DAEA282}"/>
              </a:ext>
            </a:extLst>
          </xdr:cNvPr>
          <xdr:cNvSpPr/>
        </xdr:nvSpPr>
        <xdr:spPr>
          <a:xfrm>
            <a:off x="18592800" y="0"/>
            <a:ext cx="9609858" cy="9029183"/>
          </a:xfrm>
          <a:prstGeom prst="wedgeRoundRectCallout">
            <a:avLst>
              <a:gd name="adj1" fmla="val -54119"/>
              <a:gd name="adj2" fmla="val -1962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70" name="図 269">
            <a:extLst>
              <a:ext uri="{FF2B5EF4-FFF2-40B4-BE49-F238E27FC236}">
                <a16:creationId xmlns:a16="http://schemas.microsoft.com/office/drawing/2014/main" id="{91518935-C9A6-0F4C-D599-EE6BB3D0068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71" name="テキスト ボックス 50">
            <a:extLst>
              <a:ext uri="{FF2B5EF4-FFF2-40B4-BE49-F238E27FC236}">
                <a16:creationId xmlns:a16="http://schemas.microsoft.com/office/drawing/2014/main" id="{D5E70D5B-6970-2695-56ED-1E8EAE868927}"/>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72" name="テキスト ボックス 53">
            <a:extLst>
              <a:ext uri="{FF2B5EF4-FFF2-40B4-BE49-F238E27FC236}">
                <a16:creationId xmlns:a16="http://schemas.microsoft.com/office/drawing/2014/main" id="{CC918008-8DE9-7BCE-6762-049297429362}"/>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73" name="テキスト ボックス 55">
            <a:extLst>
              <a:ext uri="{FF2B5EF4-FFF2-40B4-BE49-F238E27FC236}">
                <a16:creationId xmlns:a16="http://schemas.microsoft.com/office/drawing/2014/main" id="{859D8FFD-3CFF-2391-4669-41C8DEC0E9C6}"/>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74" name="テキスト ボックス 58">
            <a:extLst>
              <a:ext uri="{FF2B5EF4-FFF2-40B4-BE49-F238E27FC236}">
                <a16:creationId xmlns:a16="http://schemas.microsoft.com/office/drawing/2014/main" id="{53418791-5440-477C-D9C8-5940056155CB}"/>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75" name="図 274">
            <a:extLst>
              <a:ext uri="{FF2B5EF4-FFF2-40B4-BE49-F238E27FC236}">
                <a16:creationId xmlns:a16="http://schemas.microsoft.com/office/drawing/2014/main" id="{8ED745AC-E6DF-017C-D48C-7F80FE22BE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76" name="図 275">
            <a:extLst>
              <a:ext uri="{FF2B5EF4-FFF2-40B4-BE49-F238E27FC236}">
                <a16:creationId xmlns:a16="http://schemas.microsoft.com/office/drawing/2014/main" id="{2D8113A6-226C-2946-AE78-F2C4A9F6A2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77" name="図 276">
            <a:extLst>
              <a:ext uri="{FF2B5EF4-FFF2-40B4-BE49-F238E27FC236}">
                <a16:creationId xmlns:a16="http://schemas.microsoft.com/office/drawing/2014/main" id="{59551AE6-E671-3529-C364-A53C6FF6636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twoCellAnchor editAs="absolute">
    <xdr:from>
      <xdr:col>0</xdr:col>
      <xdr:colOff>238125</xdr:colOff>
      <xdr:row>2</xdr:row>
      <xdr:rowOff>209550</xdr:rowOff>
    </xdr:from>
    <xdr:to>
      <xdr:col>5</xdr:col>
      <xdr:colOff>902155</xdr:colOff>
      <xdr:row>5</xdr:row>
      <xdr:rowOff>32657</xdr:rowOff>
    </xdr:to>
    <xdr:sp macro="" textlink="">
      <xdr:nvSpPr>
        <xdr:cNvPr id="7" name="吹き出し: 角を丸めた四角形 4">
          <a:extLst>
            <a:ext uri="{FF2B5EF4-FFF2-40B4-BE49-F238E27FC236}">
              <a16:creationId xmlns:a16="http://schemas.microsoft.com/office/drawing/2014/main" id="{0A988430-A4A4-46DF-AE37-4FFE0A2304C4}"/>
            </a:ext>
          </a:extLst>
        </xdr:cNvPr>
        <xdr:cNvSpPr/>
      </xdr:nvSpPr>
      <xdr:spPr>
        <a:xfrm>
          <a:off x="238125" y="6858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xdr:from>
      <xdr:col>0</xdr:col>
      <xdr:colOff>189069</xdr:colOff>
      <xdr:row>23</xdr:row>
      <xdr:rowOff>175791</xdr:rowOff>
    </xdr:from>
    <xdr:to>
      <xdr:col>8</xdr:col>
      <xdr:colOff>201720</xdr:colOff>
      <xdr:row>47</xdr:row>
      <xdr:rowOff>319918</xdr:rowOff>
    </xdr:to>
    <xdr:sp macro="" textlink="">
      <xdr:nvSpPr>
        <xdr:cNvPr id="9" name="四角形: 角を丸くする 8">
          <a:extLst>
            <a:ext uri="{FF2B5EF4-FFF2-40B4-BE49-F238E27FC236}">
              <a16:creationId xmlns:a16="http://schemas.microsoft.com/office/drawing/2014/main" id="{A6B868A5-DEC3-4438-9894-7C794E500B04}"/>
            </a:ext>
          </a:extLst>
        </xdr:cNvPr>
        <xdr:cNvSpPr/>
      </xdr:nvSpPr>
      <xdr:spPr>
        <a:xfrm>
          <a:off x="189069" y="6046655"/>
          <a:ext cx="7771196" cy="5963036"/>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clientData/>
  </xdr:twoCellAnchor>
  <xdr:oneCellAnchor>
    <xdr:from>
      <xdr:col>1</xdr:col>
      <xdr:colOff>73269</xdr:colOff>
      <xdr:row>27</xdr:row>
      <xdr:rowOff>215825</xdr:rowOff>
    </xdr:from>
    <xdr:ext cx="7368791" cy="4123886"/>
    <xdr:pic>
      <xdr:nvPicPr>
        <xdr:cNvPr id="13" name="図 12">
          <a:extLst>
            <a:ext uri="{FF2B5EF4-FFF2-40B4-BE49-F238E27FC236}">
              <a16:creationId xmlns:a16="http://schemas.microsoft.com/office/drawing/2014/main" id="{FF8E217F-1620-44B7-BEAB-F73350C1FA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9019" y="6969050"/>
          <a:ext cx="7368791" cy="41238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1618973</xdr:colOff>
      <xdr:row>11</xdr:row>
      <xdr:rowOff>24115</xdr:rowOff>
    </xdr:from>
    <xdr:to>
      <xdr:col>15</xdr:col>
      <xdr:colOff>1220811</xdr:colOff>
      <xdr:row>16</xdr:row>
      <xdr:rowOff>60285</xdr:rowOff>
    </xdr:to>
    <xdr:sp macro="" textlink="">
      <xdr:nvSpPr>
        <xdr:cNvPr id="14" name="吹き出し: 角を丸めた四角形 62">
          <a:extLst>
            <a:ext uri="{FF2B5EF4-FFF2-40B4-BE49-F238E27FC236}">
              <a16:creationId xmlns:a16="http://schemas.microsoft.com/office/drawing/2014/main" id="{5B3FD455-E715-47AA-AF77-8FA8010CA7C5}"/>
            </a:ext>
          </a:extLst>
        </xdr:cNvPr>
        <xdr:cNvSpPr/>
      </xdr:nvSpPr>
      <xdr:spPr>
        <a:xfrm>
          <a:off x="14495808" y="2966014"/>
          <a:ext cx="4991300" cy="1241866"/>
        </a:xfrm>
        <a:prstGeom prst="wedgeRoundRectCallout">
          <a:avLst>
            <a:gd name="adj1" fmla="val 35851"/>
            <a:gd name="adj2" fmla="val -877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非再エネ電力の調達量とは</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その施設に供給する「非再エネの調達する電力量」です。</a:t>
          </a: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列と</a:t>
          </a:r>
          <a:r>
            <a:rPr kumimoji="1" lang="en-US" altLang="ja-JP" sz="1400" b="0">
              <a:solidFill>
                <a:sysClr val="windowText" lastClr="000000"/>
              </a:solidFill>
              <a:latin typeface="Meiryo UI" panose="020B0604030504040204" pitchFamily="50" charset="-128"/>
              <a:ea typeface="Meiryo UI" panose="020B0604030504040204" pitchFamily="50" charset="-128"/>
            </a:rPr>
            <a:t>Q</a:t>
          </a:r>
          <a:r>
            <a:rPr kumimoji="1" lang="ja-JP" altLang="en-US" sz="1400" b="0">
              <a:solidFill>
                <a:sysClr val="windowText" lastClr="000000"/>
              </a:solidFill>
              <a:latin typeface="Meiryo UI" panose="020B0604030504040204" pitchFamily="50" charset="-128"/>
              <a:ea typeface="Meiryo UI" panose="020B0604030504040204" pitchFamily="50" charset="-128"/>
            </a:rPr>
            <a:t>列の値から自動計算されるため、</a:t>
          </a:r>
          <a:r>
            <a:rPr kumimoji="1" lang="en-US" altLang="ja-JP" sz="1400" b="0">
              <a:solidFill>
                <a:sysClr val="windowText" lastClr="000000"/>
              </a:solidFill>
              <a:latin typeface="Meiryo UI" panose="020B0604030504040204" pitchFamily="50" charset="-128"/>
              <a:ea typeface="Meiryo UI" panose="020B0604030504040204" pitchFamily="50" charset="-128"/>
            </a:rPr>
            <a:t>P</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442711</xdr:colOff>
      <xdr:row>17</xdr:row>
      <xdr:rowOff>238495</xdr:rowOff>
    </xdr:from>
    <xdr:to>
      <xdr:col>16</xdr:col>
      <xdr:colOff>1689061</xdr:colOff>
      <xdr:row>22</xdr:row>
      <xdr:rowOff>241478</xdr:rowOff>
    </xdr:to>
    <xdr:sp macro="" textlink="">
      <xdr:nvSpPr>
        <xdr:cNvPr id="15" name="吹き出し: 角を丸めた四角形 62">
          <a:extLst>
            <a:ext uri="{FF2B5EF4-FFF2-40B4-BE49-F238E27FC236}">
              <a16:creationId xmlns:a16="http://schemas.microsoft.com/office/drawing/2014/main" id="{2098E9C7-2952-40C2-87CD-C75594F6E998}"/>
            </a:ext>
          </a:extLst>
        </xdr:cNvPr>
        <xdr:cNvSpPr/>
      </xdr:nvSpPr>
      <xdr:spPr>
        <a:xfrm>
          <a:off x="16890105" y="4638777"/>
          <a:ext cx="5029519" cy="1210377"/>
        </a:xfrm>
        <a:prstGeom prst="wedgeRoundRectCallout">
          <a:avLst>
            <a:gd name="adj1" fmla="val 32623"/>
            <a:gd name="adj2" fmla="val -2200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電力需要量とは、対象施設の電力需要量を指し、</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「再エネ等電力調達量」と「非再エネ等電力調達量」の合計です。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408214</xdr:colOff>
      <xdr:row>3</xdr:row>
      <xdr:rowOff>204107</xdr:rowOff>
    </xdr:from>
    <xdr:to>
      <xdr:col>16</xdr:col>
      <xdr:colOff>326571</xdr:colOff>
      <xdr:row>5</xdr:row>
      <xdr:rowOff>845910</xdr:rowOff>
    </xdr:to>
    <xdr:sp macro="" textlink="">
      <xdr:nvSpPr>
        <xdr:cNvPr id="3" name="吹き出し: 角を丸めた四角形 62">
          <a:extLst>
            <a:ext uri="{FF2B5EF4-FFF2-40B4-BE49-F238E27FC236}">
              <a16:creationId xmlns:a16="http://schemas.microsoft.com/office/drawing/2014/main" id="{9C9F5EE3-BC68-401D-9157-41270E853B30}"/>
            </a:ext>
          </a:extLst>
        </xdr:cNvPr>
        <xdr:cNvSpPr/>
      </xdr:nvSpPr>
      <xdr:spPr>
        <a:xfrm>
          <a:off x="7538357" y="1156607"/>
          <a:ext cx="4000500" cy="2152196"/>
        </a:xfrm>
        <a:prstGeom prst="wedgeRoundRectCallout">
          <a:avLst>
            <a:gd name="adj1" fmla="val -62651"/>
            <a:gd name="adj2" fmla="val -121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58209</xdr:colOff>
      <xdr:row>2</xdr:row>
      <xdr:rowOff>9033</xdr:rowOff>
    </xdr:from>
    <xdr:to>
      <xdr:col>4</xdr:col>
      <xdr:colOff>390525</xdr:colOff>
      <xdr:row>5</xdr:row>
      <xdr:rowOff>190500</xdr:rowOff>
    </xdr:to>
    <xdr:pic>
      <xdr:nvPicPr>
        <xdr:cNvPr id="12" name="図 11">
          <a:extLst>
            <a:ext uri="{FF2B5EF4-FFF2-40B4-BE49-F238E27FC236}">
              <a16:creationId xmlns:a16="http://schemas.microsoft.com/office/drawing/2014/main" id="{6DB711BE-A150-4C3A-B060-A113E23C9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09" y="485283"/>
          <a:ext cx="2323041" cy="895842"/>
        </a:xfrm>
        <a:prstGeom prst="rect">
          <a:avLst/>
        </a:prstGeom>
      </xdr:spPr>
    </xdr:pic>
    <xdr:clientData/>
  </xdr:twoCellAnchor>
  <xdr:twoCellAnchor editAs="oneCell">
    <xdr:from>
      <xdr:col>4</xdr:col>
      <xdr:colOff>1181100</xdr:colOff>
      <xdr:row>21</xdr:row>
      <xdr:rowOff>19051</xdr:rowOff>
    </xdr:from>
    <xdr:to>
      <xdr:col>9</xdr:col>
      <xdr:colOff>828675</xdr:colOff>
      <xdr:row>26</xdr:row>
      <xdr:rowOff>180976</xdr:rowOff>
    </xdr:to>
    <xdr:sp macro="" textlink="">
      <xdr:nvSpPr>
        <xdr:cNvPr id="2" name="吹き出し: 角を丸めた四角形 2">
          <a:extLst>
            <a:ext uri="{FF2B5EF4-FFF2-40B4-BE49-F238E27FC236}">
              <a16:creationId xmlns:a16="http://schemas.microsoft.com/office/drawing/2014/main" id="{BB9CB7BF-F48A-4867-94F7-44B4FC188EB1}"/>
            </a:ext>
          </a:extLst>
        </xdr:cNvPr>
        <xdr:cNvSpPr/>
      </xdr:nvSpPr>
      <xdr:spPr>
        <a:xfrm>
          <a:off x="3171825" y="6238876"/>
          <a:ext cx="4105275" cy="1352550"/>
        </a:xfrm>
        <a:prstGeom prst="wedgeRoundRectCallout">
          <a:avLst>
            <a:gd name="adj1" fmla="val -47386"/>
            <a:gd name="adj2" fmla="val -1662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■その他調達について</a:t>
          </a:r>
        </a:p>
        <a:p>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ja-JP" sz="1100">
              <a:solidFill>
                <a:sysClr val="windowText" lastClr="000000"/>
              </a:solidFill>
              <a:effectLst/>
              <a:latin typeface="+mn-lt"/>
              <a:ea typeface="+mn-ea"/>
              <a:cs typeface="+mn-cs"/>
            </a:rPr>
            <a:t>その他調達とは、</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・地方公共団体外からの再エネ調達</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・証書の適用が考えられます</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114300</xdr:colOff>
      <xdr:row>21</xdr:row>
      <xdr:rowOff>171450</xdr:rowOff>
    </xdr:from>
    <xdr:to>
      <xdr:col>18</xdr:col>
      <xdr:colOff>104775</xdr:colOff>
      <xdr:row>27</xdr:row>
      <xdr:rowOff>95250</xdr:rowOff>
    </xdr:to>
    <xdr:sp macro="" textlink="">
      <xdr:nvSpPr>
        <xdr:cNvPr id="3" name="吹き出し: 角を丸めた四角形 2">
          <a:extLst>
            <a:ext uri="{FF2B5EF4-FFF2-40B4-BE49-F238E27FC236}">
              <a16:creationId xmlns:a16="http://schemas.microsoft.com/office/drawing/2014/main" id="{B685BF9C-EA53-4007-94C1-5E1C09F76B26}"/>
            </a:ext>
          </a:extLst>
        </xdr:cNvPr>
        <xdr:cNvSpPr/>
      </xdr:nvSpPr>
      <xdr:spPr>
        <a:xfrm>
          <a:off x="8201025" y="6429375"/>
          <a:ext cx="4105275" cy="1352550"/>
        </a:xfrm>
        <a:prstGeom prst="wedgeRoundRectCallout">
          <a:avLst>
            <a:gd name="adj1" fmla="val -65483"/>
            <a:gd name="adj2" fmla="val -28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■民生部門の電力需要量</a:t>
          </a:r>
        </a:p>
        <a:p>
          <a:r>
            <a:rPr kumimoji="1" lang="ja-JP" altLang="en-US"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民生電力需要量」「</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対象地域の民生需要家数等」シートに記載の需要量合計と合致しているか確認してください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228600</xdr:colOff>
      <xdr:row>0</xdr:row>
      <xdr:rowOff>123826</xdr:rowOff>
    </xdr:from>
    <xdr:to>
      <xdr:col>22</xdr:col>
      <xdr:colOff>400050</xdr:colOff>
      <xdr:row>16</xdr:row>
      <xdr:rowOff>66676</xdr:rowOff>
    </xdr:to>
    <xdr:grpSp>
      <xdr:nvGrpSpPr>
        <xdr:cNvPr id="25" name="グループ化 24">
          <a:extLst>
            <a:ext uri="{FF2B5EF4-FFF2-40B4-BE49-F238E27FC236}">
              <a16:creationId xmlns:a16="http://schemas.microsoft.com/office/drawing/2014/main" id="{2596EDF4-E2A8-1FAD-34AA-07A04D8FBA1C}"/>
            </a:ext>
          </a:extLst>
        </xdr:cNvPr>
        <xdr:cNvGrpSpPr/>
      </xdr:nvGrpSpPr>
      <xdr:grpSpPr>
        <a:xfrm>
          <a:off x="8270421" y="120651"/>
          <a:ext cx="6702879" cy="4079421"/>
          <a:chOff x="8877300" y="704851"/>
          <a:chExt cx="5657850" cy="4191000"/>
        </a:xfrm>
      </xdr:grpSpPr>
      <xdr:sp macro="" textlink="">
        <xdr:nvSpPr>
          <xdr:cNvPr id="9" name="吹き出し: 角を丸めた四角形 8">
            <a:extLst>
              <a:ext uri="{FF2B5EF4-FFF2-40B4-BE49-F238E27FC236}">
                <a16:creationId xmlns:a16="http://schemas.microsoft.com/office/drawing/2014/main" id="{5976574C-3017-0148-F87A-655DAA927F6E}"/>
              </a:ext>
            </a:extLst>
          </xdr:cNvPr>
          <xdr:cNvSpPr/>
        </xdr:nvSpPr>
        <xdr:spPr>
          <a:xfrm>
            <a:off x="8877300" y="704851"/>
            <a:ext cx="5657850" cy="4191000"/>
          </a:xfrm>
          <a:prstGeom prst="wedgeRoundRectCallout">
            <a:avLst>
              <a:gd name="adj1" fmla="val -76455"/>
              <a:gd name="adj2" fmla="val -767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mn-lt"/>
                <a:ea typeface="+mn-ea"/>
                <a:cs typeface="+mn-cs"/>
              </a:rPr>
              <a:t>■</a:t>
            </a:r>
            <a:r>
              <a:rPr kumimoji="1" lang="ja-JP" altLang="en-US" sz="1400" b="1">
                <a:solidFill>
                  <a:sysClr val="windowText" lastClr="000000"/>
                </a:solidFill>
                <a:effectLst/>
                <a:latin typeface="+mn-lt"/>
                <a:ea typeface="+mn-ea"/>
                <a:cs typeface="+mn-cs"/>
              </a:rPr>
              <a:t>エリアの追加</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・列が足りない場合は、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①複製したい列全体をコピー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②コピーした列を「コピーしたセルを挿入」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p>
        </xdr:txBody>
      </xdr:sp>
      <xdr:sp macro="" textlink="">
        <xdr:nvSpPr>
          <xdr:cNvPr id="13" name="テキスト ボックス 12">
            <a:extLst>
              <a:ext uri="{FF2B5EF4-FFF2-40B4-BE49-F238E27FC236}">
                <a16:creationId xmlns:a16="http://schemas.microsoft.com/office/drawing/2014/main" id="{496C82F4-52B9-D191-90AB-8BB960664BE8}"/>
              </a:ext>
            </a:extLst>
          </xdr:cNvPr>
          <xdr:cNvSpPr txBox="1"/>
        </xdr:nvSpPr>
        <xdr:spPr>
          <a:xfrm>
            <a:off x="9176302" y="2476500"/>
            <a:ext cx="2025097" cy="33692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①複製したい列全体をコピー</a:t>
            </a:r>
          </a:p>
        </xdr:txBody>
      </xdr:sp>
      <xdr:sp macro="" textlink="">
        <xdr:nvSpPr>
          <xdr:cNvPr id="21" name="テキスト ボックス 20">
            <a:extLst>
              <a:ext uri="{FF2B5EF4-FFF2-40B4-BE49-F238E27FC236}">
                <a16:creationId xmlns:a16="http://schemas.microsoft.com/office/drawing/2014/main" id="{8A4A1232-9954-AD7D-EDD6-9D356559E438}"/>
              </a:ext>
            </a:extLst>
          </xdr:cNvPr>
          <xdr:cNvSpPr txBox="1"/>
        </xdr:nvSpPr>
        <xdr:spPr>
          <a:xfrm>
            <a:off x="11422805" y="2476051"/>
            <a:ext cx="2740870" cy="333824"/>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②列を選択した状態で「コピーしたセルを挿入」</a:t>
            </a:r>
          </a:p>
        </xdr:txBody>
      </xdr:sp>
      <xdr:pic>
        <xdr:nvPicPr>
          <xdr:cNvPr id="5" name="図 4">
            <a:extLst>
              <a:ext uri="{FF2B5EF4-FFF2-40B4-BE49-F238E27FC236}">
                <a16:creationId xmlns:a16="http://schemas.microsoft.com/office/drawing/2014/main" id="{191BEF73-713B-AEF2-E2F2-997201AE86FE}"/>
              </a:ext>
            </a:extLst>
          </xdr:cNvPr>
          <xdr:cNvPicPr>
            <a:picLocks noChangeAspect="1"/>
          </xdr:cNvPicPr>
        </xdr:nvPicPr>
        <xdr:blipFill>
          <a:blip xmlns:r="http://schemas.openxmlformats.org/officeDocument/2006/relationships" r:embed="rId2"/>
          <a:stretch>
            <a:fillRect/>
          </a:stretch>
        </xdr:blipFill>
        <xdr:spPr>
          <a:xfrm>
            <a:off x="11420475" y="2886075"/>
            <a:ext cx="2772009" cy="1945186"/>
          </a:xfrm>
          <a:prstGeom prst="rect">
            <a:avLst/>
          </a:prstGeom>
        </xdr:spPr>
      </xdr:pic>
      <xdr:sp macro="" textlink="">
        <xdr:nvSpPr>
          <xdr:cNvPr id="23" name="四角形: 角を丸くする 22">
            <a:extLst>
              <a:ext uri="{FF2B5EF4-FFF2-40B4-BE49-F238E27FC236}">
                <a16:creationId xmlns:a16="http://schemas.microsoft.com/office/drawing/2014/main" id="{B3778E7D-FF1C-E305-0A0D-4FF23FE3483E}"/>
              </a:ext>
            </a:extLst>
          </xdr:cNvPr>
          <xdr:cNvSpPr/>
        </xdr:nvSpPr>
        <xdr:spPr>
          <a:xfrm>
            <a:off x="13085027" y="3847168"/>
            <a:ext cx="966261"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4" name="図 23">
            <a:extLst>
              <a:ext uri="{FF2B5EF4-FFF2-40B4-BE49-F238E27FC236}">
                <a16:creationId xmlns:a16="http://schemas.microsoft.com/office/drawing/2014/main" id="{74EF58D8-D4B9-C0DA-92DB-F78CAA1FD24D}"/>
              </a:ext>
            </a:extLst>
          </xdr:cNvPr>
          <xdr:cNvPicPr>
            <a:picLocks noChangeAspect="1"/>
          </xdr:cNvPicPr>
        </xdr:nvPicPr>
        <xdr:blipFill>
          <a:blip xmlns:r="http://schemas.openxmlformats.org/officeDocument/2006/relationships" r:embed="rId3"/>
          <a:stretch>
            <a:fillRect/>
          </a:stretch>
        </xdr:blipFill>
        <xdr:spPr>
          <a:xfrm>
            <a:off x="9182100" y="2934741"/>
            <a:ext cx="2038349" cy="1675881"/>
          </a:xfrm>
          <a:prstGeom prst="rect">
            <a:avLst/>
          </a:prstGeom>
        </xdr:spPr>
      </xdr:pic>
      <xdr:sp macro="" textlink="">
        <xdr:nvSpPr>
          <xdr:cNvPr id="22" name="四角形: 角を丸くする 21">
            <a:extLst>
              <a:ext uri="{FF2B5EF4-FFF2-40B4-BE49-F238E27FC236}">
                <a16:creationId xmlns:a16="http://schemas.microsoft.com/office/drawing/2014/main" id="{FB2B9882-0B0C-C398-48E5-0A7598F803B4}"/>
              </a:ext>
            </a:extLst>
          </xdr:cNvPr>
          <xdr:cNvSpPr/>
        </xdr:nvSpPr>
        <xdr:spPr>
          <a:xfrm>
            <a:off x="10272129" y="3247171"/>
            <a:ext cx="916953"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2</xdr:col>
      <xdr:colOff>9525</xdr:colOff>
      <xdr:row>5</xdr:row>
      <xdr:rowOff>228600</xdr:rowOff>
    </xdr:from>
    <xdr:to>
      <xdr:col>7</xdr:col>
      <xdr:colOff>778330</xdr:colOff>
      <xdr:row>8</xdr:row>
      <xdr:rowOff>4082</xdr:rowOff>
    </xdr:to>
    <xdr:sp macro="" textlink="">
      <xdr:nvSpPr>
        <xdr:cNvPr id="4" name="吹き出し: 角を丸めた四角形 4">
          <a:extLst>
            <a:ext uri="{FF2B5EF4-FFF2-40B4-BE49-F238E27FC236}">
              <a16:creationId xmlns:a16="http://schemas.microsoft.com/office/drawing/2014/main" id="{491B9CC4-FDFD-44FB-8226-450FD2D86CDB}"/>
            </a:ext>
          </a:extLst>
        </xdr:cNvPr>
        <xdr:cNvSpPr/>
      </xdr:nvSpPr>
      <xdr:spPr>
        <a:xfrm>
          <a:off x="428625" y="1419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160666</xdr:colOff>
      <xdr:row>3</xdr:row>
      <xdr:rowOff>133351</xdr:rowOff>
    </xdr:from>
    <xdr:to>
      <xdr:col>9</xdr:col>
      <xdr:colOff>752475</xdr:colOff>
      <xdr:row>3</xdr:row>
      <xdr:rowOff>1194541</xdr:rowOff>
    </xdr:to>
    <xdr:sp macro="" textlink="">
      <xdr:nvSpPr>
        <xdr:cNvPr id="18" name="吹き出し: 角を丸めた四角形 21">
          <a:extLst>
            <a:ext uri="{FF2B5EF4-FFF2-40B4-BE49-F238E27FC236}">
              <a16:creationId xmlns:a16="http://schemas.microsoft.com/office/drawing/2014/main" id="{A85DBD3D-59FA-4D82-AC5D-FB4F630B1912}"/>
            </a:ext>
          </a:extLst>
        </xdr:cNvPr>
        <xdr:cNvSpPr/>
      </xdr:nvSpPr>
      <xdr:spPr>
        <a:xfrm>
          <a:off x="160666" y="847726"/>
          <a:ext cx="9488159" cy="106119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a:t>
          </a:r>
          <a:r>
            <a:rPr kumimoji="1" lang="en-US" altLang="ja-JP" sz="1400" b="1">
              <a:solidFill>
                <a:srgbClr val="FF0000"/>
              </a:solidFill>
              <a:latin typeface="ＭＳ ゴシック" panose="020B0609070205080204" pitchFamily="49" charset="-128"/>
              <a:ea typeface="ＭＳ ゴシック" panose="020B0609070205080204" pitchFamily="49" charset="-128"/>
            </a:rPr>
            <a:t>4.1(2)</a:t>
          </a:r>
          <a:r>
            <a:rPr kumimoji="1" lang="ja-JP" altLang="en-US" sz="1400" b="1">
              <a:solidFill>
                <a:srgbClr val="FF0000"/>
              </a:solidFill>
              <a:latin typeface="ＭＳ ゴシック" panose="020B0609070205080204" pitchFamily="49" charset="-128"/>
              <a:ea typeface="ＭＳ ゴシック" panose="020B0609070205080204" pitchFamily="49" charset="-128"/>
            </a:rPr>
            <a:t>新規再エネ導入予定（設備情報）」「</a:t>
          </a:r>
          <a:r>
            <a:rPr kumimoji="1" lang="en-US" altLang="ja-JP" sz="1400" b="1">
              <a:solidFill>
                <a:srgbClr val="FF0000"/>
              </a:solidFill>
              <a:latin typeface="ＭＳ ゴシック" panose="020B0609070205080204" pitchFamily="49" charset="-128"/>
              <a:ea typeface="ＭＳ ゴシック" panose="020B0609070205080204" pitchFamily="49" charset="-128"/>
            </a:rPr>
            <a:t>4.2</a:t>
          </a:r>
          <a:r>
            <a:rPr kumimoji="1" lang="ja-JP" altLang="en-US" sz="1400" b="1">
              <a:solidFill>
                <a:srgbClr val="FF0000"/>
              </a:solidFill>
              <a:latin typeface="ＭＳ ゴシック" panose="020B0609070205080204" pitchFamily="49" charset="-128"/>
              <a:ea typeface="ＭＳ ゴシック" panose="020B0609070205080204" pitchFamily="49" charset="-128"/>
            </a:rPr>
            <a:t>電力供給状況</a:t>
          </a:r>
          <a:r>
            <a:rPr kumimoji="1" lang="en-US" altLang="ja-JP" sz="1400" b="1">
              <a:solidFill>
                <a:srgbClr val="FF0000"/>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latin typeface="ＭＳ ゴシック" panose="020B0609070205080204" pitchFamily="49" charset="-128"/>
              <a:ea typeface="ＭＳ ゴシック" panose="020B0609070205080204" pitchFamily="49" charset="-128"/>
            </a:rPr>
            <a:t>民生部門</a:t>
          </a:r>
          <a:r>
            <a:rPr kumimoji="1" lang="en-US" altLang="ja-JP" sz="1400" b="1">
              <a:solidFill>
                <a:srgbClr val="FF0000"/>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latin typeface="ＭＳ ゴシック" panose="020B0609070205080204" pitchFamily="49" charset="-128"/>
              <a:ea typeface="ＭＳ ゴシック" panose="020B0609070205080204" pitchFamily="49" charset="-128"/>
            </a:rPr>
            <a:t>」「</a:t>
          </a:r>
          <a:r>
            <a:rPr kumimoji="1" lang="en-US" altLang="ja-JP" sz="1400" b="1">
              <a:solidFill>
                <a:srgbClr val="FF0000"/>
              </a:solidFill>
              <a:latin typeface="ＭＳ ゴシック" panose="020B0609070205080204" pitchFamily="49" charset="-128"/>
              <a:ea typeface="ＭＳ ゴシック" panose="020B0609070205080204" pitchFamily="49" charset="-128"/>
            </a:rPr>
            <a:t>4.2</a:t>
          </a:r>
          <a:r>
            <a:rPr kumimoji="1" lang="ja-JP" altLang="en-US" sz="1400" b="1">
              <a:solidFill>
                <a:srgbClr val="FF0000"/>
              </a:solidFill>
              <a:latin typeface="ＭＳ ゴシック" panose="020B0609070205080204" pitchFamily="49" charset="-128"/>
              <a:ea typeface="ＭＳ ゴシック" panose="020B0609070205080204" pitchFamily="49" charset="-128"/>
            </a:rPr>
            <a:t>電力削減量」シートに入力をすることで自動的に反映されます。上記シートの入力完了後、忘れずに下の表を様式１の</a:t>
          </a:r>
          <a:r>
            <a:rPr kumimoji="1" lang="en-US" altLang="ja-JP" sz="1400" b="1">
              <a:solidFill>
                <a:srgbClr val="FF0000"/>
              </a:solidFill>
              <a:latin typeface="ＭＳ ゴシック" panose="020B0609070205080204" pitchFamily="49" charset="-128"/>
              <a:ea typeface="ＭＳ ゴシック" panose="020B0609070205080204" pitchFamily="49" charset="-128"/>
            </a:rPr>
            <a:t>1.3</a:t>
          </a:r>
          <a:r>
            <a:rPr kumimoji="1" lang="ja-JP" altLang="en-US" sz="1400" b="1">
              <a:solidFill>
                <a:srgbClr val="FF0000"/>
              </a:solidFill>
              <a:latin typeface="ＭＳ ゴシック" panose="020B0609070205080204" pitchFamily="49" charset="-128"/>
              <a:ea typeface="ＭＳ ゴシック" panose="020B0609070205080204" pitchFamily="49" charset="-128"/>
            </a:rPr>
            <a:t>章に</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貼り付けてください。（様式１への貼付は必ず上記全てのシートへの記入が完了してから実施してください）</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10</xdr:col>
      <xdr:colOff>389265</xdr:colOff>
      <xdr:row>3</xdr:row>
      <xdr:rowOff>247651</xdr:rowOff>
    </xdr:from>
    <xdr:to>
      <xdr:col>11</xdr:col>
      <xdr:colOff>1346149</xdr:colOff>
      <xdr:row>3</xdr:row>
      <xdr:rowOff>1163904</xdr:rowOff>
    </xdr:to>
    <xdr:pic>
      <xdr:nvPicPr>
        <xdr:cNvPr id="5" name="図 4">
          <a:extLst>
            <a:ext uri="{FF2B5EF4-FFF2-40B4-BE49-F238E27FC236}">
              <a16:creationId xmlns:a16="http://schemas.microsoft.com/office/drawing/2014/main" id="{452BAFAE-101A-40FA-B824-53072DC3DC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47690" y="962026"/>
          <a:ext cx="2318959" cy="916253"/>
        </a:xfrm>
        <a:prstGeom prst="rect">
          <a:avLst/>
        </a:prstGeom>
      </xdr:spPr>
    </xdr:pic>
    <xdr:clientData/>
  </xdr:twoCellAnchor>
  <xdr:twoCellAnchor editAs="absolute">
    <xdr:from>
      <xdr:col>12</xdr:col>
      <xdr:colOff>198560</xdr:colOff>
      <xdr:row>3</xdr:row>
      <xdr:rowOff>1143000</xdr:rowOff>
    </xdr:from>
    <xdr:to>
      <xdr:col>19</xdr:col>
      <xdr:colOff>283475</xdr:colOff>
      <xdr:row>23</xdr:row>
      <xdr:rowOff>145735</xdr:rowOff>
    </xdr:to>
    <xdr:pic>
      <xdr:nvPicPr>
        <xdr:cNvPr id="8" name="図 15">
          <a:extLst>
            <a:ext uri="{FF2B5EF4-FFF2-40B4-BE49-F238E27FC236}">
              <a16:creationId xmlns:a16="http://schemas.microsoft.com/office/drawing/2014/main" id="{E6C270D2-D43E-4EA8-924E-4E3F5622C479}"/>
            </a:ext>
          </a:extLst>
        </xdr:cNvPr>
        <xdr:cNvPicPr>
          <a:picLocks noChangeAspect="1"/>
        </xdr:cNvPicPr>
      </xdr:nvPicPr>
      <xdr:blipFill>
        <a:blip xmlns:r="http://schemas.openxmlformats.org/officeDocument/2006/relationships" r:embed="rId2"/>
        <a:stretch>
          <a:fillRect/>
        </a:stretch>
      </xdr:blipFill>
      <xdr:spPr>
        <a:xfrm>
          <a:off x="13148897" y="1857375"/>
          <a:ext cx="8071261" cy="5908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585277</xdr:colOff>
      <xdr:row>0</xdr:row>
      <xdr:rowOff>34427</xdr:rowOff>
    </xdr:from>
    <xdr:to>
      <xdr:col>14</xdr:col>
      <xdr:colOff>4914</xdr:colOff>
      <xdr:row>3</xdr:row>
      <xdr:rowOff>207287</xdr:rowOff>
    </xdr:to>
    <xdr:pic>
      <xdr:nvPicPr>
        <xdr:cNvPr id="2" name="図 1">
          <a:extLst>
            <a:ext uri="{FF2B5EF4-FFF2-40B4-BE49-F238E27FC236}">
              <a16:creationId xmlns:a16="http://schemas.microsoft.com/office/drawing/2014/main" id="{0EA0C8C3-FDBE-45B4-A97C-BAC8D56F5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23560" y="34427"/>
          <a:ext cx="2323041" cy="895842"/>
        </a:xfrm>
        <a:prstGeom prst="rect">
          <a:avLst/>
        </a:prstGeom>
      </xdr:spPr>
    </xdr:pic>
    <xdr:clientData/>
  </xdr:twoCellAnchor>
  <xdr:twoCellAnchor editAs="absolute">
    <xdr:from>
      <xdr:col>15</xdr:col>
      <xdr:colOff>1347767</xdr:colOff>
      <xdr:row>6</xdr:row>
      <xdr:rowOff>106995</xdr:rowOff>
    </xdr:from>
    <xdr:to>
      <xdr:col>28</xdr:col>
      <xdr:colOff>529057</xdr:colOff>
      <xdr:row>45</xdr:row>
      <xdr:rowOff>129632</xdr:rowOff>
    </xdr:to>
    <xdr:pic>
      <xdr:nvPicPr>
        <xdr:cNvPr id="4" name="図 3">
          <a:extLst>
            <a:ext uri="{FF2B5EF4-FFF2-40B4-BE49-F238E27FC236}">
              <a16:creationId xmlns:a16="http://schemas.microsoft.com/office/drawing/2014/main" id="{B0D2E3CD-72FE-4293-BC02-58F469741958}"/>
            </a:ext>
          </a:extLst>
        </xdr:cNvPr>
        <xdr:cNvPicPr>
          <a:picLocks noChangeAspect="1"/>
        </xdr:cNvPicPr>
      </xdr:nvPicPr>
      <xdr:blipFill>
        <a:blip xmlns:r="http://schemas.openxmlformats.org/officeDocument/2006/relationships" r:embed="rId2"/>
        <a:stretch>
          <a:fillRect/>
        </a:stretch>
      </xdr:blipFill>
      <xdr:spPr>
        <a:xfrm>
          <a:off x="18759467" y="1535745"/>
          <a:ext cx="8087165" cy="9547637"/>
        </a:xfrm>
        <a:prstGeom prst="rect">
          <a:avLst/>
        </a:prstGeom>
      </xdr:spPr>
    </xdr:pic>
    <xdr:clientData/>
  </xdr:twoCellAnchor>
  <xdr:twoCellAnchor editAs="oneCell">
    <xdr:from>
      <xdr:col>14</xdr:col>
      <xdr:colOff>481987</xdr:colOff>
      <xdr:row>0</xdr:row>
      <xdr:rowOff>126236</xdr:rowOff>
    </xdr:from>
    <xdr:to>
      <xdr:col>19</xdr:col>
      <xdr:colOff>285748</xdr:colOff>
      <xdr:row>5</xdr:row>
      <xdr:rowOff>137711</xdr:rowOff>
    </xdr:to>
    <xdr:sp macro="" textlink="">
      <xdr:nvSpPr>
        <xdr:cNvPr id="7" name="吹き出し: 角を丸めた四角形 62">
          <a:extLst>
            <a:ext uri="{FF2B5EF4-FFF2-40B4-BE49-F238E27FC236}">
              <a16:creationId xmlns:a16="http://schemas.microsoft.com/office/drawing/2014/main" id="{DDA7C6A0-4A42-417F-AE25-677653DD09AD}"/>
            </a:ext>
          </a:extLst>
        </xdr:cNvPr>
        <xdr:cNvSpPr/>
      </xdr:nvSpPr>
      <xdr:spPr>
        <a:xfrm>
          <a:off x="17207887" y="126236"/>
          <a:ext cx="3223236" cy="1202100"/>
        </a:xfrm>
        <a:prstGeom prst="wedgeRoundRectCallout">
          <a:avLst>
            <a:gd name="adj1" fmla="val 860"/>
            <a:gd name="adj2" fmla="val 6433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本項目は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に貼り付ける必要はありませんが、費用効率性を計算するにあたっての必要に応じてご利用ください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8</xdr:col>
      <xdr:colOff>323850</xdr:colOff>
      <xdr:row>35</xdr:row>
      <xdr:rowOff>65642</xdr:rowOff>
    </xdr:from>
    <xdr:to>
      <xdr:col>12</xdr:col>
      <xdr:colOff>1248693</xdr:colOff>
      <xdr:row>51</xdr:row>
      <xdr:rowOff>95250</xdr:rowOff>
    </xdr:to>
    <xdr:grpSp>
      <xdr:nvGrpSpPr>
        <xdr:cNvPr id="11" name="グループ化 10">
          <a:extLst>
            <a:ext uri="{FF2B5EF4-FFF2-40B4-BE49-F238E27FC236}">
              <a16:creationId xmlns:a16="http://schemas.microsoft.com/office/drawing/2014/main" id="{8B413C13-C417-1F9A-51AD-61AA859C77B5}"/>
            </a:ext>
          </a:extLst>
        </xdr:cNvPr>
        <xdr:cNvGrpSpPr/>
      </xdr:nvGrpSpPr>
      <xdr:grpSpPr>
        <a:xfrm>
          <a:off x="10257064" y="8396388"/>
          <a:ext cx="6092383" cy="3727576"/>
          <a:chOff x="8877300" y="8057117"/>
          <a:chExt cx="7401843" cy="3839608"/>
        </a:xfrm>
      </xdr:grpSpPr>
      <xdr:sp macro="" textlink="">
        <xdr:nvSpPr>
          <xdr:cNvPr id="8" name="吹き出し: 角を丸めた四角形 62">
            <a:extLst>
              <a:ext uri="{FF2B5EF4-FFF2-40B4-BE49-F238E27FC236}">
                <a16:creationId xmlns:a16="http://schemas.microsoft.com/office/drawing/2014/main" id="{CFEB0C94-C312-4E55-A056-082BEE1FC662}"/>
              </a:ext>
            </a:extLst>
          </xdr:cNvPr>
          <xdr:cNvSpPr/>
        </xdr:nvSpPr>
        <xdr:spPr>
          <a:xfrm>
            <a:off x="8877300" y="8057117"/>
            <a:ext cx="7401843" cy="3839608"/>
          </a:xfrm>
          <a:prstGeom prst="wedgeRoundRectCallout">
            <a:avLst>
              <a:gd name="adj1" fmla="val 35209"/>
              <a:gd name="adj2" fmla="val -92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別</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シート</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費用</a:t>
            </a:r>
            <a:r>
              <a:rPr kumimoji="1" lang="ja-JP" altLang="en-US" sz="1100" b="0">
                <a:solidFill>
                  <a:sysClr val="windowText" lastClr="000000"/>
                </a:solidFill>
                <a:effectLst/>
                <a:latin typeface="Meiryo UI" panose="020B0604030504040204" pitchFamily="50" charset="-128"/>
                <a:ea typeface="Meiryo UI" panose="020B0604030504040204" pitchFamily="50" charset="-128"/>
                <a:cs typeface="+mn-cs"/>
              </a:rPr>
              <a:t>効率性</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」に記載の事業に加え、交付金対象外の事業を加えた</a:t>
            </a:r>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総事業に係る費用効率性を計算してください。</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なお、設備導入を伴わない</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森林管理による</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吸収源対策等</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は本表に記載対象外です。</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計算方法</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ただし、</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削減効果（累計）とは、</a:t>
            </a:r>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で計算してください。　</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pic>
        <xdr:nvPicPr>
          <xdr:cNvPr id="9" name="図 8">
            <a:extLst>
              <a:ext uri="{FF2B5EF4-FFF2-40B4-BE49-F238E27FC236}">
                <a16:creationId xmlns:a16="http://schemas.microsoft.com/office/drawing/2014/main" id="{64087A44-D0A2-4238-AB2F-A25F5689A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77326" y="10990817"/>
            <a:ext cx="5524736" cy="251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B2F8F38B-24E0-486B-BB45-66203CDDDED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20175" y="9581117"/>
            <a:ext cx="5453290" cy="4898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2</xdr:col>
      <xdr:colOff>555956</xdr:colOff>
      <xdr:row>8</xdr:row>
      <xdr:rowOff>120899</xdr:rowOff>
    </xdr:from>
    <xdr:to>
      <xdr:col>6</xdr:col>
      <xdr:colOff>687667</xdr:colOff>
      <xdr:row>15</xdr:row>
      <xdr:rowOff>1422</xdr:rowOff>
    </xdr:to>
    <xdr:sp macro="" textlink="">
      <xdr:nvSpPr>
        <xdr:cNvPr id="3" name="吹き出し: 角を丸めた四角形 62">
          <a:extLst>
            <a:ext uri="{FF2B5EF4-FFF2-40B4-BE49-F238E27FC236}">
              <a16:creationId xmlns:a16="http://schemas.microsoft.com/office/drawing/2014/main" id="{4939D02C-5D77-40CC-A2D1-2D25085A7801}"/>
            </a:ext>
          </a:extLst>
        </xdr:cNvPr>
        <xdr:cNvSpPr/>
      </xdr:nvSpPr>
      <xdr:spPr>
        <a:xfrm>
          <a:off x="1070306" y="2264024"/>
          <a:ext cx="6961136" cy="1547398"/>
        </a:xfrm>
        <a:prstGeom prst="wedgeRoundRectCallout">
          <a:avLst>
            <a:gd name="adj1" fmla="val -50378"/>
            <a:gd name="adj2" fmla="val -8087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の取組番号及び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r>
            <a:rPr kumimoji="1" lang="ja-JP" altLang="en-US" sz="1400" b="0">
              <a:solidFill>
                <a:srgbClr val="FF0000"/>
              </a:solidFill>
              <a:latin typeface="Meiryo UI" panose="020B0604030504040204" pitchFamily="50" charset="-128"/>
              <a:ea typeface="Meiryo UI" panose="020B0604030504040204" pitchFamily="50" charset="-128"/>
            </a:rPr>
            <a:t>取組番号と一致するようにしてください</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21897</xdr:colOff>
      <xdr:row>18</xdr:row>
      <xdr:rowOff>74874</xdr:rowOff>
    </xdr:from>
    <xdr:to>
      <xdr:col>4</xdr:col>
      <xdr:colOff>705309</xdr:colOff>
      <xdr:row>22</xdr:row>
      <xdr:rowOff>84302</xdr:rowOff>
    </xdr:to>
    <xdr:sp macro="" textlink="">
      <xdr:nvSpPr>
        <xdr:cNvPr id="5" name="吹き出し: 角を丸めた四角形 62">
          <a:extLst>
            <a:ext uri="{FF2B5EF4-FFF2-40B4-BE49-F238E27FC236}">
              <a16:creationId xmlns:a16="http://schemas.microsoft.com/office/drawing/2014/main" id="{55BCD012-6A44-4708-BDD3-12F92FB7A9F1}"/>
            </a:ext>
          </a:extLst>
        </xdr:cNvPr>
        <xdr:cNvSpPr/>
      </xdr:nvSpPr>
      <xdr:spPr>
        <a:xfrm>
          <a:off x="269547" y="4599249"/>
          <a:ext cx="5417337" cy="961928"/>
        </a:xfrm>
        <a:prstGeom prst="wedgeRoundRectCallout">
          <a:avLst>
            <a:gd name="adj1" fmla="val -50210"/>
            <a:gd name="adj2" fmla="val -10114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absolute">
    <xdr:from>
      <xdr:col>2</xdr:col>
      <xdr:colOff>368050</xdr:colOff>
      <xdr:row>3</xdr:row>
      <xdr:rowOff>19238</xdr:rowOff>
    </xdr:from>
    <xdr:to>
      <xdr:col>5</xdr:col>
      <xdr:colOff>212821</xdr:colOff>
      <xdr:row>5</xdr:row>
      <xdr:rowOff>27371</xdr:rowOff>
    </xdr:to>
    <xdr:sp macro="" textlink="">
      <xdr:nvSpPr>
        <xdr:cNvPr id="12" name="吹き出し: 角を丸めた四角形 4">
          <a:extLst>
            <a:ext uri="{FF2B5EF4-FFF2-40B4-BE49-F238E27FC236}">
              <a16:creationId xmlns:a16="http://schemas.microsoft.com/office/drawing/2014/main" id="{BDC3CC4B-90A7-4BDC-A9E3-F75B47BEB403}"/>
            </a:ext>
          </a:extLst>
        </xdr:cNvPr>
        <xdr:cNvSpPr/>
      </xdr:nvSpPr>
      <xdr:spPr>
        <a:xfrm>
          <a:off x="882400" y="733613"/>
          <a:ext cx="5340696" cy="48438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759979</xdr:colOff>
      <xdr:row>15</xdr:row>
      <xdr:rowOff>69436</xdr:rowOff>
    </xdr:from>
    <xdr:to>
      <xdr:col>13</xdr:col>
      <xdr:colOff>1057357</xdr:colOff>
      <xdr:row>24</xdr:row>
      <xdr:rowOff>177584</xdr:rowOff>
    </xdr:to>
    <xdr:sp macro="" textlink="">
      <xdr:nvSpPr>
        <xdr:cNvPr id="7" name="吹き出し: 角を丸めた四角形 6">
          <a:extLst>
            <a:ext uri="{FF2B5EF4-FFF2-40B4-BE49-F238E27FC236}">
              <a16:creationId xmlns:a16="http://schemas.microsoft.com/office/drawing/2014/main" id="{7B8EFED3-EFEB-4ED1-942E-E582E087E79D}"/>
            </a:ext>
          </a:extLst>
        </xdr:cNvPr>
        <xdr:cNvSpPr/>
      </xdr:nvSpPr>
      <xdr:spPr>
        <a:xfrm>
          <a:off x="14799829" y="4841461"/>
          <a:ext cx="3993078" cy="1908373"/>
        </a:xfrm>
        <a:prstGeom prst="wedgeRoundRectCallout">
          <a:avLst>
            <a:gd name="adj1" fmla="val -7035"/>
            <a:gd name="adj2" fmla="val -7002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設備導入場所が過疎地域の場合は「○」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過疎地域の持続的発展の支援に関する特別措置法（以下、「過疎法」という。）第２条第１項に規定する市町村の区域、過疎法第３条に規定する合併前の旧市町村の区域、又は過疎法第</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42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条の規定により過疎地域とみなされる市町村の区域</a:t>
          </a:r>
        </a:p>
      </xdr:txBody>
    </xdr:sp>
    <xdr:clientData/>
  </xdr:twoCellAnchor>
  <xdr:twoCellAnchor>
    <xdr:from>
      <xdr:col>12</xdr:col>
      <xdr:colOff>933450</xdr:colOff>
      <xdr:row>6</xdr:row>
      <xdr:rowOff>171450</xdr:rowOff>
    </xdr:from>
    <xdr:to>
      <xdr:col>13</xdr:col>
      <xdr:colOff>1447800</xdr:colOff>
      <xdr:row>8</xdr:row>
      <xdr:rowOff>148566</xdr:rowOff>
    </xdr:to>
    <xdr:sp macro="" textlink="">
      <xdr:nvSpPr>
        <xdr:cNvPr id="8" name="吹き出し: 角を丸めた四角形 7">
          <a:extLst>
            <a:ext uri="{FF2B5EF4-FFF2-40B4-BE49-F238E27FC236}">
              <a16:creationId xmlns:a16="http://schemas.microsoft.com/office/drawing/2014/main" id="{307CBB9C-CEDC-4F16-90B2-37CEA873D0D1}"/>
            </a:ext>
          </a:extLst>
        </xdr:cNvPr>
        <xdr:cNvSpPr/>
      </xdr:nvSpPr>
      <xdr:spPr>
        <a:xfrm>
          <a:off x="16821150" y="2447925"/>
          <a:ext cx="2362200" cy="586716"/>
        </a:xfrm>
        <a:prstGeom prst="wedgeRoundRectCallou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新規に敷設される</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自営線又は熱導管に係る事業</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1800121</xdr:colOff>
      <xdr:row>13</xdr:row>
      <xdr:rowOff>29634</xdr:rowOff>
    </xdr:from>
    <xdr:to>
      <xdr:col>15</xdr:col>
      <xdr:colOff>972608</xdr:colOff>
      <xdr:row>18</xdr:row>
      <xdr:rowOff>129153</xdr:rowOff>
    </xdr:to>
    <xdr:sp macro="" textlink="">
      <xdr:nvSpPr>
        <xdr:cNvPr id="9" name="吹き出し: 角を丸めた四角形 8">
          <a:extLst>
            <a:ext uri="{FF2B5EF4-FFF2-40B4-BE49-F238E27FC236}">
              <a16:creationId xmlns:a16="http://schemas.microsoft.com/office/drawing/2014/main" id="{B07F8A73-91BE-4EF7-982C-C264490E15E2}"/>
            </a:ext>
          </a:extLst>
        </xdr:cNvPr>
        <xdr:cNvSpPr/>
      </xdr:nvSpPr>
      <xdr:spPr>
        <a:xfrm>
          <a:off x="19526307" y="4598405"/>
          <a:ext cx="2853335" cy="1068163"/>
        </a:xfrm>
        <a:prstGeom prst="wedgeRoundRectCallout">
          <a:avLst>
            <a:gd name="adj1" fmla="val 27260"/>
            <a:gd name="adj2" fmla="val -8863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民間裨益型自営線マイクログリッド内の民間施設への再エネ供給する場合は「○」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13</xdr:col>
      <xdr:colOff>1683102</xdr:colOff>
      <xdr:row>5</xdr:row>
      <xdr:rowOff>171450</xdr:rowOff>
    </xdr:from>
    <xdr:to>
      <xdr:col>15</xdr:col>
      <xdr:colOff>1619250</xdr:colOff>
      <xdr:row>8</xdr:row>
      <xdr:rowOff>161925</xdr:rowOff>
    </xdr:to>
    <xdr:sp macro="" textlink="">
      <xdr:nvSpPr>
        <xdr:cNvPr id="10" name="吹き出し: 角を丸めた四角形 9">
          <a:extLst>
            <a:ext uri="{FF2B5EF4-FFF2-40B4-BE49-F238E27FC236}">
              <a16:creationId xmlns:a16="http://schemas.microsoft.com/office/drawing/2014/main" id="{76BF0F85-AEBC-4044-977C-918CDEDBF8D2}"/>
            </a:ext>
          </a:extLst>
        </xdr:cNvPr>
        <xdr:cNvSpPr/>
      </xdr:nvSpPr>
      <xdr:spPr>
        <a:xfrm>
          <a:off x="19418652" y="2143125"/>
          <a:ext cx="3631848" cy="904875"/>
        </a:xfrm>
        <a:prstGeom prst="wedgeRoundRectCallou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特定地域脱炭素移行加速化交付金の活用が可能な場合は「○」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活用可否については、交付要綱・実施要領を十分にご確認ください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15</xdr:col>
      <xdr:colOff>1264004</xdr:colOff>
      <xdr:row>13</xdr:row>
      <xdr:rowOff>25753</xdr:rowOff>
    </xdr:from>
    <xdr:to>
      <xdr:col>17</xdr:col>
      <xdr:colOff>1171575</xdr:colOff>
      <xdr:row>18</xdr:row>
      <xdr:rowOff>96865</xdr:rowOff>
    </xdr:to>
    <xdr:sp macro="" textlink="">
      <xdr:nvSpPr>
        <xdr:cNvPr id="11" name="吹き出し: 角を丸めた四角形 10">
          <a:extLst>
            <a:ext uri="{FF2B5EF4-FFF2-40B4-BE49-F238E27FC236}">
              <a16:creationId xmlns:a16="http://schemas.microsoft.com/office/drawing/2014/main" id="{A1B93EE2-E0E6-4E8A-A62F-503D7CC15B37}"/>
            </a:ext>
          </a:extLst>
        </xdr:cNvPr>
        <xdr:cNvSpPr/>
      </xdr:nvSpPr>
      <xdr:spPr>
        <a:xfrm>
          <a:off x="22671038" y="4594524"/>
          <a:ext cx="2926512" cy="1039756"/>
        </a:xfrm>
        <a:prstGeom prst="wedgeRoundRectCallout">
          <a:avLst>
            <a:gd name="adj1" fmla="val -22488"/>
            <a:gd name="adj2" fmla="val -850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民間裨益型自営線マイクログリッド内の</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民間施設への再エネ供給する場合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152400</xdr:colOff>
      <xdr:row>5</xdr:row>
      <xdr:rowOff>286903</xdr:rowOff>
    </xdr:from>
    <xdr:to>
      <xdr:col>1</xdr:col>
      <xdr:colOff>1143000</xdr:colOff>
      <xdr:row>7</xdr:row>
      <xdr:rowOff>152401</xdr:rowOff>
    </xdr:to>
    <xdr:sp macro="" textlink="">
      <xdr:nvSpPr>
        <xdr:cNvPr id="12" name="吹き出し: 角を丸めた四角形 11">
          <a:extLst>
            <a:ext uri="{FF2B5EF4-FFF2-40B4-BE49-F238E27FC236}">
              <a16:creationId xmlns:a16="http://schemas.microsoft.com/office/drawing/2014/main" id="{A082B7C5-72E0-4090-95B0-6F0637342ED2}"/>
            </a:ext>
          </a:extLst>
        </xdr:cNvPr>
        <xdr:cNvSpPr/>
      </xdr:nvSpPr>
      <xdr:spPr>
        <a:xfrm>
          <a:off x="2857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5</xdr:col>
      <xdr:colOff>38637</xdr:colOff>
      <xdr:row>5</xdr:row>
      <xdr:rowOff>268517</xdr:rowOff>
    </xdr:from>
    <xdr:to>
      <xdr:col>5</xdr:col>
      <xdr:colOff>2465491</xdr:colOff>
      <xdr:row>7</xdr:row>
      <xdr:rowOff>150455</xdr:rowOff>
    </xdr:to>
    <xdr:sp macro="" textlink="">
      <xdr:nvSpPr>
        <xdr:cNvPr id="13" name="吹き出し: 角を丸めた四角形 12">
          <a:extLst>
            <a:ext uri="{FF2B5EF4-FFF2-40B4-BE49-F238E27FC236}">
              <a16:creationId xmlns:a16="http://schemas.microsoft.com/office/drawing/2014/main" id="{1A56385E-19B0-4804-A644-66F8EA95B323}"/>
            </a:ext>
          </a:extLst>
        </xdr:cNvPr>
        <xdr:cNvSpPr/>
      </xdr:nvSpPr>
      <xdr:spPr>
        <a:xfrm>
          <a:off x="5077362" y="2364017"/>
          <a:ext cx="2426854" cy="491538"/>
        </a:xfrm>
        <a:prstGeom prst="wedgeRoundRectCallout">
          <a:avLst>
            <a:gd name="adj1" fmla="val -23973"/>
            <a:gd name="adj2" fmla="val -983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概ね５年（申請年度＋５年）以内としてください。</a:t>
          </a:r>
        </a:p>
      </xdr:txBody>
    </xdr:sp>
    <xdr:clientData/>
  </xdr:twoCellAnchor>
  <xdr:twoCellAnchor>
    <xdr:from>
      <xdr:col>3</xdr:col>
      <xdr:colOff>922378</xdr:colOff>
      <xdr:row>15</xdr:row>
      <xdr:rowOff>160023</xdr:rowOff>
    </xdr:from>
    <xdr:to>
      <xdr:col>5</xdr:col>
      <xdr:colOff>2047874</xdr:colOff>
      <xdr:row>26</xdr:row>
      <xdr:rowOff>28575</xdr:rowOff>
    </xdr:to>
    <xdr:sp macro="" textlink="">
      <xdr:nvSpPr>
        <xdr:cNvPr id="17" name="吹き出し: 角を丸めた四角形 16">
          <a:extLst>
            <a:ext uri="{FF2B5EF4-FFF2-40B4-BE49-F238E27FC236}">
              <a16:creationId xmlns:a16="http://schemas.microsoft.com/office/drawing/2014/main" id="{E272B842-F0DA-4BBB-99D9-C17BB40A3A2C}"/>
            </a:ext>
          </a:extLst>
        </xdr:cNvPr>
        <xdr:cNvSpPr/>
      </xdr:nvSpPr>
      <xdr:spPr>
        <a:xfrm>
          <a:off x="3376276" y="5116252"/>
          <a:ext cx="3708547" cy="1999569"/>
        </a:xfrm>
        <a:prstGeom prst="wedgeRoundRectCallout">
          <a:avLst>
            <a:gd name="adj1" fmla="val -51741"/>
            <a:gd name="adj2" fmla="val -691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・自治体が直接執行する場合は、自治体名を記載。</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・民間事業者が自治体から交付を受けて、事業を実施する場合は、民間事業者と記載。</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・リース等により事業を実施する場合は、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事業者を記載。</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・共同提案者の自治体における直接事業については、当該共同提案者の自治体名を記載。</a:t>
          </a:r>
        </a:p>
      </xdr:txBody>
    </xdr:sp>
    <xdr:clientData/>
  </xdr:twoCellAnchor>
  <xdr:twoCellAnchor>
    <xdr:from>
      <xdr:col>6</xdr:col>
      <xdr:colOff>981076</xdr:colOff>
      <xdr:row>15</xdr:row>
      <xdr:rowOff>93226</xdr:rowOff>
    </xdr:from>
    <xdr:to>
      <xdr:col>10</xdr:col>
      <xdr:colOff>1323975</xdr:colOff>
      <xdr:row>29</xdr:row>
      <xdr:rowOff>161441</xdr:rowOff>
    </xdr:to>
    <xdr:sp macro="" textlink="">
      <xdr:nvSpPr>
        <xdr:cNvPr id="18" name="吹き出し: 角を丸めた四角形 17">
          <a:extLst>
            <a:ext uri="{FF2B5EF4-FFF2-40B4-BE49-F238E27FC236}">
              <a16:creationId xmlns:a16="http://schemas.microsoft.com/office/drawing/2014/main" id="{59B4AA5B-7703-4DFE-9E5B-685C6D55DBA5}"/>
            </a:ext>
          </a:extLst>
        </xdr:cNvPr>
        <xdr:cNvSpPr/>
      </xdr:nvSpPr>
      <xdr:spPr>
        <a:xfrm>
          <a:off x="8520356" y="5049455"/>
          <a:ext cx="5428280" cy="2780418"/>
        </a:xfrm>
        <a:prstGeom prst="wedgeRoundRectCallout">
          <a:avLst>
            <a:gd name="adj1" fmla="val 34187"/>
            <a:gd name="adj2" fmla="val -6582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事業量に用いる単位の例：</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再エネ発電設備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件数</a:t>
          </a: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再エネ熱・未利用熱利用設備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蓄電池</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件数及び蓄電容量（</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kWh</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車載型蓄電池</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充放電設備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自営線・熱導管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敷設距離（</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km</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ZEB</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ZEH</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等</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棟数又は軒数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省エネ設備</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件数（施設数）及び台数※</a:t>
          </a: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執行事務費</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１式</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ja-JP"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※高効率照明機器等の場合、導入する件数（施設数）のみ</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21</xdr:col>
      <xdr:colOff>713934</xdr:colOff>
      <xdr:row>15</xdr:row>
      <xdr:rowOff>154283</xdr:rowOff>
    </xdr:from>
    <xdr:to>
      <xdr:col>22</xdr:col>
      <xdr:colOff>645239</xdr:colOff>
      <xdr:row>22</xdr:row>
      <xdr:rowOff>0</xdr:rowOff>
    </xdr:to>
    <xdr:sp macro="" textlink="">
      <xdr:nvSpPr>
        <xdr:cNvPr id="19" name="吹き出し: 角を丸めた四角形 18">
          <a:extLst>
            <a:ext uri="{FF2B5EF4-FFF2-40B4-BE49-F238E27FC236}">
              <a16:creationId xmlns:a16="http://schemas.microsoft.com/office/drawing/2014/main" id="{F2584126-633B-40DF-90E2-15E85EB25F9F}"/>
            </a:ext>
          </a:extLst>
        </xdr:cNvPr>
        <xdr:cNvSpPr/>
      </xdr:nvSpPr>
      <xdr:spPr>
        <a:xfrm>
          <a:off x="31331645" y="5134825"/>
          <a:ext cx="1836305" cy="1211350"/>
        </a:xfrm>
        <a:prstGeom prst="wedgeRoundRectCallout">
          <a:avLst>
            <a:gd name="adj1" fmla="val 51035"/>
            <a:gd name="adj2" fmla="val -9544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事業費の内数として、間接補助事業の際に自治体が上乗せ補助（協調補助）する額の総額を記載してください。</a:t>
          </a:r>
        </a:p>
      </xdr:txBody>
    </xdr:sp>
    <xdr:clientData/>
  </xdr:twoCellAnchor>
  <xdr:twoCellAnchor>
    <xdr:from>
      <xdr:col>17</xdr:col>
      <xdr:colOff>495154</xdr:colOff>
      <xdr:row>18</xdr:row>
      <xdr:rowOff>188806</xdr:rowOff>
    </xdr:from>
    <xdr:to>
      <xdr:col>19</xdr:col>
      <xdr:colOff>481724</xdr:colOff>
      <xdr:row>27</xdr:row>
      <xdr:rowOff>183615</xdr:rowOff>
    </xdr:to>
    <xdr:sp macro="" textlink="">
      <xdr:nvSpPr>
        <xdr:cNvPr id="20" name="吹き出し: 角を丸めた四角形 19">
          <a:extLst>
            <a:ext uri="{FF2B5EF4-FFF2-40B4-BE49-F238E27FC236}">
              <a16:creationId xmlns:a16="http://schemas.microsoft.com/office/drawing/2014/main" id="{BDEDE5C2-4B86-429C-B89A-82E0FF09660D}"/>
            </a:ext>
          </a:extLst>
        </xdr:cNvPr>
        <xdr:cNvSpPr/>
      </xdr:nvSpPr>
      <xdr:spPr>
        <a:xfrm>
          <a:off x="24961781" y="5754619"/>
          <a:ext cx="2786690" cy="1750623"/>
        </a:xfrm>
        <a:prstGeom prst="wedgeRoundRectCallout">
          <a:avLst>
            <a:gd name="adj1" fmla="val 45685"/>
            <a:gd name="adj2" fmla="val -12088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交付率は財政力指数及び</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F</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列「設備区分」等から自動計算されますが、共同提案者となる自治体の財政力指数により交付率が異なる場合には手入力してください。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Ｃ列「事業方式」で「②交付金なし」を選択した場合は、交付率が「０」と入力してください。</a:t>
          </a:r>
        </a:p>
      </xdr:txBody>
    </xdr:sp>
    <xdr:clientData/>
  </xdr:twoCellAnchor>
  <xdr:twoCellAnchor>
    <xdr:from>
      <xdr:col>1</xdr:col>
      <xdr:colOff>408415</xdr:colOff>
      <xdr:row>15</xdr:row>
      <xdr:rowOff>124231</xdr:rowOff>
    </xdr:from>
    <xdr:to>
      <xdr:col>3</xdr:col>
      <xdr:colOff>609238</xdr:colOff>
      <xdr:row>39</xdr:row>
      <xdr:rowOff>0</xdr:rowOff>
    </xdr:to>
    <xdr:sp macro="" textlink="">
      <xdr:nvSpPr>
        <xdr:cNvPr id="21" name="吹き出し: 角を丸めた四角形 20">
          <a:extLst>
            <a:ext uri="{FF2B5EF4-FFF2-40B4-BE49-F238E27FC236}">
              <a16:creationId xmlns:a16="http://schemas.microsoft.com/office/drawing/2014/main" id="{42E8FA24-1E77-470C-9006-1329121C52FD}"/>
            </a:ext>
          </a:extLst>
        </xdr:cNvPr>
        <xdr:cNvSpPr/>
      </xdr:nvSpPr>
      <xdr:spPr>
        <a:xfrm>
          <a:off x="537568" y="5080460"/>
          <a:ext cx="2525568" cy="4525260"/>
        </a:xfrm>
        <a:prstGeom prst="wedgeRoundRectCallout">
          <a:avLst>
            <a:gd name="adj1" fmla="val -9966"/>
            <a:gd name="adj2" fmla="val -594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プルより選択してください。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直接</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間接</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公共施設（</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・①交付金あり　民間（</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a:t>
          </a:r>
        </a:p>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・②交付金なし</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やリース方式等を用いる場合は、公共施設（</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）や、民間（</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PPA</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indent="0" algn="l">
            <a:lnSpc>
              <a:spcPts val="1320"/>
            </a:lnSpc>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地域脱炭素移行の推進のための交付金」の交付対象事業ではあるが、本交付金を活用せず「脱炭素化推進事業債」や、他の補助制度等を活用して事業を実施される場合、または、自治体負担のみで事業を実施される場合、「②交付金なし」を選択してください。</a:t>
          </a:r>
        </a:p>
        <a:p>
          <a:pPr marL="0" indent="0" algn="l">
            <a:lnSpc>
              <a:spcPts val="1320"/>
            </a:lnSpc>
          </a:pP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xdr:from>
      <xdr:col>6</xdr:col>
      <xdr:colOff>646547</xdr:colOff>
      <xdr:row>5</xdr:row>
      <xdr:rowOff>247650</xdr:rowOff>
    </xdr:from>
    <xdr:to>
      <xdr:col>9</xdr:col>
      <xdr:colOff>1066800</xdr:colOff>
      <xdr:row>7</xdr:row>
      <xdr:rowOff>286326</xdr:rowOff>
    </xdr:to>
    <xdr:sp macro="" textlink="">
      <xdr:nvSpPr>
        <xdr:cNvPr id="22" name="吹き出し: 角を丸めた四角形 21">
          <a:extLst>
            <a:ext uri="{FF2B5EF4-FFF2-40B4-BE49-F238E27FC236}">
              <a16:creationId xmlns:a16="http://schemas.microsoft.com/office/drawing/2014/main" id="{BBC68512-1343-4BAE-990A-65F81B03647C}"/>
            </a:ext>
          </a:extLst>
        </xdr:cNvPr>
        <xdr:cNvSpPr/>
      </xdr:nvSpPr>
      <xdr:spPr>
        <a:xfrm>
          <a:off x="8185827" y="2346379"/>
          <a:ext cx="4084956" cy="652150"/>
        </a:xfrm>
        <a:prstGeom prst="wedgeRoundRectCallout">
          <a:avLst>
            <a:gd name="adj1" fmla="val -78839"/>
            <a:gd name="adj2" fmla="val 1116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l">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・交付対象事業の詳細については、「地域脱炭素移行・再エネ推進交付金実施要領の別紙１」を参照。</a:t>
          </a:r>
        </a:p>
      </xdr:txBody>
    </xdr:sp>
    <xdr:clientData/>
  </xdr:twoCellAnchor>
  <xdr:twoCellAnchor>
    <xdr:from>
      <xdr:col>2</xdr:col>
      <xdr:colOff>76200</xdr:colOff>
      <xdr:row>5</xdr:row>
      <xdr:rowOff>286903</xdr:rowOff>
    </xdr:from>
    <xdr:to>
      <xdr:col>2</xdr:col>
      <xdr:colOff>1066800</xdr:colOff>
      <xdr:row>7</xdr:row>
      <xdr:rowOff>152401</xdr:rowOff>
    </xdr:to>
    <xdr:sp macro="" textlink="">
      <xdr:nvSpPr>
        <xdr:cNvPr id="25" name="吹き出し: 角を丸めた四角形 24">
          <a:extLst>
            <a:ext uri="{FF2B5EF4-FFF2-40B4-BE49-F238E27FC236}">
              <a16:creationId xmlns:a16="http://schemas.microsoft.com/office/drawing/2014/main" id="{4D72226F-F5D6-C84E-B41F-2206BF9295FA}"/>
            </a:ext>
          </a:extLst>
        </xdr:cNvPr>
        <xdr:cNvSpPr/>
      </xdr:nvSpPr>
      <xdr:spPr>
        <a:xfrm>
          <a:off x="137160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3</xdr:col>
      <xdr:colOff>47625</xdr:colOff>
      <xdr:row>5</xdr:row>
      <xdr:rowOff>286903</xdr:rowOff>
    </xdr:from>
    <xdr:to>
      <xdr:col>3</xdr:col>
      <xdr:colOff>1038225</xdr:colOff>
      <xdr:row>7</xdr:row>
      <xdr:rowOff>152401</xdr:rowOff>
    </xdr:to>
    <xdr:sp macro="" textlink="">
      <xdr:nvSpPr>
        <xdr:cNvPr id="26" name="吹き出し: 角を丸めた四角形 25">
          <a:extLst>
            <a:ext uri="{FF2B5EF4-FFF2-40B4-BE49-F238E27FC236}">
              <a16:creationId xmlns:a16="http://schemas.microsoft.com/office/drawing/2014/main" id="{E8B81F46-A1A6-C77D-2458-CD6703025C57}"/>
            </a:ext>
          </a:extLst>
        </xdr:cNvPr>
        <xdr:cNvSpPr/>
      </xdr:nvSpPr>
      <xdr:spPr>
        <a:xfrm>
          <a:off x="2505075"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4</xdr:col>
      <xdr:colOff>57150</xdr:colOff>
      <xdr:row>5</xdr:row>
      <xdr:rowOff>286903</xdr:rowOff>
    </xdr:from>
    <xdr:to>
      <xdr:col>4</xdr:col>
      <xdr:colOff>1047750</xdr:colOff>
      <xdr:row>7</xdr:row>
      <xdr:rowOff>152401</xdr:rowOff>
    </xdr:to>
    <xdr:sp macro="" textlink="">
      <xdr:nvSpPr>
        <xdr:cNvPr id="27" name="吹き出し: 角を丸めた四角形 26">
          <a:extLst>
            <a:ext uri="{FF2B5EF4-FFF2-40B4-BE49-F238E27FC236}">
              <a16:creationId xmlns:a16="http://schemas.microsoft.com/office/drawing/2014/main" id="{C8F18EE6-B029-23E0-C789-C42CD978E68B}"/>
            </a:ext>
          </a:extLst>
        </xdr:cNvPr>
        <xdr:cNvSpPr/>
      </xdr:nvSpPr>
      <xdr:spPr>
        <a:xfrm>
          <a:off x="36766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xdr:from>
      <xdr:col>10</xdr:col>
      <xdr:colOff>314325</xdr:colOff>
      <xdr:row>5</xdr:row>
      <xdr:rowOff>286903</xdr:rowOff>
    </xdr:from>
    <xdr:to>
      <xdr:col>10</xdr:col>
      <xdr:colOff>1304925</xdr:colOff>
      <xdr:row>7</xdr:row>
      <xdr:rowOff>152401</xdr:rowOff>
    </xdr:to>
    <xdr:sp macro="" textlink="">
      <xdr:nvSpPr>
        <xdr:cNvPr id="28" name="吹き出し: 角を丸めた四角形 27">
          <a:extLst>
            <a:ext uri="{FF2B5EF4-FFF2-40B4-BE49-F238E27FC236}">
              <a16:creationId xmlns:a16="http://schemas.microsoft.com/office/drawing/2014/main" id="{F86D2F4B-016F-9BAF-0C82-73A95FFF99D7}"/>
            </a:ext>
          </a:extLst>
        </xdr:cNvPr>
        <xdr:cNvSpPr/>
      </xdr:nvSpPr>
      <xdr:spPr>
        <a:xfrm>
          <a:off x="12934950" y="2382403"/>
          <a:ext cx="990600" cy="475098"/>
        </a:xfrm>
        <a:prstGeom prst="wedgeRoundRectCallout">
          <a:avLst>
            <a:gd name="adj1" fmla="val -22317"/>
            <a:gd name="adj2" fmla="val -9718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indent="0" algn="ctr">
            <a:lnSpc>
              <a:spcPts val="1320"/>
            </a:lnSpc>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自動入力</a:t>
          </a:r>
        </a:p>
      </xdr:txBody>
    </xdr:sp>
    <xdr:clientData/>
  </xdr:twoCellAnchor>
  <xdr:twoCellAnchor editAs="oneCell">
    <xdr:from>
      <xdr:col>12</xdr:col>
      <xdr:colOff>133350</xdr:colOff>
      <xdr:row>3</xdr:row>
      <xdr:rowOff>19050</xdr:rowOff>
    </xdr:from>
    <xdr:to>
      <xdr:col>13</xdr:col>
      <xdr:colOff>610262</xdr:colOff>
      <xdr:row>3</xdr:row>
      <xdr:rowOff>906285</xdr:rowOff>
    </xdr:to>
    <xdr:pic>
      <xdr:nvPicPr>
        <xdr:cNvPr id="2" name="図 1">
          <a:extLst>
            <a:ext uri="{FF2B5EF4-FFF2-40B4-BE49-F238E27FC236}">
              <a16:creationId xmlns:a16="http://schemas.microsoft.com/office/drawing/2014/main" id="{4B2D7694-3BA2-4C25-9F05-DCA4BD817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809625"/>
          <a:ext cx="2324762" cy="8872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51</xdr:row>
      <xdr:rowOff>0</xdr:rowOff>
    </xdr:from>
    <xdr:to>
      <xdr:col>5</xdr:col>
      <xdr:colOff>1216050</xdr:colOff>
      <xdr:row>64</xdr:row>
      <xdr:rowOff>76200</xdr:rowOff>
    </xdr:to>
    <xdr:sp macro="" textlink="">
      <xdr:nvSpPr>
        <xdr:cNvPr id="2" name="テキスト ボックス 1">
          <a:extLst>
            <a:ext uri="{FF2B5EF4-FFF2-40B4-BE49-F238E27FC236}">
              <a16:creationId xmlns:a16="http://schemas.microsoft.com/office/drawing/2014/main" id="{2B334289-CCA6-4099-8B12-639FA5C8FB6C}"/>
            </a:ext>
          </a:extLst>
        </xdr:cNvPr>
        <xdr:cNvSpPr txBox="1"/>
      </xdr:nvSpPr>
      <xdr:spPr>
        <a:xfrm>
          <a:off x="0" y="9906000"/>
          <a:ext cx="6902475" cy="23050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１．財政力指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表</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最下段の各平均値は、単純平均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２．経常収支比率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３．実質公債費比率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４．将来負担比率</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充当可能財源等が将来負担額を上回っている団体については「－」を表示している。</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５．ラスパイレス指数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表最下段の各平均値は、</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である</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1"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6350</xdr:colOff>
      <xdr:row>1745</xdr:row>
      <xdr:rowOff>0</xdr:rowOff>
    </xdr:from>
    <xdr:to>
      <xdr:col>7</xdr:col>
      <xdr:colOff>996950</xdr:colOff>
      <xdr:row>1756</xdr:row>
      <xdr:rowOff>114300</xdr:rowOff>
    </xdr:to>
    <xdr:sp macro="" textlink="">
      <xdr:nvSpPr>
        <xdr:cNvPr id="2" name="テキスト ボックス 1">
          <a:extLst>
            <a:ext uri="{FF2B5EF4-FFF2-40B4-BE49-F238E27FC236}">
              <a16:creationId xmlns:a16="http://schemas.microsoft.com/office/drawing/2014/main" id="{66A0EC2E-AC56-40FF-99A5-8297321E391D}"/>
            </a:ext>
          </a:extLst>
        </xdr:cNvPr>
        <xdr:cNvSpPr txBox="1"/>
      </xdr:nvSpPr>
      <xdr:spPr>
        <a:xfrm>
          <a:off x="6350" y="266261850"/>
          <a:ext cx="7572375" cy="17907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１．財政力指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数</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表</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最下段の各平均値は、単純平均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、一部事務組合及び広域連合を含まない</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２．経常収支比率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、一部事務組合及び広域連合を含まない</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３．実質公債費比率</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を含み</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一部事務組合及び広域連合</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含まない。</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４．将来負担比率</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表最下段の各平均値は、加重平均</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であり</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、東京都特別区を含み一部事務組合及び広域連合</a:t>
          </a: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を</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含まない。</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充当可能財源等が将来負担額を上回っている団体については「－」を表示している。</a:t>
          </a:r>
          <a:endParaRPr kumimoji="0" lang="en-US" altLang="ja-JP" sz="11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2698530</xdr:colOff>
      <xdr:row>0</xdr:row>
      <xdr:rowOff>242067</xdr:rowOff>
    </xdr:from>
    <xdr:to>
      <xdr:col>12</xdr:col>
      <xdr:colOff>132947</xdr:colOff>
      <xdr:row>4</xdr:row>
      <xdr:rowOff>177198</xdr:rowOff>
    </xdr:to>
    <xdr:pic>
      <xdr:nvPicPr>
        <xdr:cNvPr id="2" name="図 1">
          <a:extLst>
            <a:ext uri="{FF2B5EF4-FFF2-40B4-BE49-F238E27FC236}">
              <a16:creationId xmlns:a16="http://schemas.microsoft.com/office/drawing/2014/main" id="{75568F2B-E310-4173-B26F-9EB7449BB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11806" y="242067"/>
          <a:ext cx="2311874" cy="920476"/>
        </a:xfrm>
        <a:prstGeom prst="rect">
          <a:avLst/>
        </a:prstGeom>
      </xdr:spPr>
    </xdr:pic>
    <xdr:clientData/>
  </xdr:twoCellAnchor>
  <xdr:twoCellAnchor editAs="oneCell">
    <xdr:from>
      <xdr:col>0</xdr:col>
      <xdr:colOff>219772</xdr:colOff>
      <xdr:row>21</xdr:row>
      <xdr:rowOff>6736</xdr:rowOff>
    </xdr:from>
    <xdr:to>
      <xdr:col>5</xdr:col>
      <xdr:colOff>3073787</xdr:colOff>
      <xdr:row>30</xdr:row>
      <xdr:rowOff>194682</xdr:rowOff>
    </xdr:to>
    <xdr:sp macro="" textlink="">
      <xdr:nvSpPr>
        <xdr:cNvPr id="9" name="吹き出し: 角を丸めた四角形 62">
          <a:extLst>
            <a:ext uri="{FF2B5EF4-FFF2-40B4-BE49-F238E27FC236}">
              <a16:creationId xmlns:a16="http://schemas.microsoft.com/office/drawing/2014/main" id="{81C8D36C-F188-4BC0-ADA8-B6A9D1759C78}"/>
            </a:ext>
          </a:extLst>
        </xdr:cNvPr>
        <xdr:cNvSpPr/>
      </xdr:nvSpPr>
      <xdr:spPr>
        <a:xfrm>
          <a:off x="219772" y="4873779"/>
          <a:ext cx="6048375" cy="1895476"/>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行の削除</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や、</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コピーした行の挿入</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による行の追加が可能です</a:t>
          </a:r>
          <a:endParaRPr lang="ja-JP" altLang="ja-JP" sz="1800">
            <a:solidFill>
              <a:sysClr val="windowText" lastClr="000000"/>
            </a:solidFill>
            <a:effectLst/>
            <a:latin typeface="Meiryo UI" panose="020B0604030504040204" pitchFamily="50" charset="-128"/>
            <a:ea typeface="Meiryo UI" panose="020B0604030504040204" pitchFamily="50" charset="-128"/>
          </a:endParaRPr>
        </a:p>
        <a:p>
          <a:r>
            <a:rPr kumimoji="1" lang="en-US" altLang="ja-JP" sz="12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200" b="0">
              <a:solidFill>
                <a:sysClr val="windowText" lastClr="000000"/>
              </a:solidFill>
              <a:effectLst/>
              <a:latin typeface="Meiryo UI" panose="020B0604030504040204" pitchFamily="50" charset="-128"/>
              <a:ea typeface="Meiryo UI" panose="020B0604030504040204" pitchFamily="50" charset="-128"/>
              <a:cs typeface="+mn-cs"/>
            </a:rPr>
            <a:t>追加方法は表右下の吹き出し参照</a:t>
          </a:r>
          <a:endParaRPr kumimoji="1" lang="en-US" altLang="ja-JP" sz="1200" b="0">
            <a:solidFill>
              <a:srgbClr val="FF0000"/>
            </a:solidFill>
            <a:effectLst/>
            <a:latin typeface="Meiryo UI" panose="020B0604030504040204" pitchFamily="50" charset="-128"/>
            <a:ea typeface="Meiryo UI" panose="020B0604030504040204" pitchFamily="50" charset="-128"/>
            <a:cs typeface="+mn-cs"/>
          </a:endParaRPr>
        </a:p>
        <a:p>
          <a:r>
            <a:rPr kumimoji="1" lang="ja-JP" altLang="en-US" sz="1400" b="0" u="none">
              <a:solidFill>
                <a:srgbClr val="FF0000"/>
              </a:solidFill>
              <a:latin typeface="Meiryo UI" panose="020B0604030504040204" pitchFamily="50" charset="-128"/>
              <a:ea typeface="Meiryo UI" panose="020B0604030504040204" pitchFamily="50" charset="-128"/>
              <a:cs typeface="+mn-cs"/>
            </a:rPr>
            <a:t>ただし、</a:t>
          </a:r>
          <a:r>
            <a:rPr kumimoji="1" lang="ja-JP" altLang="en-US" sz="1400" b="0" u="sng">
              <a:solidFill>
                <a:srgbClr val="FF0000"/>
              </a:solidFill>
              <a:latin typeface="Meiryo UI" panose="020B0604030504040204" pitchFamily="50" charset="-128"/>
              <a:ea typeface="Meiryo UI" panose="020B0604030504040204" pitchFamily="50" charset="-128"/>
              <a:cs typeface="+mn-cs"/>
            </a:rPr>
            <a:t>「年度合計」「民生電力」「民生電力以外」の記載がある行</a:t>
          </a:r>
          <a:r>
            <a:rPr kumimoji="1" lang="ja-JP" altLang="en-US" sz="1400" b="0">
              <a:solidFill>
                <a:srgbClr val="FF0000"/>
              </a:solidFill>
              <a:latin typeface="Meiryo UI" panose="020B0604030504040204" pitchFamily="50" charset="-128"/>
              <a:ea typeface="Meiryo UI" panose="020B0604030504040204" pitchFamily="50" charset="-128"/>
              <a:cs typeface="+mn-cs"/>
            </a:rPr>
            <a:t>は、コピーや削除したり、この行を選択した状態で行挿入</a:t>
          </a:r>
          <a:endParaRPr kumimoji="1" lang="en-US" altLang="ja-JP" sz="1400" b="0">
            <a:solidFill>
              <a:srgbClr val="FF0000"/>
            </a:solidFill>
            <a:latin typeface="Meiryo UI" panose="020B0604030504040204" pitchFamily="50" charset="-128"/>
            <a:ea typeface="Meiryo UI" panose="020B0604030504040204" pitchFamily="50" charset="-128"/>
            <a:cs typeface="+mn-cs"/>
          </a:endParaRPr>
        </a:p>
        <a:p>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コピーしたセルの挿入</a:t>
          </a:r>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を行わないでください</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172380</xdr:colOff>
      <xdr:row>8</xdr:row>
      <xdr:rowOff>64817</xdr:rowOff>
    </xdr:from>
    <xdr:to>
      <xdr:col>3</xdr:col>
      <xdr:colOff>6041</xdr:colOff>
      <xdr:row>20</xdr:row>
      <xdr:rowOff>231620</xdr:rowOff>
    </xdr:to>
    <xdr:cxnSp macro="">
      <xdr:nvCxnSpPr>
        <xdr:cNvPr id="11" name="直線矢印コネクタ 10">
          <a:extLst>
            <a:ext uri="{FF2B5EF4-FFF2-40B4-BE49-F238E27FC236}">
              <a16:creationId xmlns:a16="http://schemas.microsoft.com/office/drawing/2014/main" id="{5CAFD90F-677B-4669-827F-2406C3FFBD0B}"/>
            </a:ext>
          </a:extLst>
        </xdr:cNvPr>
        <xdr:cNvCxnSpPr/>
      </xdr:nvCxnSpPr>
      <xdr:spPr>
        <a:xfrm flipH="1">
          <a:off x="753173" y="2492530"/>
          <a:ext cx="704850" cy="23622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172380</xdr:colOff>
      <xdr:row>15</xdr:row>
      <xdr:rowOff>45302</xdr:rowOff>
    </xdr:from>
    <xdr:to>
      <xdr:col>2</xdr:col>
      <xdr:colOff>867705</xdr:colOff>
      <xdr:row>21</xdr:row>
      <xdr:rowOff>6737</xdr:rowOff>
    </xdr:to>
    <xdr:cxnSp macro="">
      <xdr:nvCxnSpPr>
        <xdr:cNvPr id="12" name="直線矢印コネクタ 11">
          <a:extLst>
            <a:ext uri="{FF2B5EF4-FFF2-40B4-BE49-F238E27FC236}">
              <a16:creationId xmlns:a16="http://schemas.microsoft.com/office/drawing/2014/main" id="{AFE1131D-0E5E-4652-AD68-3BD8F38645F0}"/>
            </a:ext>
          </a:extLst>
        </xdr:cNvPr>
        <xdr:cNvCxnSpPr/>
      </xdr:nvCxnSpPr>
      <xdr:spPr>
        <a:xfrm flipH="1">
          <a:off x="753173" y="3692680"/>
          <a:ext cx="695325" cy="11811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172380</xdr:colOff>
      <xdr:row>10</xdr:row>
      <xdr:rowOff>125684</xdr:rowOff>
    </xdr:from>
    <xdr:to>
      <xdr:col>3</xdr:col>
      <xdr:colOff>63191</xdr:colOff>
      <xdr:row>21</xdr:row>
      <xdr:rowOff>6737</xdr:rowOff>
    </xdr:to>
    <xdr:cxnSp macro="">
      <xdr:nvCxnSpPr>
        <xdr:cNvPr id="13" name="直線矢印コネクタ 12">
          <a:extLst>
            <a:ext uri="{FF2B5EF4-FFF2-40B4-BE49-F238E27FC236}">
              <a16:creationId xmlns:a16="http://schemas.microsoft.com/office/drawing/2014/main" id="{71E9155F-0059-4626-82D6-4E67FCF5BB2A}"/>
            </a:ext>
          </a:extLst>
        </xdr:cNvPr>
        <xdr:cNvCxnSpPr/>
      </xdr:nvCxnSpPr>
      <xdr:spPr>
        <a:xfrm flipH="1">
          <a:off x="753173" y="2797330"/>
          <a:ext cx="762000" cy="207645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162623</xdr:colOff>
      <xdr:row>5</xdr:row>
      <xdr:rowOff>139390</xdr:rowOff>
    </xdr:from>
    <xdr:to>
      <xdr:col>5</xdr:col>
      <xdr:colOff>2309068</xdr:colOff>
      <xdr:row>7</xdr:row>
      <xdr:rowOff>141382</xdr:rowOff>
    </xdr:to>
    <xdr:sp macro="" textlink="">
      <xdr:nvSpPr>
        <xdr:cNvPr id="15" name="吹き出し: 角を丸めた四角形 4">
          <a:extLst>
            <a:ext uri="{FF2B5EF4-FFF2-40B4-BE49-F238E27FC236}">
              <a16:creationId xmlns:a16="http://schemas.microsoft.com/office/drawing/2014/main" id="{2E77139A-984A-49CE-9FD8-12BF7AAC854E}"/>
            </a:ext>
          </a:extLst>
        </xdr:cNvPr>
        <xdr:cNvSpPr/>
      </xdr:nvSpPr>
      <xdr:spPr>
        <a:xfrm>
          <a:off x="162623" y="1330015"/>
          <a:ext cx="5325414" cy="47824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16</xdr:col>
      <xdr:colOff>230085</xdr:colOff>
      <xdr:row>7</xdr:row>
      <xdr:rowOff>3216</xdr:rowOff>
    </xdr:from>
    <xdr:to>
      <xdr:col>36</xdr:col>
      <xdr:colOff>160300</xdr:colOff>
      <xdr:row>68</xdr:row>
      <xdr:rowOff>45598</xdr:rowOff>
    </xdr:to>
    <xdr:pic>
      <xdr:nvPicPr>
        <xdr:cNvPr id="16" name="図 1">
          <a:extLst>
            <a:ext uri="{FF2B5EF4-FFF2-40B4-BE49-F238E27FC236}">
              <a16:creationId xmlns:a16="http://schemas.microsoft.com/office/drawing/2014/main" id="{05E32C3B-DD39-4149-856C-F1ACDFEF7338}"/>
            </a:ext>
          </a:extLst>
        </xdr:cNvPr>
        <xdr:cNvPicPr>
          <a:picLocks noChangeAspect="1"/>
        </xdr:cNvPicPr>
      </xdr:nvPicPr>
      <xdr:blipFill>
        <a:blip xmlns:r="http://schemas.openxmlformats.org/officeDocument/2006/relationships" r:embed="rId2"/>
        <a:stretch>
          <a:fillRect/>
        </a:stretch>
      </xdr:blipFill>
      <xdr:spPr>
        <a:xfrm>
          <a:off x="18589523" y="1670091"/>
          <a:ext cx="8216965" cy="11472382"/>
        </a:xfrm>
        <a:prstGeom prst="rect">
          <a:avLst/>
        </a:prstGeom>
      </xdr:spPr>
    </xdr:pic>
    <xdr:clientData/>
  </xdr:twoCellAnchor>
  <xdr:twoCellAnchor editAs="oneCell">
    <xdr:from>
      <xdr:col>3</xdr:col>
      <xdr:colOff>1101416</xdr:colOff>
      <xdr:row>9</xdr:row>
      <xdr:rowOff>0</xdr:rowOff>
    </xdr:from>
    <xdr:to>
      <xdr:col>6</xdr:col>
      <xdr:colOff>965368</xdr:colOff>
      <xdr:row>20</xdr:row>
      <xdr:rowOff>104384</xdr:rowOff>
    </xdr:to>
    <xdr:sp macro="" textlink="">
      <xdr:nvSpPr>
        <xdr:cNvPr id="17" name="吹き出し: 角を丸めた四角形 62">
          <a:extLst>
            <a:ext uri="{FF2B5EF4-FFF2-40B4-BE49-F238E27FC236}">
              <a16:creationId xmlns:a16="http://schemas.microsoft.com/office/drawing/2014/main" id="{BEC19465-2D90-4353-886D-6079C29E60A4}"/>
            </a:ext>
          </a:extLst>
        </xdr:cNvPr>
        <xdr:cNvSpPr/>
      </xdr:nvSpPr>
      <xdr:spPr>
        <a:xfrm>
          <a:off x="2536690" y="2596541"/>
          <a:ext cx="5161418" cy="1983288"/>
        </a:xfrm>
        <a:prstGeom prst="wedgeRoundRectCallout">
          <a:avLst>
            <a:gd name="adj1" fmla="val -42794"/>
            <a:gd name="adj2" fmla="val -6953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取組番号（①</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①</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･･･）と</a:t>
          </a:r>
          <a:endParaRPr kumimoji="1" lang="en-US" altLang="ja-JP" sz="1400" b="0">
            <a:solidFill>
              <a:srgbClr val="FF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一致するようにしてください。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18158</xdr:colOff>
      <xdr:row>34</xdr:row>
      <xdr:rowOff>91243</xdr:rowOff>
    </xdr:from>
    <xdr:to>
      <xdr:col>11</xdr:col>
      <xdr:colOff>1104899</xdr:colOff>
      <xdr:row>58</xdr:row>
      <xdr:rowOff>114300</xdr:rowOff>
    </xdr:to>
    <xdr:sp macro="" textlink="">
      <xdr:nvSpPr>
        <xdr:cNvPr id="19" name="吹き出し: 角を丸めた四角形 62">
          <a:extLst>
            <a:ext uri="{FF2B5EF4-FFF2-40B4-BE49-F238E27FC236}">
              <a16:creationId xmlns:a16="http://schemas.microsoft.com/office/drawing/2014/main" id="{93B71A42-7FB2-4233-ABC8-B73E9C6F53BA}"/>
            </a:ext>
          </a:extLst>
        </xdr:cNvPr>
        <xdr:cNvSpPr/>
      </xdr:nvSpPr>
      <xdr:spPr>
        <a:xfrm>
          <a:off x="2628008" y="6996868"/>
          <a:ext cx="12383391" cy="430930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eiryo UI" panose="020B0604030504040204" pitchFamily="50" charset="-128"/>
              <a:ea typeface="Meiryo UI" panose="020B0604030504040204" pitchFamily="50" charset="-128"/>
            </a:rPr>
            <a:t>入力の際の注</a:t>
          </a:r>
          <a:r>
            <a:rPr kumimoji="1" lang="ja-JP" altLang="en-US" sz="1400" b="1">
              <a:solidFill>
                <a:srgbClr val="FF0000"/>
              </a:solidFill>
              <a:latin typeface="Meiryo UI" panose="020B0604030504040204" pitchFamily="50" charset="-128"/>
              <a:ea typeface="Meiryo UI" panose="020B0604030504040204" pitchFamily="50" charset="-128"/>
              <a:cs typeface="+mn-cs"/>
            </a:rPr>
            <a:t>意点（</a:t>
          </a:r>
          <a:r>
            <a:rPr kumimoji="1" lang="ja-JP" altLang="ja-JP" sz="1400" b="1">
              <a:solidFill>
                <a:srgbClr val="FF0000"/>
              </a:solidFill>
              <a:latin typeface="Meiryo UI" panose="020B0604030504040204" pitchFamily="50" charset="-128"/>
              <a:ea typeface="Meiryo UI" panose="020B0604030504040204" pitchFamily="50" charset="-128"/>
              <a:cs typeface="+mn-cs"/>
            </a:rPr>
            <a:t>単一の事業で複数の交付金等を活用する場合の記載方法</a:t>
          </a:r>
          <a:r>
            <a:rPr kumimoji="1" lang="ja-JP" altLang="en-US" sz="1400" b="1">
              <a:solidFill>
                <a:srgbClr val="FF0000"/>
              </a:solidFill>
              <a:latin typeface="Meiryo UI" panose="020B0604030504040204" pitchFamily="50" charset="-128"/>
              <a:ea typeface="Meiryo UI" panose="020B0604030504040204" pitchFamily="50" charset="-128"/>
              <a:cs typeface="+mn-cs"/>
            </a:rPr>
            <a:t>）</a:t>
          </a:r>
          <a:endParaRPr kumimoji="1" lang="en-US" altLang="ja-JP" sz="1400" b="1">
            <a:solidFill>
              <a:srgbClr val="FF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4</xdr:col>
      <xdr:colOff>133350</xdr:colOff>
      <xdr:row>37</xdr:row>
      <xdr:rowOff>106238</xdr:rowOff>
    </xdr:from>
    <xdr:to>
      <xdr:col>11</xdr:col>
      <xdr:colOff>753702</xdr:colOff>
      <xdr:row>44</xdr:row>
      <xdr:rowOff>120031</xdr:rowOff>
    </xdr:to>
    <xdr:pic>
      <xdr:nvPicPr>
        <xdr:cNvPr id="32" name="図 31">
          <a:extLst>
            <a:ext uri="{FF2B5EF4-FFF2-40B4-BE49-F238E27FC236}">
              <a16:creationId xmlns:a16="http://schemas.microsoft.com/office/drawing/2014/main" id="{B90102FC-342C-201D-1698-FB26BD004DE1}"/>
            </a:ext>
          </a:extLst>
        </xdr:cNvPr>
        <xdr:cNvPicPr>
          <a:picLocks noChangeAspect="1"/>
        </xdr:cNvPicPr>
      </xdr:nvPicPr>
      <xdr:blipFill>
        <a:blip xmlns:r="http://schemas.openxmlformats.org/officeDocument/2006/relationships" r:embed="rId3"/>
        <a:stretch>
          <a:fillRect/>
        </a:stretch>
      </xdr:blipFill>
      <xdr:spPr>
        <a:xfrm>
          <a:off x="2743200" y="7726238"/>
          <a:ext cx="11917002" cy="1204418"/>
        </a:xfrm>
        <a:prstGeom prst="rect">
          <a:avLst/>
        </a:prstGeom>
      </xdr:spPr>
    </xdr:pic>
    <xdr:clientData/>
  </xdr:twoCellAnchor>
  <xdr:twoCellAnchor>
    <xdr:from>
      <xdr:col>5</xdr:col>
      <xdr:colOff>894929</xdr:colOff>
      <xdr:row>40</xdr:row>
      <xdr:rowOff>114300</xdr:rowOff>
    </xdr:from>
    <xdr:to>
      <xdr:col>9</xdr:col>
      <xdr:colOff>2257425</xdr:colOff>
      <xdr:row>42</xdr:row>
      <xdr:rowOff>179244</xdr:rowOff>
    </xdr:to>
    <xdr:sp macro="" textlink="">
      <xdr:nvSpPr>
        <xdr:cNvPr id="38" name="正方形/長方形 37">
          <a:extLst>
            <a:ext uri="{FF2B5EF4-FFF2-40B4-BE49-F238E27FC236}">
              <a16:creationId xmlns:a16="http://schemas.microsoft.com/office/drawing/2014/main" id="{23D1364B-90A9-BB78-5D99-556D1723ED57}"/>
            </a:ext>
          </a:extLst>
        </xdr:cNvPr>
        <xdr:cNvSpPr/>
      </xdr:nvSpPr>
      <xdr:spPr>
        <a:xfrm>
          <a:off x="4076279" y="8210550"/>
          <a:ext cx="8496721" cy="541194"/>
        </a:xfrm>
        <a:prstGeom prst="rect">
          <a:avLst/>
        </a:prstGeom>
        <a:noFill/>
        <a:ln w="28575">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6</xdr:col>
      <xdr:colOff>145426</xdr:colOff>
      <xdr:row>41</xdr:row>
      <xdr:rowOff>57150</xdr:rowOff>
    </xdr:from>
    <xdr:to>
      <xdr:col>6</xdr:col>
      <xdr:colOff>838200</xdr:colOff>
      <xdr:row>42</xdr:row>
      <xdr:rowOff>141375</xdr:rowOff>
    </xdr:to>
    <xdr:sp macro="" textlink="">
      <xdr:nvSpPr>
        <xdr:cNvPr id="39" name="正方形/長方形 38">
          <a:extLst>
            <a:ext uri="{FF2B5EF4-FFF2-40B4-BE49-F238E27FC236}">
              <a16:creationId xmlns:a16="http://schemas.microsoft.com/office/drawing/2014/main" id="{DD0BEBB2-BAE3-3648-4A6F-85CF5CDD0503}"/>
            </a:ext>
          </a:extLst>
        </xdr:cNvPr>
        <xdr:cNvSpPr/>
      </xdr:nvSpPr>
      <xdr:spPr>
        <a:xfrm>
          <a:off x="6870076" y="8391525"/>
          <a:ext cx="692774" cy="322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xdr:col>
      <xdr:colOff>290648</xdr:colOff>
      <xdr:row>48</xdr:row>
      <xdr:rowOff>192781</xdr:rowOff>
    </xdr:from>
    <xdr:to>
      <xdr:col>11</xdr:col>
      <xdr:colOff>467024</xdr:colOff>
      <xdr:row>56</xdr:row>
      <xdr:rowOff>114301</xdr:rowOff>
    </xdr:to>
    <xdr:sp macro="" textlink="">
      <xdr:nvSpPr>
        <xdr:cNvPr id="36" name="吹き出し: 角を丸めた四角形 62">
          <a:extLst>
            <a:ext uri="{FF2B5EF4-FFF2-40B4-BE49-F238E27FC236}">
              <a16:creationId xmlns:a16="http://schemas.microsoft.com/office/drawing/2014/main" id="{27476DCE-85CF-A42C-DFD9-2F79409EB580}"/>
            </a:ext>
          </a:extLst>
        </xdr:cNvPr>
        <xdr:cNvSpPr/>
      </xdr:nvSpPr>
      <xdr:spPr>
        <a:xfrm>
          <a:off x="2900498" y="9717781"/>
          <a:ext cx="11473026" cy="1350270"/>
        </a:xfrm>
        <a:prstGeom prst="wedgeRoundRectCallout">
          <a:avLst>
            <a:gd name="adj1" fmla="val -28694"/>
            <a:gd name="adj2" fmla="val -1218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a:solidFill>
                <a:sysClr val="windowText" lastClr="000000"/>
              </a:solidFill>
              <a:effectLst/>
              <a:latin typeface="+mn-lt"/>
              <a:ea typeface="+mn-ea"/>
              <a:cs typeface="+mn-cs"/>
            </a:rPr>
            <a:t>活用資金の種類別に行を分けて記載してください。</a:t>
          </a:r>
          <a:endParaRPr lang="en-US" altLang="ja-JP" sz="1100">
            <a:solidFill>
              <a:sysClr val="windowText" lastClr="000000"/>
            </a:solidFill>
            <a:effectLst/>
            <a:latin typeface="+mn-lt"/>
            <a:ea typeface="+mn-ea"/>
            <a:cs typeface="+mn-cs"/>
          </a:endParaRPr>
        </a:p>
        <a:p>
          <a:r>
            <a:rPr lang="ja-JP" altLang="ja-JP" sz="1100" b="0">
              <a:solidFill>
                <a:sysClr val="windowText" lastClr="000000"/>
              </a:solidFill>
              <a:effectLst/>
              <a:latin typeface="+mn-lt"/>
              <a:ea typeface="+mn-ea"/>
              <a:cs typeface="+mn-cs"/>
            </a:rPr>
            <a:t>例えば、</a:t>
          </a:r>
          <a:r>
            <a:rPr lang="ja-JP" altLang="en-US" sz="1100" b="1">
              <a:solidFill>
                <a:sysClr val="windowText" lastClr="000000"/>
              </a:solidFill>
              <a:effectLst/>
              <a:latin typeface="+mn-lt"/>
              <a:ea typeface="+mn-ea"/>
              <a:cs typeface="+mn-cs"/>
            </a:rPr>
            <a:t>同一事業</a:t>
          </a:r>
          <a:r>
            <a:rPr lang="ja-JP" altLang="ja-JP" sz="1100" b="1">
              <a:solidFill>
                <a:sysClr val="windowText" lastClr="000000"/>
              </a:solidFill>
              <a:effectLst/>
              <a:latin typeface="+mn-lt"/>
              <a:ea typeface="+mn-ea"/>
              <a:cs typeface="+mn-cs"/>
            </a:rPr>
            <a:t>で</a:t>
          </a:r>
          <a:r>
            <a:rPr lang="ja-JP" altLang="en-US" sz="1100" b="1">
              <a:solidFill>
                <a:sysClr val="windowText" lastClr="000000"/>
              </a:solidFill>
              <a:effectLst/>
              <a:latin typeface="+mn-lt"/>
              <a:ea typeface="+mn-ea"/>
              <a:cs typeface="+mn-cs"/>
            </a:rPr>
            <a:t>も</a:t>
          </a:r>
          <a:r>
            <a:rPr lang="ja-JP" altLang="ja-JP" sz="1100" b="1">
              <a:solidFill>
                <a:sysClr val="windowText" lastClr="000000"/>
              </a:solidFill>
              <a:effectLst/>
              <a:latin typeface="+mn-lt"/>
              <a:ea typeface="+mn-ea"/>
              <a:cs typeface="+mn-cs"/>
            </a:rPr>
            <a:t>地域脱炭素移行・再エネ推進交付金（環境省）と過疎対策事業債（総務省）を</a:t>
          </a:r>
          <a:r>
            <a:rPr lang="ja-JP" altLang="en-US" sz="1100" b="1">
              <a:solidFill>
                <a:sysClr val="windowText" lastClr="000000"/>
              </a:solidFill>
              <a:effectLst/>
              <a:latin typeface="+mn-lt"/>
              <a:ea typeface="+mn-ea"/>
              <a:cs typeface="+mn-cs"/>
            </a:rPr>
            <a:t>両方活用</a:t>
          </a:r>
          <a:r>
            <a:rPr lang="ja-JP" altLang="ja-JP" sz="1100" b="1">
              <a:solidFill>
                <a:sysClr val="windowText" lastClr="000000"/>
              </a:solidFill>
              <a:effectLst/>
              <a:latin typeface="+mn-lt"/>
              <a:ea typeface="+mn-ea"/>
              <a:cs typeface="+mn-cs"/>
            </a:rPr>
            <a:t>する場合は</a:t>
          </a:r>
          <a:r>
            <a:rPr lang="ja-JP" altLang="en-US" sz="1100" b="1">
              <a:solidFill>
                <a:sysClr val="windowText" lastClr="000000"/>
              </a:solidFill>
              <a:effectLst/>
              <a:latin typeface="+mn-lt"/>
              <a:ea typeface="+mn-ea"/>
              <a:cs typeface="+mn-cs"/>
            </a:rPr>
            <a:t>、</a:t>
          </a:r>
          <a:r>
            <a:rPr lang="ja-JP" altLang="ja-JP" sz="1100" b="1">
              <a:solidFill>
                <a:sysClr val="windowText" lastClr="000000"/>
              </a:solidFill>
              <a:effectLst/>
              <a:latin typeface="+mn-lt"/>
              <a:ea typeface="+mn-ea"/>
              <a:cs typeface="+mn-cs"/>
            </a:rPr>
            <a:t>行を分けて記載してください</a:t>
          </a:r>
          <a:r>
            <a:rPr lang="ja-JP" altLang="en-US" sz="1100" b="1">
              <a:solidFill>
                <a:sysClr val="windowText" lastClr="000000"/>
              </a:solidFill>
              <a:effectLst/>
              <a:latin typeface="+mn-lt"/>
              <a:ea typeface="+mn-ea"/>
              <a:cs typeface="+mn-cs"/>
            </a:rPr>
            <a:t>。</a:t>
          </a:r>
          <a:endParaRPr lang="en-US" altLang="ja-JP" sz="1100" b="1">
            <a:solidFill>
              <a:sysClr val="windowText" lastClr="000000"/>
            </a:solidFill>
            <a:effectLst/>
            <a:latin typeface="+mn-lt"/>
            <a:ea typeface="+mn-ea"/>
            <a:cs typeface="+mn-cs"/>
          </a:endParaRPr>
        </a:p>
        <a:p>
          <a:r>
            <a:rPr lang="ja-JP" altLang="ja-JP" sz="1100">
              <a:solidFill>
                <a:sysClr val="windowText" lastClr="000000"/>
              </a:solidFill>
              <a:effectLst/>
              <a:latin typeface="+mn-lt"/>
              <a:ea typeface="+mn-ea"/>
              <a:cs typeface="+mn-cs"/>
            </a:rPr>
            <a:t>（</a:t>
          </a:r>
          <a:r>
            <a:rPr lang="ja-JP" altLang="en-US" sz="1100">
              <a:solidFill>
                <a:sysClr val="windowText" lastClr="000000"/>
              </a:solidFill>
              <a:effectLst/>
              <a:latin typeface="+mn-lt"/>
              <a:ea typeface="+mn-ea"/>
              <a:cs typeface="+mn-cs"/>
            </a:rPr>
            <a:t>その際、</a:t>
          </a:r>
          <a:r>
            <a:rPr lang="ja-JP" altLang="ja-JP" sz="1100" b="0" u="none">
              <a:solidFill>
                <a:sysClr val="windowText" lastClr="000000"/>
              </a:solidFill>
              <a:effectLst/>
              <a:latin typeface="+mn-lt"/>
              <a:ea typeface="+mn-ea"/>
              <a:cs typeface="+mn-cs"/>
            </a:rPr>
            <a:t>取組</a:t>
          </a:r>
          <a:r>
            <a:rPr lang="en-US" altLang="ja-JP" sz="1100" b="0" u="none">
              <a:solidFill>
                <a:sysClr val="windowText" lastClr="000000"/>
              </a:solidFill>
              <a:effectLst/>
              <a:latin typeface="+mn-lt"/>
              <a:ea typeface="+mn-ea"/>
              <a:cs typeface="+mn-cs"/>
            </a:rPr>
            <a:t>No</a:t>
          </a:r>
          <a:r>
            <a:rPr lang="ja-JP" altLang="ja-JP" sz="1100" b="0" u="none">
              <a:solidFill>
                <a:sysClr val="windowText" lastClr="000000"/>
              </a:solidFill>
              <a:effectLst/>
              <a:latin typeface="+mn-lt"/>
              <a:ea typeface="+mn-ea"/>
              <a:cs typeface="+mn-cs"/>
            </a:rPr>
            <a:t>は分けずに統一してください</a:t>
          </a:r>
          <a:r>
            <a:rPr lang="ja-JP" altLang="en-US" sz="1100" b="0" u="none">
              <a:solidFill>
                <a:sysClr val="windowText" lastClr="000000"/>
              </a:solidFill>
              <a:effectLst/>
              <a:latin typeface="+mn-lt"/>
              <a:ea typeface="+mn-ea"/>
              <a:cs typeface="+mn-cs"/>
            </a:rPr>
            <a:t>。また、</a:t>
          </a:r>
          <a:r>
            <a:rPr lang="ja-JP" altLang="ja-JP" sz="1100" b="1" u="none">
              <a:solidFill>
                <a:sysClr val="windowText" lastClr="000000"/>
              </a:solidFill>
              <a:effectLst/>
              <a:latin typeface="+mn-lt"/>
              <a:ea typeface="+mn-ea"/>
              <a:cs typeface="+mn-cs"/>
            </a:rPr>
            <a:t>「事業内容」欄は</a:t>
          </a:r>
          <a:r>
            <a:rPr lang="en-US" altLang="ja-JP"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同上</a:t>
          </a:r>
          <a:r>
            <a:rPr lang="en-US" altLang="ja-JP"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等とせず、あらためて事業名を記載ください</a:t>
          </a:r>
          <a:r>
            <a:rPr lang="ja-JP" altLang="en-US" sz="1100" b="1" u="none">
              <a:solidFill>
                <a:sysClr val="windowText" lastClr="000000"/>
              </a:solidFill>
              <a:effectLst/>
              <a:latin typeface="+mn-lt"/>
              <a:ea typeface="+mn-ea"/>
              <a:cs typeface="+mn-cs"/>
            </a:rPr>
            <a:t>。</a:t>
          </a:r>
          <a:r>
            <a:rPr lang="ja-JP" altLang="ja-JP" sz="1100" b="1" u="none">
              <a:solidFill>
                <a:sysClr val="windowText" lastClr="000000"/>
              </a:solidFill>
              <a:effectLst/>
              <a:latin typeface="+mn-lt"/>
              <a:ea typeface="+mn-ea"/>
              <a:cs typeface="+mn-cs"/>
            </a:rPr>
            <a:t>）</a:t>
          </a:r>
          <a:endParaRPr lang="en-US" altLang="ja-JP" sz="1100" b="1" u="none">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1" u="none">
              <a:solidFill>
                <a:sysClr val="windowText" lastClr="000000"/>
              </a:solidFill>
              <a:effectLst/>
              <a:latin typeface="+mn-lt"/>
              <a:ea typeface="+mn-ea"/>
              <a:cs typeface="+mn-cs"/>
            </a:rPr>
            <a:t>また、当該事業費の合計はいずれかの行にまとめて記載し、同一事業の残りの行の「事業費」は</a:t>
          </a:r>
          <a:r>
            <a:rPr lang="en-US" altLang="ja-JP" sz="1100" b="1" u="none">
              <a:solidFill>
                <a:sysClr val="windowText" lastClr="000000"/>
              </a:solidFill>
              <a:effectLst/>
              <a:latin typeface="+mn-lt"/>
              <a:ea typeface="+mn-ea"/>
              <a:cs typeface="+mn-cs"/>
            </a:rPr>
            <a:t>"0"</a:t>
          </a:r>
          <a:r>
            <a:rPr lang="ja-JP" altLang="en-US" sz="1100" b="1" u="none">
              <a:solidFill>
                <a:sysClr val="windowText" lastClr="000000"/>
              </a:solidFill>
              <a:effectLst/>
              <a:latin typeface="+mn-lt"/>
              <a:ea typeface="+mn-ea"/>
              <a:cs typeface="+mn-cs"/>
            </a:rPr>
            <a:t>と記載ください（各行に事業費合計を記載しないようご注意ください）</a:t>
          </a:r>
          <a:endParaRPr lang="en-US" altLang="ja-JP" sz="1100" b="1" u="none">
            <a:solidFill>
              <a:sysClr val="windowText" lastClr="000000"/>
            </a:solidFill>
            <a:effectLst/>
            <a:latin typeface="+mn-lt"/>
            <a:ea typeface="+mn-ea"/>
            <a:cs typeface="+mn-cs"/>
          </a:endParaRPr>
        </a:p>
      </xdr:txBody>
    </xdr:sp>
    <xdr:clientData/>
  </xdr:twoCellAnchor>
  <xdr:twoCellAnchor>
    <xdr:from>
      <xdr:col>6</xdr:col>
      <xdr:colOff>864651</xdr:colOff>
      <xdr:row>44</xdr:row>
      <xdr:rowOff>69880</xdr:rowOff>
    </xdr:from>
    <xdr:to>
      <xdr:col>9</xdr:col>
      <xdr:colOff>1959892</xdr:colOff>
      <xdr:row>47</xdr:row>
      <xdr:rowOff>213963</xdr:rowOff>
    </xdr:to>
    <xdr:sp macro="" textlink="">
      <xdr:nvSpPr>
        <xdr:cNvPr id="21" name="吹き出し: 角を丸めた四角形 62">
          <a:extLst>
            <a:ext uri="{FF2B5EF4-FFF2-40B4-BE49-F238E27FC236}">
              <a16:creationId xmlns:a16="http://schemas.microsoft.com/office/drawing/2014/main" id="{3F08E27F-1058-E245-E6F9-877CCBFABBC9}"/>
            </a:ext>
          </a:extLst>
        </xdr:cNvPr>
        <xdr:cNvSpPr/>
      </xdr:nvSpPr>
      <xdr:spPr>
        <a:xfrm>
          <a:off x="7589301" y="8880505"/>
          <a:ext cx="4686166" cy="620333"/>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b="0" u="none">
              <a:solidFill>
                <a:srgbClr val="FF0000"/>
              </a:solidFill>
              <a:effectLst/>
              <a:latin typeface="+mn-lt"/>
              <a:ea typeface="+mn-ea"/>
              <a:cs typeface="+mn-cs"/>
            </a:rPr>
            <a:t>赤枠部分の合計が当該事業費の合計と一致するようにしてください</a:t>
          </a:r>
          <a:endParaRPr lang="ja-JP" altLang="ja-JP" sz="1100" b="0" u="none">
            <a:solidFill>
              <a:srgbClr val="FF0000"/>
            </a:solidFill>
            <a:effectLst/>
            <a:latin typeface="+mn-lt"/>
            <a:ea typeface="+mn-ea"/>
            <a:cs typeface="+mn-cs"/>
          </a:endParaRPr>
        </a:p>
      </xdr:txBody>
    </xdr:sp>
    <xdr:clientData/>
  </xdr:twoCellAnchor>
  <xdr:twoCellAnchor>
    <xdr:from>
      <xdr:col>6</xdr:col>
      <xdr:colOff>476250</xdr:colOff>
      <xdr:row>42</xdr:row>
      <xdr:rowOff>123825</xdr:rowOff>
    </xdr:from>
    <xdr:to>
      <xdr:col>6</xdr:col>
      <xdr:colOff>864651</xdr:colOff>
      <xdr:row>46</xdr:row>
      <xdr:rowOff>141921</xdr:rowOff>
    </xdr:to>
    <xdr:cxnSp macro="">
      <xdr:nvCxnSpPr>
        <xdr:cNvPr id="20" name="直線矢印コネクタ 19">
          <a:extLst>
            <a:ext uri="{FF2B5EF4-FFF2-40B4-BE49-F238E27FC236}">
              <a16:creationId xmlns:a16="http://schemas.microsoft.com/office/drawing/2014/main" id="{3487E8CD-21F5-03B5-62BA-46C9DE750D68}"/>
            </a:ext>
          </a:extLst>
        </xdr:cNvPr>
        <xdr:cNvCxnSpPr>
          <a:endCxn id="21" idx="1"/>
        </xdr:cNvCxnSpPr>
      </xdr:nvCxnSpPr>
      <xdr:spPr>
        <a:xfrm>
          <a:off x="7200900" y="8696325"/>
          <a:ext cx="388401" cy="494346"/>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16</xdr:col>
      <xdr:colOff>382874</xdr:colOff>
      <xdr:row>70</xdr:row>
      <xdr:rowOff>191307</xdr:rowOff>
    </xdr:from>
    <xdr:to>
      <xdr:col>36</xdr:col>
      <xdr:colOff>226583</xdr:colOff>
      <xdr:row>115</xdr:row>
      <xdr:rowOff>187426</xdr:rowOff>
    </xdr:to>
    <xdr:pic>
      <xdr:nvPicPr>
        <xdr:cNvPr id="5" name="図 4">
          <a:extLst>
            <a:ext uri="{FF2B5EF4-FFF2-40B4-BE49-F238E27FC236}">
              <a16:creationId xmlns:a16="http://schemas.microsoft.com/office/drawing/2014/main" id="{43A0CF90-8763-41AD-BF8F-D5662099920E}"/>
            </a:ext>
          </a:extLst>
        </xdr:cNvPr>
        <xdr:cNvPicPr>
          <a:picLocks noChangeAspect="1"/>
        </xdr:cNvPicPr>
      </xdr:nvPicPr>
      <xdr:blipFill>
        <a:blip xmlns:r="http://schemas.openxmlformats.org/officeDocument/2006/relationships" r:embed="rId4"/>
        <a:stretch>
          <a:fillRect/>
        </a:stretch>
      </xdr:blipFill>
      <xdr:spPr>
        <a:xfrm>
          <a:off x="18774783" y="13751443"/>
          <a:ext cx="8156436" cy="9278665"/>
        </a:xfrm>
        <a:prstGeom prst="rect">
          <a:avLst/>
        </a:prstGeom>
      </xdr:spPr>
    </xdr:pic>
    <xdr:clientData/>
  </xdr:twoCellAnchor>
  <xdr:twoCellAnchor editAs="oneCell">
    <xdr:from>
      <xdr:col>10</xdr:col>
      <xdr:colOff>458766</xdr:colOff>
      <xdr:row>86</xdr:row>
      <xdr:rowOff>190499</xdr:rowOff>
    </xdr:from>
    <xdr:to>
      <xdr:col>14</xdr:col>
      <xdr:colOff>962024</xdr:colOff>
      <xdr:row>92</xdr:row>
      <xdr:rowOff>52427</xdr:rowOff>
    </xdr:to>
    <xdr:sp macro="" textlink="">
      <xdr:nvSpPr>
        <xdr:cNvPr id="3" name="吹き出し: 角を丸めた四角形 62">
          <a:extLst>
            <a:ext uri="{FF2B5EF4-FFF2-40B4-BE49-F238E27FC236}">
              <a16:creationId xmlns:a16="http://schemas.microsoft.com/office/drawing/2014/main" id="{354ADBE2-92F6-4BFF-9008-B722F2B61235}"/>
            </a:ext>
          </a:extLst>
        </xdr:cNvPr>
        <xdr:cNvSpPr/>
      </xdr:nvSpPr>
      <xdr:spPr>
        <a:xfrm>
          <a:off x="13488966" y="16859249"/>
          <a:ext cx="3294083" cy="1052553"/>
        </a:xfrm>
        <a:prstGeom prst="wedgeRoundRectCallout">
          <a:avLst>
            <a:gd name="adj1" fmla="val -58973"/>
            <a:gd name="adj2" fmla="val -178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本表もあわせて様式１に貼り付けください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28575">
          <a:solidFill>
            <a:schemeClr val="accent2"/>
          </a:solidFill>
        </a:ln>
      </a:spPr>
      <a:bodyPr rot="0" spcFirstLastPara="0" vertOverflow="clip" horzOverflow="clip" vert="horz" wrap="square" lIns="36000" tIns="0" rIns="36000" bIns="0" numCol="1" spcCol="0" rtlCol="0" fromWordArt="0" anchor="ctr" anchorCtr="0" forceAA="0" compatLnSpc="1">
        <a:prstTxWarp prst="textNoShape">
          <a:avLst/>
        </a:prstTxWarp>
        <a:noAutofit/>
      </a:bodyPr>
      <a:lstStyle>
        <a:defPPr algn="ctr">
          <a:defRPr kumimoji="1" sz="1400" b="0">
            <a:solidFill>
              <a:sysClr val="windowText" lastClr="000000"/>
            </a:solidFill>
            <a:latin typeface="ＭＳ ゴシック" panose="020B0609070205080204" pitchFamily="49" charset="-128"/>
            <a:ea typeface="ＭＳ ゴシック" panose="020B0609070205080204" pitchFamily="49" charset="-128"/>
            <a:cs typeface="+mn-cs"/>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11-29T11:29:26.49" personId="{00000000-0000-0000-0000-000000000000}" id="{9959A49C-89FA-4BB4-9480-1FEAEF6E3975}">
    <text>公共施設（PPA）を追加</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8.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18.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9.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0.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1.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2.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3.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4.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3.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2FA9-220B-4724-8EE1-DD73468876E0}">
  <sheetPr codeName="Sheet1">
    <tabColor theme="0" tint="-0.14999847407452621"/>
  </sheetPr>
  <dimension ref="A2:D30"/>
  <sheetViews>
    <sheetView showGridLines="0" topLeftCell="E1" workbookViewId="0">
      <selection activeCell="E1" sqref="E1"/>
    </sheetView>
  </sheetViews>
  <sheetFormatPr defaultRowHeight="18"/>
  <cols>
    <col min="1" max="1" width="2.33203125" hidden="1" customWidth="1"/>
    <col min="2" max="2" width="9" hidden="1" customWidth="1"/>
    <col min="3" max="3" width="51.08203125" hidden="1" customWidth="1"/>
    <col min="4" max="4" width="9" hidden="1" customWidth="1"/>
  </cols>
  <sheetData>
    <row r="2" spans="2:4">
      <c r="C2" s="886" t="s">
        <v>593</v>
      </c>
    </row>
    <row r="3" spans="2:4">
      <c r="C3" s="175" t="str">
        <f>表紙!$C$5&amp;表紙!$C$6</f>
        <v/>
      </c>
    </row>
    <row r="5" spans="2:4">
      <c r="B5" s="887" t="s">
        <v>592</v>
      </c>
      <c r="C5" s="887" t="s">
        <v>579</v>
      </c>
      <c r="D5" s="887" t="s">
        <v>452</v>
      </c>
    </row>
    <row r="6" spans="2:4">
      <c r="B6" s="175">
        <v>1</v>
      </c>
      <c r="C6" s="175" t="s">
        <v>578</v>
      </c>
      <c r="D6" s="515"/>
    </row>
    <row r="7" spans="2:4">
      <c r="B7" s="175">
        <v>2</v>
      </c>
      <c r="C7" s="175" t="s">
        <v>577</v>
      </c>
      <c r="D7" s="175">
        <f ca="1">'1.1対象エリアの規模等'!N21</f>
        <v>1</v>
      </c>
    </row>
    <row r="8" spans="2:4">
      <c r="B8" s="175">
        <v>3</v>
      </c>
      <c r="C8" s="175" t="s">
        <v>576</v>
      </c>
      <c r="D8" s="515"/>
    </row>
    <row r="9" spans="2:4">
      <c r="B9" s="175">
        <v>4</v>
      </c>
      <c r="C9" s="175" t="s">
        <v>575</v>
      </c>
      <c r="D9" s="175">
        <f ca="1">'3.4活用想定補助金(年度別)'!$R113</f>
        <v>1</v>
      </c>
    </row>
    <row r="10" spans="2:4">
      <c r="B10" s="175">
        <v>5</v>
      </c>
      <c r="C10" s="175" t="s">
        <v>574</v>
      </c>
      <c r="D10" s="175">
        <f ca="1">'4.1(1)再エネ導入可能量'!P6</f>
        <v>1</v>
      </c>
    </row>
    <row r="11" spans="2:4">
      <c r="B11" s="175">
        <v>6</v>
      </c>
      <c r="C11" s="175" t="s">
        <v>573</v>
      </c>
      <c r="D11" s="175">
        <f>'4.1(2)新規再エネ導入予定（設備情報）'!Y191</f>
        <v>1</v>
      </c>
    </row>
    <row r="12" spans="2:4">
      <c r="B12" s="175">
        <v>7</v>
      </c>
      <c r="C12" s="175" t="s">
        <v>572</v>
      </c>
      <c r="D12" s="175">
        <f ca="1">'4.1(2)新規再エネ導入予定(FS調査、系統接続検討状況)'!S178</f>
        <v>1</v>
      </c>
    </row>
    <row r="13" spans="2:4">
      <c r="B13" s="175">
        <v>8</v>
      </c>
      <c r="C13" s="175" t="s">
        <v>571</v>
      </c>
      <c r="D13" s="175">
        <f ca="1">'4.1(2)新規再エネ導入予定(合意形成)'!X187</f>
        <v>1</v>
      </c>
    </row>
    <row r="14" spans="2:4">
      <c r="B14" s="175">
        <v>9</v>
      </c>
      <c r="C14" s="175" t="s">
        <v>570</v>
      </c>
      <c r="D14" s="515"/>
    </row>
    <row r="15" spans="2:4">
      <c r="B15" s="175">
        <v>10</v>
      </c>
      <c r="C15" s="175" t="s">
        <v>569</v>
      </c>
      <c r="D15" s="175">
        <f ca="1">'4.1(3)活用可能な既存の再エネ発電設備'!U7</f>
        <v>1</v>
      </c>
    </row>
    <row r="16" spans="2:4">
      <c r="B16" s="175">
        <v>11</v>
      </c>
      <c r="C16" s="175" t="s">
        <v>568</v>
      </c>
      <c r="D16" s="175">
        <f ca="1">'4.2実質ゼロ(計算結果)'!R3</f>
        <v>1</v>
      </c>
    </row>
    <row r="17" spans="2:4">
      <c r="B17" s="175">
        <v>12</v>
      </c>
      <c r="C17" s="175" t="s">
        <v>567</v>
      </c>
      <c r="D17" s="175">
        <f>'4.2対象地域の民生需要家数等'!N9</f>
        <v>1</v>
      </c>
    </row>
    <row r="18" spans="2:4">
      <c r="B18" s="175">
        <v>13</v>
      </c>
      <c r="C18" s="175" t="s">
        <v>566</v>
      </c>
      <c r="D18" s="175">
        <f ca="1">'4.2実質ゼロ(サマリ)'!P6</f>
        <v>1</v>
      </c>
    </row>
    <row r="19" spans="2:4">
      <c r="B19" s="175">
        <v>14</v>
      </c>
      <c r="C19" s="175" t="s">
        <v>565</v>
      </c>
      <c r="D19" s="408">
        <f ca="1">'4.2民生電力需要量'!R55</f>
        <v>1</v>
      </c>
    </row>
    <row r="20" spans="2:4">
      <c r="B20" s="175">
        <v>15</v>
      </c>
      <c r="C20" s="175" t="s">
        <v>564</v>
      </c>
      <c r="D20" s="175">
        <f ca="1">'4.2需要家合意形成状況(住宅)'!AA5</f>
        <v>1</v>
      </c>
    </row>
    <row r="21" spans="2:4">
      <c r="B21" s="175">
        <v>16</v>
      </c>
      <c r="C21" s="175" t="s">
        <v>563</v>
      </c>
      <c r="D21" s="175">
        <f ca="1">'4.2需要家合意形成状況(民生・業務その他)'!Z5</f>
        <v>1</v>
      </c>
    </row>
    <row r="22" spans="2:4">
      <c r="B22" s="175">
        <v>17</v>
      </c>
      <c r="C22" s="175" t="s">
        <v>562</v>
      </c>
      <c r="D22" s="175">
        <f ca="1">'4.2需要家合意形成状況(公共)'!V5</f>
        <v>1</v>
      </c>
    </row>
    <row r="23" spans="2:4">
      <c r="B23" s="175">
        <v>18</v>
      </c>
      <c r="C23" s="175" t="s">
        <v>561</v>
      </c>
      <c r="D23" s="175">
        <f ca="1">'4.2電力供給状況(民生部門)'!AD8</f>
        <v>1</v>
      </c>
    </row>
    <row r="24" spans="2:4">
      <c r="B24" s="175">
        <v>19</v>
      </c>
      <c r="C24" s="175" t="s">
        <v>560</v>
      </c>
      <c r="D24" s="175">
        <f ca="1">'4.2地産地消割合'!N23</f>
        <v>1</v>
      </c>
    </row>
    <row r="25" spans="2:4">
      <c r="B25" s="175">
        <v>20</v>
      </c>
      <c r="C25" s="175" t="s">
        <v>559</v>
      </c>
      <c r="D25" s="175">
        <f ca="1">'4.2電力削減量'!N68</f>
        <v>1</v>
      </c>
    </row>
    <row r="26" spans="2:4">
      <c r="B26" s="175">
        <v>21</v>
      </c>
      <c r="C26" s="175" t="s">
        <v>558</v>
      </c>
      <c r="D26" s="175">
        <f ca="1">'4.3民生部門電力以外の排出削減取組'!R43</f>
        <v>1</v>
      </c>
    </row>
    <row r="27" spans="2:4">
      <c r="B27" s="175">
        <v>22</v>
      </c>
      <c r="C27" s="175" t="s">
        <v>557</v>
      </c>
      <c r="D27" s="175">
        <f ca="1">'4.3民生部門電力以外の取組'!Z5</f>
        <v>1</v>
      </c>
    </row>
    <row r="28" spans="2:4">
      <c r="B28" s="175">
        <v>23</v>
      </c>
      <c r="C28" s="175" t="s">
        <v>556</v>
      </c>
      <c r="D28" s="175">
        <f ca="1">'4.3電力供給状況(民生部門電力以外)'!U51</f>
        <v>1</v>
      </c>
    </row>
    <row r="29" spans="2:4">
      <c r="B29" s="175">
        <v>24</v>
      </c>
      <c r="C29" s="175" t="s">
        <v>555</v>
      </c>
      <c r="D29" s="515"/>
    </row>
    <row r="30" spans="2:4">
      <c r="B30" s="175">
        <v>25</v>
      </c>
      <c r="C30" s="175" t="s">
        <v>229</v>
      </c>
      <c r="D30" s="215" t="str">
        <f ca="1">IF(PRODUCT($D$6:$D$29)=1,"OK","NG")</f>
        <v>OK</v>
      </c>
    </row>
  </sheetData>
  <sheetProtection algorithmName="SHA-512" hashValue="YLCjw0TzEVY2if6myRlx9tJ2L6wlqwyhzbFhoQQrTYL0Cw0KeGWwbj8tKg6WyGyXCWAzncXBvY1fBGrKnpPmww==" saltValue="hNUFSmTt6p2DGVwFgRhu5g==" spinCount="100000" sheet="1" objects="1" scenarios="1"/>
  <phoneticPr fontI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E448-46C2-4D00-B5A5-E2137B861BA2}">
  <sheetPr codeName="Sheet15">
    <tabColor theme="0" tint="-0.14999847407452621"/>
  </sheetPr>
  <dimension ref="A1:G65"/>
  <sheetViews>
    <sheetView topLeftCell="G1" workbookViewId="0"/>
  </sheetViews>
  <sheetFormatPr defaultColWidth="4.33203125" defaultRowHeight="18"/>
  <cols>
    <col min="1" max="2" width="13.83203125" style="969" hidden="1" customWidth="1"/>
    <col min="3" max="5" width="15.58203125" style="971" hidden="1" customWidth="1"/>
    <col min="6" max="6" width="16.08203125" style="970" hidden="1" customWidth="1"/>
    <col min="7" max="16384" width="4.33203125" style="969"/>
  </cols>
  <sheetData>
    <row r="1" spans="1:7" ht="16.5" customHeight="1">
      <c r="A1" s="1001" t="s">
        <v>6331</v>
      </c>
      <c r="B1" s="1000"/>
      <c r="C1" s="1000"/>
      <c r="D1" s="1000"/>
      <c r="E1" s="1000"/>
      <c r="F1" s="999"/>
    </row>
    <row r="2" spans="1:7" ht="30" customHeight="1">
      <c r="A2" s="998" t="s">
        <v>6078</v>
      </c>
      <c r="B2" s="997" t="s">
        <v>6077</v>
      </c>
      <c r="C2" s="996" t="s">
        <v>6076</v>
      </c>
      <c r="D2" s="995" t="s">
        <v>6075</v>
      </c>
      <c r="E2" s="995" t="s">
        <v>6074</v>
      </c>
      <c r="F2" s="994" t="s">
        <v>6073</v>
      </c>
      <c r="G2" s="993"/>
    </row>
    <row r="3" spans="1:7" ht="15" customHeight="1">
      <c r="A3" s="992" t="s">
        <v>5519</v>
      </c>
      <c r="B3" s="991">
        <v>0.44355</v>
      </c>
      <c r="C3" s="990">
        <v>97.8</v>
      </c>
      <c r="D3" s="990">
        <v>19.100000000000001</v>
      </c>
      <c r="E3" s="990">
        <v>306.7</v>
      </c>
      <c r="F3" s="989">
        <v>98.9</v>
      </c>
    </row>
    <row r="4" spans="1:7" ht="15" customHeight="1">
      <c r="A4" s="988" t="s">
        <v>5396</v>
      </c>
      <c r="B4" s="987">
        <v>0.34193000000000001</v>
      </c>
      <c r="C4" s="983">
        <v>91.2</v>
      </c>
      <c r="D4" s="983">
        <v>13.4</v>
      </c>
      <c r="E4" s="983">
        <v>64.599999999999994</v>
      </c>
      <c r="F4" s="986">
        <v>96.8</v>
      </c>
    </row>
    <row r="5" spans="1:7" ht="15" customHeight="1">
      <c r="A5" s="988" t="s">
        <v>5292</v>
      </c>
      <c r="B5" s="987">
        <v>0.35094999999999998</v>
      </c>
      <c r="C5" s="983">
        <v>92.6</v>
      </c>
      <c r="D5" s="983">
        <v>12.7</v>
      </c>
      <c r="E5" s="983">
        <v>201.1</v>
      </c>
      <c r="F5" s="986">
        <v>99.5</v>
      </c>
    </row>
    <row r="6" spans="1:7" ht="15" customHeight="1">
      <c r="A6" s="988" t="s">
        <v>5186</v>
      </c>
      <c r="B6" s="987">
        <v>0.58831999999999995</v>
      </c>
      <c r="C6" s="983">
        <v>96.7</v>
      </c>
      <c r="D6" s="983">
        <v>10.3</v>
      </c>
      <c r="E6" s="983">
        <v>135.30000000000001</v>
      </c>
      <c r="F6" s="986">
        <v>100.2</v>
      </c>
    </row>
    <row r="7" spans="1:7" ht="15" customHeight="1">
      <c r="A7" s="988" t="s">
        <v>5108</v>
      </c>
      <c r="B7" s="987">
        <v>0.31178</v>
      </c>
      <c r="C7" s="983">
        <v>89.8</v>
      </c>
      <c r="D7" s="983">
        <v>15.3</v>
      </c>
      <c r="E7" s="983">
        <v>243</v>
      </c>
      <c r="F7" s="986">
        <v>99.9</v>
      </c>
    </row>
    <row r="8" spans="1:7" ht="15" customHeight="1">
      <c r="A8" s="988" t="s">
        <v>5006</v>
      </c>
      <c r="B8" s="987">
        <v>0.35800999999999999</v>
      </c>
      <c r="C8" s="983">
        <v>92.4</v>
      </c>
      <c r="D8" s="983">
        <v>12.8</v>
      </c>
      <c r="E8" s="983">
        <v>218.3</v>
      </c>
      <c r="F8" s="986">
        <v>100</v>
      </c>
    </row>
    <row r="9" spans="1:7" ht="15" customHeight="1">
      <c r="A9" s="988" t="s">
        <v>4826</v>
      </c>
      <c r="B9" s="987">
        <v>0.50548000000000004</v>
      </c>
      <c r="C9" s="983">
        <v>94.4</v>
      </c>
      <c r="D9" s="983">
        <v>6.4</v>
      </c>
      <c r="E9" s="983">
        <v>114.1</v>
      </c>
      <c r="F9" s="986">
        <v>100.1</v>
      </c>
    </row>
    <row r="10" spans="1:7" ht="15" customHeight="1">
      <c r="A10" s="988" t="s">
        <v>4691</v>
      </c>
      <c r="B10" s="987">
        <v>0.61670999999999998</v>
      </c>
      <c r="C10" s="983">
        <v>93.3</v>
      </c>
      <c r="D10" s="983">
        <v>9.3000000000000007</v>
      </c>
      <c r="E10" s="983">
        <v>166</v>
      </c>
      <c r="F10" s="986">
        <v>100.1</v>
      </c>
    </row>
    <row r="11" spans="1:7" ht="15" customHeight="1">
      <c r="A11" s="988" t="s">
        <v>4612</v>
      </c>
      <c r="B11" s="987">
        <v>0.60421999999999998</v>
      </c>
      <c r="C11" s="983">
        <v>92.6</v>
      </c>
      <c r="D11" s="983">
        <v>9.4</v>
      </c>
      <c r="E11" s="983">
        <v>102.8</v>
      </c>
      <c r="F11" s="986">
        <v>99.6</v>
      </c>
    </row>
    <row r="12" spans="1:7" ht="15" customHeight="1">
      <c r="A12" s="988" t="s">
        <v>4506</v>
      </c>
      <c r="B12" s="987">
        <v>0.59</v>
      </c>
      <c r="C12" s="983">
        <v>90.7</v>
      </c>
      <c r="D12" s="983">
        <v>9.3000000000000007</v>
      </c>
      <c r="E12" s="983">
        <v>133.6</v>
      </c>
      <c r="F12" s="986">
        <v>100.1</v>
      </c>
    </row>
    <row r="13" spans="1:7" ht="15" customHeight="1">
      <c r="A13" s="988" t="s">
        <v>4314</v>
      </c>
      <c r="B13" s="987">
        <v>0.73077999999999999</v>
      </c>
      <c r="C13" s="983">
        <v>95.8</v>
      </c>
      <c r="D13" s="983">
        <v>10.8</v>
      </c>
      <c r="E13" s="983">
        <v>151.9</v>
      </c>
      <c r="F13" s="986">
        <v>100.4</v>
      </c>
    </row>
    <row r="14" spans="1:7" ht="15" customHeight="1">
      <c r="A14" s="988" t="s">
        <v>4147</v>
      </c>
      <c r="B14" s="987">
        <v>0.73663999999999996</v>
      </c>
      <c r="C14" s="983">
        <v>96.7</v>
      </c>
      <c r="D14" s="983">
        <v>7.5</v>
      </c>
      <c r="E14" s="983">
        <v>106.5</v>
      </c>
      <c r="F14" s="986">
        <v>99.6</v>
      </c>
    </row>
    <row r="15" spans="1:7" ht="15" customHeight="1">
      <c r="A15" s="988" t="s">
        <v>3959</v>
      </c>
      <c r="B15" s="987">
        <v>1.1006499999999999</v>
      </c>
      <c r="C15" s="983">
        <v>81.3</v>
      </c>
      <c r="D15" s="983">
        <v>1.3</v>
      </c>
      <c r="E15" s="983">
        <v>9.6999999999999993</v>
      </c>
      <c r="F15" s="986">
        <v>100.5</v>
      </c>
    </row>
    <row r="16" spans="1:7" ht="15" customHeight="1">
      <c r="A16" s="988" t="s">
        <v>3855</v>
      </c>
      <c r="B16" s="987">
        <v>0.83935000000000004</v>
      </c>
      <c r="C16" s="983">
        <v>96</v>
      </c>
      <c r="D16" s="983">
        <v>8.9</v>
      </c>
      <c r="E16" s="983">
        <v>64</v>
      </c>
      <c r="F16" s="986">
        <v>100</v>
      </c>
    </row>
    <row r="17" spans="1:6" ht="15" customHeight="1">
      <c r="A17" s="988" t="s">
        <v>3760</v>
      </c>
      <c r="B17" s="987">
        <v>0.44786999999999999</v>
      </c>
      <c r="C17" s="983">
        <v>91.8</v>
      </c>
      <c r="D17" s="983">
        <v>18.399999999999999</v>
      </c>
      <c r="E17" s="983">
        <v>297.8</v>
      </c>
      <c r="F17" s="986">
        <v>98.7</v>
      </c>
    </row>
    <row r="18" spans="1:6" ht="15" customHeight="1">
      <c r="A18" s="988" t="s">
        <v>3710</v>
      </c>
      <c r="B18" s="987">
        <v>0.44923999999999997</v>
      </c>
      <c r="C18" s="983">
        <v>93.2</v>
      </c>
      <c r="D18" s="983">
        <v>13.8</v>
      </c>
      <c r="E18" s="983">
        <v>217.7</v>
      </c>
      <c r="F18" s="986">
        <v>99.3</v>
      </c>
    </row>
    <row r="19" spans="1:6" ht="15" customHeight="1">
      <c r="A19" s="988" t="s">
        <v>3649</v>
      </c>
      <c r="B19" s="987">
        <v>0.47816999999999998</v>
      </c>
      <c r="C19" s="983">
        <v>92.3</v>
      </c>
      <c r="D19" s="983">
        <v>12.3</v>
      </c>
      <c r="E19" s="983">
        <v>192</v>
      </c>
      <c r="F19" s="986">
        <v>99.6</v>
      </c>
    </row>
    <row r="20" spans="1:6" ht="15" customHeight="1">
      <c r="A20" s="988" t="s">
        <v>3598</v>
      </c>
      <c r="B20" s="987">
        <v>0.39806000000000002</v>
      </c>
      <c r="C20" s="983">
        <v>92.6</v>
      </c>
      <c r="D20" s="983">
        <v>11.7</v>
      </c>
      <c r="E20" s="983">
        <v>153.80000000000001</v>
      </c>
      <c r="F20" s="986">
        <v>99.1</v>
      </c>
    </row>
    <row r="21" spans="1:6" ht="15" customHeight="1">
      <c r="A21" s="988" t="s">
        <v>3515</v>
      </c>
      <c r="B21" s="987">
        <v>0.37673000000000001</v>
      </c>
      <c r="C21" s="983">
        <v>88.7</v>
      </c>
      <c r="D21" s="983">
        <v>11.2</v>
      </c>
      <c r="E21" s="983">
        <v>173.4</v>
      </c>
      <c r="F21" s="986">
        <v>100.4</v>
      </c>
    </row>
    <row r="22" spans="1:6" ht="15" customHeight="1">
      <c r="A22" s="988" t="s">
        <v>3284</v>
      </c>
      <c r="B22" s="987">
        <v>0.50417000000000001</v>
      </c>
      <c r="C22" s="983">
        <v>90.5</v>
      </c>
      <c r="D22" s="983">
        <v>9.4</v>
      </c>
      <c r="E22" s="983">
        <v>152</v>
      </c>
      <c r="F22" s="986">
        <v>100.2</v>
      </c>
    </row>
    <row r="23" spans="1:6" ht="15" customHeight="1">
      <c r="A23" s="988" t="s">
        <v>3153</v>
      </c>
      <c r="B23" s="987">
        <v>0.52105000000000001</v>
      </c>
      <c r="C23" s="983">
        <v>92.1</v>
      </c>
      <c r="D23" s="983">
        <v>8.3000000000000007</v>
      </c>
      <c r="E23" s="983">
        <v>223.7</v>
      </c>
      <c r="F23" s="986">
        <v>99.3</v>
      </c>
    </row>
    <row r="24" spans="1:6" ht="15" customHeight="1">
      <c r="A24" s="988" t="s">
        <v>3043</v>
      </c>
      <c r="B24" s="987">
        <v>0.66624000000000005</v>
      </c>
      <c r="C24" s="983">
        <v>95.6</v>
      </c>
      <c r="D24" s="983">
        <v>13.6</v>
      </c>
      <c r="E24" s="983">
        <v>235.4</v>
      </c>
      <c r="F24" s="986">
        <v>102.2</v>
      </c>
    </row>
    <row r="25" spans="1:6" ht="15" customHeight="1">
      <c r="A25" s="988" t="s">
        <v>2881</v>
      </c>
      <c r="B25" s="987">
        <v>0.86175999999999997</v>
      </c>
      <c r="C25" s="983">
        <v>99.8</v>
      </c>
      <c r="D25" s="983">
        <v>13.2</v>
      </c>
      <c r="E25" s="983">
        <v>162.30000000000001</v>
      </c>
      <c r="F25" s="986">
        <v>101</v>
      </c>
    </row>
    <row r="26" spans="1:6" ht="15" customHeight="1">
      <c r="A26" s="988" t="s">
        <v>2791</v>
      </c>
      <c r="B26" s="987">
        <v>0.55803999999999998</v>
      </c>
      <c r="C26" s="983">
        <v>93.4</v>
      </c>
      <c r="D26" s="983">
        <v>11.6</v>
      </c>
      <c r="E26" s="983">
        <v>164.5</v>
      </c>
      <c r="F26" s="986">
        <v>101.2</v>
      </c>
    </row>
    <row r="27" spans="1:6" ht="15" customHeight="1">
      <c r="A27" s="988" t="s">
        <v>2731</v>
      </c>
      <c r="B27" s="987">
        <v>0.52627000000000002</v>
      </c>
      <c r="C27" s="983">
        <v>92.4</v>
      </c>
      <c r="D27" s="983">
        <v>11.3</v>
      </c>
      <c r="E27" s="983">
        <v>183.3</v>
      </c>
      <c r="F27" s="986">
        <v>99.6</v>
      </c>
    </row>
    <row r="28" spans="1:6" ht="15" customHeight="1">
      <c r="A28" s="988" t="s">
        <v>2648</v>
      </c>
      <c r="B28" s="987">
        <v>0.55567</v>
      </c>
      <c r="C28" s="983">
        <v>94</v>
      </c>
      <c r="D28" s="983">
        <v>16.8</v>
      </c>
      <c r="E28" s="983">
        <v>264.60000000000002</v>
      </c>
      <c r="F28" s="986">
        <v>99.2</v>
      </c>
    </row>
    <row r="29" spans="1:6" ht="15" customHeight="1">
      <c r="A29" s="988" t="s">
        <v>2518</v>
      </c>
      <c r="B29" s="987">
        <v>0.73179000000000005</v>
      </c>
      <c r="C29" s="983">
        <v>97.4</v>
      </c>
      <c r="D29" s="983">
        <v>10.7</v>
      </c>
      <c r="E29" s="983">
        <v>118.4</v>
      </c>
      <c r="F29" s="986">
        <v>100.8</v>
      </c>
    </row>
    <row r="30" spans="1:6" ht="15" customHeight="1">
      <c r="A30" s="988" t="s">
        <v>2391</v>
      </c>
      <c r="B30" s="987">
        <v>0.60301000000000005</v>
      </c>
      <c r="C30" s="983">
        <v>97.3</v>
      </c>
      <c r="D30" s="983">
        <v>16.3</v>
      </c>
      <c r="E30" s="983">
        <v>321.5</v>
      </c>
      <c r="F30" s="986">
        <v>99.6</v>
      </c>
    </row>
    <row r="31" spans="1:6" ht="15" customHeight="1">
      <c r="A31" s="988" t="s">
        <v>2269</v>
      </c>
      <c r="B31" s="987">
        <v>0.40150000000000002</v>
      </c>
      <c r="C31" s="983">
        <v>88.6</v>
      </c>
      <c r="D31" s="983">
        <v>9.3000000000000007</v>
      </c>
      <c r="E31" s="983">
        <v>106.1</v>
      </c>
      <c r="F31" s="986">
        <v>99.4</v>
      </c>
    </row>
    <row r="32" spans="1:6" ht="15" customHeight="1">
      <c r="A32" s="988" t="s">
        <v>2175</v>
      </c>
      <c r="B32" s="987">
        <v>0.31491000000000002</v>
      </c>
      <c r="C32" s="983">
        <v>93</v>
      </c>
      <c r="D32" s="983">
        <v>9.5</v>
      </c>
      <c r="E32" s="983">
        <v>202</v>
      </c>
      <c r="F32" s="986">
        <v>99.4</v>
      </c>
    </row>
    <row r="33" spans="1:6" ht="15" customHeight="1">
      <c r="A33" s="988" t="s">
        <v>2113</v>
      </c>
      <c r="B33" s="987">
        <v>0.26812000000000002</v>
      </c>
      <c r="C33" s="983">
        <v>87.5</v>
      </c>
      <c r="D33" s="983">
        <v>9.3000000000000007</v>
      </c>
      <c r="E33" s="983">
        <v>131.4</v>
      </c>
      <c r="F33" s="986">
        <v>96.2</v>
      </c>
    </row>
    <row r="34" spans="1:6" ht="15" customHeight="1">
      <c r="A34" s="988" t="s">
        <v>2053</v>
      </c>
      <c r="B34" s="987">
        <v>0.25491000000000003</v>
      </c>
      <c r="C34" s="983">
        <v>86.4</v>
      </c>
      <c r="D34" s="983">
        <v>6.5</v>
      </c>
      <c r="E34" s="983">
        <v>161.80000000000001</v>
      </c>
      <c r="F34" s="986">
        <v>97.6</v>
      </c>
    </row>
    <row r="35" spans="1:6" ht="15" customHeight="1">
      <c r="A35" s="988" t="s">
        <v>1967</v>
      </c>
      <c r="B35" s="987">
        <v>0.50575999999999999</v>
      </c>
      <c r="C35" s="983">
        <v>96.2</v>
      </c>
      <c r="D35" s="983">
        <v>10.9</v>
      </c>
      <c r="E35" s="983">
        <v>164.6</v>
      </c>
      <c r="F35" s="986">
        <v>100.4</v>
      </c>
    </row>
    <row r="36" spans="1:6" ht="15" customHeight="1">
      <c r="A36" s="988" t="s">
        <v>1894</v>
      </c>
      <c r="B36" s="987">
        <v>0.57915000000000005</v>
      </c>
      <c r="C36" s="983">
        <v>94.4</v>
      </c>
      <c r="D36" s="983">
        <v>14.4</v>
      </c>
      <c r="E36" s="983">
        <v>195.3</v>
      </c>
      <c r="F36" s="986">
        <v>100.5</v>
      </c>
    </row>
    <row r="37" spans="1:6" ht="15" customHeight="1">
      <c r="A37" s="988" t="s">
        <v>1832</v>
      </c>
      <c r="B37" s="987">
        <v>0.43070000000000003</v>
      </c>
      <c r="C37" s="983">
        <v>89.1</v>
      </c>
      <c r="D37" s="983">
        <v>8.8000000000000007</v>
      </c>
      <c r="E37" s="983">
        <v>170.6</v>
      </c>
      <c r="F37" s="986">
        <v>99.1</v>
      </c>
    </row>
    <row r="38" spans="1:6" ht="15" customHeight="1">
      <c r="A38" s="988" t="s">
        <v>1755</v>
      </c>
      <c r="B38" s="987">
        <v>0.31489</v>
      </c>
      <c r="C38" s="983">
        <v>89.7</v>
      </c>
      <c r="D38" s="983">
        <v>12.3</v>
      </c>
      <c r="E38" s="983">
        <v>152.19999999999999</v>
      </c>
      <c r="F38" s="986">
        <v>98.6</v>
      </c>
    </row>
    <row r="39" spans="1:6" ht="15" customHeight="1">
      <c r="A39" s="988" t="s">
        <v>1699</v>
      </c>
      <c r="B39" s="987">
        <v>0.44329000000000002</v>
      </c>
      <c r="C39" s="983">
        <v>92.4</v>
      </c>
      <c r="D39" s="983">
        <v>10.199999999999999</v>
      </c>
      <c r="E39" s="983">
        <v>165.1</v>
      </c>
      <c r="F39" s="986">
        <v>99.4</v>
      </c>
    </row>
    <row r="40" spans="1:6" ht="15" customHeight="1">
      <c r="A40" s="988" t="s">
        <v>1634</v>
      </c>
      <c r="B40" s="987">
        <v>0.42049999999999998</v>
      </c>
      <c r="C40" s="983">
        <v>86</v>
      </c>
      <c r="D40" s="983">
        <v>11.2</v>
      </c>
      <c r="E40" s="983">
        <v>119</v>
      </c>
      <c r="F40" s="986">
        <v>98.5</v>
      </c>
    </row>
    <row r="41" spans="1:6" ht="15" customHeight="1">
      <c r="A41" s="988" t="s">
        <v>1528</v>
      </c>
      <c r="B41" s="987">
        <v>0.26140000000000002</v>
      </c>
      <c r="C41" s="983">
        <v>97.1</v>
      </c>
      <c r="D41" s="983">
        <v>11.7</v>
      </c>
      <c r="E41" s="983">
        <v>177.3</v>
      </c>
      <c r="F41" s="986">
        <v>98.7</v>
      </c>
    </row>
    <row r="42" spans="1:6" ht="15" customHeight="1">
      <c r="A42" s="988" t="s">
        <v>1342</v>
      </c>
      <c r="B42" s="987">
        <v>0.61395999999999995</v>
      </c>
      <c r="C42" s="983">
        <v>97.3</v>
      </c>
      <c r="D42" s="983">
        <v>11.3</v>
      </c>
      <c r="E42" s="983">
        <v>248.4</v>
      </c>
      <c r="F42" s="986">
        <v>100.7</v>
      </c>
    </row>
    <row r="43" spans="1:6" ht="15" customHeight="1">
      <c r="A43" s="988" t="s">
        <v>1277</v>
      </c>
      <c r="B43" s="987">
        <v>0.3412</v>
      </c>
      <c r="C43" s="983">
        <v>93.9</v>
      </c>
      <c r="D43" s="983">
        <v>9.6999999999999993</v>
      </c>
      <c r="E43" s="983">
        <v>135.30000000000001</v>
      </c>
      <c r="F43" s="986">
        <v>99.5</v>
      </c>
    </row>
    <row r="44" spans="1:6" ht="15" customHeight="1">
      <c r="A44" s="988" t="s">
        <v>1209</v>
      </c>
      <c r="B44" s="987">
        <v>0.33178999999999997</v>
      </c>
      <c r="C44" s="983">
        <v>95.3</v>
      </c>
      <c r="D44" s="983">
        <v>10.6</v>
      </c>
      <c r="E44" s="983">
        <v>175.8</v>
      </c>
      <c r="F44" s="986">
        <v>98.2</v>
      </c>
    </row>
    <row r="45" spans="1:6" ht="15" customHeight="1">
      <c r="A45" s="988" t="s">
        <v>1069</v>
      </c>
      <c r="B45" s="987">
        <v>0.39718999999999999</v>
      </c>
      <c r="C45" s="983">
        <v>91.5</v>
      </c>
      <c r="D45" s="983">
        <v>8.3000000000000007</v>
      </c>
      <c r="E45" s="983">
        <v>217</v>
      </c>
      <c r="F45" s="986">
        <v>99.4</v>
      </c>
    </row>
    <row r="46" spans="1:6" ht="15" customHeight="1">
      <c r="A46" s="988" t="s">
        <v>1010</v>
      </c>
      <c r="B46" s="987">
        <v>0.37095</v>
      </c>
      <c r="C46" s="983">
        <v>92.1</v>
      </c>
      <c r="D46" s="983">
        <v>9.8000000000000007</v>
      </c>
      <c r="E46" s="983">
        <v>164.6</v>
      </c>
      <c r="F46" s="986">
        <v>99.3</v>
      </c>
    </row>
    <row r="47" spans="1:6" ht="15" customHeight="1">
      <c r="A47" s="988" t="s">
        <v>927</v>
      </c>
      <c r="B47" s="987">
        <v>0.34289999999999998</v>
      </c>
      <c r="C47" s="983">
        <v>89.6</v>
      </c>
      <c r="D47" s="983">
        <v>11.5</v>
      </c>
      <c r="E47" s="983">
        <v>97.7</v>
      </c>
      <c r="F47" s="986">
        <v>97.3</v>
      </c>
    </row>
    <row r="48" spans="1:6" ht="15" customHeight="1">
      <c r="A48" s="988" t="s">
        <v>793</v>
      </c>
      <c r="B48" s="987">
        <v>0.34011999999999998</v>
      </c>
      <c r="C48" s="983">
        <v>96.7</v>
      </c>
      <c r="D48" s="983">
        <v>11.4</v>
      </c>
      <c r="E48" s="983">
        <v>196.2</v>
      </c>
      <c r="F48" s="986">
        <v>96.2</v>
      </c>
    </row>
    <row r="49" spans="1:7" ht="15" customHeight="1" thickBot="1">
      <c r="A49" s="985" t="s">
        <v>665</v>
      </c>
      <c r="B49" s="984">
        <v>0.35933999999999999</v>
      </c>
      <c r="C49" s="983">
        <v>96.2</v>
      </c>
      <c r="D49" s="982">
        <v>7.4</v>
      </c>
      <c r="E49" s="982">
        <v>24.9</v>
      </c>
      <c r="F49" s="981">
        <v>97.2</v>
      </c>
    </row>
    <row r="50" spans="1:7" ht="15" customHeight="1" thickBot="1">
      <c r="A50" s="980" t="s">
        <v>6072</v>
      </c>
      <c r="B50" s="1246">
        <v>0.49125999999999997</v>
      </c>
      <c r="C50" s="1247">
        <v>92.5</v>
      </c>
      <c r="D50" s="1248">
        <v>10.1</v>
      </c>
      <c r="E50" s="1248">
        <v>148.69999999999999</v>
      </c>
      <c r="F50" s="1249">
        <v>99.6</v>
      </c>
    </row>
    <row r="51" spans="1:7" s="977" customFormat="1" ht="13.5" customHeight="1">
      <c r="A51" s="972"/>
      <c r="B51" s="972"/>
      <c r="C51" s="979"/>
      <c r="D51" s="979"/>
      <c r="E51" s="979"/>
      <c r="F51" s="979"/>
      <c r="G51" s="978"/>
    </row>
    <row r="52" spans="1:7" s="977" customFormat="1" ht="13.5" customHeight="1">
      <c r="A52" s="972"/>
      <c r="B52" s="972"/>
      <c r="C52" s="979"/>
      <c r="D52" s="979"/>
      <c r="E52" s="979"/>
      <c r="F52" s="979"/>
      <c r="G52" s="978"/>
    </row>
    <row r="53" spans="1:7" s="973" customFormat="1" ht="13.5" customHeight="1">
      <c r="A53" s="972"/>
      <c r="B53" s="972"/>
      <c r="C53" s="976"/>
      <c r="D53" s="975"/>
      <c r="E53" s="975"/>
      <c r="F53" s="975"/>
      <c r="G53" s="974"/>
    </row>
    <row r="54" spans="1:7" s="973" customFormat="1" ht="13.5" customHeight="1">
      <c r="A54" s="972"/>
      <c r="B54" s="972"/>
      <c r="C54" s="976"/>
      <c r="D54" s="975"/>
      <c r="E54" s="975"/>
      <c r="F54" s="975"/>
      <c r="G54" s="974"/>
    </row>
    <row r="55" spans="1:7" ht="13.5" customHeight="1">
      <c r="A55" s="972"/>
      <c r="B55" s="972"/>
    </row>
    <row r="56" spans="1:7" ht="13.5" customHeight="1"/>
    <row r="57" spans="1:7" ht="13.5" customHeight="1"/>
    <row r="58" spans="1:7" ht="13.5" customHeight="1"/>
    <row r="59" spans="1:7" ht="13.5" customHeight="1"/>
    <row r="60" spans="1:7" ht="13.5" customHeight="1"/>
    <row r="61" spans="1:7" ht="13.5" customHeight="1"/>
    <row r="62" spans="1:7" ht="13.5" customHeight="1"/>
    <row r="63" spans="1:7" ht="13.5" customHeight="1"/>
    <row r="64" spans="1:7" ht="13.5" customHeight="1"/>
    <row r="65" ht="13.5" customHeight="1"/>
  </sheetData>
  <sheetProtection algorithmName="SHA-512" hashValue="5vdeF8+Nj9mVoTua4+tWuSo2LbuyG4Icxw5yplQUD7ms4LcA6jTEnZlRv5pK/HNwOUh90V7gF8d6wMZaH5bsbA==" saltValue="EmInBXTCPRGffiOv9Uv07A==" spinCount="100000" sheet="1" objects="1" scenarios="1"/>
  <phoneticPr fontId="1"/>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5E09-14A7-4BBE-8CBB-D8CF912C0540}">
  <sheetPr codeName="Sheet18">
    <tabColor theme="0" tint="-0.14999847407452621"/>
  </sheetPr>
  <dimension ref="A1:I1760"/>
  <sheetViews>
    <sheetView topLeftCell="I1" workbookViewId="0">
      <selection activeCell="I1" sqref="I1"/>
    </sheetView>
  </sheetViews>
  <sheetFormatPr defaultColWidth="8.08203125" defaultRowHeight="18"/>
  <cols>
    <col min="1" max="2" width="9.08203125" hidden="1" customWidth="1"/>
    <col min="3" max="3" width="14.58203125" hidden="1" customWidth="1"/>
    <col min="4" max="5" width="13.33203125" hidden="1" customWidth="1"/>
    <col min="6" max="6" width="13.33203125" style="1002" hidden="1" customWidth="1"/>
    <col min="7" max="8" width="13.33203125" hidden="1" customWidth="1"/>
  </cols>
  <sheetData>
    <row r="1" spans="1:9" s="973" customFormat="1" ht="18" customHeight="1">
      <c r="A1" s="1034" t="s">
        <v>6332</v>
      </c>
      <c r="B1" s="1034"/>
      <c r="C1" s="1032"/>
      <c r="D1" s="1032"/>
      <c r="E1" s="1032"/>
      <c r="F1" s="1033"/>
      <c r="G1" s="1032"/>
      <c r="H1" s="1032"/>
    </row>
    <row r="2" spans="1:9" s="1025" customFormat="1" ht="30" customHeight="1">
      <c r="A2" s="1031" t="s">
        <v>6068</v>
      </c>
      <c r="B2" s="1027" t="s">
        <v>6106</v>
      </c>
      <c r="C2" s="1027" t="s">
        <v>6105</v>
      </c>
      <c r="D2" s="1030" t="s">
        <v>6104</v>
      </c>
      <c r="E2" s="1028" t="s">
        <v>6103</v>
      </c>
      <c r="F2" s="1029" t="s">
        <v>6102</v>
      </c>
      <c r="G2" s="1028" t="s">
        <v>6101</v>
      </c>
      <c r="H2" s="1027" t="s">
        <v>6100</v>
      </c>
      <c r="I2" s="1026"/>
    </row>
    <row r="3" spans="1:9" ht="12.65" customHeight="1">
      <c r="A3" s="1024" t="s">
        <v>6064</v>
      </c>
      <c r="B3" s="1024" t="s">
        <v>5519</v>
      </c>
      <c r="C3" s="1024" t="s">
        <v>5913</v>
      </c>
      <c r="D3" s="1023">
        <v>0.71</v>
      </c>
      <c r="E3" s="1022">
        <v>95.4</v>
      </c>
      <c r="F3" s="1021">
        <v>2.9</v>
      </c>
      <c r="G3" s="1020">
        <v>18.2</v>
      </c>
      <c r="H3" s="1019">
        <v>99.4</v>
      </c>
    </row>
    <row r="4" spans="1:9" ht="12.65" customHeight="1">
      <c r="A4" s="1017" t="s">
        <v>6062</v>
      </c>
      <c r="B4" s="1017" t="s">
        <v>5519</v>
      </c>
      <c r="C4" s="1017" t="s">
        <v>5781</v>
      </c>
      <c r="D4" s="1016">
        <v>0.48</v>
      </c>
      <c r="E4" s="1015">
        <v>94.5</v>
      </c>
      <c r="F4" s="1014">
        <v>5</v>
      </c>
      <c r="G4" s="1013">
        <v>38.9</v>
      </c>
      <c r="H4" s="1012">
        <v>97.4</v>
      </c>
    </row>
    <row r="5" spans="1:9" ht="12.65" customHeight="1">
      <c r="A5" s="1017" t="s">
        <v>6059</v>
      </c>
      <c r="B5" s="1017" t="s">
        <v>5519</v>
      </c>
      <c r="C5" s="1017" t="s">
        <v>6060</v>
      </c>
      <c r="D5" s="1016">
        <v>0.47</v>
      </c>
      <c r="E5" s="1015">
        <v>93.4</v>
      </c>
      <c r="F5" s="1014">
        <v>4</v>
      </c>
      <c r="G5" s="1013">
        <v>25</v>
      </c>
      <c r="H5" s="1012">
        <v>95.9</v>
      </c>
    </row>
    <row r="6" spans="1:9" ht="12.65" customHeight="1">
      <c r="A6" s="1017" t="s">
        <v>6057</v>
      </c>
      <c r="B6" s="1017" t="s">
        <v>5519</v>
      </c>
      <c r="C6" s="1017" t="s">
        <v>5814</v>
      </c>
      <c r="D6" s="1016">
        <v>0.53</v>
      </c>
      <c r="E6" s="1015">
        <v>96.6</v>
      </c>
      <c r="F6" s="1014">
        <v>8.9</v>
      </c>
      <c r="G6" s="1013">
        <v>82.8</v>
      </c>
      <c r="H6" s="1012">
        <v>98.8</v>
      </c>
    </row>
    <row r="7" spans="1:9" ht="12.65" customHeight="1">
      <c r="A7" s="1017" t="s">
        <v>6054</v>
      </c>
      <c r="B7" s="1017" t="s">
        <v>5519</v>
      </c>
      <c r="C7" s="1017" t="s">
        <v>6055</v>
      </c>
      <c r="D7" s="1016">
        <v>0.62</v>
      </c>
      <c r="E7" s="1015">
        <v>95.3</v>
      </c>
      <c r="F7" s="1014">
        <v>10.4</v>
      </c>
      <c r="G7" s="1013">
        <v>55.7</v>
      </c>
      <c r="H7" s="1012">
        <v>98</v>
      </c>
    </row>
    <row r="8" spans="1:9" ht="12.65" customHeight="1">
      <c r="A8" s="1017" t="s">
        <v>6051</v>
      </c>
      <c r="B8" s="1017" t="s">
        <v>5519</v>
      </c>
      <c r="C8" s="1017" t="s">
        <v>6052</v>
      </c>
      <c r="D8" s="1016">
        <v>0.45</v>
      </c>
      <c r="E8" s="1015">
        <v>94.8</v>
      </c>
      <c r="F8" s="1014">
        <v>10.4</v>
      </c>
      <c r="G8" s="1013">
        <v>42.8</v>
      </c>
      <c r="H8" s="1012">
        <v>99.4</v>
      </c>
    </row>
    <row r="9" spans="1:9" ht="12.65" customHeight="1">
      <c r="A9" s="1017" t="s">
        <v>6048</v>
      </c>
      <c r="B9" s="1017" t="s">
        <v>5519</v>
      </c>
      <c r="C9" s="1017" t="s">
        <v>6049</v>
      </c>
      <c r="D9" s="1016">
        <v>0.6</v>
      </c>
      <c r="E9" s="1015">
        <v>89.4</v>
      </c>
      <c r="F9" s="1014">
        <v>8.1999999999999993</v>
      </c>
      <c r="G9" s="1013">
        <v>22.2</v>
      </c>
      <c r="H9" s="1012">
        <v>99</v>
      </c>
    </row>
    <row r="10" spans="1:9" ht="12.65" customHeight="1">
      <c r="A10" s="1017" t="s">
        <v>6045</v>
      </c>
      <c r="B10" s="1017" t="s">
        <v>5519</v>
      </c>
      <c r="C10" s="1017" t="s">
        <v>6046</v>
      </c>
      <c r="D10" s="1016">
        <v>0.43</v>
      </c>
      <c r="E10" s="1015">
        <v>99.3</v>
      </c>
      <c r="F10" s="1014">
        <v>11.8</v>
      </c>
      <c r="G10" s="1013">
        <v>147.80000000000001</v>
      </c>
      <c r="H10" s="1012">
        <v>96.2</v>
      </c>
    </row>
    <row r="11" spans="1:9" ht="12.65" customHeight="1">
      <c r="A11" s="1017" t="s">
        <v>6042</v>
      </c>
      <c r="B11" s="1017" t="s">
        <v>5519</v>
      </c>
      <c r="C11" s="1017" t="s">
        <v>6043</v>
      </c>
      <c r="D11" s="1016">
        <v>0.19</v>
      </c>
      <c r="E11" s="1015">
        <v>124.8</v>
      </c>
      <c r="F11" s="1014">
        <v>67.2</v>
      </c>
      <c r="G11" s="1013">
        <v>171.7</v>
      </c>
      <c r="H11" s="1012">
        <v>91</v>
      </c>
    </row>
    <row r="12" spans="1:9" ht="12.65" customHeight="1">
      <c r="A12" s="1017" t="s">
        <v>6039</v>
      </c>
      <c r="B12" s="1017" t="s">
        <v>5519</v>
      </c>
      <c r="C12" s="1017" t="s">
        <v>6040</v>
      </c>
      <c r="D12" s="1016">
        <v>0.38</v>
      </c>
      <c r="E12" s="1015">
        <v>96.9</v>
      </c>
      <c r="F12" s="1014">
        <v>10.5</v>
      </c>
      <c r="G12" s="1013">
        <v>77</v>
      </c>
      <c r="H12" s="1012">
        <v>99.5</v>
      </c>
    </row>
    <row r="13" spans="1:9" ht="12.65" customHeight="1">
      <c r="A13" s="1017" t="s">
        <v>6036</v>
      </c>
      <c r="B13" s="1017" t="s">
        <v>5519</v>
      </c>
      <c r="C13" s="1017" t="s">
        <v>6037</v>
      </c>
      <c r="D13" s="1016">
        <v>0.44</v>
      </c>
      <c r="E13" s="1015">
        <v>94.1</v>
      </c>
      <c r="F13" s="1014">
        <v>16.100000000000001</v>
      </c>
      <c r="G13" s="1013">
        <v>112.9</v>
      </c>
      <c r="H13" s="1012">
        <v>97.1</v>
      </c>
    </row>
    <row r="14" spans="1:9" ht="12.65" customHeight="1">
      <c r="A14" s="1017" t="s">
        <v>6033</v>
      </c>
      <c r="B14" s="1017" t="s">
        <v>5519</v>
      </c>
      <c r="C14" s="1017" t="s">
        <v>6034</v>
      </c>
      <c r="D14" s="1016">
        <v>0.31</v>
      </c>
      <c r="E14" s="1015">
        <v>94.9</v>
      </c>
      <c r="F14" s="1014">
        <v>9.1999999999999993</v>
      </c>
      <c r="G14" s="1013" t="s">
        <v>6080</v>
      </c>
      <c r="H14" s="1012">
        <v>96</v>
      </c>
    </row>
    <row r="15" spans="1:9" ht="12.65" customHeight="1">
      <c r="A15" s="1017" t="s">
        <v>6030</v>
      </c>
      <c r="B15" s="1017" t="s">
        <v>5519</v>
      </c>
      <c r="C15" s="1017" t="s">
        <v>6031</v>
      </c>
      <c r="D15" s="1016">
        <v>0.75</v>
      </c>
      <c r="E15" s="1015">
        <v>89.4</v>
      </c>
      <c r="F15" s="1014">
        <v>7.7</v>
      </c>
      <c r="G15" s="1013">
        <v>71.900000000000006</v>
      </c>
      <c r="H15" s="1012">
        <v>98.2</v>
      </c>
    </row>
    <row r="16" spans="1:9" ht="12.65" customHeight="1">
      <c r="A16" s="1017" t="s">
        <v>6027</v>
      </c>
      <c r="B16" s="1017" t="s">
        <v>5519</v>
      </c>
      <c r="C16" s="1017" t="s">
        <v>6028</v>
      </c>
      <c r="D16" s="1016">
        <v>0.39</v>
      </c>
      <c r="E16" s="1015">
        <v>92.5</v>
      </c>
      <c r="F16" s="1014">
        <v>10.7</v>
      </c>
      <c r="G16" s="1013">
        <v>32.799999999999997</v>
      </c>
      <c r="H16" s="1012">
        <v>94.9</v>
      </c>
    </row>
    <row r="17" spans="1:8" ht="12.65" customHeight="1">
      <c r="A17" s="1017" t="s">
        <v>6023</v>
      </c>
      <c r="B17" s="1017" t="s">
        <v>5519</v>
      </c>
      <c r="C17" s="1017" t="s">
        <v>6024</v>
      </c>
      <c r="D17" s="1016">
        <v>0.26</v>
      </c>
      <c r="E17" s="1015">
        <v>94.8</v>
      </c>
      <c r="F17" s="1014">
        <v>11</v>
      </c>
      <c r="G17" s="1013">
        <v>74.2</v>
      </c>
      <c r="H17" s="1012">
        <v>97.2</v>
      </c>
    </row>
    <row r="18" spans="1:8" ht="12.65" customHeight="1">
      <c r="A18" s="1017" t="s">
        <v>6020</v>
      </c>
      <c r="B18" s="1017" t="s">
        <v>5519</v>
      </c>
      <c r="C18" s="1017" t="s">
        <v>6021</v>
      </c>
      <c r="D18" s="1016">
        <v>0.25</v>
      </c>
      <c r="E18" s="1015">
        <v>95.6</v>
      </c>
      <c r="F18" s="1014">
        <v>5.7</v>
      </c>
      <c r="G18" s="1013">
        <v>65.400000000000006</v>
      </c>
      <c r="H18" s="1012">
        <v>94</v>
      </c>
    </row>
    <row r="19" spans="1:8" ht="12.65" customHeight="1">
      <c r="A19" s="1017" t="s">
        <v>6017</v>
      </c>
      <c r="B19" s="1017" t="s">
        <v>5519</v>
      </c>
      <c r="C19" s="1017" t="s">
        <v>6018</v>
      </c>
      <c r="D19" s="1016">
        <v>0.52</v>
      </c>
      <c r="E19" s="1015">
        <v>91.2</v>
      </c>
      <c r="F19" s="1014">
        <v>4.8</v>
      </c>
      <c r="G19" s="1013" t="s">
        <v>6080</v>
      </c>
      <c r="H19" s="1012">
        <v>97.3</v>
      </c>
    </row>
    <row r="20" spans="1:8" ht="12.65" customHeight="1">
      <c r="A20" s="1017" t="s">
        <v>6014</v>
      </c>
      <c r="B20" s="1017" t="s">
        <v>5519</v>
      </c>
      <c r="C20" s="1017" t="s">
        <v>6015</v>
      </c>
      <c r="D20" s="1016">
        <v>0.18</v>
      </c>
      <c r="E20" s="1015">
        <v>96.4</v>
      </c>
      <c r="F20" s="1014">
        <v>13.2</v>
      </c>
      <c r="G20" s="1013">
        <v>66.7</v>
      </c>
      <c r="H20" s="1012">
        <v>94.7</v>
      </c>
    </row>
    <row r="21" spans="1:8" ht="12.65" customHeight="1">
      <c r="A21" s="1017" t="s">
        <v>6011</v>
      </c>
      <c r="B21" s="1017" t="s">
        <v>5519</v>
      </c>
      <c r="C21" s="1017" t="s">
        <v>6012</v>
      </c>
      <c r="D21" s="1016">
        <v>0.33</v>
      </c>
      <c r="E21" s="1015">
        <v>78</v>
      </c>
      <c r="F21" s="1014">
        <v>9.3000000000000007</v>
      </c>
      <c r="G21" s="1013" t="s">
        <v>6080</v>
      </c>
      <c r="H21" s="1012">
        <v>94.6</v>
      </c>
    </row>
    <row r="22" spans="1:8" ht="12.65" customHeight="1">
      <c r="A22" s="1017" t="s">
        <v>6008</v>
      </c>
      <c r="B22" s="1017" t="s">
        <v>5519</v>
      </c>
      <c r="C22" s="1017" t="s">
        <v>6009</v>
      </c>
      <c r="D22" s="1016">
        <v>0.25</v>
      </c>
      <c r="E22" s="1015">
        <v>96.2</v>
      </c>
      <c r="F22" s="1014">
        <v>14.3</v>
      </c>
      <c r="G22" s="1013">
        <v>98.3</v>
      </c>
      <c r="H22" s="1012">
        <v>97.5</v>
      </c>
    </row>
    <row r="23" spans="1:8" ht="12.65" customHeight="1">
      <c r="A23" s="1017" t="s">
        <v>6005</v>
      </c>
      <c r="B23" s="1017" t="s">
        <v>5519</v>
      </c>
      <c r="C23" s="1017" t="s">
        <v>6006</v>
      </c>
      <c r="D23" s="1016">
        <v>0.27</v>
      </c>
      <c r="E23" s="1015">
        <v>96.2</v>
      </c>
      <c r="F23" s="1014">
        <v>9.9</v>
      </c>
      <c r="G23" s="1013">
        <v>9.3000000000000007</v>
      </c>
      <c r="H23" s="1012">
        <v>100</v>
      </c>
    </row>
    <row r="24" spans="1:8" ht="12.65" customHeight="1">
      <c r="A24" s="1017" t="s">
        <v>6002</v>
      </c>
      <c r="B24" s="1017" t="s">
        <v>5519</v>
      </c>
      <c r="C24" s="1017" t="s">
        <v>6003</v>
      </c>
      <c r="D24" s="1016">
        <v>0.19</v>
      </c>
      <c r="E24" s="1015">
        <v>93.8</v>
      </c>
      <c r="F24" s="1014">
        <v>10.8</v>
      </c>
      <c r="G24" s="1013">
        <v>25.7</v>
      </c>
      <c r="H24" s="1012">
        <v>96.8</v>
      </c>
    </row>
    <row r="25" spans="1:8" ht="12.65" customHeight="1">
      <c r="A25" s="1017" t="s">
        <v>5999</v>
      </c>
      <c r="B25" s="1017" t="s">
        <v>5519</v>
      </c>
      <c r="C25" s="1017" t="s">
        <v>6000</v>
      </c>
      <c r="D25" s="1016">
        <v>0.34</v>
      </c>
      <c r="E25" s="1015">
        <v>88</v>
      </c>
      <c r="F25" s="1014">
        <v>8.5</v>
      </c>
      <c r="G25" s="1013" t="s">
        <v>6080</v>
      </c>
      <c r="H25" s="1012">
        <v>98.4</v>
      </c>
    </row>
    <row r="26" spans="1:8" ht="12.65" customHeight="1">
      <c r="A26" s="1017" t="s">
        <v>5996</v>
      </c>
      <c r="B26" s="1017" t="s">
        <v>5519</v>
      </c>
      <c r="C26" s="1017" t="s">
        <v>5997</v>
      </c>
      <c r="D26" s="1016">
        <v>0.72</v>
      </c>
      <c r="E26" s="1015">
        <v>87.6</v>
      </c>
      <c r="F26" s="1014">
        <v>7.4</v>
      </c>
      <c r="G26" s="1013" t="s">
        <v>6080</v>
      </c>
      <c r="H26" s="1012">
        <v>97.2</v>
      </c>
    </row>
    <row r="27" spans="1:8" ht="12.65" customHeight="1">
      <c r="A27" s="1017" t="s">
        <v>5993</v>
      </c>
      <c r="B27" s="1017" t="s">
        <v>5519</v>
      </c>
      <c r="C27" s="1017" t="s">
        <v>5994</v>
      </c>
      <c r="D27" s="1016">
        <v>0.39</v>
      </c>
      <c r="E27" s="1015">
        <v>90</v>
      </c>
      <c r="F27" s="1014">
        <v>6.8</v>
      </c>
      <c r="G27" s="1013">
        <v>18.2</v>
      </c>
      <c r="H27" s="1012">
        <v>97.5</v>
      </c>
    </row>
    <row r="28" spans="1:8" ht="12.65" customHeight="1">
      <c r="A28" s="1017" t="s">
        <v>5990</v>
      </c>
      <c r="B28" s="1017" t="s">
        <v>5519</v>
      </c>
      <c r="C28" s="1017" t="s">
        <v>5991</v>
      </c>
      <c r="D28" s="1016">
        <v>0.28999999999999998</v>
      </c>
      <c r="E28" s="1015">
        <v>84.8</v>
      </c>
      <c r="F28" s="1014">
        <v>6.2</v>
      </c>
      <c r="G28" s="1013">
        <v>33.6</v>
      </c>
      <c r="H28" s="1012">
        <v>99</v>
      </c>
    </row>
    <row r="29" spans="1:8" ht="12.65" customHeight="1">
      <c r="A29" s="1017" t="s">
        <v>5987</v>
      </c>
      <c r="B29" s="1017" t="s">
        <v>5519</v>
      </c>
      <c r="C29" s="1017" t="s">
        <v>5988</v>
      </c>
      <c r="D29" s="1016">
        <v>0.1</v>
      </c>
      <c r="E29" s="1015">
        <v>92.8</v>
      </c>
      <c r="F29" s="1014">
        <v>8.6999999999999993</v>
      </c>
      <c r="G29" s="1013" t="s">
        <v>6080</v>
      </c>
      <c r="H29" s="1012">
        <v>96.2</v>
      </c>
    </row>
    <row r="30" spans="1:8" ht="12.65" customHeight="1">
      <c r="A30" s="1017" t="s">
        <v>5984</v>
      </c>
      <c r="B30" s="1017" t="s">
        <v>5519</v>
      </c>
      <c r="C30" s="1017" t="s">
        <v>5985</v>
      </c>
      <c r="D30" s="1016">
        <v>0.26</v>
      </c>
      <c r="E30" s="1015">
        <v>81</v>
      </c>
      <c r="F30" s="1014">
        <v>15.5</v>
      </c>
      <c r="G30" s="1013">
        <v>122.1</v>
      </c>
      <c r="H30" s="1012">
        <v>98.4</v>
      </c>
    </row>
    <row r="31" spans="1:8" ht="12.65" customHeight="1">
      <c r="A31" s="1017" t="s">
        <v>5981</v>
      </c>
      <c r="B31" s="1017" t="s">
        <v>5519</v>
      </c>
      <c r="C31" s="1017" t="s">
        <v>5982</v>
      </c>
      <c r="D31" s="1016">
        <v>0.35</v>
      </c>
      <c r="E31" s="1015">
        <v>91.3</v>
      </c>
      <c r="F31" s="1014">
        <v>8.5</v>
      </c>
      <c r="G31" s="1013">
        <v>49</v>
      </c>
      <c r="H31" s="1012">
        <v>98.6</v>
      </c>
    </row>
    <row r="32" spans="1:8" ht="12.65" customHeight="1">
      <c r="A32" s="1017" t="s">
        <v>5978</v>
      </c>
      <c r="B32" s="1017" t="s">
        <v>5519</v>
      </c>
      <c r="C32" s="1017" t="s">
        <v>5979</v>
      </c>
      <c r="D32" s="1016">
        <v>0.46</v>
      </c>
      <c r="E32" s="1015">
        <v>96.2</v>
      </c>
      <c r="F32" s="1014">
        <v>10.4</v>
      </c>
      <c r="G32" s="1013">
        <v>54.8</v>
      </c>
      <c r="H32" s="1012">
        <v>96.9</v>
      </c>
    </row>
    <row r="33" spans="1:8" ht="12.65" customHeight="1">
      <c r="A33" s="1017" t="s">
        <v>5975</v>
      </c>
      <c r="B33" s="1017" t="s">
        <v>5519</v>
      </c>
      <c r="C33" s="1017" t="s">
        <v>5976</v>
      </c>
      <c r="D33" s="1016">
        <v>0.59</v>
      </c>
      <c r="E33" s="1015">
        <v>93.2</v>
      </c>
      <c r="F33" s="1014">
        <v>7.1</v>
      </c>
      <c r="G33" s="1013" t="s">
        <v>6080</v>
      </c>
      <c r="H33" s="1012">
        <v>98.1</v>
      </c>
    </row>
    <row r="34" spans="1:8" ht="12.65" customHeight="1">
      <c r="A34" s="1017" t="s">
        <v>5973</v>
      </c>
      <c r="B34" s="1017" t="s">
        <v>5519</v>
      </c>
      <c r="C34" s="1017" t="s">
        <v>4965</v>
      </c>
      <c r="D34" s="1016">
        <v>0.38</v>
      </c>
      <c r="E34" s="1015">
        <v>91.5</v>
      </c>
      <c r="F34" s="1014">
        <v>4.8</v>
      </c>
      <c r="G34" s="1013" t="s">
        <v>6080</v>
      </c>
      <c r="H34" s="1012">
        <v>98.6</v>
      </c>
    </row>
    <row r="35" spans="1:8" ht="12.65" customHeight="1">
      <c r="A35" s="1017" t="s">
        <v>5971</v>
      </c>
      <c r="B35" s="1017" t="s">
        <v>5519</v>
      </c>
      <c r="C35" s="1017" t="s">
        <v>5972</v>
      </c>
      <c r="D35" s="1016">
        <v>0.62</v>
      </c>
      <c r="E35" s="1015">
        <v>95.3</v>
      </c>
      <c r="F35" s="1014">
        <v>8</v>
      </c>
      <c r="G35" s="1013">
        <v>91</v>
      </c>
      <c r="H35" s="1012">
        <v>99.2</v>
      </c>
    </row>
    <row r="36" spans="1:8" ht="12.65" customHeight="1">
      <c r="A36" s="1017" t="s">
        <v>5968</v>
      </c>
      <c r="B36" s="1017" t="s">
        <v>5519</v>
      </c>
      <c r="C36" s="1017" t="s">
        <v>5969</v>
      </c>
      <c r="D36" s="1016">
        <v>0.54</v>
      </c>
      <c r="E36" s="1015">
        <v>94.4</v>
      </c>
      <c r="F36" s="1014">
        <v>6.4</v>
      </c>
      <c r="G36" s="1013">
        <v>41.6</v>
      </c>
      <c r="H36" s="1012">
        <v>96.8</v>
      </c>
    </row>
    <row r="37" spans="1:8" ht="12.65" customHeight="1">
      <c r="A37" s="1017" t="s">
        <v>5965</v>
      </c>
      <c r="B37" s="1017" t="s">
        <v>5519</v>
      </c>
      <c r="C37" s="1017" t="s">
        <v>5966</v>
      </c>
      <c r="D37" s="1016">
        <v>0.48</v>
      </c>
      <c r="E37" s="1015">
        <v>89.8</v>
      </c>
      <c r="F37" s="1014">
        <v>5.6</v>
      </c>
      <c r="G37" s="1013" t="s">
        <v>6080</v>
      </c>
      <c r="H37" s="1012">
        <v>97.5</v>
      </c>
    </row>
    <row r="38" spans="1:8" ht="12.65" customHeight="1">
      <c r="A38" s="1017" t="s">
        <v>5963</v>
      </c>
      <c r="B38" s="1017" t="s">
        <v>5519</v>
      </c>
      <c r="C38" s="1017" t="s">
        <v>5964</v>
      </c>
      <c r="D38" s="1016">
        <v>0.36</v>
      </c>
      <c r="E38" s="1015">
        <v>91.2</v>
      </c>
      <c r="F38" s="1014">
        <v>9.6</v>
      </c>
      <c r="G38" s="1013">
        <v>28.6</v>
      </c>
      <c r="H38" s="1012">
        <v>97.5</v>
      </c>
    </row>
    <row r="39" spans="1:8" ht="12.65" customHeight="1">
      <c r="A39" s="1017" t="s">
        <v>5960</v>
      </c>
      <c r="B39" s="1017" t="s">
        <v>5519</v>
      </c>
      <c r="C39" s="1017" t="s">
        <v>5961</v>
      </c>
      <c r="D39" s="1016">
        <v>0.18</v>
      </c>
      <c r="E39" s="1015">
        <v>87.9</v>
      </c>
      <c r="F39" s="1014">
        <v>3.5</v>
      </c>
      <c r="G39" s="1013" t="s">
        <v>6080</v>
      </c>
      <c r="H39" s="1012">
        <v>98.2</v>
      </c>
    </row>
    <row r="40" spans="1:8" ht="12.65" customHeight="1">
      <c r="A40" s="1017" t="s">
        <v>5958</v>
      </c>
      <c r="B40" s="1017" t="s">
        <v>5519</v>
      </c>
      <c r="C40" s="1017" t="s">
        <v>1652</v>
      </c>
      <c r="D40" s="1016">
        <v>0.18</v>
      </c>
      <c r="E40" s="1015">
        <v>86</v>
      </c>
      <c r="F40" s="1014">
        <v>7.5</v>
      </c>
      <c r="G40" s="1013">
        <v>10.5</v>
      </c>
      <c r="H40" s="1012">
        <v>97.6</v>
      </c>
    </row>
    <row r="41" spans="1:8" ht="12.65" customHeight="1">
      <c r="A41" s="1017" t="s">
        <v>5955</v>
      </c>
      <c r="B41" s="1017" t="s">
        <v>5519</v>
      </c>
      <c r="C41" s="1017" t="s">
        <v>5956</v>
      </c>
      <c r="D41" s="1016">
        <v>0.22</v>
      </c>
      <c r="E41" s="1015">
        <v>85.4</v>
      </c>
      <c r="F41" s="1014">
        <v>9.9</v>
      </c>
      <c r="G41" s="1013">
        <v>40.799999999999997</v>
      </c>
      <c r="H41" s="1012">
        <v>96.5</v>
      </c>
    </row>
    <row r="42" spans="1:8" ht="12.65" customHeight="1">
      <c r="A42" s="1017" t="s">
        <v>5952</v>
      </c>
      <c r="B42" s="1017" t="s">
        <v>5519</v>
      </c>
      <c r="C42" s="1017" t="s">
        <v>5953</v>
      </c>
      <c r="D42" s="1016">
        <v>0.27</v>
      </c>
      <c r="E42" s="1015">
        <v>79.900000000000006</v>
      </c>
      <c r="F42" s="1014">
        <v>8.3000000000000007</v>
      </c>
      <c r="G42" s="1013" t="s">
        <v>6080</v>
      </c>
      <c r="H42" s="1012">
        <v>96.6</v>
      </c>
    </row>
    <row r="43" spans="1:8" ht="12.65" customHeight="1">
      <c r="A43" s="1017" t="s">
        <v>5949</v>
      </c>
      <c r="B43" s="1017" t="s">
        <v>5519</v>
      </c>
      <c r="C43" s="1017" t="s">
        <v>5950</v>
      </c>
      <c r="D43" s="1016">
        <v>0.2</v>
      </c>
      <c r="E43" s="1015">
        <v>88.9</v>
      </c>
      <c r="F43" s="1014">
        <v>14.5</v>
      </c>
      <c r="G43" s="1013">
        <v>60.6</v>
      </c>
      <c r="H43" s="1012">
        <v>95.3</v>
      </c>
    </row>
    <row r="44" spans="1:8" ht="12.65" customHeight="1">
      <c r="A44" s="1017" t="s">
        <v>5946</v>
      </c>
      <c r="B44" s="1017" t="s">
        <v>5519</v>
      </c>
      <c r="C44" s="1017" t="s">
        <v>5947</v>
      </c>
      <c r="D44" s="1016">
        <v>0.45</v>
      </c>
      <c r="E44" s="1015">
        <v>89.4</v>
      </c>
      <c r="F44" s="1014">
        <v>7.6</v>
      </c>
      <c r="G44" s="1013">
        <v>7.1</v>
      </c>
      <c r="H44" s="1012">
        <v>98</v>
      </c>
    </row>
    <row r="45" spans="1:8" ht="12.65" customHeight="1">
      <c r="A45" s="1017" t="s">
        <v>5943</v>
      </c>
      <c r="B45" s="1017" t="s">
        <v>5519</v>
      </c>
      <c r="C45" s="1017" t="s">
        <v>5944</v>
      </c>
      <c r="D45" s="1016">
        <v>0.23</v>
      </c>
      <c r="E45" s="1015">
        <v>84.6</v>
      </c>
      <c r="F45" s="1014">
        <v>4.3</v>
      </c>
      <c r="G45" s="1013" t="s">
        <v>6080</v>
      </c>
      <c r="H45" s="1012">
        <v>95.4</v>
      </c>
    </row>
    <row r="46" spans="1:8" ht="12.65" customHeight="1">
      <c r="A46" s="1017" t="s">
        <v>5941</v>
      </c>
      <c r="B46" s="1017" t="s">
        <v>5519</v>
      </c>
      <c r="C46" s="1017" t="s">
        <v>3042</v>
      </c>
      <c r="D46" s="1016">
        <v>0.3</v>
      </c>
      <c r="E46" s="1015">
        <v>91.9</v>
      </c>
      <c r="F46" s="1014">
        <v>9.5</v>
      </c>
      <c r="G46" s="1013" t="s">
        <v>6080</v>
      </c>
      <c r="H46" s="1012">
        <v>98.2</v>
      </c>
    </row>
    <row r="47" spans="1:8" ht="12.65" customHeight="1">
      <c r="A47" s="1017" t="s">
        <v>5939</v>
      </c>
      <c r="B47" s="1017" t="s">
        <v>5519</v>
      </c>
      <c r="C47" s="1017" t="s">
        <v>5940</v>
      </c>
      <c r="D47" s="1016">
        <v>0.3</v>
      </c>
      <c r="E47" s="1015">
        <v>85.3</v>
      </c>
      <c r="F47" s="1014">
        <v>9.4</v>
      </c>
      <c r="G47" s="1013" t="s">
        <v>6080</v>
      </c>
      <c r="H47" s="1012">
        <v>96</v>
      </c>
    </row>
    <row r="48" spans="1:8" ht="12.65" customHeight="1">
      <c r="A48" s="1017" t="s">
        <v>5936</v>
      </c>
      <c r="B48" s="1017" t="s">
        <v>5519</v>
      </c>
      <c r="C48" s="1017" t="s">
        <v>5937</v>
      </c>
      <c r="D48" s="1016">
        <v>0.22</v>
      </c>
      <c r="E48" s="1015">
        <v>87.8</v>
      </c>
      <c r="F48" s="1014">
        <v>9.9</v>
      </c>
      <c r="G48" s="1013">
        <v>30.2</v>
      </c>
      <c r="H48" s="1012">
        <v>95.9</v>
      </c>
    </row>
    <row r="49" spans="1:8" ht="12.65" customHeight="1">
      <c r="A49" s="1017" t="s">
        <v>5932</v>
      </c>
      <c r="B49" s="1017" t="s">
        <v>5519</v>
      </c>
      <c r="C49" s="1017" t="s">
        <v>5933</v>
      </c>
      <c r="D49" s="1016">
        <v>0.25</v>
      </c>
      <c r="E49" s="1015">
        <v>91.6</v>
      </c>
      <c r="F49" s="1014">
        <v>12.3</v>
      </c>
      <c r="G49" s="1013">
        <v>44.8</v>
      </c>
      <c r="H49" s="1012">
        <v>97.7</v>
      </c>
    </row>
    <row r="50" spans="1:8" ht="12.65" customHeight="1">
      <c r="A50" s="1017" t="s">
        <v>5930</v>
      </c>
      <c r="B50" s="1017" t="s">
        <v>5519</v>
      </c>
      <c r="C50" s="1017" t="s">
        <v>5931</v>
      </c>
      <c r="D50" s="1016">
        <v>0.16</v>
      </c>
      <c r="E50" s="1015">
        <v>86.4</v>
      </c>
      <c r="F50" s="1014">
        <v>9.6</v>
      </c>
      <c r="G50" s="1013" t="s">
        <v>6080</v>
      </c>
      <c r="H50" s="1012">
        <v>97.5</v>
      </c>
    </row>
    <row r="51" spans="1:8" ht="12.65" customHeight="1">
      <c r="A51" s="1017" t="s">
        <v>5927</v>
      </c>
      <c r="B51" s="1017" t="s">
        <v>5519</v>
      </c>
      <c r="C51" s="1017" t="s">
        <v>5928</v>
      </c>
      <c r="D51" s="1016">
        <v>0.16</v>
      </c>
      <c r="E51" s="1015">
        <v>79.900000000000006</v>
      </c>
      <c r="F51" s="1014">
        <v>7.1</v>
      </c>
      <c r="G51" s="1013" t="s">
        <v>6080</v>
      </c>
      <c r="H51" s="1012">
        <v>92.3</v>
      </c>
    </row>
    <row r="52" spans="1:8" ht="12.65" customHeight="1">
      <c r="A52" s="1017" t="s">
        <v>5924</v>
      </c>
      <c r="B52" s="1017" t="s">
        <v>5519</v>
      </c>
      <c r="C52" s="1017" t="s">
        <v>5925</v>
      </c>
      <c r="D52" s="1016">
        <v>0.13</v>
      </c>
      <c r="E52" s="1015">
        <v>68.099999999999994</v>
      </c>
      <c r="F52" s="1014">
        <v>6.7</v>
      </c>
      <c r="G52" s="1013" t="s">
        <v>6080</v>
      </c>
      <c r="H52" s="1012">
        <v>95.9</v>
      </c>
    </row>
    <row r="53" spans="1:8" ht="12.65" customHeight="1">
      <c r="A53" s="1017" t="s">
        <v>5921</v>
      </c>
      <c r="B53" s="1017" t="s">
        <v>5519</v>
      </c>
      <c r="C53" s="1017" t="s">
        <v>5922</v>
      </c>
      <c r="D53" s="1016">
        <v>0.13</v>
      </c>
      <c r="E53" s="1015">
        <v>88.1</v>
      </c>
      <c r="F53" s="1014">
        <v>8.1999999999999993</v>
      </c>
      <c r="G53" s="1013">
        <v>54.6</v>
      </c>
      <c r="H53" s="1012">
        <v>92.9</v>
      </c>
    </row>
    <row r="54" spans="1:8" ht="12.65" customHeight="1">
      <c r="A54" s="1017" t="s">
        <v>5918</v>
      </c>
      <c r="B54" s="1017" t="s">
        <v>5519</v>
      </c>
      <c r="C54" s="1017" t="s">
        <v>5919</v>
      </c>
      <c r="D54" s="1016">
        <v>0.19</v>
      </c>
      <c r="E54" s="1015">
        <v>79.3</v>
      </c>
      <c r="F54" s="1014">
        <v>8.3000000000000007</v>
      </c>
      <c r="G54" s="1013" t="s">
        <v>6080</v>
      </c>
      <c r="H54" s="1012">
        <v>95.6</v>
      </c>
    </row>
    <row r="55" spans="1:8" ht="12.65" customHeight="1">
      <c r="A55" s="1017" t="s">
        <v>5915</v>
      </c>
      <c r="B55" s="1017" t="s">
        <v>5519</v>
      </c>
      <c r="C55" s="1017" t="s">
        <v>5916</v>
      </c>
      <c r="D55" s="1016">
        <v>0.17</v>
      </c>
      <c r="E55" s="1015">
        <v>86</v>
      </c>
      <c r="F55" s="1014">
        <v>8.4</v>
      </c>
      <c r="G55" s="1013" t="s">
        <v>6080</v>
      </c>
      <c r="H55" s="1012">
        <v>94.2</v>
      </c>
    </row>
    <row r="56" spans="1:8" ht="12.65" customHeight="1">
      <c r="A56" s="1017" t="s">
        <v>5911</v>
      </c>
      <c r="B56" s="1017" t="s">
        <v>5519</v>
      </c>
      <c r="C56" s="1017" t="s">
        <v>5912</v>
      </c>
      <c r="D56" s="1016">
        <v>0.08</v>
      </c>
      <c r="E56" s="1015">
        <v>87.6</v>
      </c>
      <c r="F56" s="1014">
        <v>6.6</v>
      </c>
      <c r="G56" s="1013">
        <v>17</v>
      </c>
      <c r="H56" s="1012">
        <v>97.4</v>
      </c>
    </row>
    <row r="57" spans="1:8" ht="12.65" customHeight="1">
      <c r="A57" s="1017" t="s">
        <v>5908</v>
      </c>
      <c r="B57" s="1017" t="s">
        <v>5519</v>
      </c>
      <c r="C57" s="1017" t="s">
        <v>5909</v>
      </c>
      <c r="D57" s="1016">
        <v>0.14000000000000001</v>
      </c>
      <c r="E57" s="1015">
        <v>83.1</v>
      </c>
      <c r="F57" s="1014">
        <v>13.4</v>
      </c>
      <c r="G57" s="1013" t="s">
        <v>6080</v>
      </c>
      <c r="H57" s="1012">
        <v>98.4</v>
      </c>
    </row>
    <row r="58" spans="1:8" ht="12.65" customHeight="1">
      <c r="A58" s="1017" t="s">
        <v>5905</v>
      </c>
      <c r="B58" s="1017" t="s">
        <v>5519</v>
      </c>
      <c r="C58" s="1017" t="s">
        <v>5906</v>
      </c>
      <c r="D58" s="1016">
        <v>0.14000000000000001</v>
      </c>
      <c r="E58" s="1015">
        <v>84.5</v>
      </c>
      <c r="F58" s="1014">
        <v>12.6</v>
      </c>
      <c r="G58" s="1013">
        <v>7.4</v>
      </c>
      <c r="H58" s="1012">
        <v>95.8</v>
      </c>
    </row>
    <row r="59" spans="1:8" ht="12.65" customHeight="1">
      <c r="A59" s="1017" t="s">
        <v>5902</v>
      </c>
      <c r="B59" s="1017" t="s">
        <v>5519</v>
      </c>
      <c r="C59" s="1017" t="s">
        <v>5903</v>
      </c>
      <c r="D59" s="1016">
        <v>0.18</v>
      </c>
      <c r="E59" s="1015">
        <v>83</v>
      </c>
      <c r="F59" s="1014">
        <v>10.6</v>
      </c>
      <c r="G59" s="1013" t="s">
        <v>6080</v>
      </c>
      <c r="H59" s="1012">
        <v>92.5</v>
      </c>
    </row>
    <row r="60" spans="1:8" ht="12.65" customHeight="1">
      <c r="A60" s="1017" t="s">
        <v>5899</v>
      </c>
      <c r="B60" s="1017" t="s">
        <v>5519</v>
      </c>
      <c r="C60" s="1017" t="s">
        <v>5900</v>
      </c>
      <c r="D60" s="1016">
        <v>0.28999999999999998</v>
      </c>
      <c r="E60" s="1015">
        <v>87.9</v>
      </c>
      <c r="F60" s="1014">
        <v>4.2</v>
      </c>
      <c r="G60" s="1013">
        <v>37.9</v>
      </c>
      <c r="H60" s="1012">
        <v>95.8</v>
      </c>
    </row>
    <row r="61" spans="1:8" ht="12.65" customHeight="1">
      <c r="A61" s="1017" t="s">
        <v>5896</v>
      </c>
      <c r="B61" s="1017" t="s">
        <v>5519</v>
      </c>
      <c r="C61" s="1017" t="s">
        <v>5897</v>
      </c>
      <c r="D61" s="1016">
        <v>0.15</v>
      </c>
      <c r="E61" s="1015">
        <v>89.9</v>
      </c>
      <c r="F61" s="1014">
        <v>9.4</v>
      </c>
      <c r="G61" s="1013">
        <v>42.1</v>
      </c>
      <c r="H61" s="1012">
        <v>94.9</v>
      </c>
    </row>
    <row r="62" spans="1:8" ht="12.65" customHeight="1">
      <c r="A62" s="1017" t="s">
        <v>5893</v>
      </c>
      <c r="B62" s="1017" t="s">
        <v>5519</v>
      </c>
      <c r="C62" s="1017" t="s">
        <v>5894</v>
      </c>
      <c r="D62" s="1016">
        <v>0.23</v>
      </c>
      <c r="E62" s="1015">
        <v>83.9</v>
      </c>
      <c r="F62" s="1014">
        <v>12.7</v>
      </c>
      <c r="G62" s="1013">
        <v>47.3</v>
      </c>
      <c r="H62" s="1012">
        <v>97.3</v>
      </c>
    </row>
    <row r="63" spans="1:8" ht="12.65" customHeight="1">
      <c r="A63" s="1017" t="s">
        <v>5890</v>
      </c>
      <c r="B63" s="1017" t="s">
        <v>5519</v>
      </c>
      <c r="C63" s="1017" t="s">
        <v>5891</v>
      </c>
      <c r="D63" s="1016">
        <v>0.18</v>
      </c>
      <c r="E63" s="1015">
        <v>85.8</v>
      </c>
      <c r="F63" s="1014">
        <v>8.6999999999999993</v>
      </c>
      <c r="G63" s="1013">
        <v>61</v>
      </c>
      <c r="H63" s="1012">
        <v>95.3</v>
      </c>
    </row>
    <row r="64" spans="1:8" ht="12.65" customHeight="1">
      <c r="A64" s="1017" t="s">
        <v>5887</v>
      </c>
      <c r="B64" s="1017" t="s">
        <v>5519</v>
      </c>
      <c r="C64" s="1017" t="s">
        <v>5888</v>
      </c>
      <c r="D64" s="1016">
        <v>0.63</v>
      </c>
      <c r="E64" s="1015">
        <v>78</v>
      </c>
      <c r="F64" s="1014">
        <v>8</v>
      </c>
      <c r="G64" s="1013" t="s">
        <v>6080</v>
      </c>
      <c r="H64" s="1012">
        <v>96.7</v>
      </c>
    </row>
    <row r="65" spans="1:8" ht="12.65" customHeight="1">
      <c r="A65" s="1017" t="s">
        <v>5884</v>
      </c>
      <c r="B65" s="1017" t="s">
        <v>5519</v>
      </c>
      <c r="C65" s="1017" t="s">
        <v>5885</v>
      </c>
      <c r="D65" s="1016">
        <v>0.65</v>
      </c>
      <c r="E65" s="1015">
        <v>87</v>
      </c>
      <c r="F65" s="1014">
        <v>8.1</v>
      </c>
      <c r="G65" s="1013">
        <v>21.3</v>
      </c>
      <c r="H65" s="1012">
        <v>96.5</v>
      </c>
    </row>
    <row r="66" spans="1:8" ht="12.65" customHeight="1">
      <c r="A66" s="1017" t="s">
        <v>5881</v>
      </c>
      <c r="B66" s="1017" t="s">
        <v>5519</v>
      </c>
      <c r="C66" s="1017" t="s">
        <v>5882</v>
      </c>
      <c r="D66" s="1016">
        <v>0.23</v>
      </c>
      <c r="E66" s="1015">
        <v>89.9</v>
      </c>
      <c r="F66" s="1014">
        <v>8.8000000000000007</v>
      </c>
      <c r="G66" s="1013" t="s">
        <v>6080</v>
      </c>
      <c r="H66" s="1012">
        <v>96.5</v>
      </c>
    </row>
    <row r="67" spans="1:8" ht="12.65" customHeight="1">
      <c r="A67" s="1017" t="s">
        <v>5878</v>
      </c>
      <c r="B67" s="1017" t="s">
        <v>5519</v>
      </c>
      <c r="C67" s="1017" t="s">
        <v>5879</v>
      </c>
      <c r="D67" s="1016">
        <v>0.28999999999999998</v>
      </c>
      <c r="E67" s="1015">
        <v>92.2</v>
      </c>
      <c r="F67" s="1014">
        <v>12.5</v>
      </c>
      <c r="G67" s="1013">
        <v>83.4</v>
      </c>
      <c r="H67" s="1012">
        <v>96.6</v>
      </c>
    </row>
    <row r="68" spans="1:8" ht="12.65" customHeight="1">
      <c r="A68" s="1017" t="s">
        <v>5875</v>
      </c>
      <c r="B68" s="1017" t="s">
        <v>5519</v>
      </c>
      <c r="C68" s="1017" t="s">
        <v>5876</v>
      </c>
      <c r="D68" s="1016">
        <v>1.44</v>
      </c>
      <c r="E68" s="1015">
        <v>47.8</v>
      </c>
      <c r="F68" s="1014">
        <v>1.8</v>
      </c>
      <c r="G68" s="1013" t="s">
        <v>6080</v>
      </c>
      <c r="H68" s="1012">
        <v>97.3</v>
      </c>
    </row>
    <row r="69" spans="1:8" ht="12.65" customHeight="1">
      <c r="A69" s="1017" t="s">
        <v>5871</v>
      </c>
      <c r="B69" s="1017" t="s">
        <v>5519</v>
      </c>
      <c r="C69" s="1017" t="s">
        <v>5872</v>
      </c>
      <c r="D69" s="1016">
        <v>0.1</v>
      </c>
      <c r="E69" s="1015">
        <v>84.4</v>
      </c>
      <c r="F69" s="1014">
        <v>5.0999999999999996</v>
      </c>
      <c r="G69" s="1013">
        <v>7.7</v>
      </c>
      <c r="H69" s="1012">
        <v>97.9</v>
      </c>
    </row>
    <row r="70" spans="1:8" ht="12.65" customHeight="1">
      <c r="A70" s="1017" t="s">
        <v>5867</v>
      </c>
      <c r="B70" s="1017" t="s">
        <v>5519</v>
      </c>
      <c r="C70" s="1017" t="s">
        <v>5868</v>
      </c>
      <c r="D70" s="1016">
        <v>0.11</v>
      </c>
      <c r="E70" s="1015">
        <v>88.6</v>
      </c>
      <c r="F70" s="1014">
        <v>9.6</v>
      </c>
      <c r="G70" s="1013">
        <v>13.5</v>
      </c>
      <c r="H70" s="1012">
        <v>99.3</v>
      </c>
    </row>
    <row r="71" spans="1:8" ht="12.65" customHeight="1">
      <c r="A71" s="1017" t="s">
        <v>5864</v>
      </c>
      <c r="B71" s="1017" t="s">
        <v>5519</v>
      </c>
      <c r="C71" s="1017" t="s">
        <v>5865</v>
      </c>
      <c r="D71" s="1016">
        <v>0.12</v>
      </c>
      <c r="E71" s="1015">
        <v>81.3</v>
      </c>
      <c r="F71" s="1014">
        <v>8.9</v>
      </c>
      <c r="G71" s="1013" t="s">
        <v>6080</v>
      </c>
      <c r="H71" s="1012">
        <v>94.9</v>
      </c>
    </row>
    <row r="72" spans="1:8" ht="12.65" customHeight="1">
      <c r="A72" s="1017" t="s">
        <v>5861</v>
      </c>
      <c r="B72" s="1017" t="s">
        <v>5519</v>
      </c>
      <c r="C72" s="1017" t="s">
        <v>5862</v>
      </c>
      <c r="D72" s="1016">
        <v>0.17</v>
      </c>
      <c r="E72" s="1015">
        <v>81.7</v>
      </c>
      <c r="F72" s="1014">
        <v>9.1999999999999993</v>
      </c>
      <c r="G72" s="1013" t="s">
        <v>6080</v>
      </c>
      <c r="H72" s="1012">
        <v>97.7</v>
      </c>
    </row>
    <row r="73" spans="1:8" ht="12.65" customHeight="1">
      <c r="A73" s="1017" t="s">
        <v>5858</v>
      </c>
      <c r="B73" s="1017" t="s">
        <v>5519</v>
      </c>
      <c r="C73" s="1017" t="s">
        <v>5859</v>
      </c>
      <c r="D73" s="1016">
        <v>0.33</v>
      </c>
      <c r="E73" s="1015">
        <v>89.7</v>
      </c>
      <c r="F73" s="1014">
        <v>5.4</v>
      </c>
      <c r="G73" s="1013">
        <v>13.9</v>
      </c>
      <c r="H73" s="1012">
        <v>97.6</v>
      </c>
    </row>
    <row r="74" spans="1:8" ht="12.65" customHeight="1">
      <c r="A74" s="1017" t="s">
        <v>5855</v>
      </c>
      <c r="B74" s="1017" t="s">
        <v>5519</v>
      </c>
      <c r="C74" s="1017" t="s">
        <v>5856</v>
      </c>
      <c r="D74" s="1016">
        <v>0.23</v>
      </c>
      <c r="E74" s="1015">
        <v>92.6</v>
      </c>
      <c r="F74" s="1014">
        <v>5.3</v>
      </c>
      <c r="G74" s="1013" t="s">
        <v>6080</v>
      </c>
      <c r="H74" s="1012">
        <v>97.8</v>
      </c>
    </row>
    <row r="75" spans="1:8" ht="12.65" customHeight="1">
      <c r="A75" s="1017" t="s">
        <v>5852</v>
      </c>
      <c r="B75" s="1017" t="s">
        <v>5519</v>
      </c>
      <c r="C75" s="1017" t="s">
        <v>5853</v>
      </c>
      <c r="D75" s="1016">
        <v>0.28000000000000003</v>
      </c>
      <c r="E75" s="1015">
        <v>91</v>
      </c>
      <c r="F75" s="1014">
        <v>11.7</v>
      </c>
      <c r="G75" s="1013">
        <v>111.2</v>
      </c>
      <c r="H75" s="1012">
        <v>96.5</v>
      </c>
    </row>
    <row r="76" spans="1:8" ht="12.65" customHeight="1">
      <c r="A76" s="1017" t="s">
        <v>5849</v>
      </c>
      <c r="B76" s="1017" t="s">
        <v>5519</v>
      </c>
      <c r="C76" s="1017" t="s">
        <v>5850</v>
      </c>
      <c r="D76" s="1016">
        <v>0.23</v>
      </c>
      <c r="E76" s="1015">
        <v>87.2</v>
      </c>
      <c r="F76" s="1014">
        <v>9.1</v>
      </c>
      <c r="G76" s="1013">
        <v>81</v>
      </c>
      <c r="H76" s="1012">
        <v>96.2</v>
      </c>
    </row>
    <row r="77" spans="1:8" ht="12.65" customHeight="1">
      <c r="A77" s="1017" t="s">
        <v>5846</v>
      </c>
      <c r="B77" s="1017" t="s">
        <v>5519</v>
      </c>
      <c r="C77" s="1017" t="s">
        <v>5847</v>
      </c>
      <c r="D77" s="1016">
        <v>0.11</v>
      </c>
      <c r="E77" s="1015">
        <v>86.4</v>
      </c>
      <c r="F77" s="1014">
        <v>5.5</v>
      </c>
      <c r="G77" s="1013">
        <v>22.9</v>
      </c>
      <c r="H77" s="1012">
        <v>95.3</v>
      </c>
    </row>
    <row r="78" spans="1:8" ht="12.65" customHeight="1">
      <c r="A78" s="1017" t="s">
        <v>5843</v>
      </c>
      <c r="B78" s="1017" t="s">
        <v>5519</v>
      </c>
      <c r="C78" s="1017" t="s">
        <v>5844</v>
      </c>
      <c r="D78" s="1016">
        <v>0.22</v>
      </c>
      <c r="E78" s="1015">
        <v>88.6</v>
      </c>
      <c r="F78" s="1014">
        <v>13.9</v>
      </c>
      <c r="G78" s="1013">
        <v>38.700000000000003</v>
      </c>
      <c r="H78" s="1012">
        <v>96.2</v>
      </c>
    </row>
    <row r="79" spans="1:8" ht="12.65" customHeight="1">
      <c r="A79" s="1017" t="s">
        <v>5840</v>
      </c>
      <c r="B79" s="1017" t="s">
        <v>5519</v>
      </c>
      <c r="C79" s="1017" t="s">
        <v>5841</v>
      </c>
      <c r="D79" s="1016">
        <v>0.3</v>
      </c>
      <c r="E79" s="1015">
        <v>87.4</v>
      </c>
      <c r="F79" s="1014">
        <v>10.4</v>
      </c>
      <c r="G79" s="1013">
        <v>21.3</v>
      </c>
      <c r="H79" s="1012">
        <v>96.8</v>
      </c>
    </row>
    <row r="80" spans="1:8" ht="12.65" customHeight="1">
      <c r="A80" s="1017" t="s">
        <v>5837</v>
      </c>
      <c r="B80" s="1017" t="s">
        <v>5519</v>
      </c>
      <c r="C80" s="1017" t="s">
        <v>5838</v>
      </c>
      <c r="D80" s="1016">
        <v>0.28999999999999998</v>
      </c>
      <c r="E80" s="1015">
        <v>92.1</v>
      </c>
      <c r="F80" s="1014">
        <v>6.4</v>
      </c>
      <c r="G80" s="1013">
        <v>32.5</v>
      </c>
      <c r="H80" s="1012">
        <v>96.8</v>
      </c>
    </row>
    <row r="81" spans="1:8" ht="12.65" customHeight="1">
      <c r="A81" s="1017" t="s">
        <v>5834</v>
      </c>
      <c r="B81" s="1017" t="s">
        <v>5519</v>
      </c>
      <c r="C81" s="1017" t="s">
        <v>5835</v>
      </c>
      <c r="D81" s="1016">
        <v>0.15</v>
      </c>
      <c r="E81" s="1015">
        <v>87.2</v>
      </c>
      <c r="F81" s="1014">
        <v>4.5</v>
      </c>
      <c r="G81" s="1013" t="s">
        <v>6080</v>
      </c>
      <c r="H81" s="1012">
        <v>97.4</v>
      </c>
    </row>
    <row r="82" spans="1:8" ht="12.65" customHeight="1">
      <c r="A82" s="1017" t="s">
        <v>5831</v>
      </c>
      <c r="B82" s="1017" t="s">
        <v>5519</v>
      </c>
      <c r="C82" s="1017" t="s">
        <v>5832</v>
      </c>
      <c r="D82" s="1016">
        <v>0.14000000000000001</v>
      </c>
      <c r="E82" s="1015">
        <v>83.3</v>
      </c>
      <c r="F82" s="1014">
        <v>14.2</v>
      </c>
      <c r="G82" s="1013" t="s">
        <v>6080</v>
      </c>
      <c r="H82" s="1012">
        <v>96</v>
      </c>
    </row>
    <row r="83" spans="1:8" ht="12.65" customHeight="1">
      <c r="A83" s="1017" t="s">
        <v>5828</v>
      </c>
      <c r="B83" s="1017" t="s">
        <v>5519</v>
      </c>
      <c r="C83" s="1017" t="s">
        <v>5829</v>
      </c>
      <c r="D83" s="1016">
        <v>0.18</v>
      </c>
      <c r="E83" s="1015">
        <v>80.7</v>
      </c>
      <c r="F83" s="1014">
        <v>6.3</v>
      </c>
      <c r="G83" s="1013" t="s">
        <v>6080</v>
      </c>
      <c r="H83" s="1012">
        <v>95.9</v>
      </c>
    </row>
    <row r="84" spans="1:8" ht="12.65" customHeight="1">
      <c r="A84" s="1017" t="s">
        <v>5825</v>
      </c>
      <c r="B84" s="1017" t="s">
        <v>5519</v>
      </c>
      <c r="C84" s="1017" t="s">
        <v>5826</v>
      </c>
      <c r="D84" s="1016">
        <v>0.16</v>
      </c>
      <c r="E84" s="1015">
        <v>74.099999999999994</v>
      </c>
      <c r="F84" s="1014">
        <v>6</v>
      </c>
      <c r="G84" s="1013" t="s">
        <v>6080</v>
      </c>
      <c r="H84" s="1012">
        <v>98.6</v>
      </c>
    </row>
    <row r="85" spans="1:8" ht="12.65" customHeight="1">
      <c r="A85" s="1017" t="s">
        <v>5822</v>
      </c>
      <c r="B85" s="1017" t="s">
        <v>5519</v>
      </c>
      <c r="C85" s="1017" t="s">
        <v>5823</v>
      </c>
      <c r="D85" s="1016">
        <v>0.15</v>
      </c>
      <c r="E85" s="1015">
        <v>90.6</v>
      </c>
      <c r="F85" s="1014">
        <v>5.9</v>
      </c>
      <c r="G85" s="1013" t="s">
        <v>6080</v>
      </c>
      <c r="H85" s="1012">
        <v>97.6</v>
      </c>
    </row>
    <row r="86" spans="1:8" ht="12.65" customHeight="1">
      <c r="A86" s="1017" t="s">
        <v>5819</v>
      </c>
      <c r="B86" s="1017" t="s">
        <v>5519</v>
      </c>
      <c r="C86" s="1017" t="s">
        <v>5820</v>
      </c>
      <c r="D86" s="1016">
        <v>0.15</v>
      </c>
      <c r="E86" s="1015">
        <v>88</v>
      </c>
      <c r="F86" s="1014">
        <v>7.6</v>
      </c>
      <c r="G86" s="1013" t="s">
        <v>6080</v>
      </c>
      <c r="H86" s="1012">
        <v>96.6</v>
      </c>
    </row>
    <row r="87" spans="1:8" ht="12.65" customHeight="1">
      <c r="A87" s="1017" t="s">
        <v>5816</v>
      </c>
      <c r="B87" s="1017" t="s">
        <v>5519</v>
      </c>
      <c r="C87" s="1017" t="s">
        <v>5817</v>
      </c>
      <c r="D87" s="1016">
        <v>0.12</v>
      </c>
      <c r="E87" s="1015">
        <v>90.4</v>
      </c>
      <c r="F87" s="1014">
        <v>10.7</v>
      </c>
      <c r="G87" s="1013" t="s">
        <v>6080</v>
      </c>
      <c r="H87" s="1012">
        <v>99.5</v>
      </c>
    </row>
    <row r="88" spans="1:8" ht="12.65" customHeight="1">
      <c r="A88" s="1017" t="s">
        <v>5812</v>
      </c>
      <c r="B88" s="1017" t="s">
        <v>5519</v>
      </c>
      <c r="C88" s="1017" t="s">
        <v>5813</v>
      </c>
      <c r="D88" s="1016">
        <v>0.15</v>
      </c>
      <c r="E88" s="1015">
        <v>82</v>
      </c>
      <c r="F88" s="1014">
        <v>0.2</v>
      </c>
      <c r="G88" s="1013" t="s">
        <v>6080</v>
      </c>
      <c r="H88" s="1012">
        <v>95.5</v>
      </c>
    </row>
    <row r="89" spans="1:8" ht="12.65" customHeight="1">
      <c r="A89" s="1017" t="s">
        <v>5809</v>
      </c>
      <c r="B89" s="1017" t="s">
        <v>5519</v>
      </c>
      <c r="C89" s="1017" t="s">
        <v>5810</v>
      </c>
      <c r="D89" s="1016">
        <v>0.27</v>
      </c>
      <c r="E89" s="1015">
        <v>81</v>
      </c>
      <c r="F89" s="1014">
        <v>6.2</v>
      </c>
      <c r="G89" s="1013">
        <v>5.0999999999999996</v>
      </c>
      <c r="H89" s="1012">
        <v>97.3</v>
      </c>
    </row>
    <row r="90" spans="1:8" ht="12.65" customHeight="1">
      <c r="A90" s="1017" t="s">
        <v>5806</v>
      </c>
      <c r="B90" s="1017" t="s">
        <v>5519</v>
      </c>
      <c r="C90" s="1017" t="s">
        <v>5807</v>
      </c>
      <c r="D90" s="1016">
        <v>0.36</v>
      </c>
      <c r="E90" s="1015">
        <v>79.3</v>
      </c>
      <c r="F90" s="1014">
        <v>8.3000000000000007</v>
      </c>
      <c r="G90" s="1013">
        <v>47.7</v>
      </c>
      <c r="H90" s="1012">
        <v>97.5</v>
      </c>
    </row>
    <row r="91" spans="1:8" ht="12.65" customHeight="1">
      <c r="A91" s="1017" t="s">
        <v>5803</v>
      </c>
      <c r="B91" s="1017" t="s">
        <v>5519</v>
      </c>
      <c r="C91" s="1017" t="s">
        <v>5804</v>
      </c>
      <c r="D91" s="1016">
        <v>0.2</v>
      </c>
      <c r="E91" s="1015">
        <v>85</v>
      </c>
      <c r="F91" s="1014">
        <v>7.2</v>
      </c>
      <c r="G91" s="1013">
        <v>29.7</v>
      </c>
      <c r="H91" s="1012">
        <v>96</v>
      </c>
    </row>
    <row r="92" spans="1:8" ht="12.65" customHeight="1">
      <c r="A92" s="1017" t="s">
        <v>5800</v>
      </c>
      <c r="B92" s="1017" t="s">
        <v>5519</v>
      </c>
      <c r="C92" s="1017" t="s">
        <v>5801</v>
      </c>
      <c r="D92" s="1016">
        <v>0.17</v>
      </c>
      <c r="E92" s="1015">
        <v>93</v>
      </c>
      <c r="F92" s="1014">
        <v>6.8</v>
      </c>
      <c r="G92" s="1013">
        <v>6.7</v>
      </c>
      <c r="H92" s="1012">
        <v>95.4</v>
      </c>
    </row>
    <row r="93" spans="1:8" ht="12.65" customHeight="1">
      <c r="A93" s="1017" t="s">
        <v>5797</v>
      </c>
      <c r="B93" s="1017" t="s">
        <v>5519</v>
      </c>
      <c r="C93" s="1017" t="s">
        <v>5798</v>
      </c>
      <c r="D93" s="1016">
        <v>0.15</v>
      </c>
      <c r="E93" s="1015">
        <v>89.8</v>
      </c>
      <c r="F93" s="1014">
        <v>7.8</v>
      </c>
      <c r="G93" s="1013" t="s">
        <v>6080</v>
      </c>
      <c r="H93" s="1012">
        <v>95.3</v>
      </c>
    </row>
    <row r="94" spans="1:8" ht="12.65" customHeight="1">
      <c r="A94" s="1017" t="s">
        <v>5794</v>
      </c>
      <c r="B94" s="1017" t="s">
        <v>5519</v>
      </c>
      <c r="C94" s="1017" t="s">
        <v>5795</v>
      </c>
      <c r="D94" s="1016">
        <v>0.15</v>
      </c>
      <c r="E94" s="1015">
        <v>86.3</v>
      </c>
      <c r="F94" s="1014">
        <v>10.199999999999999</v>
      </c>
      <c r="G94" s="1013">
        <v>63.3</v>
      </c>
      <c r="H94" s="1012">
        <v>102</v>
      </c>
    </row>
    <row r="95" spans="1:8" ht="12.65" customHeight="1">
      <c r="A95" s="1017" t="s">
        <v>5792</v>
      </c>
      <c r="B95" s="1017" t="s">
        <v>5519</v>
      </c>
      <c r="C95" s="1017" t="s">
        <v>5793</v>
      </c>
      <c r="D95" s="1016">
        <v>0.23</v>
      </c>
      <c r="E95" s="1015">
        <v>80.900000000000006</v>
      </c>
      <c r="F95" s="1014">
        <v>7.3</v>
      </c>
      <c r="G95" s="1013">
        <v>3.4</v>
      </c>
      <c r="H95" s="1012">
        <v>97.8</v>
      </c>
    </row>
    <row r="96" spans="1:8" ht="12.65" customHeight="1">
      <c r="A96" s="1017" t="s">
        <v>5789</v>
      </c>
      <c r="B96" s="1017" t="s">
        <v>5519</v>
      </c>
      <c r="C96" s="1017" t="s">
        <v>5790</v>
      </c>
      <c r="D96" s="1016">
        <v>0.21</v>
      </c>
      <c r="E96" s="1015">
        <v>85.4</v>
      </c>
      <c r="F96" s="1014">
        <v>13.4</v>
      </c>
      <c r="G96" s="1013">
        <v>24.7</v>
      </c>
      <c r="H96" s="1012">
        <v>99.5</v>
      </c>
    </row>
    <row r="97" spans="1:8" ht="12.65" customHeight="1">
      <c r="A97" s="1017" t="s">
        <v>5786</v>
      </c>
      <c r="B97" s="1017" t="s">
        <v>5519</v>
      </c>
      <c r="C97" s="1017" t="s">
        <v>5787</v>
      </c>
      <c r="D97" s="1016">
        <v>0.28999999999999998</v>
      </c>
      <c r="E97" s="1015">
        <v>86.7</v>
      </c>
      <c r="F97" s="1014">
        <v>9.1999999999999993</v>
      </c>
      <c r="G97" s="1013">
        <v>37.6</v>
      </c>
      <c r="H97" s="1012">
        <v>97.6</v>
      </c>
    </row>
    <row r="98" spans="1:8" ht="12.65" customHeight="1">
      <c r="A98" s="1017" t="s">
        <v>5783</v>
      </c>
      <c r="B98" s="1017" t="s">
        <v>5519</v>
      </c>
      <c r="C98" s="1017" t="s">
        <v>5784</v>
      </c>
      <c r="D98" s="1016">
        <v>0.22</v>
      </c>
      <c r="E98" s="1015">
        <v>75.8</v>
      </c>
      <c r="F98" s="1014">
        <v>5.4</v>
      </c>
      <c r="G98" s="1013">
        <v>2.4</v>
      </c>
      <c r="H98" s="1012">
        <v>96</v>
      </c>
    </row>
    <row r="99" spans="1:8" ht="12.65" customHeight="1">
      <c r="A99" s="1017" t="s">
        <v>5779</v>
      </c>
      <c r="B99" s="1017" t="s">
        <v>5519</v>
      </c>
      <c r="C99" s="1017" t="s">
        <v>5780</v>
      </c>
      <c r="D99" s="1016">
        <v>0.13</v>
      </c>
      <c r="E99" s="1015">
        <v>84.4</v>
      </c>
      <c r="F99" s="1014">
        <v>10.8</v>
      </c>
      <c r="G99" s="1013" t="s">
        <v>6080</v>
      </c>
      <c r="H99" s="1012">
        <v>96</v>
      </c>
    </row>
    <row r="100" spans="1:8" ht="12.65" customHeight="1">
      <c r="A100" s="1017" t="s">
        <v>5776</v>
      </c>
      <c r="B100" s="1017" t="s">
        <v>5519</v>
      </c>
      <c r="C100" s="1017" t="s">
        <v>5777</v>
      </c>
      <c r="D100" s="1016">
        <v>0.23</v>
      </c>
      <c r="E100" s="1015">
        <v>91.5</v>
      </c>
      <c r="F100" s="1014">
        <v>7.2</v>
      </c>
      <c r="G100" s="1013">
        <v>36.4</v>
      </c>
      <c r="H100" s="1012">
        <v>100.9</v>
      </c>
    </row>
    <row r="101" spans="1:8" ht="12.65" customHeight="1">
      <c r="A101" s="1017" t="s">
        <v>5773</v>
      </c>
      <c r="B101" s="1017" t="s">
        <v>5519</v>
      </c>
      <c r="C101" s="1017" t="s">
        <v>5774</v>
      </c>
      <c r="D101" s="1016">
        <v>0.16</v>
      </c>
      <c r="E101" s="1015">
        <v>82.5</v>
      </c>
      <c r="F101" s="1014">
        <v>6.3</v>
      </c>
      <c r="G101" s="1013" t="s">
        <v>6080</v>
      </c>
      <c r="H101" s="1012">
        <v>96.9</v>
      </c>
    </row>
    <row r="102" spans="1:8" ht="12.65" customHeight="1">
      <c r="A102" s="1017" t="s">
        <v>5770</v>
      </c>
      <c r="B102" s="1017" t="s">
        <v>5519</v>
      </c>
      <c r="C102" s="1017" t="s">
        <v>5771</v>
      </c>
      <c r="D102" s="1016">
        <v>0.15</v>
      </c>
      <c r="E102" s="1015">
        <v>89.5</v>
      </c>
      <c r="F102" s="1014">
        <v>6.8</v>
      </c>
      <c r="G102" s="1013" t="s">
        <v>6080</v>
      </c>
      <c r="H102" s="1012">
        <v>99.2</v>
      </c>
    </row>
    <row r="103" spans="1:8" ht="12.65" customHeight="1">
      <c r="A103" s="1017" t="s">
        <v>5767</v>
      </c>
      <c r="B103" s="1017" t="s">
        <v>5519</v>
      </c>
      <c r="C103" s="1017" t="s">
        <v>5768</v>
      </c>
      <c r="D103" s="1016">
        <v>0.14000000000000001</v>
      </c>
      <c r="E103" s="1015">
        <v>86.9</v>
      </c>
      <c r="F103" s="1014">
        <v>7</v>
      </c>
      <c r="G103" s="1013">
        <v>11.3</v>
      </c>
      <c r="H103" s="1012">
        <v>96.4</v>
      </c>
    </row>
    <row r="104" spans="1:8" ht="12.65" customHeight="1">
      <c r="A104" s="1017" t="s">
        <v>5764</v>
      </c>
      <c r="B104" s="1017" t="s">
        <v>5519</v>
      </c>
      <c r="C104" s="1017" t="s">
        <v>5765</v>
      </c>
      <c r="D104" s="1016">
        <v>0.15</v>
      </c>
      <c r="E104" s="1015">
        <v>77.8</v>
      </c>
      <c r="F104" s="1014">
        <v>6.1</v>
      </c>
      <c r="G104" s="1013" t="s">
        <v>6080</v>
      </c>
      <c r="H104" s="1012">
        <v>95.4</v>
      </c>
    </row>
    <row r="105" spans="1:8" ht="12.65" customHeight="1">
      <c r="A105" s="1017" t="s">
        <v>5761</v>
      </c>
      <c r="B105" s="1017" t="s">
        <v>5519</v>
      </c>
      <c r="C105" s="1017" t="s">
        <v>5762</v>
      </c>
      <c r="D105" s="1016">
        <v>0.1</v>
      </c>
      <c r="E105" s="1015">
        <v>91.3</v>
      </c>
      <c r="F105" s="1014">
        <v>7.1</v>
      </c>
      <c r="G105" s="1013">
        <v>2.2999999999999998</v>
      </c>
      <c r="H105" s="1012">
        <v>95.8</v>
      </c>
    </row>
    <row r="106" spans="1:8" ht="12.65" customHeight="1">
      <c r="A106" s="1017" t="s">
        <v>5758</v>
      </c>
      <c r="B106" s="1017" t="s">
        <v>5519</v>
      </c>
      <c r="C106" s="1017" t="s">
        <v>5759</v>
      </c>
      <c r="D106" s="1016">
        <v>0.11</v>
      </c>
      <c r="E106" s="1015">
        <v>92.3</v>
      </c>
      <c r="F106" s="1014">
        <v>13.8</v>
      </c>
      <c r="G106" s="1013" t="s">
        <v>6080</v>
      </c>
      <c r="H106" s="1012">
        <v>97.4</v>
      </c>
    </row>
    <row r="107" spans="1:8" ht="12.65" customHeight="1">
      <c r="A107" s="1017" t="s">
        <v>5755</v>
      </c>
      <c r="B107" s="1017" t="s">
        <v>5519</v>
      </c>
      <c r="C107" s="1017" t="s">
        <v>5756</v>
      </c>
      <c r="D107" s="1016">
        <v>0.1</v>
      </c>
      <c r="E107" s="1015">
        <v>88.4</v>
      </c>
      <c r="F107" s="1014">
        <v>5.3</v>
      </c>
      <c r="G107" s="1013" t="s">
        <v>6080</v>
      </c>
      <c r="H107" s="1012">
        <v>95.9</v>
      </c>
    </row>
    <row r="108" spans="1:8" ht="12.65" customHeight="1">
      <c r="A108" s="1017" t="s">
        <v>5752</v>
      </c>
      <c r="B108" s="1017" t="s">
        <v>5519</v>
      </c>
      <c r="C108" s="1017" t="s">
        <v>5753</v>
      </c>
      <c r="D108" s="1016">
        <v>0.15</v>
      </c>
      <c r="E108" s="1015">
        <v>72.7</v>
      </c>
      <c r="F108" s="1014">
        <v>6</v>
      </c>
      <c r="G108" s="1013" t="s">
        <v>6080</v>
      </c>
      <c r="H108" s="1012">
        <v>96.3</v>
      </c>
    </row>
    <row r="109" spans="1:8" ht="12.65" customHeight="1">
      <c r="A109" s="1017" t="s">
        <v>5749</v>
      </c>
      <c r="B109" s="1017" t="s">
        <v>5519</v>
      </c>
      <c r="C109" s="1017" t="s">
        <v>5750</v>
      </c>
      <c r="D109" s="1016">
        <v>0.14000000000000001</v>
      </c>
      <c r="E109" s="1015">
        <v>80.8</v>
      </c>
      <c r="F109" s="1014">
        <v>9.5</v>
      </c>
      <c r="G109" s="1013" t="s">
        <v>6080</v>
      </c>
      <c r="H109" s="1012">
        <v>95</v>
      </c>
    </row>
    <row r="110" spans="1:8" ht="12.65" customHeight="1">
      <c r="A110" s="1017" t="s">
        <v>5746</v>
      </c>
      <c r="B110" s="1017" t="s">
        <v>5519</v>
      </c>
      <c r="C110" s="1017" t="s">
        <v>5747</v>
      </c>
      <c r="D110" s="1016">
        <v>0.14000000000000001</v>
      </c>
      <c r="E110" s="1015">
        <v>82.6</v>
      </c>
      <c r="F110" s="1014">
        <v>9.5</v>
      </c>
      <c r="G110" s="1013" t="s">
        <v>6080</v>
      </c>
      <c r="H110" s="1012">
        <v>95.1</v>
      </c>
    </row>
    <row r="111" spans="1:8" ht="12.65" customHeight="1">
      <c r="A111" s="1017" t="s">
        <v>5743</v>
      </c>
      <c r="B111" s="1017" t="s">
        <v>5519</v>
      </c>
      <c r="C111" s="1017" t="s">
        <v>5744</v>
      </c>
      <c r="D111" s="1016">
        <v>0.2</v>
      </c>
      <c r="E111" s="1015">
        <v>83.1</v>
      </c>
      <c r="F111" s="1014">
        <v>9</v>
      </c>
      <c r="G111" s="1013" t="s">
        <v>6080</v>
      </c>
      <c r="H111" s="1012">
        <v>95.3</v>
      </c>
    </row>
    <row r="112" spans="1:8" ht="12.65" customHeight="1">
      <c r="A112" s="1017" t="s">
        <v>5740</v>
      </c>
      <c r="B112" s="1017" t="s">
        <v>5519</v>
      </c>
      <c r="C112" s="1017" t="s">
        <v>5741</v>
      </c>
      <c r="D112" s="1016">
        <v>0.11</v>
      </c>
      <c r="E112" s="1015">
        <v>78.599999999999994</v>
      </c>
      <c r="F112" s="1014">
        <v>7.2</v>
      </c>
      <c r="G112" s="1013" t="s">
        <v>6080</v>
      </c>
      <c r="H112" s="1012">
        <v>94.7</v>
      </c>
    </row>
    <row r="113" spans="1:8" ht="12.65" customHeight="1">
      <c r="A113" s="1017" t="s">
        <v>5737</v>
      </c>
      <c r="B113" s="1017" t="s">
        <v>5519</v>
      </c>
      <c r="C113" s="1017" t="s">
        <v>5738</v>
      </c>
      <c r="D113" s="1016">
        <v>0.13</v>
      </c>
      <c r="E113" s="1015">
        <v>79</v>
      </c>
      <c r="F113" s="1014">
        <v>9.1999999999999993</v>
      </c>
      <c r="G113" s="1013" t="s">
        <v>6080</v>
      </c>
      <c r="H113" s="1012">
        <v>96.8</v>
      </c>
    </row>
    <row r="114" spans="1:8" ht="12.65" customHeight="1">
      <c r="A114" s="1017" t="s">
        <v>5734</v>
      </c>
      <c r="B114" s="1017" t="s">
        <v>5519</v>
      </c>
      <c r="C114" s="1017" t="s">
        <v>5735</v>
      </c>
      <c r="D114" s="1016">
        <v>0.16</v>
      </c>
      <c r="E114" s="1015">
        <v>75.599999999999994</v>
      </c>
      <c r="F114" s="1014">
        <v>7.3</v>
      </c>
      <c r="G114" s="1013">
        <v>3.4</v>
      </c>
      <c r="H114" s="1012">
        <v>96.9</v>
      </c>
    </row>
    <row r="115" spans="1:8" ht="12.65" customHeight="1">
      <c r="A115" s="1017" t="s">
        <v>5731</v>
      </c>
      <c r="B115" s="1017" t="s">
        <v>5519</v>
      </c>
      <c r="C115" s="1017" t="s">
        <v>5732</v>
      </c>
      <c r="D115" s="1016">
        <v>0.21</v>
      </c>
      <c r="E115" s="1015">
        <v>85.1</v>
      </c>
      <c r="F115" s="1014">
        <v>10.1</v>
      </c>
      <c r="G115" s="1013">
        <v>27.6</v>
      </c>
      <c r="H115" s="1012">
        <v>96.2</v>
      </c>
    </row>
    <row r="116" spans="1:8" ht="12.65" customHeight="1">
      <c r="A116" s="1017" t="s">
        <v>5728</v>
      </c>
      <c r="B116" s="1017" t="s">
        <v>5519</v>
      </c>
      <c r="C116" s="1017" t="s">
        <v>5729</v>
      </c>
      <c r="D116" s="1016">
        <v>0.19</v>
      </c>
      <c r="E116" s="1015">
        <v>88.5</v>
      </c>
      <c r="F116" s="1014">
        <v>9.8000000000000007</v>
      </c>
      <c r="G116" s="1013">
        <v>4.9000000000000004</v>
      </c>
      <c r="H116" s="1012">
        <v>96.2</v>
      </c>
    </row>
    <row r="117" spans="1:8" ht="12.65" customHeight="1">
      <c r="A117" s="1017" t="s">
        <v>5725</v>
      </c>
      <c r="B117" s="1017" t="s">
        <v>5519</v>
      </c>
      <c r="C117" s="1017" t="s">
        <v>5726</v>
      </c>
      <c r="D117" s="1016">
        <v>0.11</v>
      </c>
      <c r="E117" s="1015">
        <v>64.099999999999994</v>
      </c>
      <c r="F117" s="1014">
        <v>-0.3</v>
      </c>
      <c r="G117" s="1013" t="s">
        <v>6080</v>
      </c>
      <c r="H117" s="1012">
        <v>93.4</v>
      </c>
    </row>
    <row r="118" spans="1:8" ht="12.65" customHeight="1">
      <c r="A118" s="1017" t="s">
        <v>5722</v>
      </c>
      <c r="B118" s="1017" t="s">
        <v>5519</v>
      </c>
      <c r="C118" s="1017" t="s">
        <v>5723</v>
      </c>
      <c r="D118" s="1016">
        <v>0.21</v>
      </c>
      <c r="E118" s="1015">
        <v>76.400000000000006</v>
      </c>
      <c r="F118" s="1014">
        <v>9.5</v>
      </c>
      <c r="G118" s="1013" t="s">
        <v>6080</v>
      </c>
      <c r="H118" s="1012">
        <v>95.2</v>
      </c>
    </row>
    <row r="119" spans="1:8" ht="12.65" customHeight="1">
      <c r="A119" s="1017" t="s">
        <v>5719</v>
      </c>
      <c r="B119" s="1017" t="s">
        <v>5519</v>
      </c>
      <c r="C119" s="1017" t="s">
        <v>5720</v>
      </c>
      <c r="D119" s="1016">
        <v>0.19</v>
      </c>
      <c r="E119" s="1015">
        <v>71.5</v>
      </c>
      <c r="F119" s="1014">
        <v>10.8</v>
      </c>
      <c r="G119" s="1013" t="s">
        <v>6080</v>
      </c>
      <c r="H119" s="1012">
        <v>95.8</v>
      </c>
    </row>
    <row r="120" spans="1:8" ht="12.65" customHeight="1">
      <c r="A120" s="1017" t="s">
        <v>5716</v>
      </c>
      <c r="B120" s="1017" t="s">
        <v>5519</v>
      </c>
      <c r="C120" s="1017" t="s">
        <v>5717</v>
      </c>
      <c r="D120" s="1016">
        <v>0.12</v>
      </c>
      <c r="E120" s="1015">
        <v>76.5</v>
      </c>
      <c r="F120" s="1014">
        <v>12.3</v>
      </c>
      <c r="G120" s="1013" t="s">
        <v>6080</v>
      </c>
      <c r="H120" s="1012">
        <v>94.5</v>
      </c>
    </row>
    <row r="121" spans="1:8" ht="12.65" customHeight="1">
      <c r="A121" s="1017" t="s">
        <v>5713</v>
      </c>
      <c r="B121" s="1017" t="s">
        <v>5519</v>
      </c>
      <c r="C121" s="1017" t="s">
        <v>5714</v>
      </c>
      <c r="D121" s="1016">
        <v>0.11</v>
      </c>
      <c r="E121" s="1015">
        <v>76.7</v>
      </c>
      <c r="F121" s="1014">
        <v>13.7</v>
      </c>
      <c r="G121" s="1013">
        <v>62.8</v>
      </c>
      <c r="H121" s="1012">
        <v>92.2</v>
      </c>
    </row>
    <row r="122" spans="1:8" ht="12.65" customHeight="1">
      <c r="A122" s="1017" t="s">
        <v>5710</v>
      </c>
      <c r="B122" s="1017" t="s">
        <v>5519</v>
      </c>
      <c r="C122" s="1017" t="s">
        <v>5711</v>
      </c>
      <c r="D122" s="1016">
        <v>0.12</v>
      </c>
      <c r="E122" s="1015">
        <v>77.599999999999994</v>
      </c>
      <c r="F122" s="1014">
        <v>13.7</v>
      </c>
      <c r="G122" s="1013" t="s">
        <v>6080</v>
      </c>
      <c r="H122" s="1012">
        <v>95.8</v>
      </c>
    </row>
    <row r="123" spans="1:8" ht="12.65" customHeight="1">
      <c r="A123" s="1017" t="s">
        <v>5707</v>
      </c>
      <c r="B123" s="1017" t="s">
        <v>5519</v>
      </c>
      <c r="C123" s="1017" t="s">
        <v>5708</v>
      </c>
      <c r="D123" s="1016">
        <v>0.22</v>
      </c>
      <c r="E123" s="1015">
        <v>77.3</v>
      </c>
      <c r="F123" s="1014">
        <v>4.3</v>
      </c>
      <c r="G123" s="1013" t="s">
        <v>6080</v>
      </c>
      <c r="H123" s="1012">
        <v>95.4</v>
      </c>
    </row>
    <row r="124" spans="1:8" ht="12.65" customHeight="1">
      <c r="A124" s="1017" t="s">
        <v>5704</v>
      </c>
      <c r="B124" s="1017" t="s">
        <v>5519</v>
      </c>
      <c r="C124" s="1017" t="s">
        <v>5705</v>
      </c>
      <c r="D124" s="1016">
        <v>0.35</v>
      </c>
      <c r="E124" s="1015">
        <v>86.1</v>
      </c>
      <c r="F124" s="1014">
        <v>7.2</v>
      </c>
      <c r="G124" s="1013" t="s">
        <v>6080</v>
      </c>
      <c r="H124" s="1012">
        <v>96.4</v>
      </c>
    </row>
    <row r="125" spans="1:8" ht="12.65" customHeight="1">
      <c r="A125" s="1017" t="s">
        <v>5701</v>
      </c>
      <c r="B125" s="1017" t="s">
        <v>5519</v>
      </c>
      <c r="C125" s="1017" t="s">
        <v>5702</v>
      </c>
      <c r="D125" s="1016">
        <v>0.2</v>
      </c>
      <c r="E125" s="1015">
        <v>83.7</v>
      </c>
      <c r="F125" s="1014">
        <v>5.6</v>
      </c>
      <c r="G125" s="1013" t="s">
        <v>6080</v>
      </c>
      <c r="H125" s="1012">
        <v>98.1</v>
      </c>
    </row>
    <row r="126" spans="1:8" ht="12.65" customHeight="1">
      <c r="A126" s="1017" t="s">
        <v>5698</v>
      </c>
      <c r="B126" s="1017" t="s">
        <v>5519</v>
      </c>
      <c r="C126" s="1017" t="s">
        <v>5699</v>
      </c>
      <c r="D126" s="1016">
        <v>0.33</v>
      </c>
      <c r="E126" s="1015">
        <v>86.3</v>
      </c>
      <c r="F126" s="1014">
        <v>11.4</v>
      </c>
      <c r="G126" s="1013">
        <v>42.1</v>
      </c>
      <c r="H126" s="1012">
        <v>95.6</v>
      </c>
    </row>
    <row r="127" spans="1:8" ht="12.65" customHeight="1">
      <c r="A127" s="1017" t="s">
        <v>5695</v>
      </c>
      <c r="B127" s="1017" t="s">
        <v>5519</v>
      </c>
      <c r="C127" s="1017" t="s">
        <v>5696</v>
      </c>
      <c r="D127" s="1016">
        <v>0.18</v>
      </c>
      <c r="E127" s="1015">
        <v>84.9</v>
      </c>
      <c r="F127" s="1014">
        <v>9.1999999999999993</v>
      </c>
      <c r="G127" s="1013" t="s">
        <v>6080</v>
      </c>
      <c r="H127" s="1012">
        <v>97</v>
      </c>
    </row>
    <row r="128" spans="1:8" ht="12.65" customHeight="1">
      <c r="A128" s="1017" t="s">
        <v>5692</v>
      </c>
      <c r="B128" s="1017" t="s">
        <v>5519</v>
      </c>
      <c r="C128" s="1017" t="s">
        <v>5693</v>
      </c>
      <c r="D128" s="1016">
        <v>0.21</v>
      </c>
      <c r="E128" s="1015">
        <v>81.400000000000006</v>
      </c>
      <c r="F128" s="1014">
        <v>9.9</v>
      </c>
      <c r="G128" s="1013">
        <v>41.9</v>
      </c>
      <c r="H128" s="1012">
        <v>97.9</v>
      </c>
    </row>
    <row r="129" spans="1:8" ht="12.65" customHeight="1">
      <c r="A129" s="1017" t="s">
        <v>5689</v>
      </c>
      <c r="B129" s="1017" t="s">
        <v>5519</v>
      </c>
      <c r="C129" s="1017" t="s">
        <v>5690</v>
      </c>
      <c r="D129" s="1016">
        <v>0.22</v>
      </c>
      <c r="E129" s="1015">
        <v>75.3</v>
      </c>
      <c r="F129" s="1014">
        <v>8</v>
      </c>
      <c r="G129" s="1013" t="s">
        <v>6080</v>
      </c>
      <c r="H129" s="1012">
        <v>95.7</v>
      </c>
    </row>
    <row r="130" spans="1:8" ht="12.65" customHeight="1">
      <c r="A130" s="1017" t="s">
        <v>5685</v>
      </c>
      <c r="B130" s="1017" t="s">
        <v>5519</v>
      </c>
      <c r="C130" s="1017" t="s">
        <v>5686</v>
      </c>
      <c r="D130" s="1016">
        <v>0.13</v>
      </c>
      <c r="E130" s="1015">
        <v>73.8</v>
      </c>
      <c r="F130" s="1014">
        <v>8.1999999999999993</v>
      </c>
      <c r="G130" s="1013" t="s">
        <v>6080</v>
      </c>
      <c r="H130" s="1012">
        <v>97.9</v>
      </c>
    </row>
    <row r="131" spans="1:8" ht="12.65" customHeight="1">
      <c r="A131" s="1017" t="s">
        <v>5680</v>
      </c>
      <c r="B131" s="1017" t="s">
        <v>5519</v>
      </c>
      <c r="C131" s="1017" t="s">
        <v>5681</v>
      </c>
      <c r="D131" s="1016">
        <v>0.24</v>
      </c>
      <c r="E131" s="1015">
        <v>79.8</v>
      </c>
      <c r="F131" s="1014">
        <v>7.5</v>
      </c>
      <c r="G131" s="1013" t="s">
        <v>6080</v>
      </c>
      <c r="H131" s="1012">
        <v>98.6</v>
      </c>
    </row>
    <row r="132" spans="1:8" ht="12.65" customHeight="1">
      <c r="A132" s="1017" t="s">
        <v>5677</v>
      </c>
      <c r="B132" s="1017" t="s">
        <v>5519</v>
      </c>
      <c r="C132" s="1017" t="s">
        <v>5678</v>
      </c>
      <c r="D132" s="1016">
        <v>0.26</v>
      </c>
      <c r="E132" s="1015">
        <v>91.5</v>
      </c>
      <c r="F132" s="1014">
        <v>10.6</v>
      </c>
      <c r="G132" s="1013">
        <v>25.4</v>
      </c>
      <c r="H132" s="1012">
        <v>96.3</v>
      </c>
    </row>
    <row r="133" spans="1:8" ht="12.65" customHeight="1">
      <c r="A133" s="1017" t="s">
        <v>5674</v>
      </c>
      <c r="B133" s="1017" t="s">
        <v>5519</v>
      </c>
      <c r="C133" s="1017" t="s">
        <v>5675</v>
      </c>
      <c r="D133" s="1016">
        <v>0.25</v>
      </c>
      <c r="E133" s="1015">
        <v>77.5</v>
      </c>
      <c r="F133" s="1014">
        <v>8.8000000000000007</v>
      </c>
      <c r="G133" s="1013" t="s">
        <v>6080</v>
      </c>
      <c r="H133" s="1012">
        <v>96.2</v>
      </c>
    </row>
    <row r="134" spans="1:8" ht="12.65" customHeight="1">
      <c r="A134" s="1017" t="s">
        <v>5671</v>
      </c>
      <c r="B134" s="1017" t="s">
        <v>5519</v>
      </c>
      <c r="C134" s="1017" t="s">
        <v>5672</v>
      </c>
      <c r="D134" s="1016">
        <v>0.12</v>
      </c>
      <c r="E134" s="1015">
        <v>86.5</v>
      </c>
      <c r="F134" s="1014">
        <v>7.1</v>
      </c>
      <c r="G134" s="1013" t="s">
        <v>6080</v>
      </c>
      <c r="H134" s="1012">
        <v>94.7</v>
      </c>
    </row>
    <row r="135" spans="1:8" ht="12.65" customHeight="1">
      <c r="A135" s="1017" t="s">
        <v>5668</v>
      </c>
      <c r="B135" s="1017" t="s">
        <v>5519</v>
      </c>
      <c r="C135" s="1017" t="s">
        <v>5669</v>
      </c>
      <c r="D135" s="1016">
        <v>0.21</v>
      </c>
      <c r="E135" s="1015">
        <v>75.900000000000006</v>
      </c>
      <c r="F135" s="1014">
        <v>7.3</v>
      </c>
      <c r="G135" s="1013" t="s">
        <v>6080</v>
      </c>
      <c r="H135" s="1012">
        <v>97.2</v>
      </c>
    </row>
    <row r="136" spans="1:8" ht="12.65" customHeight="1">
      <c r="A136" s="1017" t="s">
        <v>5665</v>
      </c>
      <c r="B136" s="1017" t="s">
        <v>5519</v>
      </c>
      <c r="C136" s="1017" t="s">
        <v>5666</v>
      </c>
      <c r="D136" s="1016">
        <v>0.1</v>
      </c>
      <c r="E136" s="1015">
        <v>78.400000000000006</v>
      </c>
      <c r="F136" s="1014">
        <v>9.1999999999999993</v>
      </c>
      <c r="G136" s="1013" t="s">
        <v>6080</v>
      </c>
      <c r="H136" s="1012">
        <v>96.4</v>
      </c>
    </row>
    <row r="137" spans="1:8" ht="12.65" customHeight="1">
      <c r="A137" s="1017" t="s">
        <v>5662</v>
      </c>
      <c r="B137" s="1017" t="s">
        <v>5519</v>
      </c>
      <c r="C137" s="1017" t="s">
        <v>5663</v>
      </c>
      <c r="D137" s="1016">
        <v>0.2</v>
      </c>
      <c r="E137" s="1015">
        <v>75.400000000000006</v>
      </c>
      <c r="F137" s="1014">
        <v>7.7</v>
      </c>
      <c r="G137" s="1013" t="s">
        <v>6080</v>
      </c>
      <c r="H137" s="1012">
        <v>98.1</v>
      </c>
    </row>
    <row r="138" spans="1:8" ht="12.65" customHeight="1">
      <c r="A138" s="1017" t="s">
        <v>5659</v>
      </c>
      <c r="B138" s="1017" t="s">
        <v>5519</v>
      </c>
      <c r="C138" s="1017" t="s">
        <v>5660</v>
      </c>
      <c r="D138" s="1016">
        <v>0.24</v>
      </c>
      <c r="E138" s="1015">
        <v>90.8</v>
      </c>
      <c r="F138" s="1014">
        <v>9.6</v>
      </c>
      <c r="G138" s="1013" t="s">
        <v>6080</v>
      </c>
      <c r="H138" s="1012">
        <v>96.9</v>
      </c>
    </row>
    <row r="139" spans="1:8" ht="12.65" customHeight="1">
      <c r="A139" s="1017" t="s">
        <v>5656</v>
      </c>
      <c r="B139" s="1017" t="s">
        <v>5519</v>
      </c>
      <c r="C139" s="1017" t="s">
        <v>5657</v>
      </c>
      <c r="D139" s="1016">
        <v>0.16</v>
      </c>
      <c r="E139" s="1015">
        <v>89.9</v>
      </c>
      <c r="F139" s="1014">
        <v>14.1</v>
      </c>
      <c r="G139" s="1013">
        <v>6.6</v>
      </c>
      <c r="H139" s="1012">
        <v>97.7</v>
      </c>
    </row>
    <row r="140" spans="1:8" ht="12.65" customHeight="1">
      <c r="A140" s="1017" t="s">
        <v>5653</v>
      </c>
      <c r="B140" s="1017" t="s">
        <v>5519</v>
      </c>
      <c r="C140" s="1017" t="s">
        <v>5654</v>
      </c>
      <c r="D140" s="1016">
        <v>0.19</v>
      </c>
      <c r="E140" s="1015">
        <v>81.900000000000006</v>
      </c>
      <c r="F140" s="1014">
        <v>8.6999999999999993</v>
      </c>
      <c r="G140" s="1013" t="s">
        <v>6080</v>
      </c>
      <c r="H140" s="1012">
        <v>95.4</v>
      </c>
    </row>
    <row r="141" spans="1:8" ht="12.65" customHeight="1">
      <c r="A141" s="1017" t="s">
        <v>5650</v>
      </c>
      <c r="B141" s="1017" t="s">
        <v>5519</v>
      </c>
      <c r="C141" s="1017" t="s">
        <v>5651</v>
      </c>
      <c r="D141" s="1016">
        <v>0.38</v>
      </c>
      <c r="E141" s="1015">
        <v>88.6</v>
      </c>
      <c r="F141" s="1014">
        <v>10.8</v>
      </c>
      <c r="G141" s="1013" t="s">
        <v>6080</v>
      </c>
      <c r="H141" s="1012">
        <v>98.7</v>
      </c>
    </row>
    <row r="142" spans="1:8" ht="12.65" customHeight="1">
      <c r="A142" s="1017" t="s">
        <v>5647</v>
      </c>
      <c r="B142" s="1017" t="s">
        <v>5519</v>
      </c>
      <c r="C142" s="1017" t="s">
        <v>5648</v>
      </c>
      <c r="D142" s="1016">
        <v>0.39</v>
      </c>
      <c r="E142" s="1015">
        <v>86.6</v>
      </c>
      <c r="F142" s="1014">
        <v>13.4</v>
      </c>
      <c r="G142" s="1013" t="s">
        <v>6080</v>
      </c>
      <c r="H142" s="1012">
        <v>99.8</v>
      </c>
    </row>
    <row r="143" spans="1:8" ht="12.65" customHeight="1">
      <c r="A143" s="1017" t="s">
        <v>5644</v>
      </c>
      <c r="B143" s="1017" t="s">
        <v>5519</v>
      </c>
      <c r="C143" s="1017" t="s">
        <v>5645</v>
      </c>
      <c r="D143" s="1016">
        <v>0.26</v>
      </c>
      <c r="E143" s="1015">
        <v>92.8</v>
      </c>
      <c r="F143" s="1014">
        <v>10.8</v>
      </c>
      <c r="G143" s="1013">
        <v>23.9</v>
      </c>
      <c r="H143" s="1012">
        <v>97</v>
      </c>
    </row>
    <row r="144" spans="1:8" ht="12.65" customHeight="1">
      <c r="A144" s="1017" t="s">
        <v>5641</v>
      </c>
      <c r="B144" s="1017" t="s">
        <v>5519</v>
      </c>
      <c r="C144" s="1017" t="s">
        <v>5642</v>
      </c>
      <c r="D144" s="1016">
        <v>0.44</v>
      </c>
      <c r="E144" s="1015">
        <v>89.8</v>
      </c>
      <c r="F144" s="1014">
        <v>10.8</v>
      </c>
      <c r="G144" s="1013">
        <v>23.4</v>
      </c>
      <c r="H144" s="1012">
        <v>97.8</v>
      </c>
    </row>
    <row r="145" spans="1:8" ht="12.65" customHeight="1">
      <c r="A145" s="1017" t="s">
        <v>5638</v>
      </c>
      <c r="B145" s="1017" t="s">
        <v>5519</v>
      </c>
      <c r="C145" s="1017" t="s">
        <v>5639</v>
      </c>
      <c r="D145" s="1016">
        <v>0.23</v>
      </c>
      <c r="E145" s="1015">
        <v>88.5</v>
      </c>
      <c r="F145" s="1014">
        <v>8.5</v>
      </c>
      <c r="G145" s="1013">
        <v>14.2</v>
      </c>
      <c r="H145" s="1012">
        <v>98.7</v>
      </c>
    </row>
    <row r="146" spans="1:8" ht="12.65" customHeight="1">
      <c r="A146" s="1017" t="s">
        <v>5636</v>
      </c>
      <c r="B146" s="1017" t="s">
        <v>5519</v>
      </c>
      <c r="C146" s="1017" t="s">
        <v>2211</v>
      </c>
      <c r="D146" s="1016">
        <v>0.25</v>
      </c>
      <c r="E146" s="1015">
        <v>93.1</v>
      </c>
      <c r="F146" s="1014">
        <v>14</v>
      </c>
      <c r="G146" s="1013">
        <v>47.2</v>
      </c>
      <c r="H146" s="1012">
        <v>96.2</v>
      </c>
    </row>
    <row r="147" spans="1:8" ht="12.65" customHeight="1">
      <c r="A147" s="1017" t="s">
        <v>5634</v>
      </c>
      <c r="B147" s="1017" t="s">
        <v>5519</v>
      </c>
      <c r="C147" s="1017" t="s">
        <v>5635</v>
      </c>
      <c r="D147" s="1016">
        <v>0.17</v>
      </c>
      <c r="E147" s="1015">
        <v>82.3</v>
      </c>
      <c r="F147" s="1014">
        <v>8.5</v>
      </c>
      <c r="G147" s="1013">
        <v>52.2</v>
      </c>
      <c r="H147" s="1012">
        <v>97.9</v>
      </c>
    </row>
    <row r="148" spans="1:8" ht="12.65" customHeight="1">
      <c r="A148" s="1017" t="s">
        <v>5631</v>
      </c>
      <c r="B148" s="1017" t="s">
        <v>5519</v>
      </c>
      <c r="C148" s="1017" t="s">
        <v>5632</v>
      </c>
      <c r="D148" s="1016">
        <v>0.22</v>
      </c>
      <c r="E148" s="1015">
        <v>86</v>
      </c>
      <c r="F148" s="1014">
        <v>8.1999999999999993</v>
      </c>
      <c r="G148" s="1013" t="s">
        <v>6080</v>
      </c>
      <c r="H148" s="1012">
        <v>96.3</v>
      </c>
    </row>
    <row r="149" spans="1:8" ht="12.65" customHeight="1">
      <c r="A149" s="1017" t="s">
        <v>5628</v>
      </c>
      <c r="B149" s="1017" t="s">
        <v>5519</v>
      </c>
      <c r="C149" s="1017" t="s">
        <v>5629</v>
      </c>
      <c r="D149" s="1016">
        <v>0.28999999999999998</v>
      </c>
      <c r="E149" s="1015">
        <v>84.2</v>
      </c>
      <c r="F149" s="1014">
        <v>9.9</v>
      </c>
      <c r="G149" s="1013">
        <v>9.6</v>
      </c>
      <c r="H149" s="1012">
        <v>97</v>
      </c>
    </row>
    <row r="150" spans="1:8" ht="12.65" customHeight="1">
      <c r="A150" s="1017" t="s">
        <v>5625</v>
      </c>
      <c r="B150" s="1017" t="s">
        <v>5519</v>
      </c>
      <c r="C150" s="1017" t="s">
        <v>5626</v>
      </c>
      <c r="D150" s="1016">
        <v>0.17</v>
      </c>
      <c r="E150" s="1015">
        <v>86.3</v>
      </c>
      <c r="F150" s="1014">
        <v>11.6</v>
      </c>
      <c r="G150" s="1013">
        <v>3.5</v>
      </c>
      <c r="H150" s="1012">
        <v>98</v>
      </c>
    </row>
    <row r="151" spans="1:8" ht="12.65" customHeight="1">
      <c r="A151" s="1017" t="s">
        <v>5622</v>
      </c>
      <c r="B151" s="1017" t="s">
        <v>5519</v>
      </c>
      <c r="C151" s="1017" t="s">
        <v>5623</v>
      </c>
      <c r="D151" s="1016">
        <v>0.18</v>
      </c>
      <c r="E151" s="1015">
        <v>94.5</v>
      </c>
      <c r="F151" s="1014">
        <v>8</v>
      </c>
      <c r="G151" s="1013" t="s">
        <v>6080</v>
      </c>
      <c r="H151" s="1012">
        <v>96.2</v>
      </c>
    </row>
    <row r="152" spans="1:8" ht="12.65" customHeight="1">
      <c r="A152" s="1017" t="s">
        <v>5619</v>
      </c>
      <c r="B152" s="1017" t="s">
        <v>5519</v>
      </c>
      <c r="C152" s="1017" t="s">
        <v>5620</v>
      </c>
      <c r="D152" s="1016">
        <v>0.33</v>
      </c>
      <c r="E152" s="1015">
        <v>90.1</v>
      </c>
      <c r="F152" s="1014">
        <v>11</v>
      </c>
      <c r="G152" s="1013">
        <v>28.2</v>
      </c>
      <c r="H152" s="1012">
        <v>95.5</v>
      </c>
    </row>
    <row r="153" spans="1:8" ht="12.65" customHeight="1">
      <c r="A153" s="1017" t="s">
        <v>5616</v>
      </c>
      <c r="B153" s="1017" t="s">
        <v>5519</v>
      </c>
      <c r="C153" s="1017" t="s">
        <v>5617</v>
      </c>
      <c r="D153" s="1016">
        <v>0.49</v>
      </c>
      <c r="E153" s="1015">
        <v>89</v>
      </c>
      <c r="F153" s="1014">
        <v>11.2</v>
      </c>
      <c r="G153" s="1013">
        <v>31.7</v>
      </c>
      <c r="H153" s="1012">
        <v>98.4</v>
      </c>
    </row>
    <row r="154" spans="1:8" ht="12.65" customHeight="1">
      <c r="A154" s="1017" t="s">
        <v>5612</v>
      </c>
      <c r="B154" s="1017" t="s">
        <v>5519</v>
      </c>
      <c r="C154" s="1017" t="s">
        <v>5613</v>
      </c>
      <c r="D154" s="1016">
        <v>0.3</v>
      </c>
      <c r="E154" s="1015">
        <v>87.8</v>
      </c>
      <c r="F154" s="1014">
        <v>8</v>
      </c>
      <c r="G154" s="1013" t="s">
        <v>6080</v>
      </c>
      <c r="H154" s="1012">
        <v>97.7</v>
      </c>
    </row>
    <row r="155" spans="1:8" ht="12.65" customHeight="1">
      <c r="A155" s="1017" t="s">
        <v>5609</v>
      </c>
      <c r="B155" s="1017" t="s">
        <v>5519</v>
      </c>
      <c r="C155" s="1017" t="s">
        <v>5610</v>
      </c>
      <c r="D155" s="1016">
        <v>0.24</v>
      </c>
      <c r="E155" s="1015">
        <v>87.2</v>
      </c>
      <c r="F155" s="1014">
        <v>9</v>
      </c>
      <c r="G155" s="1013" t="s">
        <v>6080</v>
      </c>
      <c r="H155" s="1012">
        <v>98</v>
      </c>
    </row>
    <row r="156" spans="1:8" ht="12.65" customHeight="1">
      <c r="A156" s="1017" t="s">
        <v>5606</v>
      </c>
      <c r="B156" s="1017" t="s">
        <v>5519</v>
      </c>
      <c r="C156" s="1017" t="s">
        <v>5607</v>
      </c>
      <c r="D156" s="1016">
        <v>0.25</v>
      </c>
      <c r="E156" s="1015">
        <v>81.599999999999994</v>
      </c>
      <c r="F156" s="1014">
        <v>9.6999999999999993</v>
      </c>
      <c r="G156" s="1013" t="s">
        <v>6080</v>
      </c>
      <c r="H156" s="1012">
        <v>97.8</v>
      </c>
    </row>
    <row r="157" spans="1:8" ht="12.65" customHeight="1">
      <c r="A157" s="1017" t="s">
        <v>5603</v>
      </c>
      <c r="B157" s="1017" t="s">
        <v>5519</v>
      </c>
      <c r="C157" s="1017" t="s">
        <v>5604</v>
      </c>
      <c r="D157" s="1016">
        <v>0.23</v>
      </c>
      <c r="E157" s="1015">
        <v>80.5</v>
      </c>
      <c r="F157" s="1014">
        <v>9.1999999999999993</v>
      </c>
      <c r="G157" s="1013" t="s">
        <v>6080</v>
      </c>
      <c r="H157" s="1012">
        <v>97.9</v>
      </c>
    </row>
    <row r="158" spans="1:8" ht="12.65" customHeight="1">
      <c r="A158" s="1017" t="s">
        <v>5601</v>
      </c>
      <c r="B158" s="1017" t="s">
        <v>5519</v>
      </c>
      <c r="C158" s="1017" t="s">
        <v>3058</v>
      </c>
      <c r="D158" s="1016">
        <v>0.32</v>
      </c>
      <c r="E158" s="1015">
        <v>89.7</v>
      </c>
      <c r="F158" s="1014">
        <v>8.9</v>
      </c>
      <c r="G158" s="1013" t="s">
        <v>6080</v>
      </c>
      <c r="H158" s="1012">
        <v>98.8</v>
      </c>
    </row>
    <row r="159" spans="1:8" ht="12.65" customHeight="1">
      <c r="A159" s="1017" t="s">
        <v>5599</v>
      </c>
      <c r="B159" s="1017" t="s">
        <v>5519</v>
      </c>
      <c r="C159" s="1017" t="s">
        <v>5600</v>
      </c>
      <c r="D159" s="1016">
        <v>0.48</v>
      </c>
      <c r="E159" s="1015">
        <v>89.7</v>
      </c>
      <c r="F159" s="1014">
        <v>8.1</v>
      </c>
      <c r="G159" s="1013">
        <v>82.6</v>
      </c>
      <c r="H159" s="1012">
        <v>98.1</v>
      </c>
    </row>
    <row r="160" spans="1:8" ht="12.65" customHeight="1">
      <c r="A160" s="1017" t="s">
        <v>5596</v>
      </c>
      <c r="B160" s="1017" t="s">
        <v>5519</v>
      </c>
      <c r="C160" s="1017" t="s">
        <v>5597</v>
      </c>
      <c r="D160" s="1016">
        <v>0.28000000000000003</v>
      </c>
      <c r="E160" s="1015">
        <v>86</v>
      </c>
      <c r="F160" s="1014">
        <v>6</v>
      </c>
      <c r="G160" s="1013" t="s">
        <v>6080</v>
      </c>
      <c r="H160" s="1012">
        <v>95.1</v>
      </c>
    </row>
    <row r="161" spans="1:8" ht="12.65" customHeight="1">
      <c r="A161" s="1017" t="s">
        <v>5593</v>
      </c>
      <c r="B161" s="1017" t="s">
        <v>5519</v>
      </c>
      <c r="C161" s="1017" t="s">
        <v>5594</v>
      </c>
      <c r="D161" s="1016">
        <v>0.26</v>
      </c>
      <c r="E161" s="1015">
        <v>73.5</v>
      </c>
      <c r="F161" s="1014">
        <v>6.4</v>
      </c>
      <c r="G161" s="1013" t="s">
        <v>6080</v>
      </c>
      <c r="H161" s="1012">
        <v>97.4</v>
      </c>
    </row>
    <row r="162" spans="1:8" ht="12.65" customHeight="1">
      <c r="A162" s="1017" t="s">
        <v>5590</v>
      </c>
      <c r="B162" s="1017" t="s">
        <v>5519</v>
      </c>
      <c r="C162" s="1017" t="s">
        <v>5591</v>
      </c>
      <c r="D162" s="1016">
        <v>0.25</v>
      </c>
      <c r="E162" s="1015">
        <v>89.6</v>
      </c>
      <c r="F162" s="1014">
        <v>9.5</v>
      </c>
      <c r="G162" s="1013">
        <v>7.9</v>
      </c>
      <c r="H162" s="1012">
        <v>95.9</v>
      </c>
    </row>
    <row r="163" spans="1:8" ht="12.65" customHeight="1">
      <c r="A163" s="1017" t="s">
        <v>5588</v>
      </c>
      <c r="B163" s="1017" t="s">
        <v>5519</v>
      </c>
      <c r="C163" s="1017" t="s">
        <v>5589</v>
      </c>
      <c r="D163" s="1016">
        <v>0.22</v>
      </c>
      <c r="E163" s="1015">
        <v>82.9</v>
      </c>
      <c r="F163" s="1014">
        <v>13.6</v>
      </c>
      <c r="G163" s="1013">
        <v>21.5</v>
      </c>
      <c r="H163" s="1012">
        <v>95.9</v>
      </c>
    </row>
    <row r="164" spans="1:8" ht="12.65" customHeight="1">
      <c r="A164" s="1017" t="s">
        <v>5585</v>
      </c>
      <c r="B164" s="1017" t="s">
        <v>5519</v>
      </c>
      <c r="C164" s="1017" t="s">
        <v>5586</v>
      </c>
      <c r="D164" s="1016">
        <v>0.35</v>
      </c>
      <c r="E164" s="1015">
        <v>85.7</v>
      </c>
      <c r="F164" s="1014">
        <v>9.8000000000000007</v>
      </c>
      <c r="G164" s="1013">
        <v>81.099999999999994</v>
      </c>
      <c r="H164" s="1012">
        <v>96.8</v>
      </c>
    </row>
    <row r="165" spans="1:8" ht="12.65" customHeight="1">
      <c r="A165" s="1017" t="s">
        <v>5583</v>
      </c>
      <c r="B165" s="1017" t="s">
        <v>5519</v>
      </c>
      <c r="C165" s="1017" t="s">
        <v>3183</v>
      </c>
      <c r="D165" s="1016">
        <v>0.21</v>
      </c>
      <c r="E165" s="1015">
        <v>88.6</v>
      </c>
      <c r="F165" s="1014">
        <v>12.2</v>
      </c>
      <c r="G165" s="1013">
        <v>0.9</v>
      </c>
      <c r="H165" s="1012">
        <v>97.6</v>
      </c>
    </row>
    <row r="166" spans="1:8" ht="12.65" customHeight="1">
      <c r="A166" s="1017" t="s">
        <v>5581</v>
      </c>
      <c r="B166" s="1017" t="s">
        <v>5519</v>
      </c>
      <c r="C166" s="1017" t="s">
        <v>5582</v>
      </c>
      <c r="D166" s="1016">
        <v>0.21</v>
      </c>
      <c r="E166" s="1015">
        <v>77.2</v>
      </c>
      <c r="F166" s="1014">
        <v>7.4</v>
      </c>
      <c r="G166" s="1013" t="s">
        <v>6080</v>
      </c>
      <c r="H166" s="1012">
        <v>97</v>
      </c>
    </row>
    <row r="167" spans="1:8" ht="12.65" customHeight="1">
      <c r="A167" s="1017" t="s">
        <v>5578</v>
      </c>
      <c r="B167" s="1017" t="s">
        <v>5519</v>
      </c>
      <c r="C167" s="1017" t="s">
        <v>5579</v>
      </c>
      <c r="D167" s="1016">
        <v>0.26</v>
      </c>
      <c r="E167" s="1015">
        <v>84.8</v>
      </c>
      <c r="F167" s="1014">
        <v>11.7</v>
      </c>
      <c r="G167" s="1013">
        <v>23.9</v>
      </c>
      <c r="H167" s="1012">
        <v>96.3</v>
      </c>
    </row>
    <row r="168" spans="1:8" ht="12.65" customHeight="1">
      <c r="A168" s="1017" t="s">
        <v>5575</v>
      </c>
      <c r="B168" s="1017" t="s">
        <v>5519</v>
      </c>
      <c r="C168" s="1017" t="s">
        <v>5576</v>
      </c>
      <c r="D168" s="1016">
        <v>0.2</v>
      </c>
      <c r="E168" s="1015">
        <v>88.7</v>
      </c>
      <c r="F168" s="1014">
        <v>11.8</v>
      </c>
      <c r="G168" s="1013" t="s">
        <v>6080</v>
      </c>
      <c r="H168" s="1012">
        <v>95.7</v>
      </c>
    </row>
    <row r="169" spans="1:8" ht="12.65" customHeight="1">
      <c r="A169" s="1017" t="s">
        <v>5572</v>
      </c>
      <c r="B169" s="1017" t="s">
        <v>5519</v>
      </c>
      <c r="C169" s="1017" t="s">
        <v>5573</v>
      </c>
      <c r="D169" s="1016">
        <v>0.16</v>
      </c>
      <c r="E169" s="1015">
        <v>77</v>
      </c>
      <c r="F169" s="1014">
        <v>11.2</v>
      </c>
      <c r="G169" s="1013" t="s">
        <v>6080</v>
      </c>
      <c r="H169" s="1012">
        <v>95.7</v>
      </c>
    </row>
    <row r="170" spans="1:8" ht="12.65" customHeight="1">
      <c r="A170" s="1017" t="s">
        <v>5569</v>
      </c>
      <c r="B170" s="1017" t="s">
        <v>5519</v>
      </c>
      <c r="C170" s="1017" t="s">
        <v>5570</v>
      </c>
      <c r="D170" s="1016">
        <v>0.19</v>
      </c>
      <c r="E170" s="1015">
        <v>88.4</v>
      </c>
      <c r="F170" s="1014">
        <v>9.6</v>
      </c>
      <c r="G170" s="1013" t="s">
        <v>6080</v>
      </c>
      <c r="H170" s="1012">
        <v>97.6</v>
      </c>
    </row>
    <row r="171" spans="1:8" ht="12.65" customHeight="1">
      <c r="A171" s="1017" t="s">
        <v>5566</v>
      </c>
      <c r="B171" s="1017" t="s">
        <v>5519</v>
      </c>
      <c r="C171" s="1017" t="s">
        <v>5567</v>
      </c>
      <c r="D171" s="1016">
        <v>0.5</v>
      </c>
      <c r="E171" s="1015">
        <v>92.4</v>
      </c>
      <c r="F171" s="1014">
        <v>8</v>
      </c>
      <c r="G171" s="1013">
        <v>25.9</v>
      </c>
      <c r="H171" s="1012">
        <v>96.8</v>
      </c>
    </row>
    <row r="172" spans="1:8" ht="12.65" customHeight="1">
      <c r="A172" s="1017" t="s">
        <v>5563</v>
      </c>
      <c r="B172" s="1017" t="s">
        <v>5519</v>
      </c>
      <c r="C172" s="1017" t="s">
        <v>5564</v>
      </c>
      <c r="D172" s="1016">
        <v>0.23</v>
      </c>
      <c r="E172" s="1015">
        <v>90.9</v>
      </c>
      <c r="F172" s="1014">
        <v>11</v>
      </c>
      <c r="G172" s="1013">
        <v>79.400000000000006</v>
      </c>
      <c r="H172" s="1012">
        <v>96.3</v>
      </c>
    </row>
    <row r="173" spans="1:8" ht="12.65" customHeight="1">
      <c r="A173" s="1017" t="s">
        <v>5560</v>
      </c>
      <c r="B173" s="1017" t="s">
        <v>5519</v>
      </c>
      <c r="C173" s="1017" t="s">
        <v>5561</v>
      </c>
      <c r="D173" s="1016">
        <v>0.21</v>
      </c>
      <c r="E173" s="1015">
        <v>88.9</v>
      </c>
      <c r="F173" s="1014">
        <v>11.5</v>
      </c>
      <c r="G173" s="1013">
        <v>55.1</v>
      </c>
      <c r="H173" s="1012">
        <v>97.6</v>
      </c>
    </row>
    <row r="174" spans="1:8" ht="12.65" customHeight="1">
      <c r="A174" s="1017" t="s">
        <v>5557</v>
      </c>
      <c r="B174" s="1017" t="s">
        <v>5519</v>
      </c>
      <c r="C174" s="1017" t="s">
        <v>5558</v>
      </c>
      <c r="D174" s="1016">
        <v>0.23</v>
      </c>
      <c r="E174" s="1015">
        <v>91.8</v>
      </c>
      <c r="F174" s="1014">
        <v>9.1999999999999993</v>
      </c>
      <c r="G174" s="1013">
        <v>56.4</v>
      </c>
      <c r="H174" s="1012">
        <v>97.4</v>
      </c>
    </row>
    <row r="175" spans="1:8" ht="12.65" customHeight="1">
      <c r="A175" s="1017" t="s">
        <v>5554</v>
      </c>
      <c r="B175" s="1017" t="s">
        <v>5519</v>
      </c>
      <c r="C175" s="1017" t="s">
        <v>5555</v>
      </c>
      <c r="D175" s="1016">
        <v>0.22</v>
      </c>
      <c r="E175" s="1015">
        <v>89.7</v>
      </c>
      <c r="F175" s="1014">
        <v>14.3</v>
      </c>
      <c r="G175" s="1013" t="s">
        <v>6080</v>
      </c>
      <c r="H175" s="1012">
        <v>97.1</v>
      </c>
    </row>
    <row r="176" spans="1:8" ht="12.65" customHeight="1">
      <c r="A176" s="1017" t="s">
        <v>5551</v>
      </c>
      <c r="B176" s="1017" t="s">
        <v>5519</v>
      </c>
      <c r="C176" s="1017" t="s">
        <v>5552</v>
      </c>
      <c r="D176" s="1016">
        <v>0.19</v>
      </c>
      <c r="E176" s="1015">
        <v>84.9</v>
      </c>
      <c r="F176" s="1014">
        <v>6.4</v>
      </c>
      <c r="G176" s="1013" t="s">
        <v>6080</v>
      </c>
      <c r="H176" s="1012">
        <v>97.9</v>
      </c>
    </row>
    <row r="177" spans="1:8" ht="12.65" customHeight="1">
      <c r="A177" s="1017" t="s">
        <v>5548</v>
      </c>
      <c r="B177" s="1017" t="s">
        <v>5519</v>
      </c>
      <c r="C177" s="1017" t="s">
        <v>5549</v>
      </c>
      <c r="D177" s="1016">
        <v>0.24</v>
      </c>
      <c r="E177" s="1015">
        <v>83.5</v>
      </c>
      <c r="F177" s="1014">
        <v>10</v>
      </c>
      <c r="G177" s="1013" t="s">
        <v>6080</v>
      </c>
      <c r="H177" s="1012">
        <v>96.4</v>
      </c>
    </row>
    <row r="178" spans="1:8" ht="12.65" customHeight="1">
      <c r="A178" s="1017" t="s">
        <v>5545</v>
      </c>
      <c r="B178" s="1017" t="s">
        <v>5519</v>
      </c>
      <c r="C178" s="1017" t="s">
        <v>6099</v>
      </c>
      <c r="D178" s="1016">
        <v>0.31</v>
      </c>
      <c r="E178" s="1015">
        <v>93.6</v>
      </c>
      <c r="F178" s="1014">
        <v>11.1</v>
      </c>
      <c r="G178" s="1013" t="s">
        <v>6080</v>
      </c>
      <c r="H178" s="1012">
        <v>96.4</v>
      </c>
    </row>
    <row r="179" spans="1:8" ht="12.65" customHeight="1">
      <c r="A179" s="1017" t="s">
        <v>5542</v>
      </c>
      <c r="B179" s="1017" t="s">
        <v>5519</v>
      </c>
      <c r="C179" s="1017" t="s">
        <v>5543</v>
      </c>
      <c r="D179" s="1016">
        <v>0.42</v>
      </c>
      <c r="E179" s="1015">
        <v>93.3</v>
      </c>
      <c r="F179" s="1014">
        <v>12.3</v>
      </c>
      <c r="G179" s="1013">
        <v>85.3</v>
      </c>
      <c r="H179" s="1012">
        <v>94.8</v>
      </c>
    </row>
    <row r="180" spans="1:8" ht="12.65" customHeight="1">
      <c r="A180" s="1017" t="s">
        <v>5539</v>
      </c>
      <c r="B180" s="1017" t="s">
        <v>5519</v>
      </c>
      <c r="C180" s="1017" t="s">
        <v>5540</v>
      </c>
      <c r="D180" s="1016">
        <v>0.21</v>
      </c>
      <c r="E180" s="1015">
        <v>89.3</v>
      </c>
      <c r="F180" s="1014">
        <v>8.6999999999999993</v>
      </c>
      <c r="G180" s="1013" t="s">
        <v>6080</v>
      </c>
      <c r="H180" s="1012">
        <v>95.3</v>
      </c>
    </row>
    <row r="181" spans="1:8" ht="12.65" customHeight="1">
      <c r="A181" s="1017" t="s">
        <v>5536</v>
      </c>
      <c r="B181" s="1017" t="s">
        <v>5519</v>
      </c>
      <c r="C181" s="1017" t="s">
        <v>5537</v>
      </c>
      <c r="D181" s="1016">
        <v>0.22</v>
      </c>
      <c r="E181" s="1015">
        <v>80.2</v>
      </c>
      <c r="F181" s="1014">
        <v>7.9</v>
      </c>
      <c r="G181" s="1013" t="s">
        <v>6080</v>
      </c>
      <c r="H181" s="1012">
        <v>96.1</v>
      </c>
    </row>
    <row r="182" spans="1:8" ht="12.65" customHeight="1">
      <c r="A182" s="1017" t="s">
        <v>5510</v>
      </c>
      <c r="B182" s="1017" t="s">
        <v>5396</v>
      </c>
      <c r="C182" s="1017" t="s">
        <v>5511</v>
      </c>
      <c r="D182" s="1016">
        <v>0.55000000000000004</v>
      </c>
      <c r="E182" s="1015">
        <v>92.1</v>
      </c>
      <c r="F182" s="1014">
        <v>11.3</v>
      </c>
      <c r="G182" s="1013">
        <v>79.7</v>
      </c>
      <c r="H182" s="1012">
        <v>96.3</v>
      </c>
    </row>
    <row r="183" spans="1:8" ht="12.65" customHeight="1">
      <c r="A183" s="1017" t="s">
        <v>5507</v>
      </c>
      <c r="B183" s="1017" t="s">
        <v>5396</v>
      </c>
      <c r="C183" s="1017" t="s">
        <v>5508</v>
      </c>
      <c r="D183" s="1016">
        <v>0.48</v>
      </c>
      <c r="E183" s="1015">
        <v>94.2</v>
      </c>
      <c r="F183" s="1014">
        <v>6.9</v>
      </c>
      <c r="G183" s="1013">
        <v>43</v>
      </c>
      <c r="H183" s="1012">
        <v>94.2</v>
      </c>
    </row>
    <row r="184" spans="1:8" ht="12.65" customHeight="1">
      <c r="A184" s="1017" t="s">
        <v>5504</v>
      </c>
      <c r="B184" s="1017" t="s">
        <v>5396</v>
      </c>
      <c r="C184" s="1017" t="s">
        <v>5505</v>
      </c>
      <c r="D184" s="1016">
        <v>0.64</v>
      </c>
      <c r="E184" s="1015">
        <v>91.5</v>
      </c>
      <c r="F184" s="1014">
        <v>9.1999999999999993</v>
      </c>
      <c r="G184" s="1013">
        <v>91.1</v>
      </c>
      <c r="H184" s="1012">
        <v>97.5</v>
      </c>
    </row>
    <row r="185" spans="1:8" ht="12.65" customHeight="1">
      <c r="A185" s="1017" t="s">
        <v>5501</v>
      </c>
      <c r="B185" s="1017" t="s">
        <v>5396</v>
      </c>
      <c r="C185" s="1017" t="s">
        <v>5502</v>
      </c>
      <c r="D185" s="1016">
        <v>0.36</v>
      </c>
      <c r="E185" s="1015">
        <v>88.9</v>
      </c>
      <c r="F185" s="1014">
        <v>12.5</v>
      </c>
      <c r="G185" s="1013">
        <v>16.600000000000001</v>
      </c>
      <c r="H185" s="1012">
        <v>93.3</v>
      </c>
    </row>
    <row r="186" spans="1:8" ht="12.65" customHeight="1">
      <c r="A186" s="1017" t="s">
        <v>5498</v>
      </c>
      <c r="B186" s="1017" t="s">
        <v>5396</v>
      </c>
      <c r="C186" s="1017" t="s">
        <v>5499</v>
      </c>
      <c r="D186" s="1016">
        <v>0.32</v>
      </c>
      <c r="E186" s="1015">
        <v>95.3</v>
      </c>
      <c r="F186" s="1014">
        <v>8.9</v>
      </c>
      <c r="G186" s="1013">
        <v>77.7</v>
      </c>
      <c r="H186" s="1012">
        <v>97.1</v>
      </c>
    </row>
    <row r="187" spans="1:8" ht="12.65" customHeight="1">
      <c r="A187" s="1017" t="s">
        <v>5495</v>
      </c>
      <c r="B187" s="1017" t="s">
        <v>5396</v>
      </c>
      <c r="C187" s="1017" t="s">
        <v>5496</v>
      </c>
      <c r="D187" s="1016">
        <v>0.43</v>
      </c>
      <c r="E187" s="1015">
        <v>94.2</v>
      </c>
      <c r="F187" s="1014">
        <v>10.5</v>
      </c>
      <c r="G187" s="1013">
        <v>32.200000000000003</v>
      </c>
      <c r="H187" s="1012">
        <v>96.5</v>
      </c>
    </row>
    <row r="188" spans="1:8" ht="12.65" customHeight="1">
      <c r="A188" s="1017" t="s">
        <v>5492</v>
      </c>
      <c r="B188" s="1017" t="s">
        <v>5396</v>
      </c>
      <c r="C188" s="1017" t="s">
        <v>5493</v>
      </c>
      <c r="D188" s="1016">
        <v>0.5</v>
      </c>
      <c r="E188" s="1015">
        <v>90.8</v>
      </c>
      <c r="F188" s="1014">
        <v>9.3000000000000007</v>
      </c>
      <c r="G188" s="1013">
        <v>58.8</v>
      </c>
      <c r="H188" s="1012">
        <v>94.2</v>
      </c>
    </row>
    <row r="189" spans="1:8" ht="12.65" customHeight="1">
      <c r="A189" s="1017" t="s">
        <v>5489</v>
      </c>
      <c r="B189" s="1017" t="s">
        <v>5396</v>
      </c>
      <c r="C189" s="1017" t="s">
        <v>5490</v>
      </c>
      <c r="D189" s="1016">
        <v>0.36</v>
      </c>
      <c r="E189" s="1015">
        <v>96.1</v>
      </c>
      <c r="F189" s="1014">
        <v>13.8</v>
      </c>
      <c r="G189" s="1013">
        <v>136.9</v>
      </c>
      <c r="H189" s="1012">
        <v>97.1</v>
      </c>
    </row>
    <row r="190" spans="1:8" ht="12.65" customHeight="1">
      <c r="A190" s="1017" t="s">
        <v>5486</v>
      </c>
      <c r="B190" s="1017" t="s">
        <v>5396</v>
      </c>
      <c r="C190" s="1017" t="s">
        <v>5487</v>
      </c>
      <c r="D190" s="1016">
        <v>0.25</v>
      </c>
      <c r="E190" s="1015">
        <v>92.7</v>
      </c>
      <c r="F190" s="1014">
        <v>11.8</v>
      </c>
      <c r="G190" s="1013">
        <v>106.8</v>
      </c>
      <c r="H190" s="1012">
        <v>95.7</v>
      </c>
    </row>
    <row r="191" spans="1:8" ht="12.65" customHeight="1">
      <c r="A191" s="1017" t="s">
        <v>5483</v>
      </c>
      <c r="B191" s="1017" t="s">
        <v>5396</v>
      </c>
      <c r="C191" s="1017" t="s">
        <v>5484</v>
      </c>
      <c r="D191" s="1016">
        <v>0.3</v>
      </c>
      <c r="E191" s="1015">
        <v>93.5</v>
      </c>
      <c r="F191" s="1014">
        <v>8</v>
      </c>
      <c r="G191" s="1013" t="s">
        <v>6080</v>
      </c>
      <c r="H191" s="1012">
        <v>95.3</v>
      </c>
    </row>
    <row r="192" spans="1:8" ht="12.65" customHeight="1">
      <c r="A192" s="1017" t="s">
        <v>5480</v>
      </c>
      <c r="B192" s="1017" t="s">
        <v>5396</v>
      </c>
      <c r="C192" s="1017" t="s">
        <v>5481</v>
      </c>
      <c r="D192" s="1016">
        <v>0.24</v>
      </c>
      <c r="E192" s="1015">
        <v>79.7</v>
      </c>
      <c r="F192" s="1014">
        <v>10.6</v>
      </c>
      <c r="G192" s="1013">
        <v>69.5</v>
      </c>
      <c r="H192" s="1012">
        <v>97.9</v>
      </c>
    </row>
    <row r="193" spans="1:8" ht="12.65" customHeight="1">
      <c r="A193" s="1017" t="s">
        <v>5477</v>
      </c>
      <c r="B193" s="1017" t="s">
        <v>5396</v>
      </c>
      <c r="C193" s="1017" t="s">
        <v>5478</v>
      </c>
      <c r="D193" s="1016">
        <v>0.21</v>
      </c>
      <c r="E193" s="1015">
        <v>77.099999999999994</v>
      </c>
      <c r="F193" s="1014">
        <v>5</v>
      </c>
      <c r="G193" s="1013" t="s">
        <v>6080</v>
      </c>
      <c r="H193" s="1012">
        <v>100.6</v>
      </c>
    </row>
    <row r="194" spans="1:8" ht="12.65" customHeight="1">
      <c r="A194" s="1017" t="s">
        <v>5474</v>
      </c>
      <c r="B194" s="1017" t="s">
        <v>5396</v>
      </c>
      <c r="C194" s="1017" t="s">
        <v>5475</v>
      </c>
      <c r="D194" s="1016">
        <v>0.19</v>
      </c>
      <c r="E194" s="1015">
        <v>85.4</v>
      </c>
      <c r="F194" s="1014">
        <v>5.8</v>
      </c>
      <c r="G194" s="1013" t="s">
        <v>6080</v>
      </c>
      <c r="H194" s="1012">
        <v>97.4</v>
      </c>
    </row>
    <row r="195" spans="1:8" ht="12.65" customHeight="1">
      <c r="A195" s="1017" t="s">
        <v>5471</v>
      </c>
      <c r="B195" s="1017" t="s">
        <v>5396</v>
      </c>
      <c r="C195" s="1017" t="s">
        <v>5472</v>
      </c>
      <c r="D195" s="1016">
        <v>0.18</v>
      </c>
      <c r="E195" s="1015">
        <v>90</v>
      </c>
      <c r="F195" s="1014">
        <v>10.4</v>
      </c>
      <c r="G195" s="1013">
        <v>4.7</v>
      </c>
      <c r="H195" s="1012">
        <v>96.9</v>
      </c>
    </row>
    <row r="196" spans="1:8" ht="12.65" customHeight="1">
      <c r="A196" s="1017" t="s">
        <v>5468</v>
      </c>
      <c r="B196" s="1017" t="s">
        <v>5396</v>
      </c>
      <c r="C196" s="1017" t="s">
        <v>6098</v>
      </c>
      <c r="D196" s="1016">
        <v>0.22</v>
      </c>
      <c r="E196" s="1015">
        <v>97.7</v>
      </c>
      <c r="F196" s="1014">
        <v>14.2</v>
      </c>
      <c r="G196" s="1013">
        <v>142.1</v>
      </c>
      <c r="H196" s="1012">
        <v>92.9</v>
      </c>
    </row>
    <row r="197" spans="1:8" ht="12.65" customHeight="1">
      <c r="A197" s="1017" t="s">
        <v>5465</v>
      </c>
      <c r="B197" s="1017" t="s">
        <v>5396</v>
      </c>
      <c r="C197" s="1017" t="s">
        <v>5466</v>
      </c>
      <c r="D197" s="1016">
        <v>0.17</v>
      </c>
      <c r="E197" s="1015">
        <v>91.8</v>
      </c>
      <c r="F197" s="1014">
        <v>9.3000000000000007</v>
      </c>
      <c r="G197" s="1013">
        <v>24.8</v>
      </c>
      <c r="H197" s="1012">
        <v>94.2</v>
      </c>
    </row>
    <row r="198" spans="1:8" ht="12.65" customHeight="1">
      <c r="A198" s="1017" t="s">
        <v>5462</v>
      </c>
      <c r="B198" s="1017" t="s">
        <v>5396</v>
      </c>
      <c r="C198" s="1017" t="s">
        <v>5463</v>
      </c>
      <c r="D198" s="1016">
        <v>0.12</v>
      </c>
      <c r="E198" s="1015">
        <v>86.6</v>
      </c>
      <c r="F198" s="1014">
        <v>10.199999999999999</v>
      </c>
      <c r="G198" s="1013" t="s">
        <v>6080</v>
      </c>
      <c r="H198" s="1012">
        <v>89.3</v>
      </c>
    </row>
    <row r="199" spans="1:8" ht="12.65" customHeight="1">
      <c r="A199" s="1017" t="s">
        <v>5459</v>
      </c>
      <c r="B199" s="1017" t="s">
        <v>5396</v>
      </c>
      <c r="C199" s="1017" t="s">
        <v>5460</v>
      </c>
      <c r="D199" s="1016">
        <v>0.28999999999999998</v>
      </c>
      <c r="E199" s="1015">
        <v>86.8</v>
      </c>
      <c r="F199" s="1014">
        <v>12</v>
      </c>
      <c r="G199" s="1013">
        <v>21.1</v>
      </c>
      <c r="H199" s="1012">
        <v>93.4</v>
      </c>
    </row>
    <row r="200" spans="1:8" ht="12.65" customHeight="1">
      <c r="A200" s="1017" t="s">
        <v>5456</v>
      </c>
      <c r="B200" s="1017" t="s">
        <v>5396</v>
      </c>
      <c r="C200" s="1017" t="s">
        <v>5457</v>
      </c>
      <c r="D200" s="1016">
        <v>0.22</v>
      </c>
      <c r="E200" s="1015">
        <v>93.6</v>
      </c>
      <c r="F200" s="1014">
        <v>12.6</v>
      </c>
      <c r="G200" s="1013">
        <v>84</v>
      </c>
      <c r="H200" s="1012">
        <v>90.3</v>
      </c>
    </row>
    <row r="201" spans="1:8" ht="12.65" customHeight="1">
      <c r="A201" s="1017" t="s">
        <v>5453</v>
      </c>
      <c r="B201" s="1017" t="s">
        <v>5396</v>
      </c>
      <c r="C201" s="1017" t="s">
        <v>5454</v>
      </c>
      <c r="D201" s="1016">
        <v>0.26</v>
      </c>
      <c r="E201" s="1015">
        <v>84.6</v>
      </c>
      <c r="F201" s="1014">
        <v>8.8000000000000007</v>
      </c>
      <c r="G201" s="1013" t="s">
        <v>6080</v>
      </c>
      <c r="H201" s="1012">
        <v>94.4</v>
      </c>
    </row>
    <row r="202" spans="1:8" ht="12.65" customHeight="1">
      <c r="A202" s="1017" t="s">
        <v>5450</v>
      </c>
      <c r="B202" s="1017" t="s">
        <v>5396</v>
      </c>
      <c r="C202" s="1017" t="s">
        <v>5451</v>
      </c>
      <c r="D202" s="1016">
        <v>0.27</v>
      </c>
      <c r="E202" s="1015">
        <v>94.9</v>
      </c>
      <c r="F202" s="1014">
        <v>11.7</v>
      </c>
      <c r="G202" s="1013" t="s">
        <v>6080</v>
      </c>
      <c r="H202" s="1012">
        <v>93.5</v>
      </c>
    </row>
    <row r="203" spans="1:8" ht="12.65" customHeight="1">
      <c r="A203" s="1017" t="s">
        <v>5447</v>
      </c>
      <c r="B203" s="1017" t="s">
        <v>5396</v>
      </c>
      <c r="C203" s="1017" t="s">
        <v>5448</v>
      </c>
      <c r="D203" s="1016">
        <v>0.27</v>
      </c>
      <c r="E203" s="1015">
        <v>93.8</v>
      </c>
      <c r="F203" s="1014">
        <v>12.7</v>
      </c>
      <c r="G203" s="1013">
        <v>109.3</v>
      </c>
      <c r="H203" s="1012">
        <v>94.8</v>
      </c>
    </row>
    <row r="204" spans="1:8" ht="12.65" customHeight="1">
      <c r="A204" s="1017" t="s">
        <v>5444</v>
      </c>
      <c r="B204" s="1017" t="s">
        <v>5396</v>
      </c>
      <c r="C204" s="1017" t="s">
        <v>5445</v>
      </c>
      <c r="D204" s="1016">
        <v>0.22</v>
      </c>
      <c r="E204" s="1015">
        <v>93.1</v>
      </c>
      <c r="F204" s="1014">
        <v>10.3</v>
      </c>
      <c r="G204" s="1013">
        <v>66.2</v>
      </c>
      <c r="H204" s="1012">
        <v>93.6</v>
      </c>
    </row>
    <row r="205" spans="1:8" ht="12.65" customHeight="1">
      <c r="A205" s="1017" t="s">
        <v>5441</v>
      </c>
      <c r="B205" s="1017" t="s">
        <v>5396</v>
      </c>
      <c r="C205" s="1017" t="s">
        <v>5442</v>
      </c>
      <c r="D205" s="1016">
        <v>0.36</v>
      </c>
      <c r="E205" s="1015">
        <v>94.3</v>
      </c>
      <c r="F205" s="1014">
        <v>6.9</v>
      </c>
      <c r="G205" s="1013">
        <v>0.6</v>
      </c>
      <c r="H205" s="1012">
        <v>95.1</v>
      </c>
    </row>
    <row r="206" spans="1:8" ht="12.65" customHeight="1">
      <c r="A206" s="1017" t="s">
        <v>5438</v>
      </c>
      <c r="B206" s="1017" t="s">
        <v>5396</v>
      </c>
      <c r="C206" s="1017" t="s">
        <v>5439</v>
      </c>
      <c r="D206" s="1016">
        <v>0.38</v>
      </c>
      <c r="E206" s="1015">
        <v>86.2</v>
      </c>
      <c r="F206" s="1014">
        <v>3</v>
      </c>
      <c r="G206" s="1013" t="s">
        <v>6080</v>
      </c>
      <c r="H206" s="1012">
        <v>96.7</v>
      </c>
    </row>
    <row r="207" spans="1:8" ht="12.65" customHeight="1">
      <c r="A207" s="1017" t="s">
        <v>5435</v>
      </c>
      <c r="B207" s="1017" t="s">
        <v>5396</v>
      </c>
      <c r="C207" s="1017" t="s">
        <v>5436</v>
      </c>
      <c r="D207" s="1016">
        <v>0.41</v>
      </c>
      <c r="E207" s="1015">
        <v>85</v>
      </c>
      <c r="F207" s="1014">
        <v>7.5</v>
      </c>
      <c r="G207" s="1013" t="s">
        <v>6080</v>
      </c>
      <c r="H207" s="1012">
        <v>95.8</v>
      </c>
    </row>
    <row r="208" spans="1:8" ht="12.65" customHeight="1">
      <c r="A208" s="1017" t="s">
        <v>5432</v>
      </c>
      <c r="B208" s="1017" t="s">
        <v>5396</v>
      </c>
      <c r="C208" s="1017" t="s">
        <v>5433</v>
      </c>
      <c r="D208" s="1016">
        <v>0.28999999999999998</v>
      </c>
      <c r="E208" s="1015">
        <v>93.6</v>
      </c>
      <c r="F208" s="1014">
        <v>5.7</v>
      </c>
      <c r="G208" s="1013" t="s">
        <v>6080</v>
      </c>
      <c r="H208" s="1012">
        <v>99.1</v>
      </c>
    </row>
    <row r="209" spans="1:8" ht="12.65" customHeight="1">
      <c r="A209" s="1017" t="s">
        <v>5429</v>
      </c>
      <c r="B209" s="1017" t="s">
        <v>5396</v>
      </c>
      <c r="C209" s="1017" t="s">
        <v>5430</v>
      </c>
      <c r="D209" s="1016">
        <v>0.31</v>
      </c>
      <c r="E209" s="1015">
        <v>92.7</v>
      </c>
      <c r="F209" s="1014">
        <v>12.2</v>
      </c>
      <c r="G209" s="1013">
        <v>82.5</v>
      </c>
      <c r="H209" s="1012">
        <v>97.6</v>
      </c>
    </row>
    <row r="210" spans="1:8" ht="12.65" customHeight="1">
      <c r="A210" s="1017" t="s">
        <v>5426</v>
      </c>
      <c r="B210" s="1017" t="s">
        <v>5396</v>
      </c>
      <c r="C210" s="1017" t="s">
        <v>6097</v>
      </c>
      <c r="D210" s="1016">
        <v>1.61</v>
      </c>
      <c r="E210" s="1015">
        <v>85.2</v>
      </c>
      <c r="F210" s="1014">
        <v>3.3</v>
      </c>
      <c r="G210" s="1013" t="s">
        <v>6080</v>
      </c>
      <c r="H210" s="1012">
        <v>101.3</v>
      </c>
    </row>
    <row r="211" spans="1:8" ht="12.65" customHeight="1">
      <c r="A211" s="1017" t="s">
        <v>5423</v>
      </c>
      <c r="B211" s="1017" t="s">
        <v>5396</v>
      </c>
      <c r="C211" s="1017" t="s">
        <v>5424</v>
      </c>
      <c r="D211" s="1016">
        <v>0.46</v>
      </c>
      <c r="E211" s="1015">
        <v>94.7</v>
      </c>
      <c r="F211" s="1014">
        <v>10.1</v>
      </c>
      <c r="G211" s="1013" t="s">
        <v>6080</v>
      </c>
      <c r="H211" s="1012">
        <v>95.3</v>
      </c>
    </row>
    <row r="212" spans="1:8" ht="12.65" customHeight="1">
      <c r="A212" s="1017" t="s">
        <v>5420</v>
      </c>
      <c r="B212" s="1017" t="s">
        <v>5396</v>
      </c>
      <c r="C212" s="1017" t="s">
        <v>5421</v>
      </c>
      <c r="D212" s="1016">
        <v>0.26</v>
      </c>
      <c r="E212" s="1015">
        <v>76.8</v>
      </c>
      <c r="F212" s="1014">
        <v>12.8</v>
      </c>
      <c r="G212" s="1013">
        <v>59.9</v>
      </c>
      <c r="H212" s="1012">
        <v>97.2</v>
      </c>
    </row>
    <row r="213" spans="1:8" ht="12.65" customHeight="1">
      <c r="A213" s="1017" t="s">
        <v>5417</v>
      </c>
      <c r="B213" s="1017" t="s">
        <v>5396</v>
      </c>
      <c r="C213" s="1017" t="s">
        <v>5418</v>
      </c>
      <c r="D213" s="1016">
        <v>0.56000000000000005</v>
      </c>
      <c r="E213" s="1015">
        <v>78.3</v>
      </c>
      <c r="F213" s="1014">
        <v>13.2</v>
      </c>
      <c r="G213" s="1013" t="s">
        <v>6080</v>
      </c>
      <c r="H213" s="1012">
        <v>95.3</v>
      </c>
    </row>
    <row r="214" spans="1:8" ht="12.65" customHeight="1">
      <c r="A214" s="1017" t="s">
        <v>5414</v>
      </c>
      <c r="B214" s="1017" t="s">
        <v>5396</v>
      </c>
      <c r="C214" s="1017" t="s">
        <v>5415</v>
      </c>
      <c r="D214" s="1016">
        <v>0.1</v>
      </c>
      <c r="E214" s="1015">
        <v>92.2</v>
      </c>
      <c r="F214" s="1014">
        <v>11.4</v>
      </c>
      <c r="G214" s="1013" t="s">
        <v>6080</v>
      </c>
      <c r="H214" s="1012">
        <v>93.5</v>
      </c>
    </row>
    <row r="215" spans="1:8" ht="12.65" customHeight="1">
      <c r="A215" s="1017" t="s">
        <v>5411</v>
      </c>
      <c r="B215" s="1017" t="s">
        <v>5396</v>
      </c>
      <c r="C215" s="1017" t="s">
        <v>5412</v>
      </c>
      <c r="D215" s="1016">
        <v>0.12</v>
      </c>
      <c r="E215" s="1015">
        <v>84.5</v>
      </c>
      <c r="F215" s="1014">
        <v>4.5999999999999996</v>
      </c>
      <c r="G215" s="1013" t="s">
        <v>6080</v>
      </c>
      <c r="H215" s="1012">
        <v>93.8</v>
      </c>
    </row>
    <row r="216" spans="1:8" ht="12.65" customHeight="1">
      <c r="A216" s="1017" t="s">
        <v>5408</v>
      </c>
      <c r="B216" s="1017" t="s">
        <v>5396</v>
      </c>
      <c r="C216" s="1017" t="s">
        <v>5409</v>
      </c>
      <c r="D216" s="1016">
        <v>0.25</v>
      </c>
      <c r="E216" s="1015">
        <v>92.9</v>
      </c>
      <c r="F216" s="1014">
        <v>9.6</v>
      </c>
      <c r="G216" s="1013" t="s">
        <v>6080</v>
      </c>
      <c r="H216" s="1012">
        <v>93.7</v>
      </c>
    </row>
    <row r="217" spans="1:8" ht="12.65" customHeight="1">
      <c r="A217" s="1017" t="s">
        <v>5405</v>
      </c>
      <c r="B217" s="1017" t="s">
        <v>5396</v>
      </c>
      <c r="C217" s="1017" t="s">
        <v>5406</v>
      </c>
      <c r="D217" s="1016">
        <v>0.27</v>
      </c>
      <c r="E217" s="1015">
        <v>88</v>
      </c>
      <c r="F217" s="1014">
        <v>9.4</v>
      </c>
      <c r="G217" s="1013" t="s">
        <v>6080</v>
      </c>
      <c r="H217" s="1012">
        <v>94.8</v>
      </c>
    </row>
    <row r="218" spans="1:8" ht="12.65" customHeight="1">
      <c r="A218" s="1017" t="s">
        <v>5402</v>
      </c>
      <c r="B218" s="1017" t="s">
        <v>5396</v>
      </c>
      <c r="C218" s="1017" t="s">
        <v>5403</v>
      </c>
      <c r="D218" s="1016">
        <v>0.21</v>
      </c>
      <c r="E218" s="1015">
        <v>88.7</v>
      </c>
      <c r="F218" s="1014">
        <v>5.4</v>
      </c>
      <c r="G218" s="1013">
        <v>10.6</v>
      </c>
      <c r="H218" s="1012">
        <v>91.5</v>
      </c>
    </row>
    <row r="219" spans="1:8" ht="12.65" customHeight="1">
      <c r="A219" s="1017" t="s">
        <v>5400</v>
      </c>
      <c r="B219" s="1017" t="s">
        <v>5396</v>
      </c>
      <c r="C219" s="1017" t="s">
        <v>2125</v>
      </c>
      <c r="D219" s="1016">
        <v>0.28999999999999998</v>
      </c>
      <c r="E219" s="1015">
        <v>83.2</v>
      </c>
      <c r="F219" s="1014">
        <v>8.1</v>
      </c>
      <c r="G219" s="1013" t="s">
        <v>6080</v>
      </c>
      <c r="H219" s="1012">
        <v>93.8</v>
      </c>
    </row>
    <row r="220" spans="1:8" ht="12.65" customHeight="1">
      <c r="A220" s="1017" t="s">
        <v>5398</v>
      </c>
      <c r="B220" s="1017" t="s">
        <v>5396</v>
      </c>
      <c r="C220" s="1017" t="s">
        <v>5399</v>
      </c>
      <c r="D220" s="1016">
        <v>0.35</v>
      </c>
      <c r="E220" s="1015">
        <v>87.9</v>
      </c>
      <c r="F220" s="1014">
        <v>10.6</v>
      </c>
      <c r="G220" s="1013" t="s">
        <v>6080</v>
      </c>
      <c r="H220" s="1012">
        <v>95.7</v>
      </c>
    </row>
    <row r="221" spans="1:8" ht="12.65" customHeight="1">
      <c r="A221" s="1017" t="s">
        <v>5394</v>
      </c>
      <c r="B221" s="1017" t="s">
        <v>5396</v>
      </c>
      <c r="C221" s="1017" t="s">
        <v>5395</v>
      </c>
      <c r="D221" s="1016">
        <v>0.17</v>
      </c>
      <c r="E221" s="1015">
        <v>76.900000000000006</v>
      </c>
      <c r="F221" s="1014">
        <v>6</v>
      </c>
      <c r="G221" s="1013" t="s">
        <v>6080</v>
      </c>
      <c r="H221" s="1012">
        <v>91.6</v>
      </c>
    </row>
    <row r="222" spans="1:8" ht="12.65" customHeight="1">
      <c r="A222" s="1017" t="s">
        <v>5387</v>
      </c>
      <c r="B222" s="1017" t="s">
        <v>5292</v>
      </c>
      <c r="C222" s="1017" t="s">
        <v>5388</v>
      </c>
      <c r="D222" s="1016">
        <v>0.71</v>
      </c>
      <c r="E222" s="1015">
        <v>96.1</v>
      </c>
      <c r="F222" s="1014">
        <v>10.3</v>
      </c>
      <c r="G222" s="1013">
        <v>75.599999999999994</v>
      </c>
      <c r="H222" s="1012">
        <v>98.4</v>
      </c>
    </row>
    <row r="223" spans="1:8" ht="12.65" customHeight="1">
      <c r="A223" s="1017" t="s">
        <v>5384</v>
      </c>
      <c r="B223" s="1017" t="s">
        <v>5292</v>
      </c>
      <c r="C223" s="1017" t="s">
        <v>5385</v>
      </c>
      <c r="D223" s="1016">
        <v>0.36</v>
      </c>
      <c r="E223" s="1015">
        <v>93.2</v>
      </c>
      <c r="F223" s="1014">
        <v>10</v>
      </c>
      <c r="G223" s="1013">
        <v>11.1</v>
      </c>
      <c r="H223" s="1012">
        <v>94.7</v>
      </c>
    </row>
    <row r="224" spans="1:8" ht="12.65" customHeight="1">
      <c r="A224" s="1017" t="s">
        <v>5381</v>
      </c>
      <c r="B224" s="1017" t="s">
        <v>5292</v>
      </c>
      <c r="C224" s="1017" t="s">
        <v>5382</v>
      </c>
      <c r="D224" s="1016">
        <v>0.44</v>
      </c>
      <c r="E224" s="1015">
        <v>94.6</v>
      </c>
      <c r="F224" s="1014">
        <v>12.7</v>
      </c>
      <c r="G224" s="1013">
        <v>102</v>
      </c>
      <c r="H224" s="1012">
        <v>95.9</v>
      </c>
    </row>
    <row r="225" spans="1:8" ht="12.65" customHeight="1">
      <c r="A225" s="1017" t="s">
        <v>5378</v>
      </c>
      <c r="B225" s="1017" t="s">
        <v>5292</v>
      </c>
      <c r="C225" s="1017" t="s">
        <v>5379</v>
      </c>
      <c r="D225" s="1016">
        <v>0.46</v>
      </c>
      <c r="E225" s="1015">
        <v>90.1</v>
      </c>
      <c r="F225" s="1014">
        <v>8.6999999999999993</v>
      </c>
      <c r="G225" s="1013">
        <v>44.4</v>
      </c>
      <c r="H225" s="1012">
        <v>96.7</v>
      </c>
    </row>
    <row r="226" spans="1:8" ht="12.65" customHeight="1">
      <c r="A226" s="1017" t="s">
        <v>5375</v>
      </c>
      <c r="B226" s="1017" t="s">
        <v>5292</v>
      </c>
      <c r="C226" s="1017" t="s">
        <v>5376</v>
      </c>
      <c r="D226" s="1016">
        <v>0.91</v>
      </c>
      <c r="E226" s="1015">
        <v>90.8</v>
      </c>
      <c r="F226" s="1014">
        <v>7.1</v>
      </c>
      <c r="G226" s="1013">
        <v>47</v>
      </c>
      <c r="H226" s="1012">
        <v>99.3</v>
      </c>
    </row>
    <row r="227" spans="1:8" ht="12.65" customHeight="1">
      <c r="A227" s="1017" t="s">
        <v>5372</v>
      </c>
      <c r="B227" s="1017" t="s">
        <v>5292</v>
      </c>
      <c r="C227" s="1017" t="s">
        <v>5373</v>
      </c>
      <c r="D227" s="1016">
        <v>0.4</v>
      </c>
      <c r="E227" s="1015">
        <v>96.1</v>
      </c>
      <c r="F227" s="1014">
        <v>11.3</v>
      </c>
      <c r="G227" s="1013">
        <v>88</v>
      </c>
      <c r="H227" s="1012">
        <v>95.7</v>
      </c>
    </row>
    <row r="228" spans="1:8" ht="12.65" customHeight="1">
      <c r="A228" s="1017" t="s">
        <v>5369</v>
      </c>
      <c r="B228" s="1017" t="s">
        <v>5292</v>
      </c>
      <c r="C228" s="1017" t="s">
        <v>5370</v>
      </c>
      <c r="D228" s="1016">
        <v>0.32</v>
      </c>
      <c r="E228" s="1015">
        <v>92.1</v>
      </c>
      <c r="F228" s="1014">
        <v>10.9</v>
      </c>
      <c r="G228" s="1013">
        <v>43.1</v>
      </c>
      <c r="H228" s="1012">
        <v>96.5</v>
      </c>
    </row>
    <row r="229" spans="1:8" ht="12.65" customHeight="1">
      <c r="A229" s="1017" t="s">
        <v>5366</v>
      </c>
      <c r="B229" s="1017" t="s">
        <v>5292</v>
      </c>
      <c r="C229" s="1017" t="s">
        <v>5367</v>
      </c>
      <c r="D229" s="1016">
        <v>0.36</v>
      </c>
      <c r="E229" s="1015">
        <v>94.4</v>
      </c>
      <c r="F229" s="1014">
        <v>9.5</v>
      </c>
      <c r="G229" s="1013">
        <v>55</v>
      </c>
      <c r="H229" s="1012">
        <v>97.9</v>
      </c>
    </row>
    <row r="230" spans="1:8" ht="12.65" customHeight="1">
      <c r="A230" s="1017" t="s">
        <v>5363</v>
      </c>
      <c r="B230" s="1017" t="s">
        <v>5292</v>
      </c>
      <c r="C230" s="1017" t="s">
        <v>5364</v>
      </c>
      <c r="D230" s="1016">
        <v>0.32</v>
      </c>
      <c r="E230" s="1015">
        <v>90.5</v>
      </c>
      <c r="F230" s="1014">
        <v>13</v>
      </c>
      <c r="G230" s="1013" t="s">
        <v>6080</v>
      </c>
      <c r="H230" s="1012">
        <v>94.7</v>
      </c>
    </row>
    <row r="231" spans="1:8" ht="12.65" customHeight="1">
      <c r="A231" s="1017" t="s">
        <v>5360</v>
      </c>
      <c r="B231" s="1017" t="s">
        <v>5292</v>
      </c>
      <c r="C231" s="1017" t="s">
        <v>5361</v>
      </c>
      <c r="D231" s="1016">
        <v>0.48</v>
      </c>
      <c r="E231" s="1015">
        <v>99.5</v>
      </c>
      <c r="F231" s="1014">
        <v>10.5</v>
      </c>
      <c r="G231" s="1013" t="s">
        <v>6080</v>
      </c>
      <c r="H231" s="1012">
        <v>97.6</v>
      </c>
    </row>
    <row r="232" spans="1:8" ht="12.65" customHeight="1">
      <c r="A232" s="1017" t="s">
        <v>5357</v>
      </c>
      <c r="B232" s="1017" t="s">
        <v>5292</v>
      </c>
      <c r="C232" s="1017" t="s">
        <v>5358</v>
      </c>
      <c r="D232" s="1016">
        <v>0.36</v>
      </c>
      <c r="E232" s="1015">
        <v>97.1</v>
      </c>
      <c r="F232" s="1014">
        <v>11.7</v>
      </c>
      <c r="G232" s="1013">
        <v>44.4</v>
      </c>
      <c r="H232" s="1012">
        <v>97.7</v>
      </c>
    </row>
    <row r="233" spans="1:8" ht="12.65" customHeight="1">
      <c r="A233" s="1017" t="s">
        <v>5354</v>
      </c>
      <c r="B233" s="1017" t="s">
        <v>5292</v>
      </c>
      <c r="C233" s="1017" t="s">
        <v>5355</v>
      </c>
      <c r="D233" s="1016">
        <v>0.3</v>
      </c>
      <c r="E233" s="1015">
        <v>93.3</v>
      </c>
      <c r="F233" s="1014">
        <v>15.5</v>
      </c>
      <c r="G233" s="1013">
        <v>32.200000000000003</v>
      </c>
      <c r="H233" s="1012">
        <v>96.9</v>
      </c>
    </row>
    <row r="234" spans="1:8" ht="12.65" customHeight="1">
      <c r="A234" s="1017" t="s">
        <v>5351</v>
      </c>
      <c r="B234" s="1017" t="s">
        <v>5292</v>
      </c>
      <c r="C234" s="1017" t="s">
        <v>5352</v>
      </c>
      <c r="D234" s="1016">
        <v>0.44</v>
      </c>
      <c r="E234" s="1015">
        <v>94.7</v>
      </c>
      <c r="F234" s="1014">
        <v>15.5</v>
      </c>
      <c r="G234" s="1013">
        <v>24.4</v>
      </c>
      <c r="H234" s="1012">
        <v>98.3</v>
      </c>
    </row>
    <row r="235" spans="1:8" ht="12.65" customHeight="1">
      <c r="A235" s="1017" t="s">
        <v>6096</v>
      </c>
      <c r="B235" s="1017" t="s">
        <v>5292</v>
      </c>
      <c r="C235" s="1017" t="s">
        <v>6095</v>
      </c>
      <c r="D235" s="1016">
        <v>0.57999999999999996</v>
      </c>
      <c r="E235" s="1015">
        <v>89</v>
      </c>
      <c r="F235" s="1014">
        <v>6.1</v>
      </c>
      <c r="G235" s="1013">
        <v>29.4</v>
      </c>
      <c r="H235" s="1012">
        <v>95.8</v>
      </c>
    </row>
    <row r="236" spans="1:8" ht="12.65" customHeight="1">
      <c r="A236" s="1017" t="s">
        <v>5345</v>
      </c>
      <c r="B236" s="1017" t="s">
        <v>5292</v>
      </c>
      <c r="C236" s="1017" t="s">
        <v>5346</v>
      </c>
      <c r="D236" s="1016">
        <v>0.38</v>
      </c>
      <c r="E236" s="1015">
        <v>98.3</v>
      </c>
      <c r="F236" s="1014">
        <v>8.3000000000000007</v>
      </c>
      <c r="G236" s="1013" t="s">
        <v>6080</v>
      </c>
      <c r="H236" s="1012">
        <v>96.8</v>
      </c>
    </row>
    <row r="237" spans="1:8" ht="12.65" customHeight="1">
      <c r="A237" s="1017" t="s">
        <v>5342</v>
      </c>
      <c r="B237" s="1017" t="s">
        <v>5292</v>
      </c>
      <c r="C237" s="1017" t="s">
        <v>5343</v>
      </c>
      <c r="D237" s="1016">
        <v>0.18</v>
      </c>
      <c r="E237" s="1015">
        <v>89</v>
      </c>
      <c r="F237" s="1014">
        <v>7.4</v>
      </c>
      <c r="G237" s="1013" t="s">
        <v>6080</v>
      </c>
      <c r="H237" s="1012">
        <v>95.6</v>
      </c>
    </row>
    <row r="238" spans="1:8" ht="12.65" customHeight="1">
      <c r="A238" s="1017" t="s">
        <v>5339</v>
      </c>
      <c r="B238" s="1017" t="s">
        <v>5292</v>
      </c>
      <c r="C238" s="1017" t="s">
        <v>5340</v>
      </c>
      <c r="D238" s="1016">
        <v>0.33</v>
      </c>
      <c r="E238" s="1015">
        <v>89.6</v>
      </c>
      <c r="F238" s="1014">
        <v>8.1</v>
      </c>
      <c r="G238" s="1013">
        <v>31.2</v>
      </c>
      <c r="H238" s="1012">
        <v>93.7</v>
      </c>
    </row>
    <row r="239" spans="1:8" ht="12.65" customHeight="1">
      <c r="A239" s="1017" t="s">
        <v>5336</v>
      </c>
      <c r="B239" s="1017" t="s">
        <v>5292</v>
      </c>
      <c r="C239" s="1017" t="s">
        <v>5337</v>
      </c>
      <c r="D239" s="1016">
        <v>0.46</v>
      </c>
      <c r="E239" s="1015">
        <v>94.2</v>
      </c>
      <c r="F239" s="1014">
        <v>13.8</v>
      </c>
      <c r="G239" s="1013">
        <v>81.400000000000006</v>
      </c>
      <c r="H239" s="1012">
        <v>94.9</v>
      </c>
    </row>
    <row r="240" spans="1:8" ht="12.65" customHeight="1">
      <c r="A240" s="1017" t="s">
        <v>5333</v>
      </c>
      <c r="B240" s="1017" t="s">
        <v>5292</v>
      </c>
      <c r="C240" s="1017" t="s">
        <v>5334</v>
      </c>
      <c r="D240" s="1016">
        <v>0.65</v>
      </c>
      <c r="E240" s="1015">
        <v>96.9</v>
      </c>
      <c r="F240" s="1014">
        <v>15.6</v>
      </c>
      <c r="G240" s="1013">
        <v>61</v>
      </c>
      <c r="H240" s="1012">
        <v>96.2</v>
      </c>
    </row>
    <row r="241" spans="1:8" ht="12.65" customHeight="1">
      <c r="A241" s="1017" t="s">
        <v>5330</v>
      </c>
      <c r="B241" s="1017" t="s">
        <v>5292</v>
      </c>
      <c r="C241" s="1017" t="s">
        <v>5331</v>
      </c>
      <c r="D241" s="1016">
        <v>0.14000000000000001</v>
      </c>
      <c r="E241" s="1015">
        <v>92.9</v>
      </c>
      <c r="F241" s="1014">
        <v>15.8</v>
      </c>
      <c r="G241" s="1013">
        <v>53.1</v>
      </c>
      <c r="H241" s="1012">
        <v>95.7</v>
      </c>
    </row>
    <row r="242" spans="1:8" ht="12.65" customHeight="1">
      <c r="A242" s="1017" t="s">
        <v>5327</v>
      </c>
      <c r="B242" s="1017" t="s">
        <v>5292</v>
      </c>
      <c r="C242" s="1017" t="s">
        <v>5328</v>
      </c>
      <c r="D242" s="1016">
        <v>0.64</v>
      </c>
      <c r="E242" s="1015">
        <v>81</v>
      </c>
      <c r="F242" s="1014">
        <v>11.6</v>
      </c>
      <c r="G242" s="1013" t="s">
        <v>6080</v>
      </c>
      <c r="H242" s="1012">
        <v>99.2</v>
      </c>
    </row>
    <row r="243" spans="1:8" ht="12.65" customHeight="1">
      <c r="A243" s="1017" t="s">
        <v>5324</v>
      </c>
      <c r="B243" s="1017" t="s">
        <v>5292</v>
      </c>
      <c r="C243" s="1017" t="s">
        <v>5325</v>
      </c>
      <c r="D243" s="1016">
        <v>0.3</v>
      </c>
      <c r="E243" s="1015">
        <v>95.4</v>
      </c>
      <c r="F243" s="1014">
        <v>10.5</v>
      </c>
      <c r="G243" s="1013">
        <v>75.7</v>
      </c>
      <c r="H243" s="1012">
        <v>98.1</v>
      </c>
    </row>
    <row r="244" spans="1:8" ht="12.65" customHeight="1">
      <c r="A244" s="1017" t="s">
        <v>5321</v>
      </c>
      <c r="B244" s="1017" t="s">
        <v>5292</v>
      </c>
      <c r="C244" s="1017" t="s">
        <v>5322</v>
      </c>
      <c r="D244" s="1016">
        <v>0.2</v>
      </c>
      <c r="E244" s="1015">
        <v>81.099999999999994</v>
      </c>
      <c r="F244" s="1014">
        <v>7</v>
      </c>
      <c r="G244" s="1013" t="s">
        <v>6080</v>
      </c>
      <c r="H244" s="1012">
        <v>95.2</v>
      </c>
    </row>
    <row r="245" spans="1:8" ht="12.65" customHeight="1">
      <c r="A245" s="1017" t="s">
        <v>5318</v>
      </c>
      <c r="B245" s="1017" t="s">
        <v>5292</v>
      </c>
      <c r="C245" s="1017" t="s">
        <v>5319</v>
      </c>
      <c r="D245" s="1016">
        <v>0.28000000000000003</v>
      </c>
      <c r="E245" s="1015">
        <v>90.3</v>
      </c>
      <c r="F245" s="1014">
        <v>10.1</v>
      </c>
      <c r="G245" s="1013" t="s">
        <v>6080</v>
      </c>
      <c r="H245" s="1012">
        <v>95.6</v>
      </c>
    </row>
    <row r="246" spans="1:8" ht="12.65" customHeight="1">
      <c r="A246" s="1017" t="s">
        <v>5315</v>
      </c>
      <c r="B246" s="1017" t="s">
        <v>5292</v>
      </c>
      <c r="C246" s="1017" t="s">
        <v>5316</v>
      </c>
      <c r="D246" s="1016">
        <v>0.31</v>
      </c>
      <c r="E246" s="1015">
        <v>92.1</v>
      </c>
      <c r="F246" s="1014">
        <v>4.7</v>
      </c>
      <c r="G246" s="1013" t="s">
        <v>6080</v>
      </c>
      <c r="H246" s="1012">
        <v>97.8</v>
      </c>
    </row>
    <row r="247" spans="1:8" ht="12.65" customHeight="1">
      <c r="A247" s="1017" t="s">
        <v>5312</v>
      </c>
      <c r="B247" s="1017" t="s">
        <v>5292</v>
      </c>
      <c r="C247" s="1017" t="s">
        <v>5313</v>
      </c>
      <c r="D247" s="1016">
        <v>0.16</v>
      </c>
      <c r="E247" s="1015">
        <v>96.7</v>
      </c>
      <c r="F247" s="1014">
        <v>13.1</v>
      </c>
      <c r="G247" s="1013" t="s">
        <v>6080</v>
      </c>
      <c r="H247" s="1012">
        <v>96.7</v>
      </c>
    </row>
    <row r="248" spans="1:8" ht="12.65" customHeight="1">
      <c r="A248" s="1017" t="s">
        <v>5309</v>
      </c>
      <c r="B248" s="1017" t="s">
        <v>5292</v>
      </c>
      <c r="C248" s="1017" t="s">
        <v>5310</v>
      </c>
      <c r="D248" s="1016">
        <v>0.15</v>
      </c>
      <c r="E248" s="1015">
        <v>91.4</v>
      </c>
      <c r="F248" s="1014">
        <v>9.4</v>
      </c>
      <c r="G248" s="1013" t="s">
        <v>6080</v>
      </c>
      <c r="H248" s="1012">
        <v>90.5</v>
      </c>
    </row>
    <row r="249" spans="1:8" ht="12.65" customHeight="1">
      <c r="A249" s="1017" t="s">
        <v>5306</v>
      </c>
      <c r="B249" s="1017" t="s">
        <v>5292</v>
      </c>
      <c r="C249" s="1017" t="s">
        <v>5307</v>
      </c>
      <c r="D249" s="1016">
        <v>0.14000000000000001</v>
      </c>
      <c r="E249" s="1015">
        <v>98.5</v>
      </c>
      <c r="F249" s="1014">
        <v>9.3000000000000007</v>
      </c>
      <c r="G249" s="1013" t="s">
        <v>6080</v>
      </c>
      <c r="H249" s="1012">
        <v>93.3</v>
      </c>
    </row>
    <row r="250" spans="1:8" ht="12.65" customHeight="1">
      <c r="A250" s="1017" t="s">
        <v>5303</v>
      </c>
      <c r="B250" s="1017" t="s">
        <v>5292</v>
      </c>
      <c r="C250" s="1017" t="s">
        <v>5304</v>
      </c>
      <c r="D250" s="1016">
        <v>0.34</v>
      </c>
      <c r="E250" s="1015">
        <v>89.9</v>
      </c>
      <c r="F250" s="1014">
        <v>10.7</v>
      </c>
      <c r="G250" s="1013">
        <v>36.6</v>
      </c>
      <c r="H250" s="1012">
        <v>91.7</v>
      </c>
    </row>
    <row r="251" spans="1:8" ht="12.65" customHeight="1">
      <c r="A251" s="1017" t="s">
        <v>5300</v>
      </c>
      <c r="B251" s="1017" t="s">
        <v>5292</v>
      </c>
      <c r="C251" s="1017" t="s">
        <v>5301</v>
      </c>
      <c r="D251" s="1016">
        <v>0.2</v>
      </c>
      <c r="E251" s="1015">
        <v>86.8</v>
      </c>
      <c r="F251" s="1014">
        <v>6.9</v>
      </c>
      <c r="G251" s="1013" t="s">
        <v>6080</v>
      </c>
      <c r="H251" s="1012">
        <v>91.5</v>
      </c>
    </row>
    <row r="252" spans="1:8" ht="12.65" customHeight="1">
      <c r="A252" s="1017" t="s">
        <v>5297</v>
      </c>
      <c r="B252" s="1017" t="s">
        <v>5292</v>
      </c>
      <c r="C252" s="1017" t="s">
        <v>5298</v>
      </c>
      <c r="D252" s="1016">
        <v>0.2</v>
      </c>
      <c r="E252" s="1015">
        <v>89.7</v>
      </c>
      <c r="F252" s="1014">
        <v>7.9</v>
      </c>
      <c r="G252" s="1013" t="s">
        <v>6080</v>
      </c>
      <c r="H252" s="1012">
        <v>94.1</v>
      </c>
    </row>
    <row r="253" spans="1:8" ht="12.65" customHeight="1">
      <c r="A253" s="1017" t="s">
        <v>5294</v>
      </c>
      <c r="B253" s="1017" t="s">
        <v>5292</v>
      </c>
      <c r="C253" s="1017" t="s">
        <v>5295</v>
      </c>
      <c r="D253" s="1016">
        <v>0.26</v>
      </c>
      <c r="E253" s="1015">
        <v>91.3</v>
      </c>
      <c r="F253" s="1014">
        <v>11.5</v>
      </c>
      <c r="G253" s="1013" t="s">
        <v>6080</v>
      </c>
      <c r="H253" s="1012">
        <v>92.4</v>
      </c>
    </row>
    <row r="254" spans="1:8" ht="12.65" customHeight="1">
      <c r="A254" s="1017" t="s">
        <v>5290</v>
      </c>
      <c r="B254" s="1017" t="s">
        <v>5292</v>
      </c>
      <c r="C254" s="1017" t="s">
        <v>5291</v>
      </c>
      <c r="D254" s="1016">
        <v>0.34</v>
      </c>
      <c r="E254" s="1015">
        <v>91.7</v>
      </c>
      <c r="F254" s="1014">
        <v>5.7</v>
      </c>
      <c r="G254" s="1013">
        <v>10.5</v>
      </c>
      <c r="H254" s="1012">
        <v>96.3</v>
      </c>
    </row>
    <row r="255" spans="1:8" ht="12.65" customHeight="1">
      <c r="A255" s="1017" t="s">
        <v>5283</v>
      </c>
      <c r="B255" s="1017" t="s">
        <v>5186</v>
      </c>
      <c r="C255" s="1017" t="s">
        <v>5284</v>
      </c>
      <c r="D255" s="1016">
        <v>0.88</v>
      </c>
      <c r="E255" s="1015">
        <v>97</v>
      </c>
      <c r="F255" s="1014">
        <v>6.1</v>
      </c>
      <c r="G255" s="1013">
        <v>52.3</v>
      </c>
      <c r="H255" s="1012">
        <v>102.6</v>
      </c>
    </row>
    <row r="256" spans="1:8" ht="12.65" customHeight="1">
      <c r="A256" s="1017" t="s">
        <v>5280</v>
      </c>
      <c r="B256" s="1017" t="s">
        <v>5186</v>
      </c>
      <c r="C256" s="1017" t="s">
        <v>5281</v>
      </c>
      <c r="D256" s="1016">
        <v>0.53</v>
      </c>
      <c r="E256" s="1015">
        <v>100.9</v>
      </c>
      <c r="F256" s="1014">
        <v>8.1999999999999993</v>
      </c>
      <c r="G256" s="1013">
        <v>14.7</v>
      </c>
      <c r="H256" s="1012">
        <v>96.3</v>
      </c>
    </row>
    <row r="257" spans="1:8" ht="12.65" customHeight="1">
      <c r="A257" s="1017" t="s">
        <v>5277</v>
      </c>
      <c r="B257" s="1017" t="s">
        <v>5186</v>
      </c>
      <c r="C257" s="1017" t="s">
        <v>5278</v>
      </c>
      <c r="D257" s="1016">
        <v>0.51</v>
      </c>
      <c r="E257" s="1015">
        <v>98.3</v>
      </c>
      <c r="F257" s="1014">
        <v>4.5999999999999996</v>
      </c>
      <c r="G257" s="1013" t="s">
        <v>6080</v>
      </c>
      <c r="H257" s="1012">
        <v>96.2</v>
      </c>
    </row>
    <row r="258" spans="1:8" ht="12.65" customHeight="1">
      <c r="A258" s="1017" t="s">
        <v>5274</v>
      </c>
      <c r="B258" s="1017" t="s">
        <v>5186</v>
      </c>
      <c r="C258" s="1017" t="s">
        <v>5275</v>
      </c>
      <c r="D258" s="1016">
        <v>0.44</v>
      </c>
      <c r="E258" s="1015">
        <v>103.9</v>
      </c>
      <c r="F258" s="1014">
        <v>8.1999999999999993</v>
      </c>
      <c r="G258" s="1013" t="s">
        <v>6080</v>
      </c>
      <c r="H258" s="1012">
        <v>98.6</v>
      </c>
    </row>
    <row r="259" spans="1:8" ht="12.65" customHeight="1">
      <c r="A259" s="1017" t="s">
        <v>5271</v>
      </c>
      <c r="B259" s="1017" t="s">
        <v>5186</v>
      </c>
      <c r="C259" s="1017" t="s">
        <v>5272</v>
      </c>
      <c r="D259" s="1016">
        <v>0.49</v>
      </c>
      <c r="E259" s="1015">
        <v>92.9</v>
      </c>
      <c r="F259" s="1014">
        <v>3.7</v>
      </c>
      <c r="G259" s="1013" t="s">
        <v>6080</v>
      </c>
      <c r="H259" s="1012">
        <v>97.6</v>
      </c>
    </row>
    <row r="260" spans="1:8" ht="12.65" customHeight="1">
      <c r="A260" s="1017" t="s">
        <v>5268</v>
      </c>
      <c r="B260" s="1017" t="s">
        <v>5186</v>
      </c>
      <c r="C260" s="1017" t="s">
        <v>5269</v>
      </c>
      <c r="D260" s="1016">
        <v>0.8</v>
      </c>
      <c r="E260" s="1015">
        <v>99.2</v>
      </c>
      <c r="F260" s="1014">
        <v>2.6</v>
      </c>
      <c r="G260" s="1013" t="s">
        <v>6080</v>
      </c>
      <c r="H260" s="1012">
        <v>97.1</v>
      </c>
    </row>
    <row r="261" spans="1:8" ht="12.65" customHeight="1">
      <c r="A261" s="1017" t="s">
        <v>5265</v>
      </c>
      <c r="B261" s="1017" t="s">
        <v>5186</v>
      </c>
      <c r="C261" s="1017" t="s">
        <v>5266</v>
      </c>
      <c r="D261" s="1016">
        <v>0.5</v>
      </c>
      <c r="E261" s="1015">
        <v>98.7</v>
      </c>
      <c r="F261" s="1014">
        <v>10.7</v>
      </c>
      <c r="G261" s="1013">
        <v>7.2</v>
      </c>
      <c r="H261" s="1012">
        <v>96.1</v>
      </c>
    </row>
    <row r="262" spans="1:8" ht="12.65" customHeight="1">
      <c r="A262" s="1017" t="s">
        <v>5262</v>
      </c>
      <c r="B262" s="1017" t="s">
        <v>5186</v>
      </c>
      <c r="C262" s="1017" t="s">
        <v>5263</v>
      </c>
      <c r="D262" s="1016">
        <v>0.69</v>
      </c>
      <c r="E262" s="1015">
        <v>102.8</v>
      </c>
      <c r="F262" s="1014">
        <v>3.7</v>
      </c>
      <c r="G262" s="1013" t="s">
        <v>6080</v>
      </c>
      <c r="H262" s="1012">
        <v>94.1</v>
      </c>
    </row>
    <row r="263" spans="1:8" ht="12.65" customHeight="1">
      <c r="A263" s="1017" t="s">
        <v>5259</v>
      </c>
      <c r="B263" s="1017" t="s">
        <v>5186</v>
      </c>
      <c r="C263" s="1017" t="s">
        <v>5260</v>
      </c>
      <c r="D263" s="1016">
        <v>0.8</v>
      </c>
      <c r="E263" s="1015">
        <v>102.4</v>
      </c>
      <c r="F263" s="1014">
        <v>-0.5</v>
      </c>
      <c r="G263" s="1013" t="s">
        <v>6080</v>
      </c>
      <c r="H263" s="1012">
        <v>96</v>
      </c>
    </row>
    <row r="264" spans="1:8" ht="12.65" customHeight="1">
      <c r="A264" s="1017" t="s">
        <v>5256</v>
      </c>
      <c r="B264" s="1017" t="s">
        <v>5186</v>
      </c>
      <c r="C264" s="1017" t="s">
        <v>5257</v>
      </c>
      <c r="D264" s="1016">
        <v>0.35</v>
      </c>
      <c r="E264" s="1015">
        <v>96.8</v>
      </c>
      <c r="F264" s="1014">
        <v>9</v>
      </c>
      <c r="G264" s="1013">
        <v>63.3</v>
      </c>
      <c r="H264" s="1012">
        <v>93.8</v>
      </c>
    </row>
    <row r="265" spans="1:8" ht="12.65" customHeight="1">
      <c r="A265" s="1017" t="s">
        <v>5253</v>
      </c>
      <c r="B265" s="1017" t="s">
        <v>5186</v>
      </c>
      <c r="C265" s="1017" t="s">
        <v>5254</v>
      </c>
      <c r="D265" s="1016">
        <v>0.32</v>
      </c>
      <c r="E265" s="1015">
        <v>97.9</v>
      </c>
      <c r="F265" s="1014">
        <v>7.5</v>
      </c>
      <c r="G265" s="1013">
        <v>17.100000000000001</v>
      </c>
      <c r="H265" s="1012">
        <v>94.4</v>
      </c>
    </row>
    <row r="266" spans="1:8" ht="12.65" customHeight="1">
      <c r="A266" s="1017" t="s">
        <v>5250</v>
      </c>
      <c r="B266" s="1017" t="s">
        <v>5186</v>
      </c>
      <c r="C266" s="1017" t="s">
        <v>5251</v>
      </c>
      <c r="D266" s="1016">
        <v>0.45</v>
      </c>
      <c r="E266" s="1015">
        <v>93.2</v>
      </c>
      <c r="F266" s="1014">
        <v>9.6</v>
      </c>
      <c r="G266" s="1013" t="s">
        <v>6080</v>
      </c>
      <c r="H266" s="1012">
        <v>97</v>
      </c>
    </row>
    <row r="267" spans="1:8" ht="12.65" customHeight="1">
      <c r="A267" s="1017" t="s">
        <v>5247</v>
      </c>
      <c r="B267" s="1017" t="s">
        <v>5186</v>
      </c>
      <c r="C267" s="1017" t="s">
        <v>5248</v>
      </c>
      <c r="D267" s="1016">
        <v>0.48</v>
      </c>
      <c r="E267" s="1015">
        <v>96.8</v>
      </c>
      <c r="F267" s="1014">
        <v>7.3</v>
      </c>
      <c r="G267" s="1013">
        <v>65.900000000000006</v>
      </c>
      <c r="H267" s="1012">
        <v>98.2</v>
      </c>
    </row>
    <row r="268" spans="1:8" ht="12.65" customHeight="1">
      <c r="A268" s="1017" t="s">
        <v>6094</v>
      </c>
      <c r="B268" s="1017" t="s">
        <v>5186</v>
      </c>
      <c r="C268" s="1017" t="s">
        <v>6093</v>
      </c>
      <c r="D268" s="1016">
        <v>0.76</v>
      </c>
      <c r="E268" s="1015">
        <v>94.5</v>
      </c>
      <c r="F268" s="1014">
        <v>-2</v>
      </c>
      <c r="G268" s="1013" t="s">
        <v>6080</v>
      </c>
      <c r="H268" s="1012">
        <v>93.4</v>
      </c>
    </row>
    <row r="269" spans="1:8" ht="12.65" customHeight="1">
      <c r="A269" s="1017" t="s">
        <v>5241</v>
      </c>
      <c r="B269" s="1017" t="s">
        <v>5186</v>
      </c>
      <c r="C269" s="1017" t="s">
        <v>5242</v>
      </c>
      <c r="D269" s="1016">
        <v>0.43</v>
      </c>
      <c r="E269" s="1015">
        <v>96.4</v>
      </c>
      <c r="F269" s="1014">
        <v>4.5</v>
      </c>
      <c r="G269" s="1013" t="s">
        <v>6080</v>
      </c>
      <c r="H269" s="1012">
        <v>98.2</v>
      </c>
    </row>
    <row r="270" spans="1:8" ht="12.65" customHeight="1">
      <c r="A270" s="1017" t="s">
        <v>5238</v>
      </c>
      <c r="B270" s="1017" t="s">
        <v>5186</v>
      </c>
      <c r="C270" s="1017" t="s">
        <v>6092</v>
      </c>
      <c r="D270" s="1016">
        <v>0.31</v>
      </c>
      <c r="E270" s="1015">
        <v>85.6</v>
      </c>
      <c r="F270" s="1014">
        <v>6.8</v>
      </c>
      <c r="G270" s="1013" t="s">
        <v>6080</v>
      </c>
      <c r="H270" s="1012">
        <v>98.3</v>
      </c>
    </row>
    <row r="271" spans="1:8" ht="12.65" customHeight="1">
      <c r="A271" s="1017" t="s">
        <v>5235</v>
      </c>
      <c r="B271" s="1017" t="s">
        <v>5186</v>
      </c>
      <c r="C271" s="1017" t="s">
        <v>5236</v>
      </c>
      <c r="D271" s="1016">
        <v>0.6</v>
      </c>
      <c r="E271" s="1015">
        <v>99.9</v>
      </c>
      <c r="F271" s="1014">
        <v>3.3</v>
      </c>
      <c r="G271" s="1013" t="s">
        <v>6080</v>
      </c>
      <c r="H271" s="1012">
        <v>96.5</v>
      </c>
    </row>
    <row r="272" spans="1:8" ht="12.65" customHeight="1">
      <c r="A272" s="1017" t="s">
        <v>5232</v>
      </c>
      <c r="B272" s="1017" t="s">
        <v>5186</v>
      </c>
      <c r="C272" s="1017" t="s">
        <v>5233</v>
      </c>
      <c r="D272" s="1016">
        <v>0.41</v>
      </c>
      <c r="E272" s="1015">
        <v>91.4</v>
      </c>
      <c r="F272" s="1014">
        <v>11.2</v>
      </c>
      <c r="G272" s="1013">
        <v>47.2</v>
      </c>
      <c r="H272" s="1012">
        <v>95.6</v>
      </c>
    </row>
    <row r="273" spans="1:8" ht="12.65" customHeight="1">
      <c r="A273" s="1017" t="s">
        <v>5229</v>
      </c>
      <c r="B273" s="1017" t="s">
        <v>5186</v>
      </c>
      <c r="C273" s="1017" t="s">
        <v>5230</v>
      </c>
      <c r="D273" s="1016">
        <v>0.59</v>
      </c>
      <c r="E273" s="1015">
        <v>93.8</v>
      </c>
      <c r="F273" s="1014">
        <v>5.6</v>
      </c>
      <c r="G273" s="1013">
        <v>55.3</v>
      </c>
      <c r="H273" s="1012">
        <v>96.8</v>
      </c>
    </row>
    <row r="274" spans="1:8" ht="12.65" customHeight="1">
      <c r="A274" s="1017" t="s">
        <v>5227</v>
      </c>
      <c r="B274" s="1017" t="s">
        <v>5186</v>
      </c>
      <c r="C274" s="1017" t="s">
        <v>1366</v>
      </c>
      <c r="D274" s="1016">
        <v>0.3</v>
      </c>
      <c r="E274" s="1015">
        <v>93.4</v>
      </c>
      <c r="F274" s="1014">
        <v>5.4</v>
      </c>
      <c r="G274" s="1013" t="s">
        <v>6080</v>
      </c>
      <c r="H274" s="1012">
        <v>97.4</v>
      </c>
    </row>
    <row r="275" spans="1:8" ht="12.65" customHeight="1">
      <c r="A275" s="1017" t="s">
        <v>5225</v>
      </c>
      <c r="B275" s="1017" t="s">
        <v>5186</v>
      </c>
      <c r="C275" s="1017" t="s">
        <v>5226</v>
      </c>
      <c r="D275" s="1016">
        <v>0.3</v>
      </c>
      <c r="E275" s="1015">
        <v>91.3</v>
      </c>
      <c r="F275" s="1014">
        <v>7.8</v>
      </c>
      <c r="G275" s="1013" t="s">
        <v>6080</v>
      </c>
      <c r="H275" s="1012">
        <v>87.9</v>
      </c>
    </row>
    <row r="276" spans="1:8" ht="12.65" customHeight="1">
      <c r="A276" s="1017" t="s">
        <v>5222</v>
      </c>
      <c r="B276" s="1017" t="s">
        <v>5186</v>
      </c>
      <c r="C276" s="1017" t="s">
        <v>5223</v>
      </c>
      <c r="D276" s="1016">
        <v>0.56999999999999995</v>
      </c>
      <c r="E276" s="1015">
        <v>96.7</v>
      </c>
      <c r="F276" s="1014">
        <v>5</v>
      </c>
      <c r="G276" s="1013" t="s">
        <v>6080</v>
      </c>
      <c r="H276" s="1012">
        <v>95</v>
      </c>
    </row>
    <row r="277" spans="1:8" ht="12.65" customHeight="1">
      <c r="A277" s="1017" t="s">
        <v>5219</v>
      </c>
      <c r="B277" s="1017" t="s">
        <v>5186</v>
      </c>
      <c r="C277" s="1017" t="s">
        <v>5220</v>
      </c>
      <c r="D277" s="1016">
        <v>0.36</v>
      </c>
      <c r="E277" s="1015">
        <v>92.1</v>
      </c>
      <c r="F277" s="1014">
        <v>6.7</v>
      </c>
      <c r="G277" s="1013" t="s">
        <v>6080</v>
      </c>
      <c r="H277" s="1012">
        <v>90.2</v>
      </c>
    </row>
    <row r="278" spans="1:8" ht="12.65" customHeight="1">
      <c r="A278" s="1017" t="s">
        <v>5216</v>
      </c>
      <c r="B278" s="1017" t="s">
        <v>5186</v>
      </c>
      <c r="C278" s="1017" t="s">
        <v>5217</v>
      </c>
      <c r="D278" s="1016">
        <v>0.45</v>
      </c>
      <c r="E278" s="1015">
        <v>94.5</v>
      </c>
      <c r="F278" s="1014">
        <v>7.5</v>
      </c>
      <c r="G278" s="1013" t="s">
        <v>6080</v>
      </c>
      <c r="H278" s="1012">
        <v>94.7</v>
      </c>
    </row>
    <row r="279" spans="1:8" ht="12.65" customHeight="1">
      <c r="A279" s="1017" t="s">
        <v>5213</v>
      </c>
      <c r="B279" s="1017" t="s">
        <v>5186</v>
      </c>
      <c r="C279" s="1017" t="s">
        <v>6091</v>
      </c>
      <c r="D279" s="1016">
        <v>0.5</v>
      </c>
      <c r="E279" s="1015">
        <v>94.5</v>
      </c>
      <c r="F279" s="1014">
        <v>1.3</v>
      </c>
      <c r="G279" s="1013" t="s">
        <v>6080</v>
      </c>
      <c r="H279" s="1012">
        <v>91.5</v>
      </c>
    </row>
    <row r="280" spans="1:8" ht="12.65" customHeight="1">
      <c r="A280" s="1017" t="s">
        <v>5210</v>
      </c>
      <c r="B280" s="1017" t="s">
        <v>5186</v>
      </c>
      <c r="C280" s="1017" t="s">
        <v>5211</v>
      </c>
      <c r="D280" s="1016">
        <v>0.78</v>
      </c>
      <c r="E280" s="1015">
        <v>93</v>
      </c>
      <c r="F280" s="1014">
        <v>6.9</v>
      </c>
      <c r="G280" s="1013">
        <v>40.5</v>
      </c>
      <c r="H280" s="1012">
        <v>96.6</v>
      </c>
    </row>
    <row r="281" spans="1:8" ht="12.65" customHeight="1">
      <c r="A281" s="1017" t="s">
        <v>5207</v>
      </c>
      <c r="B281" s="1017" t="s">
        <v>5186</v>
      </c>
      <c r="C281" s="1017" t="s">
        <v>5208</v>
      </c>
      <c r="D281" s="1016">
        <v>1.05</v>
      </c>
      <c r="E281" s="1015">
        <v>90.7</v>
      </c>
      <c r="F281" s="1014">
        <v>2.6</v>
      </c>
      <c r="G281" s="1013" t="s">
        <v>6080</v>
      </c>
      <c r="H281" s="1012">
        <v>95.3</v>
      </c>
    </row>
    <row r="282" spans="1:8" ht="12.65" customHeight="1">
      <c r="A282" s="1017" t="s">
        <v>5204</v>
      </c>
      <c r="B282" s="1017" t="s">
        <v>5186</v>
      </c>
      <c r="C282" s="1017" t="s">
        <v>5205</v>
      </c>
      <c r="D282" s="1016">
        <v>0.51</v>
      </c>
      <c r="E282" s="1015">
        <v>87.6</v>
      </c>
      <c r="F282" s="1014">
        <v>8.3000000000000007</v>
      </c>
      <c r="G282" s="1013" t="s">
        <v>6080</v>
      </c>
      <c r="H282" s="1012">
        <v>95.7</v>
      </c>
    </row>
    <row r="283" spans="1:8" ht="12.65" customHeight="1">
      <c r="A283" s="1017" t="s">
        <v>5201</v>
      </c>
      <c r="B283" s="1017" t="s">
        <v>5186</v>
      </c>
      <c r="C283" s="1017" t="s">
        <v>5202</v>
      </c>
      <c r="D283" s="1016">
        <v>0.76</v>
      </c>
      <c r="E283" s="1015">
        <v>94.5</v>
      </c>
      <c r="F283" s="1014">
        <v>5.9</v>
      </c>
      <c r="G283" s="1013" t="s">
        <v>6080</v>
      </c>
      <c r="H283" s="1012">
        <v>95</v>
      </c>
    </row>
    <row r="284" spans="1:8" ht="12.65" customHeight="1">
      <c r="A284" s="1017" t="s">
        <v>5198</v>
      </c>
      <c r="B284" s="1017" t="s">
        <v>5186</v>
      </c>
      <c r="C284" s="1017" t="s">
        <v>5199</v>
      </c>
      <c r="D284" s="1016">
        <v>0.27</v>
      </c>
      <c r="E284" s="1015">
        <v>84.9</v>
      </c>
      <c r="F284" s="1014">
        <v>10.3</v>
      </c>
      <c r="G284" s="1013">
        <v>72.599999999999994</v>
      </c>
      <c r="H284" s="1012">
        <v>96.4</v>
      </c>
    </row>
    <row r="285" spans="1:8" ht="12.65" customHeight="1">
      <c r="A285" s="1017" t="s">
        <v>5195</v>
      </c>
      <c r="B285" s="1017" t="s">
        <v>5186</v>
      </c>
      <c r="C285" s="1017" t="s">
        <v>5196</v>
      </c>
      <c r="D285" s="1016">
        <v>0.34</v>
      </c>
      <c r="E285" s="1015">
        <v>89.1</v>
      </c>
      <c r="F285" s="1014">
        <v>7.4</v>
      </c>
      <c r="G285" s="1013">
        <v>18.7</v>
      </c>
      <c r="H285" s="1012">
        <v>95.1</v>
      </c>
    </row>
    <row r="286" spans="1:8" ht="12.65" customHeight="1">
      <c r="A286" s="1017" t="s">
        <v>5192</v>
      </c>
      <c r="B286" s="1017" t="s">
        <v>5186</v>
      </c>
      <c r="C286" s="1017" t="s">
        <v>5193</v>
      </c>
      <c r="D286" s="1016">
        <v>0.37</v>
      </c>
      <c r="E286" s="1015">
        <v>86.6</v>
      </c>
      <c r="F286" s="1014">
        <v>5.8</v>
      </c>
      <c r="G286" s="1013" t="s">
        <v>6080</v>
      </c>
      <c r="H286" s="1012">
        <v>93.1</v>
      </c>
    </row>
    <row r="287" spans="1:8" ht="12.65" customHeight="1">
      <c r="A287" s="1017" t="s">
        <v>5190</v>
      </c>
      <c r="B287" s="1017" t="s">
        <v>5186</v>
      </c>
      <c r="C287" s="1017" t="s">
        <v>1159</v>
      </c>
      <c r="D287" s="1016">
        <v>0.41</v>
      </c>
      <c r="E287" s="1015">
        <v>91.5</v>
      </c>
      <c r="F287" s="1014">
        <v>7.4</v>
      </c>
      <c r="G287" s="1013">
        <v>25.9</v>
      </c>
      <c r="H287" s="1012">
        <v>95.2</v>
      </c>
    </row>
    <row r="288" spans="1:8" ht="12.65" customHeight="1">
      <c r="A288" s="1017" t="s">
        <v>5188</v>
      </c>
      <c r="B288" s="1017" t="s">
        <v>5186</v>
      </c>
      <c r="C288" s="1017" t="s">
        <v>5189</v>
      </c>
      <c r="D288" s="1016">
        <v>0.93</v>
      </c>
      <c r="E288" s="1015">
        <v>89</v>
      </c>
      <c r="F288" s="1014">
        <v>5.9</v>
      </c>
      <c r="G288" s="1013" t="s">
        <v>6080</v>
      </c>
      <c r="H288" s="1012">
        <v>94.8</v>
      </c>
    </row>
    <row r="289" spans="1:8" ht="12.65" customHeight="1">
      <c r="A289" s="1017" t="s">
        <v>5184</v>
      </c>
      <c r="B289" s="1017" t="s">
        <v>5186</v>
      </c>
      <c r="C289" s="1017" t="s">
        <v>5185</v>
      </c>
      <c r="D289" s="1016">
        <v>0.28999999999999998</v>
      </c>
      <c r="E289" s="1015">
        <v>97.9</v>
      </c>
      <c r="F289" s="1014">
        <v>10.6</v>
      </c>
      <c r="G289" s="1013" t="s">
        <v>6080</v>
      </c>
      <c r="H289" s="1012">
        <v>92.5</v>
      </c>
    </row>
    <row r="290" spans="1:8" ht="12.65" customHeight="1">
      <c r="A290" s="1017" t="s">
        <v>5177</v>
      </c>
      <c r="B290" s="1017" t="s">
        <v>5108</v>
      </c>
      <c r="C290" s="1017" t="s">
        <v>5178</v>
      </c>
      <c r="D290" s="1016">
        <v>0.65</v>
      </c>
      <c r="E290" s="1015">
        <v>92.4</v>
      </c>
      <c r="F290" s="1014">
        <v>8.8000000000000007</v>
      </c>
      <c r="G290" s="1013">
        <v>112.9</v>
      </c>
      <c r="H290" s="1012">
        <v>98</v>
      </c>
    </row>
    <row r="291" spans="1:8" ht="12.65" customHeight="1">
      <c r="A291" s="1017" t="s">
        <v>5174</v>
      </c>
      <c r="B291" s="1017" t="s">
        <v>5108</v>
      </c>
      <c r="C291" s="1017" t="s">
        <v>5175</v>
      </c>
      <c r="D291" s="1016">
        <v>0.49</v>
      </c>
      <c r="E291" s="1015">
        <v>93</v>
      </c>
      <c r="F291" s="1014">
        <v>8.6999999999999993</v>
      </c>
      <c r="G291" s="1013">
        <v>60.8</v>
      </c>
      <c r="H291" s="1012">
        <v>95.9</v>
      </c>
    </row>
    <row r="292" spans="1:8" ht="12.65" customHeight="1">
      <c r="A292" s="1017" t="s">
        <v>5171</v>
      </c>
      <c r="B292" s="1017" t="s">
        <v>5108</v>
      </c>
      <c r="C292" s="1017" t="s">
        <v>5172</v>
      </c>
      <c r="D292" s="1016">
        <v>0.33</v>
      </c>
      <c r="E292" s="1015">
        <v>96.8</v>
      </c>
      <c r="F292" s="1014">
        <v>8.1</v>
      </c>
      <c r="G292" s="1013">
        <v>11</v>
      </c>
      <c r="H292" s="1012">
        <v>96.8</v>
      </c>
    </row>
    <row r="293" spans="1:8" ht="12.65" customHeight="1">
      <c r="A293" s="1017" t="s">
        <v>5168</v>
      </c>
      <c r="B293" s="1017" t="s">
        <v>5108</v>
      </c>
      <c r="C293" s="1017" t="s">
        <v>5169</v>
      </c>
      <c r="D293" s="1016">
        <v>0.42</v>
      </c>
      <c r="E293" s="1015">
        <v>94.2</v>
      </c>
      <c r="F293" s="1014">
        <v>9.4</v>
      </c>
      <c r="G293" s="1013">
        <v>78.7</v>
      </c>
      <c r="H293" s="1012">
        <v>97.7</v>
      </c>
    </row>
    <row r="294" spans="1:8" ht="12.65" customHeight="1">
      <c r="A294" s="1017" t="s">
        <v>5165</v>
      </c>
      <c r="B294" s="1017" t="s">
        <v>5108</v>
      </c>
      <c r="C294" s="1017" t="s">
        <v>5166</v>
      </c>
      <c r="D294" s="1016">
        <v>0.34</v>
      </c>
      <c r="E294" s="1015">
        <v>93.2</v>
      </c>
      <c r="F294" s="1014">
        <v>8.9</v>
      </c>
      <c r="G294" s="1013">
        <v>25.7</v>
      </c>
      <c r="H294" s="1012">
        <v>96.3</v>
      </c>
    </row>
    <row r="295" spans="1:8" ht="12.65" customHeight="1">
      <c r="A295" s="1017" t="s">
        <v>5162</v>
      </c>
      <c r="B295" s="1017" t="s">
        <v>5108</v>
      </c>
      <c r="C295" s="1017" t="s">
        <v>5163</v>
      </c>
      <c r="D295" s="1016">
        <v>0.32</v>
      </c>
      <c r="E295" s="1015">
        <v>96.2</v>
      </c>
      <c r="F295" s="1014">
        <v>11.9</v>
      </c>
      <c r="G295" s="1013">
        <v>64.3</v>
      </c>
      <c r="H295" s="1012">
        <v>95.7</v>
      </c>
    </row>
    <row r="296" spans="1:8" ht="12.65" customHeight="1">
      <c r="A296" s="1017" t="s">
        <v>5159</v>
      </c>
      <c r="B296" s="1017" t="s">
        <v>5108</v>
      </c>
      <c r="C296" s="1017" t="s">
        <v>5160</v>
      </c>
      <c r="D296" s="1016">
        <v>0.32</v>
      </c>
      <c r="E296" s="1015">
        <v>92.8</v>
      </c>
      <c r="F296" s="1014">
        <v>8.1999999999999993</v>
      </c>
      <c r="G296" s="1013">
        <v>34</v>
      </c>
      <c r="H296" s="1012">
        <v>96</v>
      </c>
    </row>
    <row r="297" spans="1:8" ht="12.65" customHeight="1">
      <c r="A297" s="1017" t="s">
        <v>5156</v>
      </c>
      <c r="B297" s="1017" t="s">
        <v>5108</v>
      </c>
      <c r="C297" s="1017" t="s">
        <v>5157</v>
      </c>
      <c r="D297" s="1016">
        <v>0.34</v>
      </c>
      <c r="E297" s="1015">
        <v>92.5</v>
      </c>
      <c r="F297" s="1014">
        <v>12</v>
      </c>
      <c r="G297" s="1013">
        <v>105.3</v>
      </c>
      <c r="H297" s="1012">
        <v>96.4</v>
      </c>
    </row>
    <row r="298" spans="1:8" ht="12.65" customHeight="1">
      <c r="A298" s="1017" t="s">
        <v>5153</v>
      </c>
      <c r="B298" s="1017" t="s">
        <v>5108</v>
      </c>
      <c r="C298" s="1017" t="s">
        <v>5154</v>
      </c>
      <c r="D298" s="1016">
        <v>0.35</v>
      </c>
      <c r="E298" s="1015">
        <v>100.3</v>
      </c>
      <c r="F298" s="1014">
        <v>6.6</v>
      </c>
      <c r="G298" s="1013">
        <v>32.299999999999997</v>
      </c>
      <c r="H298" s="1012">
        <v>93.4</v>
      </c>
    </row>
    <row r="299" spans="1:8" ht="12.65" customHeight="1">
      <c r="A299" s="1017" t="s">
        <v>5150</v>
      </c>
      <c r="B299" s="1017" t="s">
        <v>5108</v>
      </c>
      <c r="C299" s="1017" t="s">
        <v>5151</v>
      </c>
      <c r="D299" s="1016">
        <v>0.35</v>
      </c>
      <c r="E299" s="1015">
        <v>91.1</v>
      </c>
      <c r="F299" s="1014">
        <v>11.4</v>
      </c>
      <c r="G299" s="1013">
        <v>72.400000000000006</v>
      </c>
      <c r="H299" s="1012">
        <v>97.9</v>
      </c>
    </row>
    <row r="300" spans="1:8" ht="12.65" customHeight="1">
      <c r="A300" s="1017" t="s">
        <v>5147</v>
      </c>
      <c r="B300" s="1017" t="s">
        <v>5108</v>
      </c>
      <c r="C300" s="1017" t="s">
        <v>5148</v>
      </c>
      <c r="D300" s="1016">
        <v>0.26</v>
      </c>
      <c r="E300" s="1015">
        <v>95.8</v>
      </c>
      <c r="F300" s="1014">
        <v>7.8</v>
      </c>
      <c r="G300" s="1013">
        <v>18</v>
      </c>
      <c r="H300" s="1012">
        <v>96.3</v>
      </c>
    </row>
    <row r="301" spans="1:8" ht="12.65" customHeight="1">
      <c r="A301" s="1017" t="s">
        <v>5144</v>
      </c>
      <c r="B301" s="1017" t="s">
        <v>5108</v>
      </c>
      <c r="C301" s="1017" t="s">
        <v>5145</v>
      </c>
      <c r="D301" s="1016">
        <v>0.35</v>
      </c>
      <c r="E301" s="1015">
        <v>92.3</v>
      </c>
      <c r="F301" s="1014">
        <v>8.1999999999999993</v>
      </c>
      <c r="G301" s="1013">
        <v>60.6</v>
      </c>
      <c r="H301" s="1012">
        <v>93.9</v>
      </c>
    </row>
    <row r="302" spans="1:8" ht="12.65" customHeight="1">
      <c r="A302" s="1017" t="s">
        <v>5141</v>
      </c>
      <c r="B302" s="1017" t="s">
        <v>5108</v>
      </c>
      <c r="C302" s="1017" t="s">
        <v>5142</v>
      </c>
      <c r="D302" s="1016">
        <v>0.27</v>
      </c>
      <c r="E302" s="1015">
        <v>101.8</v>
      </c>
      <c r="F302" s="1014">
        <v>8.6</v>
      </c>
      <c r="G302" s="1013">
        <v>98.8</v>
      </c>
      <c r="H302" s="1012">
        <v>96.8</v>
      </c>
    </row>
    <row r="303" spans="1:8" ht="12.65" customHeight="1">
      <c r="A303" s="1017" t="s">
        <v>5138</v>
      </c>
      <c r="B303" s="1017" t="s">
        <v>5108</v>
      </c>
      <c r="C303" s="1017" t="s">
        <v>5139</v>
      </c>
      <c r="D303" s="1016">
        <v>0.37</v>
      </c>
      <c r="E303" s="1015">
        <v>101.9</v>
      </c>
      <c r="F303" s="1014">
        <v>13.1</v>
      </c>
      <c r="G303" s="1013">
        <v>43.1</v>
      </c>
      <c r="H303" s="1012">
        <v>93.4</v>
      </c>
    </row>
    <row r="304" spans="1:8" ht="12.65" customHeight="1">
      <c r="A304" s="1017" t="s">
        <v>5135</v>
      </c>
      <c r="B304" s="1017" t="s">
        <v>5108</v>
      </c>
      <c r="C304" s="1017" t="s">
        <v>5136</v>
      </c>
      <c r="D304" s="1016">
        <v>0.12</v>
      </c>
      <c r="E304" s="1015">
        <v>96.2</v>
      </c>
      <c r="F304" s="1014">
        <v>7.7</v>
      </c>
      <c r="G304" s="1013" t="s">
        <v>6080</v>
      </c>
      <c r="H304" s="1012">
        <v>91.6</v>
      </c>
    </row>
    <row r="305" spans="1:8" ht="12.65" customHeight="1">
      <c r="A305" s="1017" t="s">
        <v>5132</v>
      </c>
      <c r="B305" s="1017" t="s">
        <v>5108</v>
      </c>
      <c r="C305" s="1017" t="s">
        <v>5133</v>
      </c>
      <c r="D305" s="1016">
        <v>0.13</v>
      </c>
      <c r="E305" s="1015">
        <v>90</v>
      </c>
      <c r="F305" s="1014">
        <v>6.2</v>
      </c>
      <c r="G305" s="1013">
        <v>15.9</v>
      </c>
      <c r="H305" s="1012">
        <v>96.4</v>
      </c>
    </row>
    <row r="306" spans="1:8" ht="12.65" customHeight="1">
      <c r="A306" s="1017" t="s">
        <v>5129</v>
      </c>
      <c r="B306" s="1017" t="s">
        <v>5108</v>
      </c>
      <c r="C306" s="1017" t="s">
        <v>5130</v>
      </c>
      <c r="D306" s="1016">
        <v>0.25</v>
      </c>
      <c r="E306" s="1015">
        <v>89</v>
      </c>
      <c r="F306" s="1014">
        <v>6.6</v>
      </c>
      <c r="G306" s="1013" t="s">
        <v>6080</v>
      </c>
      <c r="H306" s="1012">
        <v>95.8</v>
      </c>
    </row>
    <row r="307" spans="1:8" ht="12.65" customHeight="1">
      <c r="A307" s="1017" t="s">
        <v>5126</v>
      </c>
      <c r="B307" s="1017" t="s">
        <v>5108</v>
      </c>
      <c r="C307" s="1017" t="s">
        <v>5127</v>
      </c>
      <c r="D307" s="1016">
        <v>0.18</v>
      </c>
      <c r="E307" s="1015">
        <v>91.4</v>
      </c>
      <c r="F307" s="1014">
        <v>7.8</v>
      </c>
      <c r="G307" s="1013" t="s">
        <v>6080</v>
      </c>
      <c r="H307" s="1012">
        <v>94.8</v>
      </c>
    </row>
    <row r="308" spans="1:8" ht="12.65" customHeight="1">
      <c r="A308" s="1017" t="s">
        <v>5123</v>
      </c>
      <c r="B308" s="1017" t="s">
        <v>5108</v>
      </c>
      <c r="C308" s="1017" t="s">
        <v>5124</v>
      </c>
      <c r="D308" s="1016">
        <v>0.24</v>
      </c>
      <c r="E308" s="1015">
        <v>94.4</v>
      </c>
      <c r="F308" s="1014">
        <v>9</v>
      </c>
      <c r="G308" s="1013">
        <v>57.1</v>
      </c>
      <c r="H308" s="1012">
        <v>96.6</v>
      </c>
    </row>
    <row r="309" spans="1:8" ht="12.65" customHeight="1">
      <c r="A309" s="1017" t="s">
        <v>5120</v>
      </c>
      <c r="B309" s="1017" t="s">
        <v>5108</v>
      </c>
      <c r="C309" s="1017" t="s">
        <v>5121</v>
      </c>
      <c r="D309" s="1016">
        <v>0.24</v>
      </c>
      <c r="E309" s="1015">
        <v>83.8</v>
      </c>
      <c r="F309" s="1014">
        <v>10.8</v>
      </c>
      <c r="G309" s="1013" t="s">
        <v>6080</v>
      </c>
      <c r="H309" s="1012">
        <v>90.7</v>
      </c>
    </row>
    <row r="310" spans="1:8" ht="12.65" customHeight="1">
      <c r="A310" s="1017" t="s">
        <v>5117</v>
      </c>
      <c r="B310" s="1017" t="s">
        <v>5108</v>
      </c>
      <c r="C310" s="1017" t="s">
        <v>5118</v>
      </c>
      <c r="D310" s="1016">
        <v>0.21</v>
      </c>
      <c r="E310" s="1015">
        <v>77.400000000000006</v>
      </c>
      <c r="F310" s="1014">
        <v>4.5999999999999996</v>
      </c>
      <c r="G310" s="1013" t="s">
        <v>6080</v>
      </c>
      <c r="H310" s="1012">
        <v>94</v>
      </c>
    </row>
    <row r="311" spans="1:8" ht="12.65" customHeight="1">
      <c r="A311" s="1017" t="s">
        <v>5114</v>
      </c>
      <c r="B311" s="1017" t="s">
        <v>5108</v>
      </c>
      <c r="C311" s="1017" t="s">
        <v>5115</v>
      </c>
      <c r="D311" s="1016">
        <v>0.34</v>
      </c>
      <c r="E311" s="1015">
        <v>96</v>
      </c>
      <c r="F311" s="1014">
        <v>7.3</v>
      </c>
      <c r="G311" s="1013" t="s">
        <v>6080</v>
      </c>
      <c r="H311" s="1012">
        <v>94.7</v>
      </c>
    </row>
    <row r="312" spans="1:8" ht="12.65" customHeight="1">
      <c r="A312" s="1017" t="s">
        <v>5112</v>
      </c>
      <c r="B312" s="1017" t="s">
        <v>5108</v>
      </c>
      <c r="C312" s="1017" t="s">
        <v>936</v>
      </c>
      <c r="D312" s="1016">
        <v>0.24</v>
      </c>
      <c r="E312" s="1015">
        <v>81.900000000000006</v>
      </c>
      <c r="F312" s="1014">
        <v>-1.9</v>
      </c>
      <c r="G312" s="1013" t="s">
        <v>6080</v>
      </c>
      <c r="H312" s="1012">
        <v>94.7</v>
      </c>
    </row>
    <row r="313" spans="1:8" ht="12.65" customHeight="1">
      <c r="A313" s="1017" t="s">
        <v>5110</v>
      </c>
      <c r="B313" s="1017" t="s">
        <v>5108</v>
      </c>
      <c r="C313" s="1017" t="s">
        <v>5111</v>
      </c>
      <c r="D313" s="1016">
        <v>0.25</v>
      </c>
      <c r="E313" s="1015">
        <v>88.9</v>
      </c>
      <c r="F313" s="1014">
        <v>10.6</v>
      </c>
      <c r="G313" s="1013" t="s">
        <v>6080</v>
      </c>
      <c r="H313" s="1012">
        <v>94.4</v>
      </c>
    </row>
    <row r="314" spans="1:8" ht="12.65" customHeight="1">
      <c r="A314" s="1017" t="s">
        <v>5106</v>
      </c>
      <c r="B314" s="1017" t="s">
        <v>5108</v>
      </c>
      <c r="C314" s="1017" t="s">
        <v>5107</v>
      </c>
      <c r="D314" s="1016">
        <v>0.12</v>
      </c>
      <c r="E314" s="1015">
        <v>88.1</v>
      </c>
      <c r="F314" s="1014">
        <v>13.7</v>
      </c>
      <c r="G314" s="1013" t="s">
        <v>6080</v>
      </c>
      <c r="H314" s="1012">
        <v>96.2</v>
      </c>
    </row>
    <row r="315" spans="1:8" ht="12.65" customHeight="1">
      <c r="A315" s="1017" t="s">
        <v>5099</v>
      </c>
      <c r="B315" s="1017" t="s">
        <v>5006</v>
      </c>
      <c r="C315" s="1017" t="s">
        <v>5100</v>
      </c>
      <c r="D315" s="1016">
        <v>0.74</v>
      </c>
      <c r="E315" s="1015">
        <v>90.3</v>
      </c>
      <c r="F315" s="1014">
        <v>7.8</v>
      </c>
      <c r="G315" s="1013">
        <v>92.5</v>
      </c>
      <c r="H315" s="1012">
        <v>100.3</v>
      </c>
    </row>
    <row r="316" spans="1:8" ht="12.65" customHeight="1">
      <c r="A316" s="1017" t="s">
        <v>5097</v>
      </c>
      <c r="B316" s="1017" t="s">
        <v>5006</v>
      </c>
      <c r="C316" s="1017" t="s">
        <v>5098</v>
      </c>
      <c r="D316" s="1016">
        <v>0.56999999999999995</v>
      </c>
      <c r="E316" s="1015">
        <v>92.6</v>
      </c>
      <c r="F316" s="1014">
        <v>8.1999999999999993</v>
      </c>
      <c r="G316" s="1013">
        <v>45.1</v>
      </c>
      <c r="H316" s="1012">
        <v>99.5</v>
      </c>
    </row>
    <row r="317" spans="1:8" ht="12.65" customHeight="1">
      <c r="A317" s="1017" t="s">
        <v>5094</v>
      </c>
      <c r="B317" s="1017" t="s">
        <v>5006</v>
      </c>
      <c r="C317" s="1017" t="s">
        <v>5095</v>
      </c>
      <c r="D317" s="1016">
        <v>0.41</v>
      </c>
      <c r="E317" s="1015">
        <v>95.5</v>
      </c>
      <c r="F317" s="1014">
        <v>7.4</v>
      </c>
      <c r="G317" s="1013">
        <v>43.2</v>
      </c>
      <c r="H317" s="1012">
        <v>100.4</v>
      </c>
    </row>
    <row r="318" spans="1:8" ht="12.65" customHeight="1">
      <c r="A318" s="1017" t="s">
        <v>5091</v>
      </c>
      <c r="B318" s="1017" t="s">
        <v>5006</v>
      </c>
      <c r="C318" s="1017" t="s">
        <v>5092</v>
      </c>
      <c r="D318" s="1016">
        <v>0.48</v>
      </c>
      <c r="E318" s="1015">
        <v>97.1</v>
      </c>
      <c r="F318" s="1014">
        <v>10</v>
      </c>
      <c r="G318" s="1013">
        <v>6.5</v>
      </c>
      <c r="H318" s="1012">
        <v>99.2</v>
      </c>
    </row>
    <row r="319" spans="1:8" ht="12.65" customHeight="1">
      <c r="A319" s="1017" t="s">
        <v>5088</v>
      </c>
      <c r="B319" s="1017" t="s">
        <v>5006</v>
      </c>
      <c r="C319" s="1017" t="s">
        <v>5089</v>
      </c>
      <c r="D319" s="1016">
        <v>0.5</v>
      </c>
      <c r="E319" s="1015">
        <v>96.5</v>
      </c>
      <c r="F319" s="1014">
        <v>7.1</v>
      </c>
      <c r="G319" s="1013" t="s">
        <v>6080</v>
      </c>
      <c r="H319" s="1012">
        <v>98.3</v>
      </c>
    </row>
    <row r="320" spans="1:8" ht="12.65" customHeight="1">
      <c r="A320" s="1017" t="s">
        <v>5085</v>
      </c>
      <c r="B320" s="1017" t="s">
        <v>5006</v>
      </c>
      <c r="C320" s="1017" t="s">
        <v>5086</v>
      </c>
      <c r="D320" s="1016">
        <v>0.53</v>
      </c>
      <c r="E320" s="1015">
        <v>87.7</v>
      </c>
      <c r="F320" s="1014">
        <v>7.8</v>
      </c>
      <c r="G320" s="1013" t="s">
        <v>6080</v>
      </c>
      <c r="H320" s="1012">
        <v>98.6</v>
      </c>
    </row>
    <row r="321" spans="1:8" ht="12.65" customHeight="1">
      <c r="A321" s="1017" t="s">
        <v>5082</v>
      </c>
      <c r="B321" s="1017" t="s">
        <v>5006</v>
      </c>
      <c r="C321" s="1017" t="s">
        <v>5083</v>
      </c>
      <c r="D321" s="1016">
        <v>0.48</v>
      </c>
      <c r="E321" s="1015">
        <v>89.7</v>
      </c>
      <c r="F321" s="1014">
        <v>5.9</v>
      </c>
      <c r="G321" s="1013">
        <v>20</v>
      </c>
      <c r="H321" s="1012">
        <v>97.1</v>
      </c>
    </row>
    <row r="322" spans="1:8" ht="12.65" customHeight="1">
      <c r="A322" s="1017" t="s">
        <v>5079</v>
      </c>
      <c r="B322" s="1017" t="s">
        <v>5006</v>
      </c>
      <c r="C322" s="1017" t="s">
        <v>5080</v>
      </c>
      <c r="D322" s="1016">
        <v>0.35</v>
      </c>
      <c r="E322" s="1015">
        <v>86.9</v>
      </c>
      <c r="F322" s="1014">
        <v>8.6</v>
      </c>
      <c r="G322" s="1013">
        <v>20.8</v>
      </c>
      <c r="H322" s="1012">
        <v>97.3</v>
      </c>
    </row>
    <row r="323" spans="1:8" ht="12.65" customHeight="1">
      <c r="A323" s="1017" t="s">
        <v>5076</v>
      </c>
      <c r="B323" s="1017" t="s">
        <v>5006</v>
      </c>
      <c r="C323" s="1017" t="s">
        <v>5077</v>
      </c>
      <c r="D323" s="1016">
        <v>0.43</v>
      </c>
      <c r="E323" s="1015">
        <v>91</v>
      </c>
      <c r="F323" s="1014">
        <v>13.2</v>
      </c>
      <c r="G323" s="1013">
        <v>256.10000000000002</v>
      </c>
      <c r="H323" s="1012">
        <v>99.6</v>
      </c>
    </row>
    <row r="324" spans="1:8" ht="12.65" customHeight="1">
      <c r="A324" s="1017" t="s">
        <v>5073</v>
      </c>
      <c r="B324" s="1017" t="s">
        <v>5006</v>
      </c>
      <c r="C324" s="1017" t="s">
        <v>5074</v>
      </c>
      <c r="D324" s="1016">
        <v>0.66</v>
      </c>
      <c r="E324" s="1015">
        <v>88.2</v>
      </c>
      <c r="F324" s="1014">
        <v>4.7</v>
      </c>
      <c r="G324" s="1013" t="s">
        <v>6080</v>
      </c>
      <c r="H324" s="1012">
        <v>99.6</v>
      </c>
    </row>
    <row r="325" spans="1:8" ht="12.65" customHeight="1">
      <c r="A325" s="1017" t="s">
        <v>5070</v>
      </c>
      <c r="B325" s="1017" t="s">
        <v>5006</v>
      </c>
      <c r="C325" s="1017" t="s">
        <v>5071</v>
      </c>
      <c r="D325" s="1016">
        <v>0.62</v>
      </c>
      <c r="E325" s="1015">
        <v>93</v>
      </c>
      <c r="F325" s="1014">
        <v>8.3000000000000007</v>
      </c>
      <c r="G325" s="1013" t="s">
        <v>6080</v>
      </c>
      <c r="H325" s="1012">
        <v>97.7</v>
      </c>
    </row>
    <row r="326" spans="1:8" ht="12.65" customHeight="1">
      <c r="A326" s="1017" t="s">
        <v>5067</v>
      </c>
      <c r="B326" s="1017" t="s">
        <v>5006</v>
      </c>
      <c r="C326" s="1017" t="s">
        <v>5068</v>
      </c>
      <c r="D326" s="1016">
        <v>0.28000000000000003</v>
      </c>
      <c r="E326" s="1015">
        <v>89.8</v>
      </c>
      <c r="F326" s="1014">
        <v>9</v>
      </c>
      <c r="G326" s="1013">
        <v>31</v>
      </c>
      <c r="H326" s="1012">
        <v>97.4</v>
      </c>
    </row>
    <row r="327" spans="1:8" ht="12.65" customHeight="1">
      <c r="A327" s="1017" t="s">
        <v>5064</v>
      </c>
      <c r="B327" s="1017" t="s">
        <v>5006</v>
      </c>
      <c r="C327" s="1017" t="s">
        <v>5065</v>
      </c>
      <c r="D327" s="1016">
        <v>0.46</v>
      </c>
      <c r="E327" s="1015">
        <v>92</v>
      </c>
      <c r="F327" s="1014">
        <v>12.6</v>
      </c>
      <c r="G327" s="1013">
        <v>114.7</v>
      </c>
      <c r="H327" s="1012">
        <v>99</v>
      </c>
    </row>
    <row r="328" spans="1:8" ht="12.65" customHeight="1">
      <c r="A328" s="1017" t="s">
        <v>5061</v>
      </c>
      <c r="B328" s="1017" t="s">
        <v>5006</v>
      </c>
      <c r="C328" s="1017" t="s">
        <v>5062</v>
      </c>
      <c r="D328" s="1016">
        <v>0.37</v>
      </c>
      <c r="E328" s="1015">
        <v>89.2</v>
      </c>
      <c r="F328" s="1014">
        <v>10.1</v>
      </c>
      <c r="G328" s="1013" t="s">
        <v>6080</v>
      </c>
      <c r="H328" s="1012">
        <v>98.3</v>
      </c>
    </row>
    <row r="329" spans="1:8" ht="12.65" customHeight="1">
      <c r="A329" s="1017" t="s">
        <v>5058</v>
      </c>
      <c r="B329" s="1017" t="s">
        <v>5006</v>
      </c>
      <c r="C329" s="1017" t="s">
        <v>5059</v>
      </c>
      <c r="D329" s="1016">
        <v>0.35</v>
      </c>
      <c r="E329" s="1015">
        <v>94.9</v>
      </c>
      <c r="F329" s="1014">
        <v>11.7</v>
      </c>
      <c r="G329" s="1013">
        <v>28</v>
      </c>
      <c r="H329" s="1012">
        <v>100.4</v>
      </c>
    </row>
    <row r="330" spans="1:8" ht="12.65" customHeight="1">
      <c r="A330" s="1017" t="s">
        <v>5055</v>
      </c>
      <c r="B330" s="1017" t="s">
        <v>5006</v>
      </c>
      <c r="C330" s="1017" t="s">
        <v>5056</v>
      </c>
      <c r="D330" s="1016">
        <v>0.44</v>
      </c>
      <c r="E330" s="1015">
        <v>95.3</v>
      </c>
      <c r="F330" s="1014">
        <v>9.1</v>
      </c>
      <c r="G330" s="1013">
        <v>17.5</v>
      </c>
      <c r="H330" s="1012">
        <v>96.6</v>
      </c>
    </row>
    <row r="331" spans="1:8" ht="12.65" customHeight="1">
      <c r="A331" s="1017" t="s">
        <v>5052</v>
      </c>
      <c r="B331" s="1017" t="s">
        <v>5006</v>
      </c>
      <c r="C331" s="1017" t="s">
        <v>5053</v>
      </c>
      <c r="D331" s="1016">
        <v>0.22</v>
      </c>
      <c r="E331" s="1015">
        <v>88.6</v>
      </c>
      <c r="F331" s="1014">
        <v>11.6</v>
      </c>
      <c r="G331" s="1013" t="s">
        <v>6080</v>
      </c>
      <c r="H331" s="1012">
        <v>98.9</v>
      </c>
    </row>
    <row r="332" spans="1:8" ht="12.65" customHeight="1">
      <c r="A332" s="1017" t="s">
        <v>5050</v>
      </c>
      <c r="B332" s="1017" t="s">
        <v>5006</v>
      </c>
      <c r="C332" s="1017" t="s">
        <v>2822</v>
      </c>
      <c r="D332" s="1016">
        <v>0.19</v>
      </c>
      <c r="E332" s="1015">
        <v>96.3</v>
      </c>
      <c r="F332" s="1014">
        <v>8.3000000000000007</v>
      </c>
      <c r="G332" s="1013" t="s">
        <v>6080</v>
      </c>
      <c r="H332" s="1012">
        <v>100.3</v>
      </c>
    </row>
    <row r="333" spans="1:8" ht="12.65" customHeight="1">
      <c r="A333" s="1017" t="s">
        <v>5048</v>
      </c>
      <c r="B333" s="1017" t="s">
        <v>5006</v>
      </c>
      <c r="C333" s="1017" t="s">
        <v>5049</v>
      </c>
      <c r="D333" s="1016">
        <v>0.26</v>
      </c>
      <c r="E333" s="1015">
        <v>83.3</v>
      </c>
      <c r="F333" s="1014">
        <v>8.6</v>
      </c>
      <c r="G333" s="1013" t="s">
        <v>6080</v>
      </c>
      <c r="H333" s="1012">
        <v>95.4</v>
      </c>
    </row>
    <row r="334" spans="1:8" ht="12.65" customHeight="1">
      <c r="A334" s="1017" t="s">
        <v>5045</v>
      </c>
      <c r="B334" s="1017" t="s">
        <v>5006</v>
      </c>
      <c r="C334" s="1017" t="s">
        <v>5046</v>
      </c>
      <c r="D334" s="1016">
        <v>0.21</v>
      </c>
      <c r="E334" s="1015">
        <v>88.7</v>
      </c>
      <c r="F334" s="1014">
        <v>11</v>
      </c>
      <c r="G334" s="1013">
        <v>17.3</v>
      </c>
      <c r="H334" s="1012">
        <v>97.7</v>
      </c>
    </row>
    <row r="335" spans="1:8" ht="12.65" customHeight="1">
      <c r="A335" s="1017" t="s">
        <v>5043</v>
      </c>
      <c r="B335" s="1017" t="s">
        <v>5006</v>
      </c>
      <c r="C335" s="1017" t="s">
        <v>4905</v>
      </c>
      <c r="D335" s="1016">
        <v>0.19</v>
      </c>
      <c r="E335" s="1015">
        <v>90.6</v>
      </c>
      <c r="F335" s="1014">
        <v>9.4</v>
      </c>
      <c r="G335" s="1013" t="s">
        <v>6080</v>
      </c>
      <c r="H335" s="1012">
        <v>99.3</v>
      </c>
    </row>
    <row r="336" spans="1:8" ht="12.65" customHeight="1">
      <c r="A336" s="1017" t="s">
        <v>5041</v>
      </c>
      <c r="B336" s="1017" t="s">
        <v>5006</v>
      </c>
      <c r="C336" s="1017" t="s">
        <v>5042</v>
      </c>
      <c r="D336" s="1016">
        <v>0.22</v>
      </c>
      <c r="E336" s="1015">
        <v>96.5</v>
      </c>
      <c r="F336" s="1014">
        <v>10.7</v>
      </c>
      <c r="G336" s="1013">
        <v>26.8</v>
      </c>
      <c r="H336" s="1012">
        <v>101.1</v>
      </c>
    </row>
    <row r="337" spans="1:8" ht="12.65" customHeight="1">
      <c r="A337" s="1017" t="s">
        <v>5038</v>
      </c>
      <c r="B337" s="1017" t="s">
        <v>5006</v>
      </c>
      <c r="C337" s="1017" t="s">
        <v>5039</v>
      </c>
      <c r="D337" s="1016">
        <v>0.19</v>
      </c>
      <c r="E337" s="1015">
        <v>87.2</v>
      </c>
      <c r="F337" s="1014">
        <v>11.1</v>
      </c>
      <c r="G337" s="1013" t="s">
        <v>6080</v>
      </c>
      <c r="H337" s="1012">
        <v>99.4</v>
      </c>
    </row>
    <row r="338" spans="1:8" ht="12.65" customHeight="1">
      <c r="A338" s="1017" t="s">
        <v>5035</v>
      </c>
      <c r="B338" s="1017" t="s">
        <v>5006</v>
      </c>
      <c r="C338" s="1017" t="s">
        <v>5036</v>
      </c>
      <c r="D338" s="1016">
        <v>0.21</v>
      </c>
      <c r="E338" s="1015">
        <v>90.4</v>
      </c>
      <c r="F338" s="1014">
        <v>5.5</v>
      </c>
      <c r="G338" s="1013">
        <v>5</v>
      </c>
      <c r="H338" s="1012">
        <v>98.2</v>
      </c>
    </row>
    <row r="339" spans="1:8" ht="12.65" customHeight="1">
      <c r="A339" s="1017" t="s">
        <v>5032</v>
      </c>
      <c r="B339" s="1017" t="s">
        <v>5006</v>
      </c>
      <c r="C339" s="1017" t="s">
        <v>5033</v>
      </c>
      <c r="D339" s="1016">
        <v>0.15</v>
      </c>
      <c r="E339" s="1015">
        <v>89.5</v>
      </c>
      <c r="F339" s="1014">
        <v>10</v>
      </c>
      <c r="G339" s="1013" t="s">
        <v>6080</v>
      </c>
      <c r="H339" s="1012">
        <v>99.6</v>
      </c>
    </row>
    <row r="340" spans="1:8" ht="12.65" customHeight="1">
      <c r="A340" s="1017" t="s">
        <v>5029</v>
      </c>
      <c r="B340" s="1017" t="s">
        <v>5006</v>
      </c>
      <c r="C340" s="1017" t="s">
        <v>5030</v>
      </c>
      <c r="D340" s="1016">
        <v>0.17</v>
      </c>
      <c r="E340" s="1015">
        <v>82.1</v>
      </c>
      <c r="F340" s="1014">
        <v>5.5</v>
      </c>
      <c r="G340" s="1013" t="s">
        <v>6080</v>
      </c>
      <c r="H340" s="1012">
        <v>97.8</v>
      </c>
    </row>
    <row r="341" spans="1:8" ht="12.65" customHeight="1">
      <c r="A341" s="1017" t="s">
        <v>5026</v>
      </c>
      <c r="B341" s="1017" t="s">
        <v>5006</v>
      </c>
      <c r="C341" s="1017" t="s">
        <v>5027</v>
      </c>
      <c r="D341" s="1016">
        <v>0.16</v>
      </c>
      <c r="E341" s="1015">
        <v>81.900000000000006</v>
      </c>
      <c r="F341" s="1014">
        <v>13.4</v>
      </c>
      <c r="G341" s="1013">
        <v>40.799999999999997</v>
      </c>
      <c r="H341" s="1012">
        <v>101.6</v>
      </c>
    </row>
    <row r="342" spans="1:8" ht="12.65" customHeight="1">
      <c r="A342" s="1017" t="s">
        <v>5023</v>
      </c>
      <c r="B342" s="1017" t="s">
        <v>5006</v>
      </c>
      <c r="C342" s="1017" t="s">
        <v>5024</v>
      </c>
      <c r="D342" s="1016">
        <v>0.39</v>
      </c>
      <c r="E342" s="1015">
        <v>90.9</v>
      </c>
      <c r="F342" s="1014">
        <v>11.7</v>
      </c>
      <c r="G342" s="1013">
        <v>73.900000000000006</v>
      </c>
      <c r="H342" s="1012">
        <v>99.6</v>
      </c>
    </row>
    <row r="343" spans="1:8" ht="12.65" customHeight="1">
      <c r="A343" s="1017" t="s">
        <v>5021</v>
      </c>
      <c r="B343" s="1017" t="s">
        <v>5006</v>
      </c>
      <c r="C343" s="1017" t="s">
        <v>2332</v>
      </c>
      <c r="D343" s="1016">
        <v>0.25</v>
      </c>
      <c r="E343" s="1015">
        <v>93.5</v>
      </c>
      <c r="F343" s="1014">
        <v>12.7</v>
      </c>
      <c r="G343" s="1013">
        <v>130.80000000000001</v>
      </c>
      <c r="H343" s="1012">
        <v>97.3</v>
      </c>
    </row>
    <row r="344" spans="1:8" ht="12.65" customHeight="1">
      <c r="A344" s="1017" t="s">
        <v>5019</v>
      </c>
      <c r="B344" s="1017" t="s">
        <v>5006</v>
      </c>
      <c r="C344" s="1017" t="s">
        <v>1135</v>
      </c>
      <c r="D344" s="1016">
        <v>0.28000000000000003</v>
      </c>
      <c r="E344" s="1015">
        <v>91.2</v>
      </c>
      <c r="F344" s="1014">
        <v>12.3</v>
      </c>
      <c r="G344" s="1013">
        <v>50.5</v>
      </c>
      <c r="H344" s="1012">
        <v>97.3</v>
      </c>
    </row>
    <row r="345" spans="1:8" ht="12.65" customHeight="1">
      <c r="A345" s="1017" t="s">
        <v>5017</v>
      </c>
      <c r="B345" s="1017" t="s">
        <v>5006</v>
      </c>
      <c r="C345" s="1017" t="s">
        <v>5018</v>
      </c>
      <c r="D345" s="1016">
        <v>0.27</v>
      </c>
      <c r="E345" s="1015">
        <v>92.2</v>
      </c>
      <c r="F345" s="1014">
        <v>11.8</v>
      </c>
      <c r="G345" s="1013">
        <v>14.9</v>
      </c>
      <c r="H345" s="1012">
        <v>97.9</v>
      </c>
    </row>
    <row r="346" spans="1:8" ht="12.65" customHeight="1">
      <c r="A346" s="1017" t="s">
        <v>5014</v>
      </c>
      <c r="B346" s="1017" t="s">
        <v>5006</v>
      </c>
      <c r="C346" s="1017" t="s">
        <v>5015</v>
      </c>
      <c r="D346" s="1016">
        <v>0.2</v>
      </c>
      <c r="E346" s="1015">
        <v>89.3</v>
      </c>
      <c r="F346" s="1014">
        <v>13.5</v>
      </c>
      <c r="G346" s="1013">
        <v>113.9</v>
      </c>
      <c r="H346" s="1012">
        <v>99.3</v>
      </c>
    </row>
    <row r="347" spans="1:8" ht="12.65" customHeight="1">
      <c r="A347" s="1017" t="s">
        <v>5011</v>
      </c>
      <c r="B347" s="1017" t="s">
        <v>5006</v>
      </c>
      <c r="C347" s="1017" t="s">
        <v>5012</v>
      </c>
      <c r="D347" s="1016">
        <v>0.37</v>
      </c>
      <c r="E347" s="1015">
        <v>88.6</v>
      </c>
      <c r="F347" s="1014">
        <v>10.3</v>
      </c>
      <c r="G347" s="1013">
        <v>98.7</v>
      </c>
      <c r="H347" s="1012">
        <v>97.9</v>
      </c>
    </row>
    <row r="348" spans="1:8" ht="12.65" customHeight="1">
      <c r="A348" s="1017" t="s">
        <v>5008</v>
      </c>
      <c r="B348" s="1017" t="s">
        <v>5006</v>
      </c>
      <c r="C348" s="1017" t="s">
        <v>5009</v>
      </c>
      <c r="D348" s="1016">
        <v>0.3</v>
      </c>
      <c r="E348" s="1015">
        <v>95.8</v>
      </c>
      <c r="F348" s="1014">
        <v>10.8</v>
      </c>
      <c r="G348" s="1013">
        <v>23.5</v>
      </c>
      <c r="H348" s="1012">
        <v>95.9</v>
      </c>
    </row>
    <row r="349" spans="1:8" ht="12.65" customHeight="1">
      <c r="A349" s="1017" t="s">
        <v>5004</v>
      </c>
      <c r="B349" s="1017" t="s">
        <v>5006</v>
      </c>
      <c r="C349" s="1017" t="s">
        <v>5005</v>
      </c>
      <c r="D349" s="1016">
        <v>0.28999999999999998</v>
      </c>
      <c r="E349" s="1015">
        <v>88</v>
      </c>
      <c r="F349" s="1014">
        <v>11.7</v>
      </c>
      <c r="G349" s="1013">
        <v>38.299999999999997</v>
      </c>
      <c r="H349" s="1012">
        <v>97.1</v>
      </c>
    </row>
    <row r="350" spans="1:8" ht="12.65" customHeight="1">
      <c r="A350" s="1017" t="s">
        <v>4997</v>
      </c>
      <c r="B350" s="1017" t="s">
        <v>4826</v>
      </c>
      <c r="C350" s="1017" t="s">
        <v>4998</v>
      </c>
      <c r="D350" s="1016">
        <v>0.76</v>
      </c>
      <c r="E350" s="1015">
        <v>92.7</v>
      </c>
      <c r="F350" s="1014">
        <v>3.5</v>
      </c>
      <c r="G350" s="1013" t="s">
        <v>6080</v>
      </c>
      <c r="H350" s="1012">
        <v>100.9</v>
      </c>
    </row>
    <row r="351" spans="1:8" ht="12.65" customHeight="1">
      <c r="A351" s="1017" t="s">
        <v>4994</v>
      </c>
      <c r="B351" s="1017" t="s">
        <v>4826</v>
      </c>
      <c r="C351" s="1017" t="s">
        <v>4995</v>
      </c>
      <c r="D351" s="1016">
        <v>0.62</v>
      </c>
      <c r="E351" s="1015">
        <v>87</v>
      </c>
      <c r="F351" s="1014">
        <v>4.9000000000000004</v>
      </c>
      <c r="G351" s="1013">
        <v>27.1</v>
      </c>
      <c r="H351" s="1012">
        <v>100.2</v>
      </c>
    </row>
    <row r="352" spans="1:8" ht="12.65" customHeight="1">
      <c r="A352" s="1017" t="s">
        <v>4991</v>
      </c>
      <c r="B352" s="1017" t="s">
        <v>4826</v>
      </c>
      <c r="C352" s="1017" t="s">
        <v>4992</v>
      </c>
      <c r="D352" s="1016">
        <v>0.82</v>
      </c>
      <c r="E352" s="1015">
        <v>88.8</v>
      </c>
      <c r="F352" s="1014">
        <v>1.6</v>
      </c>
      <c r="G352" s="1013" t="s">
        <v>6080</v>
      </c>
      <c r="H352" s="1012">
        <v>101</v>
      </c>
    </row>
    <row r="353" spans="1:8" ht="12.65" customHeight="1">
      <c r="A353" s="1017" t="s">
        <v>4988</v>
      </c>
      <c r="B353" s="1017" t="s">
        <v>4826</v>
      </c>
      <c r="C353" s="1017" t="s">
        <v>4989</v>
      </c>
      <c r="D353" s="1016">
        <v>0.79</v>
      </c>
      <c r="E353" s="1015">
        <v>93.4</v>
      </c>
      <c r="F353" s="1014">
        <v>8</v>
      </c>
      <c r="G353" s="1013" t="s">
        <v>6080</v>
      </c>
      <c r="H353" s="1012">
        <v>100</v>
      </c>
    </row>
    <row r="354" spans="1:8" ht="12.65" customHeight="1">
      <c r="A354" s="1017" t="s">
        <v>4985</v>
      </c>
      <c r="B354" s="1017" t="s">
        <v>4826</v>
      </c>
      <c r="C354" s="1017" t="s">
        <v>4986</v>
      </c>
      <c r="D354" s="1016">
        <v>0.61</v>
      </c>
      <c r="E354" s="1015">
        <v>88</v>
      </c>
      <c r="F354" s="1014">
        <v>8.3000000000000007</v>
      </c>
      <c r="G354" s="1013">
        <v>43.5</v>
      </c>
      <c r="H354" s="1012">
        <v>98.6</v>
      </c>
    </row>
    <row r="355" spans="1:8" ht="12.65" customHeight="1">
      <c r="A355" s="1017" t="s">
        <v>4982</v>
      </c>
      <c r="B355" s="1017" t="s">
        <v>4826</v>
      </c>
      <c r="C355" s="1017" t="s">
        <v>4983</v>
      </c>
      <c r="D355" s="1016">
        <v>0.56000000000000005</v>
      </c>
      <c r="E355" s="1015">
        <v>98.8</v>
      </c>
      <c r="F355" s="1014">
        <v>5.3</v>
      </c>
      <c r="G355" s="1013">
        <v>63.1</v>
      </c>
      <c r="H355" s="1012">
        <v>101</v>
      </c>
    </row>
    <row r="356" spans="1:8" ht="12.65" customHeight="1">
      <c r="A356" s="1017" t="s">
        <v>4979</v>
      </c>
      <c r="B356" s="1017" t="s">
        <v>4826</v>
      </c>
      <c r="C356" s="1017" t="s">
        <v>4980</v>
      </c>
      <c r="D356" s="1016">
        <v>0.37</v>
      </c>
      <c r="E356" s="1015">
        <v>99.1</v>
      </c>
      <c r="F356" s="1014">
        <v>6.6</v>
      </c>
      <c r="G356" s="1013">
        <v>65.3</v>
      </c>
      <c r="H356" s="1012">
        <v>101.1</v>
      </c>
    </row>
    <row r="357" spans="1:8" ht="12.65" customHeight="1">
      <c r="A357" s="1017" t="s">
        <v>4976</v>
      </c>
      <c r="B357" s="1017" t="s">
        <v>4826</v>
      </c>
      <c r="C357" s="1017" t="s">
        <v>4977</v>
      </c>
      <c r="D357" s="1016">
        <v>0.64</v>
      </c>
      <c r="E357" s="1015">
        <v>95</v>
      </c>
      <c r="F357" s="1014">
        <v>11</v>
      </c>
      <c r="G357" s="1013" t="s">
        <v>6080</v>
      </c>
      <c r="H357" s="1012">
        <v>100.6</v>
      </c>
    </row>
    <row r="358" spans="1:8" ht="12.65" customHeight="1">
      <c r="A358" s="1017" t="s">
        <v>4973</v>
      </c>
      <c r="B358" s="1017" t="s">
        <v>4826</v>
      </c>
      <c r="C358" s="1017" t="s">
        <v>4974</v>
      </c>
      <c r="D358" s="1016">
        <v>0.46</v>
      </c>
      <c r="E358" s="1015">
        <v>96.1</v>
      </c>
      <c r="F358" s="1014">
        <v>9.1</v>
      </c>
      <c r="G358" s="1013">
        <v>32.6</v>
      </c>
      <c r="H358" s="1012">
        <v>99.2</v>
      </c>
    </row>
    <row r="359" spans="1:8" ht="12.65" customHeight="1">
      <c r="A359" s="1017" t="s">
        <v>4970</v>
      </c>
      <c r="B359" s="1017" t="s">
        <v>4826</v>
      </c>
      <c r="C359" s="1017" t="s">
        <v>4971</v>
      </c>
      <c r="D359" s="1016">
        <v>0.35</v>
      </c>
      <c r="E359" s="1015">
        <v>89.7</v>
      </c>
      <c r="F359" s="1014">
        <v>8.8000000000000007</v>
      </c>
      <c r="G359" s="1013" t="s">
        <v>6080</v>
      </c>
      <c r="H359" s="1012">
        <v>96.2</v>
      </c>
    </row>
    <row r="360" spans="1:8" ht="12.65" customHeight="1">
      <c r="A360" s="1017" t="s">
        <v>4967</v>
      </c>
      <c r="B360" s="1017" t="s">
        <v>4826</v>
      </c>
      <c r="C360" s="1017" t="s">
        <v>4968</v>
      </c>
      <c r="D360" s="1016">
        <v>0.65</v>
      </c>
      <c r="E360" s="1015">
        <v>94.8</v>
      </c>
      <c r="F360" s="1014">
        <v>8.4</v>
      </c>
      <c r="G360" s="1013" t="s">
        <v>6080</v>
      </c>
      <c r="H360" s="1012">
        <v>94.9</v>
      </c>
    </row>
    <row r="361" spans="1:8" ht="12.65" customHeight="1">
      <c r="A361" s="1017" t="s">
        <v>4964</v>
      </c>
      <c r="B361" s="1017" t="s">
        <v>4826</v>
      </c>
      <c r="C361" s="1017" t="s">
        <v>4965</v>
      </c>
      <c r="D361" s="1016">
        <v>0.4</v>
      </c>
      <c r="E361" s="1015">
        <v>96.4</v>
      </c>
      <c r="F361" s="1014">
        <v>10.4</v>
      </c>
      <c r="G361" s="1013">
        <v>52.8</v>
      </c>
      <c r="H361" s="1012">
        <v>97.8</v>
      </c>
    </row>
    <row r="362" spans="1:8" ht="12.65" customHeight="1">
      <c r="A362" s="1017" t="s">
        <v>4961</v>
      </c>
      <c r="B362" s="1017" t="s">
        <v>4826</v>
      </c>
      <c r="C362" s="1017" t="s">
        <v>4962</v>
      </c>
      <c r="D362" s="1016">
        <v>0.64</v>
      </c>
      <c r="E362" s="1015">
        <v>95.9</v>
      </c>
      <c r="F362" s="1014">
        <v>5.5</v>
      </c>
      <c r="G362" s="1013">
        <v>66.599999999999994</v>
      </c>
      <c r="H362" s="1012">
        <v>99.8</v>
      </c>
    </row>
    <row r="363" spans="1:8" ht="12.65" customHeight="1">
      <c r="A363" s="1017" t="s">
        <v>4958</v>
      </c>
      <c r="B363" s="1017" t="s">
        <v>4826</v>
      </c>
      <c r="C363" s="1017" t="s">
        <v>4959</v>
      </c>
      <c r="D363" s="1016">
        <v>0.42</v>
      </c>
      <c r="E363" s="1015">
        <v>89.4</v>
      </c>
      <c r="F363" s="1014">
        <v>9.4</v>
      </c>
      <c r="G363" s="1013" t="s">
        <v>6080</v>
      </c>
      <c r="H363" s="1012">
        <v>99.5</v>
      </c>
    </row>
    <row r="364" spans="1:8" ht="12.65" customHeight="1">
      <c r="A364" s="1017" t="s">
        <v>4955</v>
      </c>
      <c r="B364" s="1017" t="s">
        <v>4826</v>
      </c>
      <c r="C364" s="1017" t="s">
        <v>4956</v>
      </c>
      <c r="D364" s="1016">
        <v>0.28999999999999998</v>
      </c>
      <c r="E364" s="1015">
        <v>89.3</v>
      </c>
      <c r="F364" s="1014">
        <v>3.3</v>
      </c>
      <c r="G364" s="1013" t="s">
        <v>6080</v>
      </c>
      <c r="H364" s="1012">
        <v>100.6</v>
      </c>
    </row>
    <row r="365" spans="1:8" ht="12.65" customHeight="1">
      <c r="A365" s="1017" t="s">
        <v>4952</v>
      </c>
      <c r="B365" s="1017" t="s">
        <v>4826</v>
      </c>
      <c r="C365" s="1017" t="s">
        <v>4953</v>
      </c>
      <c r="D365" s="1016">
        <v>0.33</v>
      </c>
      <c r="E365" s="1015">
        <v>92.6</v>
      </c>
      <c r="F365" s="1014">
        <v>4.2</v>
      </c>
      <c r="G365" s="1013" t="s">
        <v>6080</v>
      </c>
      <c r="H365" s="1012">
        <v>99.7</v>
      </c>
    </row>
    <row r="366" spans="1:8" ht="12.65" customHeight="1">
      <c r="A366" s="1017" t="s">
        <v>4949</v>
      </c>
      <c r="B366" s="1017" t="s">
        <v>4826</v>
      </c>
      <c r="C366" s="1017" t="s">
        <v>4950</v>
      </c>
      <c r="D366" s="1016">
        <v>0.37</v>
      </c>
      <c r="E366" s="1015">
        <v>87.7</v>
      </c>
      <c r="F366" s="1014">
        <v>7.3</v>
      </c>
      <c r="G366" s="1013" t="s">
        <v>6080</v>
      </c>
      <c r="H366" s="1012">
        <v>97.9</v>
      </c>
    </row>
    <row r="367" spans="1:8" ht="12.65" customHeight="1">
      <c r="A367" s="1017" t="s">
        <v>4946</v>
      </c>
      <c r="B367" s="1017" t="s">
        <v>4826</v>
      </c>
      <c r="C367" s="1017" t="s">
        <v>4947</v>
      </c>
      <c r="D367" s="1016">
        <v>0.56000000000000005</v>
      </c>
      <c r="E367" s="1015">
        <v>79.3</v>
      </c>
      <c r="F367" s="1014">
        <v>9.6</v>
      </c>
      <c r="G367" s="1013">
        <v>100.6</v>
      </c>
      <c r="H367" s="1012">
        <v>99</v>
      </c>
    </row>
    <row r="368" spans="1:8" ht="12.65" customHeight="1">
      <c r="A368" s="1017" t="s">
        <v>4943</v>
      </c>
      <c r="B368" s="1017" t="s">
        <v>4826</v>
      </c>
      <c r="C368" s="1017" t="s">
        <v>4944</v>
      </c>
      <c r="D368" s="1016">
        <v>0.3</v>
      </c>
      <c r="E368" s="1015">
        <v>82.2</v>
      </c>
      <c r="F368" s="1014">
        <v>7.9</v>
      </c>
      <c r="G368" s="1013" t="s">
        <v>6080</v>
      </c>
      <c r="H368" s="1012">
        <v>99.8</v>
      </c>
    </row>
    <row r="369" spans="1:8" ht="12.65" customHeight="1">
      <c r="A369" s="1017" t="s">
        <v>4940</v>
      </c>
      <c r="B369" s="1017" t="s">
        <v>4826</v>
      </c>
      <c r="C369" s="1017" t="s">
        <v>4941</v>
      </c>
      <c r="D369" s="1016">
        <v>0.33</v>
      </c>
      <c r="E369" s="1015">
        <v>82.6</v>
      </c>
      <c r="F369" s="1014">
        <v>6.1</v>
      </c>
      <c r="G369" s="1013" t="s">
        <v>6080</v>
      </c>
      <c r="H369" s="1012">
        <v>98.7</v>
      </c>
    </row>
    <row r="370" spans="1:8" ht="12.65" customHeight="1">
      <c r="A370" s="1017" t="s">
        <v>4937</v>
      </c>
      <c r="B370" s="1017" t="s">
        <v>4826</v>
      </c>
      <c r="C370" s="1017" t="s">
        <v>4938</v>
      </c>
      <c r="D370" s="1016">
        <v>0.27</v>
      </c>
      <c r="E370" s="1015">
        <v>91.8</v>
      </c>
      <c r="F370" s="1014">
        <v>3.5</v>
      </c>
      <c r="G370" s="1013" t="s">
        <v>6080</v>
      </c>
      <c r="H370" s="1012">
        <v>96.4</v>
      </c>
    </row>
    <row r="371" spans="1:8" ht="12.65" customHeight="1">
      <c r="A371" s="1017" t="s">
        <v>4934</v>
      </c>
      <c r="B371" s="1017" t="s">
        <v>4826</v>
      </c>
      <c r="C371" s="1017" t="s">
        <v>4935</v>
      </c>
      <c r="D371" s="1016">
        <v>0.21</v>
      </c>
      <c r="E371" s="1015">
        <v>86.2</v>
      </c>
      <c r="F371" s="1014">
        <v>4</v>
      </c>
      <c r="G371" s="1013" t="s">
        <v>6080</v>
      </c>
      <c r="H371" s="1012">
        <v>97.7</v>
      </c>
    </row>
    <row r="372" spans="1:8" ht="12.65" customHeight="1">
      <c r="A372" s="1017" t="s">
        <v>4931</v>
      </c>
      <c r="B372" s="1017" t="s">
        <v>4826</v>
      </c>
      <c r="C372" s="1017" t="s">
        <v>4932</v>
      </c>
      <c r="D372" s="1016">
        <v>0.24</v>
      </c>
      <c r="E372" s="1015">
        <v>87.4</v>
      </c>
      <c r="F372" s="1014">
        <v>7</v>
      </c>
      <c r="G372" s="1013">
        <v>18.899999999999999</v>
      </c>
      <c r="H372" s="1012">
        <v>96.7</v>
      </c>
    </row>
    <row r="373" spans="1:8" ht="12.65" customHeight="1">
      <c r="A373" s="1017" t="s">
        <v>4928</v>
      </c>
      <c r="B373" s="1017" t="s">
        <v>4826</v>
      </c>
      <c r="C373" s="1017" t="s">
        <v>4929</v>
      </c>
      <c r="D373" s="1016">
        <v>0.23</v>
      </c>
      <c r="E373" s="1015">
        <v>91.4</v>
      </c>
      <c r="F373" s="1014">
        <v>14.6</v>
      </c>
      <c r="G373" s="1013">
        <v>63.6</v>
      </c>
      <c r="H373" s="1012">
        <v>94.7</v>
      </c>
    </row>
    <row r="374" spans="1:8" ht="12.65" customHeight="1">
      <c r="A374" s="1017" t="s">
        <v>4925</v>
      </c>
      <c r="B374" s="1017" t="s">
        <v>4826</v>
      </c>
      <c r="C374" s="1017" t="s">
        <v>4926</v>
      </c>
      <c r="D374" s="1016">
        <v>0.2</v>
      </c>
      <c r="E374" s="1015">
        <v>90.5</v>
      </c>
      <c r="F374" s="1014">
        <v>12.1</v>
      </c>
      <c r="G374" s="1013">
        <v>78.2</v>
      </c>
      <c r="H374" s="1012">
        <v>98.4</v>
      </c>
    </row>
    <row r="375" spans="1:8" ht="12.65" customHeight="1">
      <c r="A375" s="1017" t="s">
        <v>4922</v>
      </c>
      <c r="B375" s="1017" t="s">
        <v>4826</v>
      </c>
      <c r="C375" s="1017" t="s">
        <v>4923</v>
      </c>
      <c r="D375" s="1016">
        <v>0.28000000000000003</v>
      </c>
      <c r="E375" s="1015">
        <v>84.8</v>
      </c>
      <c r="F375" s="1014">
        <v>11.9</v>
      </c>
      <c r="G375" s="1013">
        <v>81.599999999999994</v>
      </c>
      <c r="H375" s="1012">
        <v>96.7</v>
      </c>
    </row>
    <row r="376" spans="1:8" ht="12.65" customHeight="1">
      <c r="A376" s="1017" t="s">
        <v>4919</v>
      </c>
      <c r="B376" s="1017" t="s">
        <v>4826</v>
      </c>
      <c r="C376" s="1017" t="s">
        <v>4920</v>
      </c>
      <c r="D376" s="1016">
        <v>0.37</v>
      </c>
      <c r="E376" s="1015">
        <v>91.5</v>
      </c>
      <c r="F376" s="1014">
        <v>9.6999999999999993</v>
      </c>
      <c r="G376" s="1013">
        <v>28.6</v>
      </c>
      <c r="H376" s="1012">
        <v>97.1</v>
      </c>
    </row>
    <row r="377" spans="1:8" ht="12.65" customHeight="1">
      <c r="A377" s="1017" t="s">
        <v>4916</v>
      </c>
      <c r="B377" s="1017" t="s">
        <v>4826</v>
      </c>
      <c r="C377" s="1017" t="s">
        <v>4917</v>
      </c>
      <c r="D377" s="1016">
        <v>0.37</v>
      </c>
      <c r="E377" s="1015">
        <v>83.9</v>
      </c>
      <c r="F377" s="1014">
        <v>9.8000000000000007</v>
      </c>
      <c r="G377" s="1013">
        <v>24.5</v>
      </c>
      <c r="H377" s="1012">
        <v>98.8</v>
      </c>
    </row>
    <row r="378" spans="1:8" ht="12.65" customHeight="1">
      <c r="A378" s="1017" t="s">
        <v>4913</v>
      </c>
      <c r="B378" s="1017" t="s">
        <v>4826</v>
      </c>
      <c r="C378" s="1017" t="s">
        <v>4914</v>
      </c>
      <c r="D378" s="1016">
        <v>0.22</v>
      </c>
      <c r="E378" s="1015">
        <v>94.4</v>
      </c>
      <c r="F378" s="1014">
        <v>11.9</v>
      </c>
      <c r="G378" s="1013" t="s">
        <v>6080</v>
      </c>
      <c r="H378" s="1012">
        <v>99.5</v>
      </c>
    </row>
    <row r="379" spans="1:8" ht="12.65" customHeight="1">
      <c r="A379" s="1017" t="s">
        <v>4910</v>
      </c>
      <c r="B379" s="1017" t="s">
        <v>4826</v>
      </c>
      <c r="C379" s="1017" t="s">
        <v>4911</v>
      </c>
      <c r="D379" s="1016">
        <v>0.18</v>
      </c>
      <c r="E379" s="1015">
        <v>86.7</v>
      </c>
      <c r="F379" s="1014">
        <v>6.1</v>
      </c>
      <c r="G379" s="1013" t="s">
        <v>6080</v>
      </c>
      <c r="H379" s="1012">
        <v>96.3</v>
      </c>
    </row>
    <row r="380" spans="1:8" ht="12.65" customHeight="1">
      <c r="A380" s="1017" t="s">
        <v>4907</v>
      </c>
      <c r="B380" s="1017" t="s">
        <v>4826</v>
      </c>
      <c r="C380" s="1017" t="s">
        <v>4908</v>
      </c>
      <c r="D380" s="1016">
        <v>0.13</v>
      </c>
      <c r="E380" s="1015">
        <v>99.3</v>
      </c>
      <c r="F380" s="1014">
        <v>12.7</v>
      </c>
      <c r="G380" s="1013" t="s">
        <v>6080</v>
      </c>
      <c r="H380" s="1012">
        <v>96.5</v>
      </c>
    </row>
    <row r="381" spans="1:8" ht="12.65" customHeight="1">
      <c r="A381" s="1017" t="s">
        <v>4904</v>
      </c>
      <c r="B381" s="1017" t="s">
        <v>4826</v>
      </c>
      <c r="C381" s="1017" t="s">
        <v>4905</v>
      </c>
      <c r="D381" s="1016">
        <v>0.24</v>
      </c>
      <c r="E381" s="1015">
        <v>80.900000000000006</v>
      </c>
      <c r="F381" s="1014">
        <v>4.7</v>
      </c>
      <c r="G381" s="1013" t="s">
        <v>6080</v>
      </c>
      <c r="H381" s="1012">
        <v>99.2</v>
      </c>
    </row>
    <row r="382" spans="1:8" ht="12.65" customHeight="1">
      <c r="A382" s="1017" t="s">
        <v>4902</v>
      </c>
      <c r="B382" s="1017" t="s">
        <v>4826</v>
      </c>
      <c r="C382" s="1017" t="s">
        <v>4526</v>
      </c>
      <c r="D382" s="1016">
        <v>0.09</v>
      </c>
      <c r="E382" s="1015">
        <v>88.3</v>
      </c>
      <c r="F382" s="1014">
        <v>7.9</v>
      </c>
      <c r="G382" s="1013" t="s">
        <v>6080</v>
      </c>
      <c r="H382" s="1012">
        <v>91.4</v>
      </c>
    </row>
    <row r="383" spans="1:8" ht="12.65" customHeight="1">
      <c r="A383" s="1017" t="s">
        <v>4900</v>
      </c>
      <c r="B383" s="1017" t="s">
        <v>4826</v>
      </c>
      <c r="C383" s="1017" t="s">
        <v>4901</v>
      </c>
      <c r="D383" s="1016">
        <v>0.28000000000000003</v>
      </c>
      <c r="E383" s="1015">
        <v>89.5</v>
      </c>
      <c r="F383" s="1014">
        <v>4.3</v>
      </c>
      <c r="G383" s="1013" t="s">
        <v>6080</v>
      </c>
      <c r="H383" s="1012">
        <v>97.3</v>
      </c>
    </row>
    <row r="384" spans="1:8" ht="12.65" customHeight="1">
      <c r="A384" s="1017" t="s">
        <v>4897</v>
      </c>
      <c r="B384" s="1017" t="s">
        <v>4826</v>
      </c>
      <c r="C384" s="1017" t="s">
        <v>4898</v>
      </c>
      <c r="D384" s="1016">
        <v>0.98</v>
      </c>
      <c r="E384" s="1015">
        <v>72.8</v>
      </c>
      <c r="F384" s="1014">
        <v>3.3</v>
      </c>
      <c r="G384" s="1013" t="s">
        <v>6080</v>
      </c>
      <c r="H384" s="1012">
        <v>100.7</v>
      </c>
    </row>
    <row r="385" spans="1:8" ht="12.65" customHeight="1">
      <c r="A385" s="1017" t="s">
        <v>4894</v>
      </c>
      <c r="B385" s="1017" t="s">
        <v>4826</v>
      </c>
      <c r="C385" s="1017" t="s">
        <v>4895</v>
      </c>
      <c r="D385" s="1016">
        <v>0.53</v>
      </c>
      <c r="E385" s="1015">
        <v>88.6</v>
      </c>
      <c r="F385" s="1014">
        <v>7</v>
      </c>
      <c r="G385" s="1013" t="s">
        <v>6080</v>
      </c>
      <c r="H385" s="1012">
        <v>93.9</v>
      </c>
    </row>
    <row r="386" spans="1:8" ht="12.65" customHeight="1">
      <c r="A386" s="1017" t="s">
        <v>4891</v>
      </c>
      <c r="B386" s="1017" t="s">
        <v>4826</v>
      </c>
      <c r="C386" s="1017" t="s">
        <v>4892</v>
      </c>
      <c r="D386" s="1016">
        <v>0.28999999999999998</v>
      </c>
      <c r="E386" s="1015">
        <v>84.6</v>
      </c>
      <c r="F386" s="1014">
        <v>8</v>
      </c>
      <c r="G386" s="1013" t="s">
        <v>6080</v>
      </c>
      <c r="H386" s="1012">
        <v>96.5</v>
      </c>
    </row>
    <row r="387" spans="1:8" ht="12.65" customHeight="1">
      <c r="A387" s="1017" t="s">
        <v>4888</v>
      </c>
      <c r="B387" s="1017" t="s">
        <v>4826</v>
      </c>
      <c r="C387" s="1017" t="s">
        <v>4889</v>
      </c>
      <c r="D387" s="1016">
        <v>0.6</v>
      </c>
      <c r="E387" s="1015">
        <v>88.6</v>
      </c>
      <c r="F387" s="1014">
        <v>11.2</v>
      </c>
      <c r="G387" s="1013">
        <v>72.599999999999994</v>
      </c>
      <c r="H387" s="1012">
        <v>98.2</v>
      </c>
    </row>
    <row r="388" spans="1:8" ht="12.65" customHeight="1">
      <c r="A388" s="1017" t="s">
        <v>4885</v>
      </c>
      <c r="B388" s="1017" t="s">
        <v>4826</v>
      </c>
      <c r="C388" s="1017" t="s">
        <v>4886</v>
      </c>
      <c r="D388" s="1016">
        <v>0.51</v>
      </c>
      <c r="E388" s="1015">
        <v>87.8</v>
      </c>
      <c r="F388" s="1014">
        <v>12.3</v>
      </c>
      <c r="G388" s="1013" t="s">
        <v>6080</v>
      </c>
      <c r="H388" s="1012">
        <v>99.1</v>
      </c>
    </row>
    <row r="389" spans="1:8" ht="12.65" customHeight="1">
      <c r="A389" s="1017" t="s">
        <v>4882</v>
      </c>
      <c r="B389" s="1017" t="s">
        <v>4826</v>
      </c>
      <c r="C389" s="1017" t="s">
        <v>4883</v>
      </c>
      <c r="D389" s="1016">
        <v>0.34</v>
      </c>
      <c r="E389" s="1015">
        <v>87.9</v>
      </c>
      <c r="F389" s="1014">
        <v>3.6</v>
      </c>
      <c r="G389" s="1013" t="s">
        <v>6080</v>
      </c>
      <c r="H389" s="1012">
        <v>100.3</v>
      </c>
    </row>
    <row r="390" spans="1:8" ht="12.65" customHeight="1">
      <c r="A390" s="1017" t="s">
        <v>4879</v>
      </c>
      <c r="B390" s="1017" t="s">
        <v>4826</v>
      </c>
      <c r="C390" s="1017" t="s">
        <v>4880</v>
      </c>
      <c r="D390" s="1016">
        <v>0.27</v>
      </c>
      <c r="E390" s="1015">
        <v>93.7</v>
      </c>
      <c r="F390" s="1014">
        <v>10.9</v>
      </c>
      <c r="G390" s="1013">
        <v>32.1</v>
      </c>
      <c r="H390" s="1012">
        <v>98.4</v>
      </c>
    </row>
    <row r="391" spans="1:8" ht="12.65" customHeight="1">
      <c r="A391" s="1017" t="s">
        <v>4876</v>
      </c>
      <c r="B391" s="1017" t="s">
        <v>4826</v>
      </c>
      <c r="C391" s="1017" t="s">
        <v>4877</v>
      </c>
      <c r="D391" s="1016">
        <v>0.17</v>
      </c>
      <c r="E391" s="1015">
        <v>81.7</v>
      </c>
      <c r="F391" s="1014">
        <v>6.4</v>
      </c>
      <c r="G391" s="1013" t="s">
        <v>6080</v>
      </c>
      <c r="H391" s="1012">
        <v>99.5</v>
      </c>
    </row>
    <row r="392" spans="1:8" ht="12.65" customHeight="1">
      <c r="A392" s="1017" t="s">
        <v>4873</v>
      </c>
      <c r="B392" s="1017" t="s">
        <v>4826</v>
      </c>
      <c r="C392" s="1017" t="s">
        <v>4874</v>
      </c>
      <c r="D392" s="1016">
        <v>0.41</v>
      </c>
      <c r="E392" s="1015">
        <v>88</v>
      </c>
      <c r="F392" s="1014">
        <v>6</v>
      </c>
      <c r="G392" s="1013">
        <v>8.1</v>
      </c>
      <c r="H392" s="1012">
        <v>99.6</v>
      </c>
    </row>
    <row r="393" spans="1:8" ht="12.65" customHeight="1">
      <c r="A393" s="1017" t="s">
        <v>4870</v>
      </c>
      <c r="B393" s="1017" t="s">
        <v>4826</v>
      </c>
      <c r="C393" s="1017" t="s">
        <v>4871</v>
      </c>
      <c r="D393" s="1016">
        <v>0.34</v>
      </c>
      <c r="E393" s="1015">
        <v>96</v>
      </c>
      <c r="F393" s="1014">
        <v>11.5</v>
      </c>
      <c r="G393" s="1013">
        <v>82.5</v>
      </c>
      <c r="H393" s="1012">
        <v>98.7</v>
      </c>
    </row>
    <row r="394" spans="1:8" ht="12.65" customHeight="1">
      <c r="A394" s="1017" t="s">
        <v>4867</v>
      </c>
      <c r="B394" s="1017" t="s">
        <v>4826</v>
      </c>
      <c r="C394" s="1017" t="s">
        <v>4868</v>
      </c>
      <c r="D394" s="1016">
        <v>0.24</v>
      </c>
      <c r="E394" s="1015">
        <v>89.1</v>
      </c>
      <c r="F394" s="1014">
        <v>13.9</v>
      </c>
      <c r="G394" s="1013">
        <v>15.6</v>
      </c>
      <c r="H394" s="1012">
        <v>99.8</v>
      </c>
    </row>
    <row r="395" spans="1:8" ht="12.65" customHeight="1">
      <c r="A395" s="1017" t="s">
        <v>4864</v>
      </c>
      <c r="B395" s="1017" t="s">
        <v>4826</v>
      </c>
      <c r="C395" s="1017" t="s">
        <v>4865</v>
      </c>
      <c r="D395" s="1016">
        <v>0.31</v>
      </c>
      <c r="E395" s="1015">
        <v>86.4</v>
      </c>
      <c r="F395" s="1014">
        <v>6.4</v>
      </c>
      <c r="G395" s="1013" t="s">
        <v>6080</v>
      </c>
      <c r="H395" s="1012">
        <v>99.6</v>
      </c>
    </row>
    <row r="396" spans="1:8" ht="12.65" customHeight="1">
      <c r="A396" s="1017" t="s">
        <v>4861</v>
      </c>
      <c r="B396" s="1017" t="s">
        <v>4826</v>
      </c>
      <c r="C396" s="1017" t="s">
        <v>4862</v>
      </c>
      <c r="D396" s="1016">
        <v>0.21</v>
      </c>
      <c r="E396" s="1015">
        <v>88.9</v>
      </c>
      <c r="F396" s="1014">
        <v>9.1</v>
      </c>
      <c r="G396" s="1013" t="s">
        <v>6080</v>
      </c>
      <c r="H396" s="1012">
        <v>97.3</v>
      </c>
    </row>
    <row r="397" spans="1:8" ht="12.65" customHeight="1">
      <c r="A397" s="1017" t="s">
        <v>4858</v>
      </c>
      <c r="B397" s="1017" t="s">
        <v>4826</v>
      </c>
      <c r="C397" s="1017" t="s">
        <v>4859</v>
      </c>
      <c r="D397" s="1016">
        <v>0.44</v>
      </c>
      <c r="E397" s="1015">
        <v>92.4</v>
      </c>
      <c r="F397" s="1014">
        <v>7.7</v>
      </c>
      <c r="G397" s="1013">
        <v>24.3</v>
      </c>
      <c r="H397" s="1012">
        <v>96.3</v>
      </c>
    </row>
    <row r="398" spans="1:8" ht="12.65" customHeight="1">
      <c r="A398" s="1017" t="s">
        <v>4855</v>
      </c>
      <c r="B398" s="1017" t="s">
        <v>4826</v>
      </c>
      <c r="C398" s="1017" t="s">
        <v>4856</v>
      </c>
      <c r="D398" s="1016">
        <v>0.37</v>
      </c>
      <c r="E398" s="1015">
        <v>91.9</v>
      </c>
      <c r="F398" s="1014">
        <v>4.9000000000000004</v>
      </c>
      <c r="G398" s="1013" t="s">
        <v>6080</v>
      </c>
      <c r="H398" s="1012">
        <v>96.3</v>
      </c>
    </row>
    <row r="399" spans="1:8" ht="12.65" customHeight="1">
      <c r="A399" s="1017" t="s">
        <v>4852</v>
      </c>
      <c r="B399" s="1017" t="s">
        <v>4826</v>
      </c>
      <c r="C399" s="1017" t="s">
        <v>4853</v>
      </c>
      <c r="D399" s="1016">
        <v>1.34</v>
      </c>
      <c r="E399" s="1015">
        <v>59.3</v>
      </c>
      <c r="F399" s="1014">
        <v>5.3</v>
      </c>
      <c r="G399" s="1013" t="s">
        <v>6080</v>
      </c>
      <c r="H399" s="1012">
        <v>98.7</v>
      </c>
    </row>
    <row r="400" spans="1:8" ht="12.65" customHeight="1">
      <c r="A400" s="1017" t="s">
        <v>4849</v>
      </c>
      <c r="B400" s="1017" t="s">
        <v>4826</v>
      </c>
      <c r="C400" s="1017" t="s">
        <v>4850</v>
      </c>
      <c r="D400" s="1016">
        <v>0.73</v>
      </c>
      <c r="E400" s="1015">
        <v>70.400000000000006</v>
      </c>
      <c r="F400" s="1014">
        <v>-1.4</v>
      </c>
      <c r="G400" s="1013" t="s">
        <v>6080</v>
      </c>
      <c r="H400" s="1012">
        <v>97.1</v>
      </c>
    </row>
    <row r="401" spans="1:8" ht="12.65" customHeight="1">
      <c r="A401" s="1017" t="s">
        <v>4846</v>
      </c>
      <c r="B401" s="1017" t="s">
        <v>4826</v>
      </c>
      <c r="C401" s="1017" t="s">
        <v>4847</v>
      </c>
      <c r="D401" s="1016">
        <v>0.68</v>
      </c>
      <c r="E401" s="1015">
        <v>81.8</v>
      </c>
      <c r="F401" s="1014">
        <v>-2.6</v>
      </c>
      <c r="G401" s="1013" t="s">
        <v>6080</v>
      </c>
      <c r="H401" s="1012">
        <v>98.8</v>
      </c>
    </row>
    <row r="402" spans="1:8" ht="12.65" customHeight="1">
      <c r="A402" s="1017" t="s">
        <v>4843</v>
      </c>
      <c r="B402" s="1017" t="s">
        <v>4826</v>
      </c>
      <c r="C402" s="1017" t="s">
        <v>4844</v>
      </c>
      <c r="D402" s="1016">
        <v>0.31</v>
      </c>
      <c r="E402" s="1015">
        <v>90.9</v>
      </c>
      <c r="F402" s="1014">
        <v>6.4</v>
      </c>
      <c r="G402" s="1013" t="s">
        <v>6080</v>
      </c>
      <c r="H402" s="1012">
        <v>96.9</v>
      </c>
    </row>
    <row r="403" spans="1:8" ht="12.65" customHeight="1">
      <c r="A403" s="1017" t="s">
        <v>4840</v>
      </c>
      <c r="B403" s="1017" t="s">
        <v>4826</v>
      </c>
      <c r="C403" s="1017" t="s">
        <v>4841</v>
      </c>
      <c r="D403" s="1016">
        <v>1.46</v>
      </c>
      <c r="E403" s="1015">
        <v>65.099999999999994</v>
      </c>
      <c r="F403" s="1014">
        <v>-1.4</v>
      </c>
      <c r="G403" s="1013" t="s">
        <v>6080</v>
      </c>
      <c r="H403" s="1012">
        <v>95.4</v>
      </c>
    </row>
    <row r="404" spans="1:8" ht="12.65" customHeight="1">
      <c r="A404" s="1017" t="s">
        <v>4837</v>
      </c>
      <c r="B404" s="1017" t="s">
        <v>4826</v>
      </c>
      <c r="C404" s="1017" t="s">
        <v>4838</v>
      </c>
      <c r="D404" s="1016">
        <v>0.69</v>
      </c>
      <c r="E404" s="1015">
        <v>64.099999999999994</v>
      </c>
      <c r="F404" s="1014">
        <v>3.1</v>
      </c>
      <c r="G404" s="1013" t="s">
        <v>6080</v>
      </c>
      <c r="H404" s="1012">
        <v>91.7</v>
      </c>
    </row>
    <row r="405" spans="1:8" ht="12.65" customHeight="1">
      <c r="A405" s="1017" t="s">
        <v>4834</v>
      </c>
      <c r="B405" s="1017" t="s">
        <v>4826</v>
      </c>
      <c r="C405" s="1017" t="s">
        <v>4835</v>
      </c>
      <c r="D405" s="1016">
        <v>0.42</v>
      </c>
      <c r="E405" s="1015">
        <v>85.4</v>
      </c>
      <c r="F405" s="1014">
        <v>1.8</v>
      </c>
      <c r="G405" s="1013" t="s">
        <v>6080</v>
      </c>
      <c r="H405" s="1012">
        <v>92.5</v>
      </c>
    </row>
    <row r="406" spans="1:8" ht="12.65" customHeight="1">
      <c r="A406" s="1017" t="s">
        <v>4831</v>
      </c>
      <c r="B406" s="1017" t="s">
        <v>4826</v>
      </c>
      <c r="C406" s="1017" t="s">
        <v>4832</v>
      </c>
      <c r="D406" s="1016">
        <v>0.16</v>
      </c>
      <c r="E406" s="1015">
        <v>84</v>
      </c>
      <c r="F406" s="1014">
        <v>6</v>
      </c>
      <c r="G406" s="1013" t="s">
        <v>6080</v>
      </c>
      <c r="H406" s="1012">
        <v>91.4</v>
      </c>
    </row>
    <row r="407" spans="1:8" ht="12.65" customHeight="1">
      <c r="A407" s="1017" t="s">
        <v>4828</v>
      </c>
      <c r="B407" s="1017" t="s">
        <v>4826</v>
      </c>
      <c r="C407" s="1017" t="s">
        <v>4829</v>
      </c>
      <c r="D407" s="1016">
        <v>1.08</v>
      </c>
      <c r="E407" s="1015">
        <v>126.4</v>
      </c>
      <c r="F407" s="1014">
        <v>9.6</v>
      </c>
      <c r="G407" s="1013" t="s">
        <v>6080</v>
      </c>
      <c r="H407" s="1012">
        <v>98.6</v>
      </c>
    </row>
    <row r="408" spans="1:8" ht="12.65" customHeight="1">
      <c r="A408" s="1017" t="s">
        <v>4824</v>
      </c>
      <c r="B408" s="1017" t="s">
        <v>4826</v>
      </c>
      <c r="C408" s="1017" t="s">
        <v>4825</v>
      </c>
      <c r="D408" s="1016">
        <v>0.25</v>
      </c>
      <c r="E408" s="1015">
        <v>77.8</v>
      </c>
      <c r="F408" s="1014">
        <v>6.4</v>
      </c>
      <c r="G408" s="1013" t="s">
        <v>6080</v>
      </c>
      <c r="H408" s="1012">
        <v>99.2</v>
      </c>
    </row>
    <row r="409" spans="1:8" ht="12.65" customHeight="1">
      <c r="A409" s="1017" t="s">
        <v>4817</v>
      </c>
      <c r="B409" s="1017" t="s">
        <v>4691</v>
      </c>
      <c r="C409" s="1017" t="s">
        <v>4818</v>
      </c>
      <c r="D409" s="1016">
        <v>0.79</v>
      </c>
      <c r="E409" s="1015">
        <v>98.1</v>
      </c>
      <c r="F409" s="1014">
        <v>9.3000000000000007</v>
      </c>
      <c r="G409" s="1013">
        <v>128.1</v>
      </c>
      <c r="H409" s="1012">
        <v>99</v>
      </c>
    </row>
    <row r="410" spans="1:8" ht="12.65" customHeight="1">
      <c r="A410" s="1017" t="s">
        <v>4814</v>
      </c>
      <c r="B410" s="1017" t="s">
        <v>4691</v>
      </c>
      <c r="C410" s="1017" t="s">
        <v>4815</v>
      </c>
      <c r="D410" s="1016">
        <v>0.77</v>
      </c>
      <c r="E410" s="1015">
        <v>99.8</v>
      </c>
      <c r="F410" s="1014">
        <v>1.2</v>
      </c>
      <c r="G410" s="1013" t="s">
        <v>6080</v>
      </c>
      <c r="H410" s="1012">
        <v>98.5</v>
      </c>
    </row>
    <row r="411" spans="1:8" ht="12.65" customHeight="1">
      <c r="A411" s="1017" t="s">
        <v>4811</v>
      </c>
      <c r="B411" s="1017" t="s">
        <v>4691</v>
      </c>
      <c r="C411" s="1017" t="s">
        <v>4812</v>
      </c>
      <c r="D411" s="1016">
        <v>0.81</v>
      </c>
      <c r="E411" s="1015">
        <v>89.3</v>
      </c>
      <c r="F411" s="1014">
        <v>5.8</v>
      </c>
      <c r="G411" s="1013">
        <v>2.9</v>
      </c>
      <c r="H411" s="1012">
        <v>94.8</v>
      </c>
    </row>
    <row r="412" spans="1:8" ht="12.65" customHeight="1">
      <c r="A412" s="1017" t="s">
        <v>4808</v>
      </c>
      <c r="B412" s="1017" t="s">
        <v>4691</v>
      </c>
      <c r="C412" s="1017" t="s">
        <v>4809</v>
      </c>
      <c r="D412" s="1016">
        <v>0.72</v>
      </c>
      <c r="E412" s="1015">
        <v>89.1</v>
      </c>
      <c r="F412" s="1014">
        <v>4.2</v>
      </c>
      <c r="G412" s="1013">
        <v>23.3</v>
      </c>
      <c r="H412" s="1012">
        <v>96.1</v>
      </c>
    </row>
    <row r="413" spans="1:8" ht="12.65" customHeight="1">
      <c r="A413" s="1017" t="s">
        <v>4806</v>
      </c>
      <c r="B413" s="1017" t="s">
        <v>4691</v>
      </c>
      <c r="C413" s="1017" t="s">
        <v>4807</v>
      </c>
      <c r="D413" s="1016">
        <v>0.57999999999999996</v>
      </c>
      <c r="E413" s="1015">
        <v>93.3</v>
      </c>
      <c r="F413" s="1014">
        <v>6.5</v>
      </c>
      <c r="G413" s="1013" t="s">
        <v>6080</v>
      </c>
      <c r="H413" s="1012">
        <v>96.3</v>
      </c>
    </row>
    <row r="414" spans="1:8" ht="12.65" customHeight="1">
      <c r="A414" s="1017" t="s">
        <v>4803</v>
      </c>
      <c r="B414" s="1017" t="s">
        <v>4691</v>
      </c>
      <c r="C414" s="1017" t="s">
        <v>4804</v>
      </c>
      <c r="D414" s="1016">
        <v>0.69</v>
      </c>
      <c r="E414" s="1015">
        <v>96.1</v>
      </c>
      <c r="F414" s="1014">
        <v>7.7</v>
      </c>
      <c r="G414" s="1013">
        <v>28.8</v>
      </c>
      <c r="H414" s="1012">
        <v>97.5</v>
      </c>
    </row>
    <row r="415" spans="1:8" ht="12.65" customHeight="1">
      <c r="A415" s="1017" t="s">
        <v>4800</v>
      </c>
      <c r="B415" s="1017" t="s">
        <v>4691</v>
      </c>
      <c r="C415" s="1017" t="s">
        <v>4801</v>
      </c>
      <c r="D415" s="1016">
        <v>0.71</v>
      </c>
      <c r="E415" s="1015">
        <v>92.9</v>
      </c>
      <c r="F415" s="1014">
        <v>4.3</v>
      </c>
      <c r="G415" s="1013" t="s">
        <v>6080</v>
      </c>
      <c r="H415" s="1012">
        <v>97.9</v>
      </c>
    </row>
    <row r="416" spans="1:8" ht="12.65" customHeight="1">
      <c r="A416" s="1017" t="s">
        <v>4797</v>
      </c>
      <c r="B416" s="1017" t="s">
        <v>4691</v>
      </c>
      <c r="C416" s="1017" t="s">
        <v>4798</v>
      </c>
      <c r="D416" s="1016">
        <v>0.65</v>
      </c>
      <c r="E416" s="1015">
        <v>94.4</v>
      </c>
      <c r="F416" s="1014">
        <v>7.8</v>
      </c>
      <c r="G416" s="1013">
        <v>66.099999999999994</v>
      </c>
      <c r="H416" s="1012">
        <v>94.9</v>
      </c>
    </row>
    <row r="417" spans="1:8" ht="12.65" customHeight="1">
      <c r="A417" s="1017" t="s">
        <v>4794</v>
      </c>
      <c r="B417" s="1017" t="s">
        <v>4691</v>
      </c>
      <c r="C417" s="1017" t="s">
        <v>4795</v>
      </c>
      <c r="D417" s="1016">
        <v>0.69</v>
      </c>
      <c r="E417" s="1015">
        <v>91.8</v>
      </c>
      <c r="F417" s="1014">
        <v>7.7</v>
      </c>
      <c r="G417" s="1013">
        <v>44.3</v>
      </c>
      <c r="H417" s="1012">
        <v>97.4</v>
      </c>
    </row>
    <row r="418" spans="1:8" ht="12.65" customHeight="1">
      <c r="A418" s="1017" t="s">
        <v>4791</v>
      </c>
      <c r="B418" s="1017" t="s">
        <v>4691</v>
      </c>
      <c r="C418" s="1017" t="s">
        <v>4792</v>
      </c>
      <c r="D418" s="1016">
        <v>0.4</v>
      </c>
      <c r="E418" s="1015">
        <v>96.4</v>
      </c>
      <c r="F418" s="1014">
        <v>4.4000000000000004</v>
      </c>
      <c r="G418" s="1013" t="s">
        <v>6080</v>
      </c>
      <c r="H418" s="1012">
        <v>95.6</v>
      </c>
    </row>
    <row r="419" spans="1:8" ht="12.65" customHeight="1">
      <c r="A419" s="1017" t="s">
        <v>4788</v>
      </c>
      <c r="B419" s="1017" t="s">
        <v>4691</v>
      </c>
      <c r="C419" s="1017" t="s">
        <v>4789</v>
      </c>
      <c r="D419" s="1016">
        <v>0.56999999999999995</v>
      </c>
      <c r="E419" s="1015">
        <v>93.9</v>
      </c>
      <c r="F419" s="1014">
        <v>7.5</v>
      </c>
      <c r="G419" s="1013">
        <v>28</v>
      </c>
      <c r="H419" s="1012">
        <v>98.5</v>
      </c>
    </row>
    <row r="420" spans="1:8" ht="12.65" customHeight="1">
      <c r="A420" s="1017" t="s">
        <v>4785</v>
      </c>
      <c r="B420" s="1017" t="s">
        <v>4691</v>
      </c>
      <c r="C420" s="1017" t="s">
        <v>4786</v>
      </c>
      <c r="D420" s="1016">
        <v>0.67</v>
      </c>
      <c r="E420" s="1015">
        <v>94.8</v>
      </c>
      <c r="F420" s="1014">
        <v>12.6</v>
      </c>
      <c r="G420" s="1013">
        <v>97.9</v>
      </c>
      <c r="H420" s="1012">
        <v>97.5</v>
      </c>
    </row>
    <row r="421" spans="1:8" ht="12.65" customHeight="1">
      <c r="A421" s="1017" t="s">
        <v>4782</v>
      </c>
      <c r="B421" s="1017" t="s">
        <v>4691</v>
      </c>
      <c r="C421" s="1017" t="s">
        <v>4783</v>
      </c>
      <c r="D421" s="1016">
        <v>0.57999999999999996</v>
      </c>
      <c r="E421" s="1015">
        <v>89.1</v>
      </c>
      <c r="F421" s="1014">
        <v>6.4</v>
      </c>
      <c r="G421" s="1013" t="s">
        <v>6080</v>
      </c>
      <c r="H421" s="1012">
        <v>96.3</v>
      </c>
    </row>
    <row r="422" spans="1:8" ht="12.65" customHeight="1">
      <c r="A422" s="1017" t="s">
        <v>4779</v>
      </c>
      <c r="B422" s="1017" t="s">
        <v>4691</v>
      </c>
      <c r="C422" s="1017" t="s">
        <v>4780</v>
      </c>
      <c r="D422" s="1016">
        <v>0.6</v>
      </c>
      <c r="E422" s="1015">
        <v>96.4</v>
      </c>
      <c r="F422" s="1014">
        <v>7.1</v>
      </c>
      <c r="G422" s="1013">
        <v>9.3000000000000007</v>
      </c>
      <c r="H422" s="1012">
        <v>97.2</v>
      </c>
    </row>
    <row r="423" spans="1:8" ht="12.65" customHeight="1">
      <c r="A423" s="1017" t="s">
        <v>4776</v>
      </c>
      <c r="B423" s="1017" t="s">
        <v>4691</v>
      </c>
      <c r="C423" s="1017" t="s">
        <v>4777</v>
      </c>
      <c r="D423" s="1016">
        <v>0.8</v>
      </c>
      <c r="E423" s="1015">
        <v>93.6</v>
      </c>
      <c r="F423" s="1014">
        <v>3</v>
      </c>
      <c r="G423" s="1013" t="s">
        <v>6080</v>
      </c>
      <c r="H423" s="1012">
        <v>95.4</v>
      </c>
    </row>
    <row r="424" spans="1:8" ht="12.65" customHeight="1">
      <c r="A424" s="1017" t="s">
        <v>4773</v>
      </c>
      <c r="B424" s="1017" t="s">
        <v>4691</v>
      </c>
      <c r="C424" s="1017" t="s">
        <v>4774</v>
      </c>
      <c r="D424" s="1016">
        <v>1.07</v>
      </c>
      <c r="E424" s="1015">
        <v>92.8</v>
      </c>
      <c r="F424" s="1014">
        <v>6.3</v>
      </c>
      <c r="G424" s="1013">
        <v>28.6</v>
      </c>
      <c r="H424" s="1012">
        <v>97.7</v>
      </c>
    </row>
    <row r="425" spans="1:8" ht="12.65" customHeight="1">
      <c r="A425" s="1017" t="s">
        <v>4770</v>
      </c>
      <c r="B425" s="1017" t="s">
        <v>4691</v>
      </c>
      <c r="C425" s="1017" t="s">
        <v>4771</v>
      </c>
      <c r="D425" s="1016">
        <v>0.9</v>
      </c>
      <c r="E425" s="1015">
        <v>97.5</v>
      </c>
      <c r="F425" s="1014">
        <v>11.2</v>
      </c>
      <c r="G425" s="1013">
        <v>74</v>
      </c>
      <c r="H425" s="1012">
        <v>97.9</v>
      </c>
    </row>
    <row r="426" spans="1:8" ht="12.65" customHeight="1">
      <c r="A426" s="1017" t="s">
        <v>4767</v>
      </c>
      <c r="B426" s="1017" t="s">
        <v>4691</v>
      </c>
      <c r="C426" s="1017" t="s">
        <v>4768</v>
      </c>
      <c r="D426" s="1016">
        <v>0.97</v>
      </c>
      <c r="E426" s="1015">
        <v>92.5</v>
      </c>
      <c r="F426" s="1014">
        <v>6.5</v>
      </c>
      <c r="G426" s="1013">
        <v>39.700000000000003</v>
      </c>
      <c r="H426" s="1012">
        <v>98.5</v>
      </c>
    </row>
    <row r="427" spans="1:8" ht="12.65" customHeight="1">
      <c r="A427" s="1017" t="s">
        <v>4765</v>
      </c>
      <c r="B427" s="1017" t="s">
        <v>4691</v>
      </c>
      <c r="C427" s="1017" t="s">
        <v>4766</v>
      </c>
      <c r="D427" s="1016">
        <v>0.48</v>
      </c>
      <c r="E427" s="1015">
        <v>93</v>
      </c>
      <c r="F427" s="1014">
        <v>10.199999999999999</v>
      </c>
      <c r="G427" s="1013">
        <v>48.3</v>
      </c>
      <c r="H427" s="1012">
        <v>98</v>
      </c>
    </row>
    <row r="428" spans="1:8" ht="12.65" customHeight="1">
      <c r="A428" s="1017" t="s">
        <v>4762</v>
      </c>
      <c r="B428" s="1017" t="s">
        <v>4691</v>
      </c>
      <c r="C428" s="1017" t="s">
        <v>4763</v>
      </c>
      <c r="D428" s="1016">
        <v>0.96</v>
      </c>
      <c r="E428" s="1015">
        <v>93.4</v>
      </c>
      <c r="F428" s="1014">
        <v>4.4000000000000004</v>
      </c>
      <c r="G428" s="1013" t="s">
        <v>6080</v>
      </c>
      <c r="H428" s="1012">
        <v>95.9</v>
      </c>
    </row>
    <row r="429" spans="1:8" ht="12.65" customHeight="1">
      <c r="A429" s="1017" t="s">
        <v>4759</v>
      </c>
      <c r="B429" s="1017" t="s">
        <v>4691</v>
      </c>
      <c r="C429" s="1017" t="s">
        <v>4760</v>
      </c>
      <c r="D429" s="1016">
        <v>0.42</v>
      </c>
      <c r="E429" s="1015">
        <v>90.8</v>
      </c>
      <c r="F429" s="1014">
        <v>9</v>
      </c>
      <c r="G429" s="1013">
        <v>27.9</v>
      </c>
      <c r="H429" s="1012">
        <v>98.6</v>
      </c>
    </row>
    <row r="430" spans="1:8" ht="12.65" customHeight="1">
      <c r="A430" s="1017" t="s">
        <v>4756</v>
      </c>
      <c r="B430" s="1017" t="s">
        <v>4691</v>
      </c>
      <c r="C430" s="1017" t="s">
        <v>4757</v>
      </c>
      <c r="D430" s="1016">
        <v>0.61</v>
      </c>
      <c r="E430" s="1015">
        <v>93.1</v>
      </c>
      <c r="F430" s="1014">
        <v>4.2</v>
      </c>
      <c r="G430" s="1013" t="s">
        <v>6080</v>
      </c>
      <c r="H430" s="1012">
        <v>97.5</v>
      </c>
    </row>
    <row r="431" spans="1:8" ht="12.65" customHeight="1">
      <c r="A431" s="1017" t="s">
        <v>4753</v>
      </c>
      <c r="B431" s="1017" t="s">
        <v>4691</v>
      </c>
      <c r="C431" s="1017" t="s">
        <v>4754</v>
      </c>
      <c r="D431" s="1016">
        <v>0.65</v>
      </c>
      <c r="E431" s="1015">
        <v>94.2</v>
      </c>
      <c r="F431" s="1014">
        <v>7.8</v>
      </c>
      <c r="G431" s="1013">
        <v>51.5</v>
      </c>
      <c r="H431" s="1012">
        <v>98.3</v>
      </c>
    </row>
    <row r="432" spans="1:8" ht="12.65" customHeight="1">
      <c r="A432" s="1017" t="s">
        <v>4750</v>
      </c>
      <c r="B432" s="1017" t="s">
        <v>4691</v>
      </c>
      <c r="C432" s="1017" t="s">
        <v>4751</v>
      </c>
      <c r="D432" s="1016">
        <v>0.64</v>
      </c>
      <c r="E432" s="1015">
        <v>92.9</v>
      </c>
      <c r="F432" s="1014">
        <v>7.2</v>
      </c>
      <c r="G432" s="1013">
        <v>39.6</v>
      </c>
      <c r="H432" s="1012">
        <v>99.7</v>
      </c>
    </row>
    <row r="433" spans="1:8" ht="12.65" customHeight="1">
      <c r="A433" s="1017" t="s">
        <v>4747</v>
      </c>
      <c r="B433" s="1017" t="s">
        <v>4691</v>
      </c>
      <c r="C433" s="1017" t="s">
        <v>4748</v>
      </c>
      <c r="D433" s="1016">
        <v>0.47</v>
      </c>
      <c r="E433" s="1015">
        <v>89</v>
      </c>
      <c r="F433" s="1014">
        <v>8.9</v>
      </c>
      <c r="G433" s="1013" t="s">
        <v>6080</v>
      </c>
      <c r="H433" s="1012">
        <v>97.7</v>
      </c>
    </row>
    <row r="434" spans="1:8" ht="12.65" customHeight="1">
      <c r="A434" s="1017" t="s">
        <v>4744</v>
      </c>
      <c r="B434" s="1017" t="s">
        <v>4691</v>
      </c>
      <c r="C434" s="1017" t="s">
        <v>4745</v>
      </c>
      <c r="D434" s="1016">
        <v>0.56999999999999995</v>
      </c>
      <c r="E434" s="1015">
        <v>88.8</v>
      </c>
      <c r="F434" s="1014">
        <v>8.9</v>
      </c>
      <c r="G434" s="1013">
        <v>56.9</v>
      </c>
      <c r="H434" s="1012">
        <v>96.8</v>
      </c>
    </row>
    <row r="435" spans="1:8" ht="12.65" customHeight="1">
      <c r="A435" s="1017" t="s">
        <v>4741</v>
      </c>
      <c r="B435" s="1017" t="s">
        <v>4691</v>
      </c>
      <c r="C435" s="1017" t="s">
        <v>4742</v>
      </c>
      <c r="D435" s="1016">
        <v>0.46</v>
      </c>
      <c r="E435" s="1015">
        <v>87.6</v>
      </c>
      <c r="F435" s="1014">
        <v>7.7</v>
      </c>
      <c r="G435" s="1013">
        <v>14.5</v>
      </c>
      <c r="H435" s="1012">
        <v>97.9</v>
      </c>
    </row>
    <row r="436" spans="1:8" ht="12.65" customHeight="1">
      <c r="A436" s="1017" t="s">
        <v>4738</v>
      </c>
      <c r="B436" s="1017" t="s">
        <v>4691</v>
      </c>
      <c r="C436" s="1017" t="s">
        <v>4739</v>
      </c>
      <c r="D436" s="1016">
        <v>1.34</v>
      </c>
      <c r="E436" s="1015">
        <v>94.1</v>
      </c>
      <c r="F436" s="1014">
        <v>4.2</v>
      </c>
      <c r="G436" s="1013">
        <v>27.8</v>
      </c>
      <c r="H436" s="1012">
        <v>95.8</v>
      </c>
    </row>
    <row r="437" spans="1:8" ht="12.65" customHeight="1">
      <c r="A437" s="1017" t="s">
        <v>4735</v>
      </c>
      <c r="B437" s="1017" t="s">
        <v>4691</v>
      </c>
      <c r="C437" s="1017" t="s">
        <v>4736</v>
      </c>
      <c r="D437" s="1016">
        <v>0.43</v>
      </c>
      <c r="E437" s="1015">
        <v>88.2</v>
      </c>
      <c r="F437" s="1014">
        <v>8.5</v>
      </c>
      <c r="G437" s="1013">
        <v>24.7</v>
      </c>
      <c r="H437" s="1012">
        <v>97.1</v>
      </c>
    </row>
    <row r="438" spans="1:8" ht="12.65" customHeight="1">
      <c r="A438" s="1017" t="s">
        <v>4732</v>
      </c>
      <c r="B438" s="1017" t="s">
        <v>4691</v>
      </c>
      <c r="C438" s="1017" t="s">
        <v>4733</v>
      </c>
      <c r="D438" s="1016">
        <v>0.45</v>
      </c>
      <c r="E438" s="1015">
        <v>92.9</v>
      </c>
      <c r="F438" s="1014">
        <v>9.9</v>
      </c>
      <c r="G438" s="1013" t="s">
        <v>6080</v>
      </c>
      <c r="H438" s="1012">
        <v>98.6</v>
      </c>
    </row>
    <row r="439" spans="1:8" ht="12.65" customHeight="1">
      <c r="A439" s="1017" t="s">
        <v>4729</v>
      </c>
      <c r="B439" s="1017" t="s">
        <v>4691</v>
      </c>
      <c r="C439" s="1017" t="s">
        <v>4730</v>
      </c>
      <c r="D439" s="1016">
        <v>0.75</v>
      </c>
      <c r="E439" s="1015">
        <v>94.7</v>
      </c>
      <c r="F439" s="1014">
        <v>6.6</v>
      </c>
      <c r="G439" s="1013">
        <v>20.9</v>
      </c>
      <c r="H439" s="1012">
        <v>97.8</v>
      </c>
    </row>
    <row r="440" spans="1:8" ht="12.65" customHeight="1">
      <c r="A440" s="1017" t="s">
        <v>4726</v>
      </c>
      <c r="B440" s="1017" t="s">
        <v>4691</v>
      </c>
      <c r="C440" s="1017" t="s">
        <v>4727</v>
      </c>
      <c r="D440" s="1016">
        <v>0.56999999999999995</v>
      </c>
      <c r="E440" s="1015">
        <v>87.4</v>
      </c>
      <c r="F440" s="1014">
        <v>6.9</v>
      </c>
      <c r="G440" s="1013">
        <v>17.7</v>
      </c>
      <c r="H440" s="1012">
        <v>97.9</v>
      </c>
    </row>
    <row r="441" spans="1:8" ht="12.65" customHeight="1">
      <c r="A441" s="1017" t="s">
        <v>4723</v>
      </c>
      <c r="B441" s="1017" t="s">
        <v>4691</v>
      </c>
      <c r="C441" s="1017" t="s">
        <v>4724</v>
      </c>
      <c r="D441" s="1016">
        <v>0.57999999999999996</v>
      </c>
      <c r="E441" s="1015">
        <v>87.6</v>
      </c>
      <c r="F441" s="1014">
        <v>5.8</v>
      </c>
      <c r="G441" s="1013">
        <v>6.3</v>
      </c>
      <c r="H441" s="1012">
        <v>97.1</v>
      </c>
    </row>
    <row r="442" spans="1:8" ht="12.65" customHeight="1">
      <c r="A442" s="1017" t="s">
        <v>4720</v>
      </c>
      <c r="B442" s="1017" t="s">
        <v>4691</v>
      </c>
      <c r="C442" s="1017" t="s">
        <v>4721</v>
      </c>
      <c r="D442" s="1016">
        <v>0.67</v>
      </c>
      <c r="E442" s="1015">
        <v>94.5</v>
      </c>
      <c r="F442" s="1014">
        <v>7.8</v>
      </c>
      <c r="G442" s="1013">
        <v>81.2</v>
      </c>
      <c r="H442" s="1012">
        <v>96</v>
      </c>
    </row>
    <row r="443" spans="1:8" ht="12.65" customHeight="1">
      <c r="A443" s="1017" t="s">
        <v>4717</v>
      </c>
      <c r="B443" s="1017" t="s">
        <v>4691</v>
      </c>
      <c r="C443" s="1017" t="s">
        <v>4718</v>
      </c>
      <c r="D443" s="1016">
        <v>0.36</v>
      </c>
      <c r="E443" s="1015">
        <v>90.6</v>
      </c>
      <c r="F443" s="1014">
        <v>8.6</v>
      </c>
      <c r="G443" s="1013">
        <v>40</v>
      </c>
      <c r="H443" s="1012">
        <v>96.7</v>
      </c>
    </row>
    <row r="444" spans="1:8" ht="12.65" customHeight="1">
      <c r="A444" s="1017" t="s">
        <v>4714</v>
      </c>
      <c r="B444" s="1017" t="s">
        <v>4691</v>
      </c>
      <c r="C444" s="1017" t="s">
        <v>4715</v>
      </c>
      <c r="D444" s="1016">
        <v>1.38</v>
      </c>
      <c r="E444" s="1015">
        <v>92.9</v>
      </c>
      <c r="F444" s="1014">
        <v>2.5</v>
      </c>
      <c r="G444" s="1013" t="s">
        <v>6080</v>
      </c>
      <c r="H444" s="1012">
        <v>100.6</v>
      </c>
    </row>
    <row r="445" spans="1:8" ht="12.65" customHeight="1">
      <c r="A445" s="1017" t="s">
        <v>4711</v>
      </c>
      <c r="B445" s="1017" t="s">
        <v>4691</v>
      </c>
      <c r="C445" s="1017" t="s">
        <v>4712</v>
      </c>
      <c r="D445" s="1016">
        <v>0.32</v>
      </c>
      <c r="E445" s="1015">
        <v>91.6</v>
      </c>
      <c r="F445" s="1014">
        <v>4</v>
      </c>
      <c r="G445" s="1013">
        <v>49.3</v>
      </c>
      <c r="H445" s="1012">
        <v>98.7</v>
      </c>
    </row>
    <row r="446" spans="1:8" ht="12.65" customHeight="1">
      <c r="A446" s="1017" t="s">
        <v>4708</v>
      </c>
      <c r="B446" s="1017" t="s">
        <v>4691</v>
      </c>
      <c r="C446" s="1017" t="s">
        <v>4709</v>
      </c>
      <c r="D446" s="1016">
        <v>0.61</v>
      </c>
      <c r="E446" s="1015">
        <v>92.1</v>
      </c>
      <c r="F446" s="1014">
        <v>8.3000000000000007</v>
      </c>
      <c r="G446" s="1013">
        <v>58.1</v>
      </c>
      <c r="H446" s="1012">
        <v>101.3</v>
      </c>
    </row>
    <row r="447" spans="1:8" ht="12.65" customHeight="1">
      <c r="A447" s="1017" t="s">
        <v>4705</v>
      </c>
      <c r="B447" s="1017" t="s">
        <v>4691</v>
      </c>
      <c r="C447" s="1017" t="s">
        <v>4706</v>
      </c>
      <c r="D447" s="1016">
        <v>0.87</v>
      </c>
      <c r="E447" s="1015">
        <v>96.1</v>
      </c>
      <c r="F447" s="1014">
        <v>4.5999999999999996</v>
      </c>
      <c r="G447" s="1013" t="s">
        <v>6080</v>
      </c>
      <c r="H447" s="1012">
        <v>97.2</v>
      </c>
    </row>
    <row r="448" spans="1:8" ht="12.65" customHeight="1">
      <c r="A448" s="1017" t="s">
        <v>4702</v>
      </c>
      <c r="B448" s="1017" t="s">
        <v>4691</v>
      </c>
      <c r="C448" s="1017" t="s">
        <v>4703</v>
      </c>
      <c r="D448" s="1016">
        <v>0.33</v>
      </c>
      <c r="E448" s="1015">
        <v>94.4</v>
      </c>
      <c r="F448" s="1014">
        <v>6.8</v>
      </c>
      <c r="G448" s="1013" t="s">
        <v>6080</v>
      </c>
      <c r="H448" s="1012">
        <v>95.3</v>
      </c>
    </row>
    <row r="449" spans="1:8" ht="12.65" customHeight="1">
      <c r="A449" s="1017" t="s">
        <v>4699</v>
      </c>
      <c r="B449" s="1017" t="s">
        <v>4691</v>
      </c>
      <c r="C449" s="1017" t="s">
        <v>4700</v>
      </c>
      <c r="D449" s="1016">
        <v>0.61</v>
      </c>
      <c r="E449" s="1015">
        <v>90.5</v>
      </c>
      <c r="F449" s="1014">
        <v>7</v>
      </c>
      <c r="G449" s="1013" t="s">
        <v>6080</v>
      </c>
      <c r="H449" s="1012">
        <v>99.2</v>
      </c>
    </row>
    <row r="450" spans="1:8" ht="12.65" customHeight="1">
      <c r="A450" s="1017" t="s">
        <v>4696</v>
      </c>
      <c r="B450" s="1017" t="s">
        <v>4691</v>
      </c>
      <c r="C450" s="1017" t="s">
        <v>4697</v>
      </c>
      <c r="D450" s="1016">
        <v>0.79</v>
      </c>
      <c r="E450" s="1015">
        <v>93.1</v>
      </c>
      <c r="F450" s="1014">
        <v>14.6</v>
      </c>
      <c r="G450" s="1013">
        <v>34.299999999999997</v>
      </c>
      <c r="H450" s="1012">
        <v>94.6</v>
      </c>
    </row>
    <row r="451" spans="1:8" ht="12.65" customHeight="1">
      <c r="A451" s="1017" t="s">
        <v>4693</v>
      </c>
      <c r="B451" s="1017" t="s">
        <v>4691</v>
      </c>
      <c r="C451" s="1017" t="s">
        <v>4694</v>
      </c>
      <c r="D451" s="1016">
        <v>0.67</v>
      </c>
      <c r="E451" s="1015">
        <v>86.7</v>
      </c>
      <c r="F451" s="1014">
        <v>11.5</v>
      </c>
      <c r="G451" s="1013">
        <v>49.7</v>
      </c>
      <c r="H451" s="1012">
        <v>96.1</v>
      </c>
    </row>
    <row r="452" spans="1:8" ht="12.65" customHeight="1">
      <c r="A452" s="1017" t="s">
        <v>4689</v>
      </c>
      <c r="B452" s="1017" t="s">
        <v>4691</v>
      </c>
      <c r="C452" s="1017" t="s">
        <v>4690</v>
      </c>
      <c r="D452" s="1016">
        <v>0.38</v>
      </c>
      <c r="E452" s="1015">
        <v>90.6</v>
      </c>
      <c r="F452" s="1014">
        <v>1.2</v>
      </c>
      <c r="G452" s="1013" t="s">
        <v>6080</v>
      </c>
      <c r="H452" s="1012">
        <v>98.4</v>
      </c>
    </row>
    <row r="453" spans="1:8" ht="12.65" customHeight="1">
      <c r="A453" s="1017" t="s">
        <v>4682</v>
      </c>
      <c r="B453" s="1017" t="s">
        <v>4612</v>
      </c>
      <c r="C453" s="1017" t="s">
        <v>4683</v>
      </c>
      <c r="D453" s="1016">
        <v>0.97</v>
      </c>
      <c r="E453" s="1015">
        <v>93.7</v>
      </c>
      <c r="F453" s="1014">
        <v>3.9</v>
      </c>
      <c r="G453" s="1013">
        <v>44.1</v>
      </c>
      <c r="H453" s="1012">
        <v>101.7</v>
      </c>
    </row>
    <row r="454" spans="1:8" ht="12.65" customHeight="1">
      <c r="A454" s="1017" t="s">
        <v>4679</v>
      </c>
      <c r="B454" s="1017" t="s">
        <v>4612</v>
      </c>
      <c r="C454" s="1017" t="s">
        <v>4680</v>
      </c>
      <c r="D454" s="1016">
        <v>0.73</v>
      </c>
      <c r="E454" s="1015">
        <v>89.6</v>
      </c>
      <c r="F454" s="1014">
        <v>4.3</v>
      </c>
      <c r="G454" s="1013" t="s">
        <v>6080</v>
      </c>
      <c r="H454" s="1012">
        <v>98.9</v>
      </c>
    </row>
    <row r="455" spans="1:8" ht="12.65" customHeight="1">
      <c r="A455" s="1017" t="s">
        <v>4676</v>
      </c>
      <c r="B455" s="1017" t="s">
        <v>4612</v>
      </c>
      <c r="C455" s="1017" t="s">
        <v>4677</v>
      </c>
      <c r="D455" s="1016">
        <v>0.69</v>
      </c>
      <c r="E455" s="1015">
        <v>97.5</v>
      </c>
      <c r="F455" s="1014">
        <v>8.6</v>
      </c>
      <c r="G455" s="1013">
        <v>13.2</v>
      </c>
      <c r="H455" s="1012">
        <v>98.6</v>
      </c>
    </row>
    <row r="456" spans="1:8" ht="12.65" customHeight="1">
      <c r="A456" s="1017" t="s">
        <v>4673</v>
      </c>
      <c r="B456" s="1017" t="s">
        <v>4612</v>
      </c>
      <c r="C456" s="1017" t="s">
        <v>4674</v>
      </c>
      <c r="D456" s="1016">
        <v>0.7</v>
      </c>
      <c r="E456" s="1015">
        <v>93.2</v>
      </c>
      <c r="F456" s="1014">
        <v>2.2999999999999998</v>
      </c>
      <c r="G456" s="1013" t="s">
        <v>6080</v>
      </c>
      <c r="H456" s="1012">
        <v>98.1</v>
      </c>
    </row>
    <row r="457" spans="1:8" ht="12.65" customHeight="1">
      <c r="A457" s="1017" t="s">
        <v>4670</v>
      </c>
      <c r="B457" s="1017" t="s">
        <v>4612</v>
      </c>
      <c r="C457" s="1017" t="s">
        <v>4671</v>
      </c>
      <c r="D457" s="1016">
        <v>0.69</v>
      </c>
      <c r="E457" s="1015">
        <v>91</v>
      </c>
      <c r="F457" s="1014">
        <v>2.2999999999999998</v>
      </c>
      <c r="G457" s="1013" t="s">
        <v>6080</v>
      </c>
      <c r="H457" s="1012">
        <v>99.2</v>
      </c>
    </row>
    <row r="458" spans="1:8" ht="12.65" customHeight="1">
      <c r="A458" s="1017" t="s">
        <v>4667</v>
      </c>
      <c r="B458" s="1017" t="s">
        <v>4612</v>
      </c>
      <c r="C458" s="1017" t="s">
        <v>4668</v>
      </c>
      <c r="D458" s="1016">
        <v>0.55000000000000004</v>
      </c>
      <c r="E458" s="1015">
        <v>98.6</v>
      </c>
      <c r="F458" s="1014">
        <v>7.8</v>
      </c>
      <c r="G458" s="1013">
        <v>46.9</v>
      </c>
      <c r="H458" s="1012">
        <v>97.4</v>
      </c>
    </row>
    <row r="459" spans="1:8" ht="12.65" customHeight="1">
      <c r="A459" s="1017" t="s">
        <v>4664</v>
      </c>
      <c r="B459" s="1017" t="s">
        <v>4612</v>
      </c>
      <c r="C459" s="1017" t="s">
        <v>4665</v>
      </c>
      <c r="D459" s="1016">
        <v>0.94</v>
      </c>
      <c r="E459" s="1015">
        <v>89.3</v>
      </c>
      <c r="F459" s="1014">
        <v>6.1</v>
      </c>
      <c r="G459" s="1013">
        <v>73</v>
      </c>
      <c r="H459" s="1012">
        <v>97.7</v>
      </c>
    </row>
    <row r="460" spans="1:8" ht="12.65" customHeight="1">
      <c r="A460" s="1017" t="s">
        <v>4661</v>
      </c>
      <c r="B460" s="1017" t="s">
        <v>4612</v>
      </c>
      <c r="C460" s="1017" t="s">
        <v>4662</v>
      </c>
      <c r="D460" s="1016">
        <v>0.83</v>
      </c>
      <c r="E460" s="1015">
        <v>91.1</v>
      </c>
      <c r="F460" s="1014">
        <v>5.4</v>
      </c>
      <c r="G460" s="1013" t="s">
        <v>6080</v>
      </c>
      <c r="H460" s="1012">
        <v>99.3</v>
      </c>
    </row>
    <row r="461" spans="1:8" ht="12.65" customHeight="1">
      <c r="A461" s="1017" t="s">
        <v>4658</v>
      </c>
      <c r="B461" s="1017" t="s">
        <v>4612</v>
      </c>
      <c r="C461" s="1017" t="s">
        <v>4659</v>
      </c>
      <c r="D461" s="1016">
        <v>0.63</v>
      </c>
      <c r="E461" s="1015">
        <v>97.7</v>
      </c>
      <c r="F461" s="1014">
        <v>6.7</v>
      </c>
      <c r="G461" s="1013">
        <v>21</v>
      </c>
      <c r="H461" s="1012">
        <v>98.4</v>
      </c>
    </row>
    <row r="462" spans="1:8" ht="12.65" customHeight="1">
      <c r="A462" s="1017" t="s">
        <v>4655</v>
      </c>
      <c r="B462" s="1017" t="s">
        <v>4612</v>
      </c>
      <c r="C462" s="1017" t="s">
        <v>4656</v>
      </c>
      <c r="D462" s="1016">
        <v>0.64</v>
      </c>
      <c r="E462" s="1015">
        <v>91.1</v>
      </c>
      <c r="F462" s="1014">
        <v>8.4</v>
      </c>
      <c r="G462" s="1013" t="s">
        <v>6080</v>
      </c>
      <c r="H462" s="1012">
        <v>98.2</v>
      </c>
    </row>
    <row r="463" spans="1:8" ht="12.65" customHeight="1">
      <c r="A463" s="1017" t="s">
        <v>4652</v>
      </c>
      <c r="B463" s="1017" t="s">
        <v>4612</v>
      </c>
      <c r="C463" s="1017" t="s">
        <v>4653</v>
      </c>
      <c r="D463" s="1016">
        <v>0.75</v>
      </c>
      <c r="E463" s="1015">
        <v>94.8</v>
      </c>
      <c r="F463" s="1014">
        <v>3.3</v>
      </c>
      <c r="G463" s="1013" t="s">
        <v>6080</v>
      </c>
      <c r="H463" s="1012">
        <v>98.6</v>
      </c>
    </row>
    <row r="464" spans="1:8" ht="12.65" customHeight="1">
      <c r="A464" s="1017" t="s">
        <v>4649</v>
      </c>
      <c r="B464" s="1017" t="s">
        <v>4612</v>
      </c>
      <c r="C464" s="1017" t="s">
        <v>4650</v>
      </c>
      <c r="D464" s="1016">
        <v>0.69</v>
      </c>
      <c r="E464" s="1015">
        <v>94.7</v>
      </c>
      <c r="F464" s="1014">
        <v>8</v>
      </c>
      <c r="G464" s="1013" t="s">
        <v>6080</v>
      </c>
      <c r="H464" s="1012">
        <v>97.6</v>
      </c>
    </row>
    <row r="465" spans="1:8" ht="12.65" customHeight="1">
      <c r="A465" s="1017" t="s">
        <v>4647</v>
      </c>
      <c r="B465" s="1017" t="s">
        <v>4612</v>
      </c>
      <c r="C465" s="1017" t="s">
        <v>4648</v>
      </c>
      <c r="D465" s="1016">
        <v>0.45</v>
      </c>
      <c r="E465" s="1015">
        <v>90.8</v>
      </c>
      <c r="F465" s="1014">
        <v>7.5</v>
      </c>
      <c r="G465" s="1013" t="s">
        <v>6080</v>
      </c>
      <c r="H465" s="1012">
        <v>97.6</v>
      </c>
    </row>
    <row r="466" spans="1:8" ht="12.65" customHeight="1">
      <c r="A466" s="1017" t="s">
        <v>4644</v>
      </c>
      <c r="B466" s="1017" t="s">
        <v>4612</v>
      </c>
      <c r="C466" s="1017" t="s">
        <v>4645</v>
      </c>
      <c r="D466" s="1016">
        <v>0.69</v>
      </c>
      <c r="E466" s="1015">
        <v>93.5</v>
      </c>
      <c r="F466" s="1014">
        <v>4</v>
      </c>
      <c r="G466" s="1013" t="s">
        <v>6080</v>
      </c>
      <c r="H466" s="1012">
        <v>97.9</v>
      </c>
    </row>
    <row r="467" spans="1:8" ht="12.65" customHeight="1">
      <c r="A467" s="1017" t="s">
        <v>4641</v>
      </c>
      <c r="B467" s="1017" t="s">
        <v>4612</v>
      </c>
      <c r="C467" s="1017" t="s">
        <v>4642</v>
      </c>
      <c r="D467" s="1016">
        <v>0.93</v>
      </c>
      <c r="E467" s="1015">
        <v>85.1</v>
      </c>
      <c r="F467" s="1014">
        <v>7.3</v>
      </c>
      <c r="G467" s="1013" t="s">
        <v>6080</v>
      </c>
      <c r="H467" s="1012">
        <v>97</v>
      </c>
    </row>
    <row r="468" spans="1:8" ht="12.65" customHeight="1">
      <c r="A468" s="1017" t="s">
        <v>4638</v>
      </c>
      <c r="B468" s="1017" t="s">
        <v>4612</v>
      </c>
      <c r="C468" s="1017" t="s">
        <v>4639</v>
      </c>
      <c r="D468" s="1016">
        <v>0.54</v>
      </c>
      <c r="E468" s="1015">
        <v>89</v>
      </c>
      <c r="F468" s="1014">
        <v>7.1</v>
      </c>
      <c r="G468" s="1013">
        <v>0.3</v>
      </c>
      <c r="H468" s="1012">
        <v>96.6</v>
      </c>
    </row>
    <row r="469" spans="1:8" ht="12.65" customHeight="1">
      <c r="A469" s="1017" t="s">
        <v>4635</v>
      </c>
      <c r="B469" s="1017" t="s">
        <v>4612</v>
      </c>
      <c r="C469" s="1017" t="s">
        <v>4636</v>
      </c>
      <c r="D469" s="1016">
        <v>0.37</v>
      </c>
      <c r="E469" s="1015">
        <v>93.8</v>
      </c>
      <c r="F469" s="1014">
        <v>8.4</v>
      </c>
      <c r="G469" s="1013" t="s">
        <v>6080</v>
      </c>
      <c r="H469" s="1012">
        <v>96.6</v>
      </c>
    </row>
    <row r="470" spans="1:8" ht="12.65" customHeight="1">
      <c r="A470" s="1017" t="s">
        <v>4632</v>
      </c>
      <c r="B470" s="1017" t="s">
        <v>4612</v>
      </c>
      <c r="C470" s="1017" t="s">
        <v>4633</v>
      </c>
      <c r="D470" s="1016">
        <v>0.62</v>
      </c>
      <c r="E470" s="1015">
        <v>91.1</v>
      </c>
      <c r="F470" s="1014">
        <v>5.3</v>
      </c>
      <c r="G470" s="1013" t="s">
        <v>6080</v>
      </c>
      <c r="H470" s="1012">
        <v>98.5</v>
      </c>
    </row>
    <row r="471" spans="1:8" ht="12.65" customHeight="1">
      <c r="A471" s="1017" t="s">
        <v>4629</v>
      </c>
      <c r="B471" s="1017" t="s">
        <v>4612</v>
      </c>
      <c r="C471" s="1017" t="s">
        <v>4630</v>
      </c>
      <c r="D471" s="1016">
        <v>0.98</v>
      </c>
      <c r="E471" s="1015">
        <v>85.1</v>
      </c>
      <c r="F471" s="1014">
        <v>1.6</v>
      </c>
      <c r="G471" s="1013">
        <v>21.1</v>
      </c>
      <c r="H471" s="1012">
        <v>100.9</v>
      </c>
    </row>
    <row r="472" spans="1:8" ht="12.65" customHeight="1">
      <c r="A472" s="1017" t="s">
        <v>4626</v>
      </c>
      <c r="B472" s="1017" t="s">
        <v>4612</v>
      </c>
      <c r="C472" s="1017" t="s">
        <v>4627</v>
      </c>
      <c r="D472" s="1016">
        <v>0.8</v>
      </c>
      <c r="E472" s="1015">
        <v>89.2</v>
      </c>
      <c r="F472" s="1014">
        <v>6.8</v>
      </c>
      <c r="G472" s="1013" t="s">
        <v>6080</v>
      </c>
      <c r="H472" s="1012">
        <v>98</v>
      </c>
    </row>
    <row r="473" spans="1:8" ht="12.65" customHeight="1">
      <c r="A473" s="1017" t="s">
        <v>4623</v>
      </c>
      <c r="B473" s="1017" t="s">
        <v>4612</v>
      </c>
      <c r="C473" s="1017" t="s">
        <v>4624</v>
      </c>
      <c r="D473" s="1016">
        <v>0.75</v>
      </c>
      <c r="E473" s="1015">
        <v>90.1</v>
      </c>
      <c r="F473" s="1014">
        <v>8.1999999999999993</v>
      </c>
      <c r="G473" s="1013" t="s">
        <v>6080</v>
      </c>
      <c r="H473" s="1012">
        <v>97.5</v>
      </c>
    </row>
    <row r="474" spans="1:8" ht="12.65" customHeight="1">
      <c r="A474" s="1017" t="s">
        <v>4620</v>
      </c>
      <c r="B474" s="1017" t="s">
        <v>4612</v>
      </c>
      <c r="C474" s="1017" t="s">
        <v>4621</v>
      </c>
      <c r="D474" s="1016">
        <v>0.42</v>
      </c>
      <c r="E474" s="1015">
        <v>85.3</v>
      </c>
      <c r="F474" s="1014">
        <v>4.3</v>
      </c>
      <c r="G474" s="1013">
        <v>5.9</v>
      </c>
      <c r="H474" s="1012">
        <v>97.5</v>
      </c>
    </row>
    <row r="475" spans="1:8" ht="12.65" customHeight="1">
      <c r="A475" s="1017" t="s">
        <v>4617</v>
      </c>
      <c r="B475" s="1017" t="s">
        <v>4612</v>
      </c>
      <c r="C475" s="1017" t="s">
        <v>4618</v>
      </c>
      <c r="D475" s="1016">
        <v>0.74</v>
      </c>
      <c r="E475" s="1015">
        <v>83.3</v>
      </c>
      <c r="F475" s="1014">
        <v>2.1</v>
      </c>
      <c r="G475" s="1013" t="s">
        <v>6080</v>
      </c>
      <c r="H475" s="1012">
        <v>97.8</v>
      </c>
    </row>
    <row r="476" spans="1:8" ht="12.65" customHeight="1">
      <c r="A476" s="1017" t="s">
        <v>4614</v>
      </c>
      <c r="B476" s="1017" t="s">
        <v>4612</v>
      </c>
      <c r="C476" s="1017" t="s">
        <v>4615</v>
      </c>
      <c r="D476" s="1016">
        <v>0.69</v>
      </c>
      <c r="E476" s="1015">
        <v>90.9</v>
      </c>
      <c r="F476" s="1014">
        <v>7.1</v>
      </c>
      <c r="G476" s="1013" t="s">
        <v>6080</v>
      </c>
      <c r="H476" s="1012">
        <v>96.8</v>
      </c>
    </row>
    <row r="477" spans="1:8" ht="12.65" customHeight="1">
      <c r="A477" s="1017" t="s">
        <v>4610</v>
      </c>
      <c r="B477" s="1017" t="s">
        <v>4612</v>
      </c>
      <c r="C477" s="1017" t="s">
        <v>4611</v>
      </c>
      <c r="D477" s="1016">
        <v>0.38</v>
      </c>
      <c r="E477" s="1015">
        <v>89.1</v>
      </c>
      <c r="F477" s="1014">
        <v>7.5</v>
      </c>
      <c r="G477" s="1013" t="s">
        <v>6080</v>
      </c>
      <c r="H477" s="1012">
        <v>96.6</v>
      </c>
    </row>
    <row r="478" spans="1:8" ht="12.65" customHeight="1">
      <c r="A478" s="1017" t="s">
        <v>4603</v>
      </c>
      <c r="B478" s="1017" t="s">
        <v>4506</v>
      </c>
      <c r="C478" s="1017" t="s">
        <v>4604</v>
      </c>
      <c r="D478" s="1016">
        <v>0.78</v>
      </c>
      <c r="E478" s="1015">
        <v>95.3</v>
      </c>
      <c r="F478" s="1014">
        <v>8.1999999999999993</v>
      </c>
      <c r="G478" s="1013">
        <v>57.6</v>
      </c>
      <c r="H478" s="1012">
        <v>99.1</v>
      </c>
    </row>
    <row r="479" spans="1:8" ht="12.65" customHeight="1">
      <c r="A479" s="1017" t="s">
        <v>4600</v>
      </c>
      <c r="B479" s="1017" t="s">
        <v>4506</v>
      </c>
      <c r="C479" s="1017" t="s">
        <v>4601</v>
      </c>
      <c r="D479" s="1016">
        <v>0.81</v>
      </c>
      <c r="E479" s="1015">
        <v>97.9</v>
      </c>
      <c r="F479" s="1014">
        <v>4.2</v>
      </c>
      <c r="G479" s="1013">
        <v>34.6</v>
      </c>
      <c r="H479" s="1012">
        <v>99.7</v>
      </c>
    </row>
    <row r="480" spans="1:8" ht="12.65" customHeight="1">
      <c r="A480" s="1017" t="s">
        <v>4597</v>
      </c>
      <c r="B480" s="1017" t="s">
        <v>4506</v>
      </c>
      <c r="C480" s="1017" t="s">
        <v>4598</v>
      </c>
      <c r="D480" s="1016">
        <v>0.55000000000000004</v>
      </c>
      <c r="E480" s="1015">
        <v>95.1</v>
      </c>
      <c r="F480" s="1014">
        <v>4.4000000000000004</v>
      </c>
      <c r="G480" s="1013" t="s">
        <v>6080</v>
      </c>
      <c r="H480" s="1012">
        <v>99.2</v>
      </c>
    </row>
    <row r="481" spans="1:8" ht="12.65" customHeight="1">
      <c r="A481" s="1017" t="s">
        <v>4594</v>
      </c>
      <c r="B481" s="1017" t="s">
        <v>4506</v>
      </c>
      <c r="C481" s="1017" t="s">
        <v>4595</v>
      </c>
      <c r="D481" s="1016">
        <v>0.81</v>
      </c>
      <c r="E481" s="1015">
        <v>94</v>
      </c>
      <c r="F481" s="1014">
        <v>5.3</v>
      </c>
      <c r="G481" s="1013">
        <v>1.3</v>
      </c>
      <c r="H481" s="1012">
        <v>98.3</v>
      </c>
    </row>
    <row r="482" spans="1:8" ht="12.65" customHeight="1">
      <c r="A482" s="1017" t="s">
        <v>4591</v>
      </c>
      <c r="B482" s="1017" t="s">
        <v>4506</v>
      </c>
      <c r="C482" s="1017" t="s">
        <v>4592</v>
      </c>
      <c r="D482" s="1016">
        <v>0.94</v>
      </c>
      <c r="E482" s="1015">
        <v>92.1</v>
      </c>
      <c r="F482" s="1014">
        <v>5.8</v>
      </c>
      <c r="G482" s="1013">
        <v>28.2</v>
      </c>
      <c r="H482" s="1012">
        <v>99.4</v>
      </c>
    </row>
    <row r="483" spans="1:8" ht="12.65" customHeight="1">
      <c r="A483" s="1017" t="s">
        <v>4588</v>
      </c>
      <c r="B483" s="1017" t="s">
        <v>4506</v>
      </c>
      <c r="C483" s="1017" t="s">
        <v>4589</v>
      </c>
      <c r="D483" s="1016">
        <v>0.49</v>
      </c>
      <c r="E483" s="1015">
        <v>97.6</v>
      </c>
      <c r="F483" s="1014">
        <v>6.5</v>
      </c>
      <c r="G483" s="1013">
        <v>80.2</v>
      </c>
      <c r="H483" s="1012">
        <v>98.5</v>
      </c>
    </row>
    <row r="484" spans="1:8" ht="12.65" customHeight="1">
      <c r="A484" s="1017" t="s">
        <v>4585</v>
      </c>
      <c r="B484" s="1017" t="s">
        <v>4506</v>
      </c>
      <c r="C484" s="1017" t="s">
        <v>4586</v>
      </c>
      <c r="D484" s="1016">
        <v>0.8</v>
      </c>
      <c r="E484" s="1015">
        <v>96.4</v>
      </c>
      <c r="F484" s="1014">
        <v>5.6</v>
      </c>
      <c r="G484" s="1013">
        <v>81.3</v>
      </c>
      <c r="H484" s="1012">
        <v>95.2</v>
      </c>
    </row>
    <row r="485" spans="1:8" ht="12.65" customHeight="1">
      <c r="A485" s="1017" t="s">
        <v>4582</v>
      </c>
      <c r="B485" s="1017" t="s">
        <v>4506</v>
      </c>
      <c r="C485" s="1017" t="s">
        <v>4583</v>
      </c>
      <c r="D485" s="1016">
        <v>0.56999999999999995</v>
      </c>
      <c r="E485" s="1015">
        <v>95.3</v>
      </c>
      <c r="F485" s="1014">
        <v>4.3</v>
      </c>
      <c r="G485" s="1013" t="s">
        <v>6080</v>
      </c>
      <c r="H485" s="1012">
        <v>98.6</v>
      </c>
    </row>
    <row r="486" spans="1:8" ht="12.65" customHeight="1">
      <c r="A486" s="1017" t="s">
        <v>4579</v>
      </c>
      <c r="B486" s="1017" t="s">
        <v>4506</v>
      </c>
      <c r="C486" s="1017" t="s">
        <v>4580</v>
      </c>
      <c r="D486" s="1016">
        <v>0.64</v>
      </c>
      <c r="E486" s="1015">
        <v>93</v>
      </c>
      <c r="F486" s="1014">
        <v>5.0999999999999996</v>
      </c>
      <c r="G486" s="1013" t="s">
        <v>6080</v>
      </c>
      <c r="H486" s="1012">
        <v>99.4</v>
      </c>
    </row>
    <row r="487" spans="1:8" ht="12.65" customHeight="1">
      <c r="A487" s="1017" t="s">
        <v>4576</v>
      </c>
      <c r="B487" s="1017" t="s">
        <v>4506</v>
      </c>
      <c r="C487" s="1017" t="s">
        <v>4577</v>
      </c>
      <c r="D487" s="1016">
        <v>0.62</v>
      </c>
      <c r="E487" s="1015">
        <v>96.4</v>
      </c>
      <c r="F487" s="1014">
        <v>7.5</v>
      </c>
      <c r="G487" s="1013" t="s">
        <v>6080</v>
      </c>
      <c r="H487" s="1012">
        <v>99</v>
      </c>
    </row>
    <row r="488" spans="1:8" ht="12.65" customHeight="1">
      <c r="A488" s="1017" t="s">
        <v>4573</v>
      </c>
      <c r="B488" s="1017" t="s">
        <v>4506</v>
      </c>
      <c r="C488" s="1017" t="s">
        <v>4574</v>
      </c>
      <c r="D488" s="1016">
        <v>0.78</v>
      </c>
      <c r="E488" s="1015">
        <v>98.4</v>
      </c>
      <c r="F488" s="1014">
        <v>7.2</v>
      </c>
      <c r="G488" s="1013" t="s">
        <v>6080</v>
      </c>
      <c r="H488" s="1012">
        <v>98.4</v>
      </c>
    </row>
    <row r="489" spans="1:8" ht="12.65" customHeight="1">
      <c r="A489" s="1017" t="s">
        <v>4570</v>
      </c>
      <c r="B489" s="1017" t="s">
        <v>4506</v>
      </c>
      <c r="C489" s="1017" t="s">
        <v>4571</v>
      </c>
      <c r="D489" s="1016">
        <v>0.61</v>
      </c>
      <c r="E489" s="1015">
        <v>99.4</v>
      </c>
      <c r="F489" s="1014">
        <v>4.7</v>
      </c>
      <c r="G489" s="1013" t="s">
        <v>6080</v>
      </c>
      <c r="H489" s="1012">
        <v>95.6</v>
      </c>
    </row>
    <row r="490" spans="1:8" ht="12.65" customHeight="1">
      <c r="A490" s="1017" t="s">
        <v>4567</v>
      </c>
      <c r="B490" s="1017" t="s">
        <v>4506</v>
      </c>
      <c r="C490" s="1017" t="s">
        <v>4568</v>
      </c>
      <c r="D490" s="1016">
        <v>0.52</v>
      </c>
      <c r="E490" s="1015">
        <v>91.3</v>
      </c>
      <c r="F490" s="1014">
        <v>6.7</v>
      </c>
      <c r="G490" s="1013" t="s">
        <v>6080</v>
      </c>
      <c r="H490" s="1012">
        <v>95.8</v>
      </c>
    </row>
    <row r="491" spans="1:8" ht="12.65" customHeight="1">
      <c r="A491" s="1017" t="s">
        <v>4564</v>
      </c>
      <c r="B491" s="1017" t="s">
        <v>4506</v>
      </c>
      <c r="C491" s="1017" t="s">
        <v>4565</v>
      </c>
      <c r="D491" s="1016">
        <v>0.67</v>
      </c>
      <c r="E491" s="1015">
        <v>93</v>
      </c>
      <c r="F491" s="1014">
        <v>6.5</v>
      </c>
      <c r="G491" s="1013" t="s">
        <v>6080</v>
      </c>
      <c r="H491" s="1012">
        <v>97.5</v>
      </c>
    </row>
    <row r="492" spans="1:8" ht="12.65" customHeight="1">
      <c r="A492" s="1017" t="s">
        <v>4561</v>
      </c>
      <c r="B492" s="1017" t="s">
        <v>4506</v>
      </c>
      <c r="C492" s="1017" t="s">
        <v>4562</v>
      </c>
      <c r="D492" s="1016">
        <v>0.79</v>
      </c>
      <c r="E492" s="1015">
        <v>70.900000000000006</v>
      </c>
      <c r="F492" s="1014">
        <v>4.5</v>
      </c>
      <c r="G492" s="1013" t="s">
        <v>6080</v>
      </c>
      <c r="H492" s="1012">
        <v>89.6</v>
      </c>
    </row>
    <row r="493" spans="1:8" ht="12.65" customHeight="1">
      <c r="A493" s="1017" t="s">
        <v>4558</v>
      </c>
      <c r="B493" s="1017" t="s">
        <v>4506</v>
      </c>
      <c r="C493" s="1017" t="s">
        <v>4559</v>
      </c>
      <c r="D493" s="1016">
        <v>0.15</v>
      </c>
      <c r="E493" s="1015">
        <v>92.7</v>
      </c>
      <c r="F493" s="1014">
        <v>6.4</v>
      </c>
      <c r="G493" s="1013" t="s">
        <v>6080</v>
      </c>
      <c r="H493" s="1012">
        <v>90.9</v>
      </c>
    </row>
    <row r="494" spans="1:8" ht="12.65" customHeight="1">
      <c r="A494" s="1017" t="s">
        <v>4555</v>
      </c>
      <c r="B494" s="1017" t="s">
        <v>4506</v>
      </c>
      <c r="C494" s="1017" t="s">
        <v>4556</v>
      </c>
      <c r="D494" s="1016">
        <v>0.26</v>
      </c>
      <c r="E494" s="1015">
        <v>91.8</v>
      </c>
      <c r="F494" s="1014">
        <v>7.8</v>
      </c>
      <c r="G494" s="1013" t="s">
        <v>6080</v>
      </c>
      <c r="H494" s="1012">
        <v>97.6</v>
      </c>
    </row>
    <row r="495" spans="1:8" ht="12.65" customHeight="1">
      <c r="A495" s="1017" t="s">
        <v>4553</v>
      </c>
      <c r="B495" s="1017" t="s">
        <v>4506</v>
      </c>
      <c r="C495" s="1017" t="s">
        <v>3446</v>
      </c>
      <c r="D495" s="1016">
        <v>0.13</v>
      </c>
      <c r="E495" s="1015">
        <v>83</v>
      </c>
      <c r="F495" s="1014">
        <v>3.6</v>
      </c>
      <c r="G495" s="1013" t="s">
        <v>6080</v>
      </c>
      <c r="H495" s="1012">
        <v>93.3</v>
      </c>
    </row>
    <row r="496" spans="1:8" ht="12.65" customHeight="1">
      <c r="A496" s="1017" t="s">
        <v>4550</v>
      </c>
      <c r="B496" s="1017" t="s">
        <v>4506</v>
      </c>
      <c r="C496" s="1017" t="s">
        <v>4551</v>
      </c>
      <c r="D496" s="1016">
        <v>0.46</v>
      </c>
      <c r="E496" s="1015">
        <v>86.3</v>
      </c>
      <c r="F496" s="1014">
        <v>8.3000000000000007</v>
      </c>
      <c r="G496" s="1013">
        <v>11.2</v>
      </c>
      <c r="H496" s="1012">
        <v>97</v>
      </c>
    </row>
    <row r="497" spans="1:8" ht="12.65" customHeight="1">
      <c r="A497" s="1017" t="s">
        <v>4547</v>
      </c>
      <c r="B497" s="1017" t="s">
        <v>4506</v>
      </c>
      <c r="C497" s="1017" t="s">
        <v>4548</v>
      </c>
      <c r="D497" s="1016">
        <v>0.35</v>
      </c>
      <c r="E497" s="1015">
        <v>94.1</v>
      </c>
      <c r="F497" s="1014">
        <v>10.9</v>
      </c>
      <c r="G497" s="1013" t="s">
        <v>6080</v>
      </c>
      <c r="H497" s="1012">
        <v>96.4</v>
      </c>
    </row>
    <row r="498" spans="1:8" ht="12.65" customHeight="1">
      <c r="A498" s="1017" t="s">
        <v>4544</v>
      </c>
      <c r="B498" s="1017" t="s">
        <v>4506</v>
      </c>
      <c r="C498" s="1017" t="s">
        <v>4545</v>
      </c>
      <c r="D498" s="1016">
        <v>0.51</v>
      </c>
      <c r="E498" s="1015">
        <v>82.2</v>
      </c>
      <c r="F498" s="1014">
        <v>10.7</v>
      </c>
      <c r="G498" s="1013" t="s">
        <v>6080</v>
      </c>
      <c r="H498" s="1012">
        <v>98.3</v>
      </c>
    </row>
    <row r="499" spans="1:8" ht="12.65" customHeight="1">
      <c r="A499" s="1017" t="s">
        <v>4541</v>
      </c>
      <c r="B499" s="1017" t="s">
        <v>4506</v>
      </c>
      <c r="C499" s="1017" t="s">
        <v>4542</v>
      </c>
      <c r="D499" s="1016">
        <v>0.42</v>
      </c>
      <c r="E499" s="1015">
        <v>90</v>
      </c>
      <c r="F499" s="1014">
        <v>10.7</v>
      </c>
      <c r="G499" s="1013" t="s">
        <v>6080</v>
      </c>
      <c r="H499" s="1012">
        <v>94.8</v>
      </c>
    </row>
    <row r="500" spans="1:8" ht="12.65" customHeight="1">
      <c r="A500" s="1017" t="s">
        <v>4538</v>
      </c>
      <c r="B500" s="1017" t="s">
        <v>4506</v>
      </c>
      <c r="C500" s="1017" t="s">
        <v>4539</v>
      </c>
      <c r="D500" s="1016">
        <v>0.59</v>
      </c>
      <c r="E500" s="1015">
        <v>93.5</v>
      </c>
      <c r="F500" s="1014">
        <v>4.0999999999999996</v>
      </c>
      <c r="G500" s="1013" t="s">
        <v>6080</v>
      </c>
      <c r="H500" s="1012">
        <v>92.2</v>
      </c>
    </row>
    <row r="501" spans="1:8" ht="12.65" customHeight="1">
      <c r="A501" s="1017" t="s">
        <v>4536</v>
      </c>
      <c r="B501" s="1017" t="s">
        <v>4506</v>
      </c>
      <c r="C501" s="1017" t="s">
        <v>3305</v>
      </c>
      <c r="D501" s="1016">
        <v>0.28999999999999998</v>
      </c>
      <c r="E501" s="1015">
        <v>87.2</v>
      </c>
      <c r="F501" s="1014">
        <v>7.8</v>
      </c>
      <c r="G501" s="1013" t="s">
        <v>6080</v>
      </c>
      <c r="H501" s="1012">
        <v>96.2</v>
      </c>
    </row>
    <row r="502" spans="1:8" ht="12.65" customHeight="1">
      <c r="A502" s="1017" t="s">
        <v>4534</v>
      </c>
      <c r="B502" s="1017" t="s">
        <v>4506</v>
      </c>
      <c r="C502" s="1017" t="s">
        <v>4535</v>
      </c>
      <c r="D502" s="1016">
        <v>0.38</v>
      </c>
      <c r="E502" s="1015">
        <v>96.2</v>
      </c>
      <c r="F502" s="1014">
        <v>11.7</v>
      </c>
      <c r="G502" s="1013">
        <v>13.7</v>
      </c>
      <c r="H502" s="1012">
        <v>98.1</v>
      </c>
    </row>
    <row r="503" spans="1:8" ht="12.65" customHeight="1">
      <c r="A503" s="1017" t="s">
        <v>4531</v>
      </c>
      <c r="B503" s="1017" t="s">
        <v>4506</v>
      </c>
      <c r="C503" s="1017" t="s">
        <v>4532</v>
      </c>
      <c r="D503" s="1016">
        <v>0.24</v>
      </c>
      <c r="E503" s="1015">
        <v>81.7</v>
      </c>
      <c r="F503" s="1014">
        <v>5.7</v>
      </c>
      <c r="G503" s="1013" t="s">
        <v>6080</v>
      </c>
      <c r="H503" s="1012">
        <v>94.7</v>
      </c>
    </row>
    <row r="504" spans="1:8" ht="12.65" customHeight="1">
      <c r="A504" s="1017" t="s">
        <v>4528</v>
      </c>
      <c r="B504" s="1017" t="s">
        <v>4506</v>
      </c>
      <c r="C504" s="1017" t="s">
        <v>4529</v>
      </c>
      <c r="D504" s="1016">
        <v>0.24</v>
      </c>
      <c r="E504" s="1015">
        <v>87.6</v>
      </c>
      <c r="F504" s="1014">
        <v>13</v>
      </c>
      <c r="G504" s="1013">
        <v>143.69999999999999</v>
      </c>
      <c r="H504" s="1012">
        <v>95.7</v>
      </c>
    </row>
    <row r="505" spans="1:8" ht="12.65" customHeight="1">
      <c r="A505" s="1017" t="s">
        <v>4525</v>
      </c>
      <c r="B505" s="1017" t="s">
        <v>4506</v>
      </c>
      <c r="C505" s="1017" t="s">
        <v>4526</v>
      </c>
      <c r="D505" s="1016">
        <v>0.43</v>
      </c>
      <c r="E505" s="1015">
        <v>85.4</v>
      </c>
      <c r="F505" s="1014">
        <v>4.8</v>
      </c>
      <c r="G505" s="1013" t="s">
        <v>6080</v>
      </c>
      <c r="H505" s="1012">
        <v>96.9</v>
      </c>
    </row>
    <row r="506" spans="1:8" ht="12.65" customHeight="1">
      <c r="A506" s="1017" t="s">
        <v>4522</v>
      </c>
      <c r="B506" s="1017" t="s">
        <v>4506</v>
      </c>
      <c r="C506" s="1017" t="s">
        <v>4523</v>
      </c>
      <c r="D506" s="1016">
        <v>0.39</v>
      </c>
      <c r="E506" s="1015">
        <v>90.1</v>
      </c>
      <c r="F506" s="1014">
        <v>8.6</v>
      </c>
      <c r="G506" s="1013" t="s">
        <v>6080</v>
      </c>
      <c r="H506" s="1012">
        <v>97.1</v>
      </c>
    </row>
    <row r="507" spans="1:8" ht="12.65" customHeight="1">
      <c r="A507" s="1017" t="s">
        <v>4519</v>
      </c>
      <c r="B507" s="1017" t="s">
        <v>4506</v>
      </c>
      <c r="C507" s="1017" t="s">
        <v>4520</v>
      </c>
      <c r="D507" s="1016">
        <v>0.75</v>
      </c>
      <c r="E507" s="1015">
        <v>97.4</v>
      </c>
      <c r="F507" s="1014">
        <v>3.1</v>
      </c>
      <c r="G507" s="1013" t="s">
        <v>6080</v>
      </c>
      <c r="H507" s="1012">
        <v>97.2</v>
      </c>
    </row>
    <row r="508" spans="1:8" ht="12.65" customHeight="1">
      <c r="A508" s="1017" t="s">
        <v>4516</v>
      </c>
      <c r="B508" s="1017" t="s">
        <v>4506</v>
      </c>
      <c r="C508" s="1017" t="s">
        <v>4517</v>
      </c>
      <c r="D508" s="1016">
        <v>0.6</v>
      </c>
      <c r="E508" s="1015">
        <v>91.6</v>
      </c>
      <c r="F508" s="1014">
        <v>6.3</v>
      </c>
      <c r="G508" s="1013" t="s">
        <v>6080</v>
      </c>
      <c r="H508" s="1012">
        <v>95.1</v>
      </c>
    </row>
    <row r="509" spans="1:8" ht="12.65" customHeight="1">
      <c r="A509" s="1017" t="s">
        <v>4514</v>
      </c>
      <c r="B509" s="1017" t="s">
        <v>4506</v>
      </c>
      <c r="C509" s="1017" t="s">
        <v>2813</v>
      </c>
      <c r="D509" s="1016">
        <v>0.84</v>
      </c>
      <c r="E509" s="1015">
        <v>88.2</v>
      </c>
      <c r="F509" s="1014">
        <v>8.8000000000000007</v>
      </c>
      <c r="G509" s="1013">
        <v>43.3</v>
      </c>
      <c r="H509" s="1012">
        <v>97.6</v>
      </c>
    </row>
    <row r="510" spans="1:8" ht="12.65" customHeight="1">
      <c r="A510" s="1017" t="s">
        <v>4511</v>
      </c>
      <c r="B510" s="1017" t="s">
        <v>4506</v>
      </c>
      <c r="C510" s="1017" t="s">
        <v>4512</v>
      </c>
      <c r="D510" s="1016">
        <v>0.7</v>
      </c>
      <c r="E510" s="1015">
        <v>93.6</v>
      </c>
      <c r="F510" s="1014">
        <v>5.9</v>
      </c>
      <c r="G510" s="1013" t="s">
        <v>6080</v>
      </c>
      <c r="H510" s="1012">
        <v>95.9</v>
      </c>
    </row>
    <row r="511" spans="1:8" ht="12.65" customHeight="1">
      <c r="A511" s="1017" t="s">
        <v>4508</v>
      </c>
      <c r="B511" s="1017" t="s">
        <v>4506</v>
      </c>
      <c r="C511" s="1017" t="s">
        <v>4509</v>
      </c>
      <c r="D511" s="1016">
        <v>0.93</v>
      </c>
      <c r="E511" s="1015">
        <v>95</v>
      </c>
      <c r="F511" s="1014">
        <v>4.4000000000000004</v>
      </c>
      <c r="G511" s="1013" t="s">
        <v>6080</v>
      </c>
      <c r="H511" s="1012">
        <v>96.6</v>
      </c>
    </row>
    <row r="512" spans="1:8" ht="12.65" customHeight="1">
      <c r="A512" s="1017" t="s">
        <v>4504</v>
      </c>
      <c r="B512" s="1017" t="s">
        <v>4506</v>
      </c>
      <c r="C512" s="1017" t="s">
        <v>4505</v>
      </c>
      <c r="D512" s="1016">
        <v>0.73</v>
      </c>
      <c r="E512" s="1015">
        <v>89.3</v>
      </c>
      <c r="F512" s="1014">
        <v>6.8</v>
      </c>
      <c r="G512" s="1013" t="s">
        <v>6080</v>
      </c>
      <c r="H512" s="1012">
        <v>98.6</v>
      </c>
    </row>
    <row r="513" spans="1:8" ht="12.65" customHeight="1">
      <c r="A513" s="1017" t="s">
        <v>4499</v>
      </c>
      <c r="B513" s="1017" t="s">
        <v>4314</v>
      </c>
      <c r="C513" s="1017" t="s">
        <v>4500</v>
      </c>
      <c r="D513" s="1016">
        <v>0.95</v>
      </c>
      <c r="E513" s="1015">
        <v>95.6</v>
      </c>
      <c r="F513" s="1014">
        <v>6.3</v>
      </c>
      <c r="G513" s="1013">
        <v>20.100000000000001</v>
      </c>
      <c r="H513" s="1012">
        <v>101.3</v>
      </c>
    </row>
    <row r="514" spans="1:8" ht="12.65" customHeight="1">
      <c r="A514" s="1017" t="s">
        <v>4496</v>
      </c>
      <c r="B514" s="1017" t="s">
        <v>4314</v>
      </c>
      <c r="C514" s="1017" t="s">
        <v>4497</v>
      </c>
      <c r="D514" s="1016">
        <v>0.94</v>
      </c>
      <c r="E514" s="1015">
        <v>99.8</v>
      </c>
      <c r="F514" s="1014">
        <v>6.5</v>
      </c>
      <c r="G514" s="1013">
        <v>53.4</v>
      </c>
      <c r="H514" s="1012">
        <v>101.4</v>
      </c>
    </row>
    <row r="515" spans="1:8" ht="12.65" customHeight="1">
      <c r="A515" s="1017" t="s">
        <v>4493</v>
      </c>
      <c r="B515" s="1017" t="s">
        <v>4314</v>
      </c>
      <c r="C515" s="1017" t="s">
        <v>4494</v>
      </c>
      <c r="D515" s="1016">
        <v>0.82</v>
      </c>
      <c r="E515" s="1015">
        <v>87.6</v>
      </c>
      <c r="F515" s="1014">
        <v>-1.1000000000000001</v>
      </c>
      <c r="G515" s="1013" t="s">
        <v>6080</v>
      </c>
      <c r="H515" s="1012">
        <v>100.7</v>
      </c>
    </row>
    <row r="516" spans="1:8" ht="12.65" customHeight="1">
      <c r="A516" s="1017" t="s">
        <v>4490</v>
      </c>
      <c r="B516" s="1017" t="s">
        <v>4314</v>
      </c>
      <c r="C516" s="1017" t="s">
        <v>4491</v>
      </c>
      <c r="D516" s="1016">
        <v>0.93</v>
      </c>
      <c r="E516" s="1015">
        <v>98.5</v>
      </c>
      <c r="F516" s="1014">
        <v>2.6</v>
      </c>
      <c r="G516" s="1013">
        <v>9.3000000000000007</v>
      </c>
      <c r="H516" s="1012">
        <v>101.3</v>
      </c>
    </row>
    <row r="517" spans="1:8" ht="12.65" customHeight="1">
      <c r="A517" s="1017" t="s">
        <v>4487</v>
      </c>
      <c r="B517" s="1017" t="s">
        <v>4314</v>
      </c>
      <c r="C517" s="1017" t="s">
        <v>4488</v>
      </c>
      <c r="D517" s="1016">
        <v>0.66</v>
      </c>
      <c r="E517" s="1015">
        <v>91.7</v>
      </c>
      <c r="F517" s="1014">
        <v>2.5</v>
      </c>
      <c r="G517" s="1013" t="s">
        <v>6080</v>
      </c>
      <c r="H517" s="1012">
        <v>98.8</v>
      </c>
    </row>
    <row r="518" spans="1:8" ht="12.65" customHeight="1">
      <c r="A518" s="1017" t="s">
        <v>4484</v>
      </c>
      <c r="B518" s="1017" t="s">
        <v>4314</v>
      </c>
      <c r="C518" s="1017" t="s">
        <v>4485</v>
      </c>
      <c r="D518" s="1016">
        <v>0.55000000000000004</v>
      </c>
      <c r="E518" s="1015">
        <v>88.3</v>
      </c>
      <c r="F518" s="1014">
        <v>2.5</v>
      </c>
      <c r="G518" s="1013" t="s">
        <v>6080</v>
      </c>
      <c r="H518" s="1012">
        <v>99.8</v>
      </c>
    </row>
    <row r="519" spans="1:8" ht="12.65" customHeight="1">
      <c r="A519" s="1017" t="s">
        <v>4481</v>
      </c>
      <c r="B519" s="1017" t="s">
        <v>4314</v>
      </c>
      <c r="C519" s="1017" t="s">
        <v>4482</v>
      </c>
      <c r="D519" s="1016">
        <v>0.94</v>
      </c>
      <c r="E519" s="1015">
        <v>95.2</v>
      </c>
      <c r="F519" s="1014">
        <v>5.0999999999999996</v>
      </c>
      <c r="G519" s="1013">
        <v>0.8</v>
      </c>
      <c r="H519" s="1012">
        <v>101.5</v>
      </c>
    </row>
    <row r="520" spans="1:8" ht="12.65" customHeight="1">
      <c r="A520" s="1017" t="s">
        <v>4478</v>
      </c>
      <c r="B520" s="1017" t="s">
        <v>4314</v>
      </c>
      <c r="C520" s="1017" t="s">
        <v>4479</v>
      </c>
      <c r="D520" s="1016">
        <v>0.7</v>
      </c>
      <c r="E520" s="1015">
        <v>93.4</v>
      </c>
      <c r="F520" s="1014">
        <v>5</v>
      </c>
      <c r="G520" s="1013">
        <v>15.9</v>
      </c>
      <c r="H520" s="1012">
        <v>97.6</v>
      </c>
    </row>
    <row r="521" spans="1:8" ht="12.65" customHeight="1">
      <c r="A521" s="1017" t="s">
        <v>4475</v>
      </c>
      <c r="B521" s="1017" t="s">
        <v>4314</v>
      </c>
      <c r="C521" s="1017" t="s">
        <v>4476</v>
      </c>
      <c r="D521" s="1016">
        <v>0.72</v>
      </c>
      <c r="E521" s="1015">
        <v>94.6</v>
      </c>
      <c r="F521" s="1014">
        <v>5.6</v>
      </c>
      <c r="G521" s="1013" t="s">
        <v>6080</v>
      </c>
      <c r="H521" s="1012">
        <v>98.1</v>
      </c>
    </row>
    <row r="522" spans="1:8" ht="12.65" customHeight="1">
      <c r="A522" s="1017" t="s">
        <v>4472</v>
      </c>
      <c r="B522" s="1017" t="s">
        <v>4314</v>
      </c>
      <c r="C522" s="1017" t="s">
        <v>4473</v>
      </c>
      <c r="D522" s="1016">
        <v>0.72</v>
      </c>
      <c r="E522" s="1015">
        <v>94.7</v>
      </c>
      <c r="F522" s="1014">
        <v>3.7</v>
      </c>
      <c r="G522" s="1013" t="s">
        <v>6080</v>
      </c>
      <c r="H522" s="1012">
        <v>98.4</v>
      </c>
    </row>
    <row r="523" spans="1:8" ht="12.65" customHeight="1">
      <c r="A523" s="1017" t="s">
        <v>4469</v>
      </c>
      <c r="B523" s="1017" t="s">
        <v>4314</v>
      </c>
      <c r="C523" s="1017" t="s">
        <v>4470</v>
      </c>
      <c r="D523" s="1016">
        <v>0.8</v>
      </c>
      <c r="E523" s="1015">
        <v>94.8</v>
      </c>
      <c r="F523" s="1014">
        <v>4.5</v>
      </c>
      <c r="G523" s="1013">
        <v>18.7</v>
      </c>
      <c r="H523" s="1012">
        <v>98.2</v>
      </c>
    </row>
    <row r="524" spans="1:8" ht="12.65" customHeight="1">
      <c r="A524" s="1017" t="s">
        <v>4466</v>
      </c>
      <c r="B524" s="1017" t="s">
        <v>4314</v>
      </c>
      <c r="C524" s="1017" t="s">
        <v>4467</v>
      </c>
      <c r="D524" s="1016">
        <v>0.71</v>
      </c>
      <c r="E524" s="1015">
        <v>96.1</v>
      </c>
      <c r="F524" s="1014">
        <v>2.9</v>
      </c>
      <c r="G524" s="1013">
        <v>25.6</v>
      </c>
      <c r="H524" s="1012">
        <v>98.6</v>
      </c>
    </row>
    <row r="525" spans="1:8" ht="12.65" customHeight="1">
      <c r="A525" s="1017" t="s">
        <v>4463</v>
      </c>
      <c r="B525" s="1017" t="s">
        <v>4314</v>
      </c>
      <c r="C525" s="1017" t="s">
        <v>4464</v>
      </c>
      <c r="D525" s="1016">
        <v>0.85</v>
      </c>
      <c r="E525" s="1015">
        <v>93.8</v>
      </c>
      <c r="F525" s="1014">
        <v>5.6</v>
      </c>
      <c r="G525" s="1013" t="s">
        <v>6080</v>
      </c>
      <c r="H525" s="1012">
        <v>101.3</v>
      </c>
    </row>
    <row r="526" spans="1:8" ht="12.65" customHeight="1">
      <c r="A526" s="1017" t="s">
        <v>4460</v>
      </c>
      <c r="B526" s="1017" t="s">
        <v>4314</v>
      </c>
      <c r="C526" s="1017" t="s">
        <v>4461</v>
      </c>
      <c r="D526" s="1016">
        <v>0.77</v>
      </c>
      <c r="E526" s="1015">
        <v>93.2</v>
      </c>
      <c r="F526" s="1014">
        <v>10</v>
      </c>
      <c r="G526" s="1013">
        <v>46.7</v>
      </c>
      <c r="H526" s="1012">
        <v>97.8</v>
      </c>
    </row>
    <row r="527" spans="1:8" ht="12.65" customHeight="1">
      <c r="A527" s="1017" t="s">
        <v>4457</v>
      </c>
      <c r="B527" s="1017" t="s">
        <v>4314</v>
      </c>
      <c r="C527" s="1017" t="s">
        <v>4458</v>
      </c>
      <c r="D527" s="1016">
        <v>0.65</v>
      </c>
      <c r="E527" s="1015">
        <v>95.5</v>
      </c>
      <c r="F527" s="1014">
        <v>4</v>
      </c>
      <c r="G527" s="1013">
        <v>4.0999999999999996</v>
      </c>
      <c r="H527" s="1012">
        <v>100</v>
      </c>
    </row>
    <row r="528" spans="1:8" ht="12.65" customHeight="1">
      <c r="A528" s="1017" t="s">
        <v>4454</v>
      </c>
      <c r="B528" s="1017" t="s">
        <v>4314</v>
      </c>
      <c r="C528" s="1017" t="s">
        <v>4455</v>
      </c>
      <c r="D528" s="1016">
        <v>0.71</v>
      </c>
      <c r="E528" s="1015">
        <v>89.9</v>
      </c>
      <c r="F528" s="1014">
        <v>-1.9</v>
      </c>
      <c r="G528" s="1013" t="s">
        <v>6080</v>
      </c>
      <c r="H528" s="1012">
        <v>97.8</v>
      </c>
    </row>
    <row r="529" spans="1:8" ht="12.65" customHeight="1">
      <c r="A529" s="1017" t="s">
        <v>4451</v>
      </c>
      <c r="B529" s="1017" t="s">
        <v>4314</v>
      </c>
      <c r="C529" s="1017" t="s">
        <v>4452</v>
      </c>
      <c r="D529" s="1016">
        <v>0.86</v>
      </c>
      <c r="E529" s="1015">
        <v>94.8</v>
      </c>
      <c r="F529" s="1014">
        <v>4.9000000000000004</v>
      </c>
      <c r="G529" s="1013" t="s">
        <v>6080</v>
      </c>
      <c r="H529" s="1012">
        <v>101.2</v>
      </c>
    </row>
    <row r="530" spans="1:8" ht="12.65" customHeight="1">
      <c r="A530" s="1017" t="s">
        <v>4448</v>
      </c>
      <c r="B530" s="1017" t="s">
        <v>4314</v>
      </c>
      <c r="C530" s="1017" t="s">
        <v>4449</v>
      </c>
      <c r="D530" s="1016">
        <v>0.89</v>
      </c>
      <c r="E530" s="1015">
        <v>99.1</v>
      </c>
      <c r="F530" s="1014">
        <v>4.9000000000000004</v>
      </c>
      <c r="G530" s="1013">
        <v>26.5</v>
      </c>
      <c r="H530" s="1012">
        <v>100.5</v>
      </c>
    </row>
    <row r="531" spans="1:8" ht="12.65" customHeight="1">
      <c r="A531" s="1017" t="s">
        <v>4445</v>
      </c>
      <c r="B531" s="1017" t="s">
        <v>4314</v>
      </c>
      <c r="C531" s="1017" t="s">
        <v>4446</v>
      </c>
      <c r="D531" s="1016">
        <v>0.87</v>
      </c>
      <c r="E531" s="1015">
        <v>92.1</v>
      </c>
      <c r="F531" s="1014">
        <v>5.3</v>
      </c>
      <c r="G531" s="1013">
        <v>0.4</v>
      </c>
      <c r="H531" s="1012">
        <v>103.3</v>
      </c>
    </row>
    <row r="532" spans="1:8" ht="12.65" customHeight="1">
      <c r="A532" s="1017" t="s">
        <v>4442</v>
      </c>
      <c r="B532" s="1017" t="s">
        <v>4314</v>
      </c>
      <c r="C532" s="1017" t="s">
        <v>4443</v>
      </c>
      <c r="D532" s="1016">
        <v>0.82</v>
      </c>
      <c r="E532" s="1015">
        <v>90.2</v>
      </c>
      <c r="F532" s="1014">
        <v>4.9000000000000004</v>
      </c>
      <c r="G532" s="1013" t="s">
        <v>6080</v>
      </c>
      <c r="H532" s="1012">
        <v>101.1</v>
      </c>
    </row>
    <row r="533" spans="1:8" ht="12.65" customHeight="1">
      <c r="A533" s="1017" t="s">
        <v>4439</v>
      </c>
      <c r="B533" s="1017" t="s">
        <v>4314</v>
      </c>
      <c r="C533" s="1017" t="s">
        <v>4440</v>
      </c>
      <c r="D533" s="1016">
        <v>1.19</v>
      </c>
      <c r="E533" s="1015">
        <v>88.5</v>
      </c>
      <c r="F533" s="1014">
        <v>8.1999999999999993</v>
      </c>
      <c r="G533" s="1013">
        <v>18.100000000000001</v>
      </c>
      <c r="H533" s="1012">
        <v>98.8</v>
      </c>
    </row>
    <row r="534" spans="1:8" ht="12.65" customHeight="1">
      <c r="A534" s="1017" t="s">
        <v>4436</v>
      </c>
      <c r="B534" s="1017" t="s">
        <v>4314</v>
      </c>
      <c r="C534" s="1017" t="s">
        <v>4437</v>
      </c>
      <c r="D534" s="1016">
        <v>0.87</v>
      </c>
      <c r="E534" s="1015">
        <v>97.8</v>
      </c>
      <c r="F534" s="1014">
        <v>4.2</v>
      </c>
      <c r="G534" s="1013">
        <v>0.5</v>
      </c>
      <c r="H534" s="1012">
        <v>101.1</v>
      </c>
    </row>
    <row r="535" spans="1:8" ht="12.65" customHeight="1">
      <c r="A535" s="1017" t="s">
        <v>4433</v>
      </c>
      <c r="B535" s="1017" t="s">
        <v>4314</v>
      </c>
      <c r="C535" s="1017" t="s">
        <v>4434</v>
      </c>
      <c r="D535" s="1016">
        <v>0.97</v>
      </c>
      <c r="E535" s="1015">
        <v>97.5</v>
      </c>
      <c r="F535" s="1014">
        <v>5.2</v>
      </c>
      <c r="G535" s="1013">
        <v>11.3</v>
      </c>
      <c r="H535" s="1012">
        <v>101.1</v>
      </c>
    </row>
    <row r="536" spans="1:8" ht="12.65" customHeight="1">
      <c r="A536" s="1017" t="s">
        <v>4430</v>
      </c>
      <c r="B536" s="1017" t="s">
        <v>4314</v>
      </c>
      <c r="C536" s="1017" t="s">
        <v>4431</v>
      </c>
      <c r="D536" s="1016">
        <v>0.8</v>
      </c>
      <c r="E536" s="1015">
        <v>94.9</v>
      </c>
      <c r="F536" s="1014">
        <v>2.4</v>
      </c>
      <c r="G536" s="1013" t="s">
        <v>6080</v>
      </c>
      <c r="H536" s="1012">
        <v>100.8</v>
      </c>
    </row>
    <row r="537" spans="1:8" ht="12.65" customHeight="1">
      <c r="A537" s="1017" t="s">
        <v>4427</v>
      </c>
      <c r="B537" s="1017" t="s">
        <v>4314</v>
      </c>
      <c r="C537" s="1017" t="s">
        <v>4428</v>
      </c>
      <c r="D537" s="1016">
        <v>1.05</v>
      </c>
      <c r="E537" s="1015">
        <v>91.6</v>
      </c>
      <c r="F537" s="1014">
        <v>5.6</v>
      </c>
      <c r="G537" s="1013">
        <v>36.700000000000003</v>
      </c>
      <c r="H537" s="1012">
        <v>100.7</v>
      </c>
    </row>
    <row r="538" spans="1:8" ht="12.65" customHeight="1">
      <c r="A538" s="1017" t="s">
        <v>4424</v>
      </c>
      <c r="B538" s="1017" t="s">
        <v>4314</v>
      </c>
      <c r="C538" s="1017" t="s">
        <v>4425</v>
      </c>
      <c r="D538" s="1016">
        <v>0.87</v>
      </c>
      <c r="E538" s="1015">
        <v>98.5</v>
      </c>
      <c r="F538" s="1014">
        <v>5.4</v>
      </c>
      <c r="G538" s="1013">
        <v>13.6</v>
      </c>
      <c r="H538" s="1012">
        <v>99.3</v>
      </c>
    </row>
    <row r="539" spans="1:8" ht="12.65" customHeight="1">
      <c r="A539" s="1017" t="s">
        <v>4421</v>
      </c>
      <c r="B539" s="1017" t="s">
        <v>4314</v>
      </c>
      <c r="C539" s="1017" t="s">
        <v>4422</v>
      </c>
      <c r="D539" s="1016">
        <v>0.74</v>
      </c>
      <c r="E539" s="1015">
        <v>92</v>
      </c>
      <c r="F539" s="1014">
        <v>5.5</v>
      </c>
      <c r="G539" s="1013">
        <v>25.1</v>
      </c>
      <c r="H539" s="1012">
        <v>99.1</v>
      </c>
    </row>
    <row r="540" spans="1:8" ht="12.65" customHeight="1">
      <c r="A540" s="1017" t="s">
        <v>4418</v>
      </c>
      <c r="B540" s="1017" t="s">
        <v>4314</v>
      </c>
      <c r="C540" s="1017" t="s">
        <v>4419</v>
      </c>
      <c r="D540" s="1016">
        <v>0.81</v>
      </c>
      <c r="E540" s="1015">
        <v>91.4</v>
      </c>
      <c r="F540" s="1014">
        <v>4.2</v>
      </c>
      <c r="G540" s="1013" t="s">
        <v>6080</v>
      </c>
      <c r="H540" s="1012">
        <v>96.7</v>
      </c>
    </row>
    <row r="541" spans="1:8" ht="12.65" customHeight="1">
      <c r="A541" s="1017" t="s">
        <v>4415</v>
      </c>
      <c r="B541" s="1017" t="s">
        <v>4314</v>
      </c>
      <c r="C541" s="1017" t="s">
        <v>4416</v>
      </c>
      <c r="D541" s="1016">
        <v>0.73</v>
      </c>
      <c r="E541" s="1015">
        <v>92.3</v>
      </c>
      <c r="F541" s="1014">
        <v>7.9</v>
      </c>
      <c r="G541" s="1013" t="s">
        <v>6080</v>
      </c>
      <c r="H541" s="1012">
        <v>99.6</v>
      </c>
    </row>
    <row r="542" spans="1:8" ht="12.65" customHeight="1">
      <c r="A542" s="1017" t="s">
        <v>4412</v>
      </c>
      <c r="B542" s="1017" t="s">
        <v>4314</v>
      </c>
      <c r="C542" s="1017" t="s">
        <v>4413</v>
      </c>
      <c r="D542" s="1016">
        <v>1.01</v>
      </c>
      <c r="E542" s="1015">
        <v>88.2</v>
      </c>
      <c r="F542" s="1014">
        <v>7.4</v>
      </c>
      <c r="G542" s="1013">
        <v>53.5</v>
      </c>
      <c r="H542" s="1012">
        <v>100.6</v>
      </c>
    </row>
    <row r="543" spans="1:8" ht="12.65" customHeight="1">
      <c r="A543" s="1017" t="s">
        <v>4409</v>
      </c>
      <c r="B543" s="1017" t="s">
        <v>4314</v>
      </c>
      <c r="C543" s="1017" t="s">
        <v>4410</v>
      </c>
      <c r="D543" s="1016">
        <v>0.78</v>
      </c>
      <c r="E543" s="1015">
        <v>93.9</v>
      </c>
      <c r="F543" s="1014">
        <v>3</v>
      </c>
      <c r="G543" s="1013" t="s">
        <v>6080</v>
      </c>
      <c r="H543" s="1012">
        <v>98.5</v>
      </c>
    </row>
    <row r="544" spans="1:8" ht="12.65" customHeight="1">
      <c r="A544" s="1017" t="s">
        <v>4406</v>
      </c>
      <c r="B544" s="1017" t="s">
        <v>4314</v>
      </c>
      <c r="C544" s="1017" t="s">
        <v>4407</v>
      </c>
      <c r="D544" s="1016">
        <v>0.91</v>
      </c>
      <c r="E544" s="1015">
        <v>97.7</v>
      </c>
      <c r="F544" s="1014">
        <v>7.8</v>
      </c>
      <c r="G544" s="1013">
        <v>43.6</v>
      </c>
      <c r="H544" s="1012">
        <v>98.9</v>
      </c>
    </row>
    <row r="545" spans="1:8" ht="12.65" customHeight="1">
      <c r="A545" s="1017" t="s">
        <v>4403</v>
      </c>
      <c r="B545" s="1017" t="s">
        <v>4314</v>
      </c>
      <c r="C545" s="1017" t="s">
        <v>4404</v>
      </c>
      <c r="D545" s="1016">
        <v>0.71</v>
      </c>
      <c r="E545" s="1015">
        <v>92.3</v>
      </c>
      <c r="F545" s="1014">
        <v>3.4</v>
      </c>
      <c r="G545" s="1013" t="s">
        <v>6080</v>
      </c>
      <c r="H545" s="1012">
        <v>99.9</v>
      </c>
    </row>
    <row r="546" spans="1:8" ht="12.65" customHeight="1">
      <c r="A546" s="1017" t="s">
        <v>4400</v>
      </c>
      <c r="B546" s="1017" t="s">
        <v>4314</v>
      </c>
      <c r="C546" s="1017" t="s">
        <v>4401</v>
      </c>
      <c r="D546" s="1016">
        <v>0.78</v>
      </c>
      <c r="E546" s="1015">
        <v>93.8</v>
      </c>
      <c r="F546" s="1014">
        <v>8.6</v>
      </c>
      <c r="G546" s="1013" t="s">
        <v>6080</v>
      </c>
      <c r="H546" s="1012">
        <v>100.3</v>
      </c>
    </row>
    <row r="547" spans="1:8" ht="12.65" customHeight="1">
      <c r="A547" s="1017" t="s">
        <v>4397</v>
      </c>
      <c r="B547" s="1017" t="s">
        <v>4314</v>
      </c>
      <c r="C547" s="1017" t="s">
        <v>4398</v>
      </c>
      <c r="D547" s="1016">
        <v>0.68</v>
      </c>
      <c r="E547" s="1015">
        <v>93.2</v>
      </c>
      <c r="F547" s="1014">
        <v>4.3</v>
      </c>
      <c r="G547" s="1013">
        <v>17</v>
      </c>
      <c r="H547" s="1012">
        <v>98.9</v>
      </c>
    </row>
    <row r="548" spans="1:8" ht="12.65" customHeight="1">
      <c r="A548" s="1017" t="s">
        <v>4394</v>
      </c>
      <c r="B548" s="1017" t="s">
        <v>4314</v>
      </c>
      <c r="C548" s="1017" t="s">
        <v>6090</v>
      </c>
      <c r="D548" s="1016">
        <v>0.8</v>
      </c>
      <c r="E548" s="1015">
        <v>93.6</v>
      </c>
      <c r="F548" s="1014">
        <v>5.6</v>
      </c>
      <c r="G548" s="1013" t="s">
        <v>6080</v>
      </c>
      <c r="H548" s="1012">
        <v>98.2</v>
      </c>
    </row>
    <row r="549" spans="1:8" ht="12.65" customHeight="1">
      <c r="A549" s="1017" t="s">
        <v>4391</v>
      </c>
      <c r="B549" s="1017" t="s">
        <v>4314</v>
      </c>
      <c r="C549" s="1017" t="s">
        <v>4392</v>
      </c>
      <c r="D549" s="1016">
        <v>0.81</v>
      </c>
      <c r="E549" s="1015">
        <v>93.3</v>
      </c>
      <c r="F549" s="1014">
        <v>4.5</v>
      </c>
      <c r="G549" s="1013" t="s">
        <v>6080</v>
      </c>
      <c r="H549" s="1012">
        <v>99</v>
      </c>
    </row>
    <row r="550" spans="1:8" ht="12.65" customHeight="1">
      <c r="A550" s="1017" t="s">
        <v>4388</v>
      </c>
      <c r="B550" s="1017" t="s">
        <v>4314</v>
      </c>
      <c r="C550" s="1017" t="s">
        <v>4389</v>
      </c>
      <c r="D550" s="1016">
        <v>0.79</v>
      </c>
      <c r="E550" s="1015">
        <v>94.1</v>
      </c>
      <c r="F550" s="1014">
        <v>6.3</v>
      </c>
      <c r="G550" s="1013" t="s">
        <v>6080</v>
      </c>
      <c r="H550" s="1012">
        <v>98.4</v>
      </c>
    </row>
    <row r="551" spans="1:8" ht="12.65" customHeight="1">
      <c r="A551" s="1017" t="s">
        <v>4385</v>
      </c>
      <c r="B551" s="1017" t="s">
        <v>4314</v>
      </c>
      <c r="C551" s="1017" t="s">
        <v>4386</v>
      </c>
      <c r="D551" s="1016">
        <v>0.76</v>
      </c>
      <c r="E551" s="1015">
        <v>98.9</v>
      </c>
      <c r="F551" s="1014">
        <v>2.8</v>
      </c>
      <c r="G551" s="1013" t="s">
        <v>6080</v>
      </c>
      <c r="H551" s="1012">
        <v>97.7</v>
      </c>
    </row>
    <row r="552" spans="1:8" ht="12.65" customHeight="1">
      <c r="A552" s="1017" t="s">
        <v>6089</v>
      </c>
      <c r="B552" s="1017" t="s">
        <v>4314</v>
      </c>
      <c r="C552" s="1017" t="s">
        <v>6088</v>
      </c>
      <c r="D552" s="1016">
        <v>0.77</v>
      </c>
      <c r="E552" s="1015">
        <v>91.3</v>
      </c>
      <c r="F552" s="1014">
        <v>4.0999999999999996</v>
      </c>
      <c r="G552" s="1013" t="s">
        <v>6080</v>
      </c>
      <c r="H552" s="1012">
        <v>98</v>
      </c>
    </row>
    <row r="553" spans="1:8" ht="12.65" customHeight="1">
      <c r="A553" s="1017" t="s">
        <v>4377</v>
      </c>
      <c r="B553" s="1017" t="s">
        <v>4314</v>
      </c>
      <c r="C553" s="1017" t="s">
        <v>4378</v>
      </c>
      <c r="D553" s="1016">
        <v>0.81</v>
      </c>
      <c r="E553" s="1015">
        <v>96.2</v>
      </c>
      <c r="F553" s="1014">
        <v>6.6</v>
      </c>
      <c r="G553" s="1013" t="s">
        <v>6080</v>
      </c>
      <c r="H553" s="1012">
        <v>99.6</v>
      </c>
    </row>
    <row r="554" spans="1:8" ht="12.65" customHeight="1">
      <c r="A554" s="1017" t="s">
        <v>4374</v>
      </c>
      <c r="B554" s="1017" t="s">
        <v>4314</v>
      </c>
      <c r="C554" s="1017" t="s">
        <v>4375</v>
      </c>
      <c r="D554" s="1016">
        <v>1.06</v>
      </c>
      <c r="E554" s="1015">
        <v>88</v>
      </c>
      <c r="F554" s="1014">
        <v>9.6</v>
      </c>
      <c r="G554" s="1013">
        <v>43.7</v>
      </c>
      <c r="H554" s="1012">
        <v>99.1</v>
      </c>
    </row>
    <row r="555" spans="1:8" ht="12.65" customHeight="1">
      <c r="A555" s="1017" t="s">
        <v>4371</v>
      </c>
      <c r="B555" s="1017" t="s">
        <v>4314</v>
      </c>
      <c r="C555" s="1017" t="s">
        <v>4372</v>
      </c>
      <c r="D555" s="1016">
        <v>0.57999999999999996</v>
      </c>
      <c r="E555" s="1015">
        <v>92.3</v>
      </c>
      <c r="F555" s="1014">
        <v>8.1999999999999993</v>
      </c>
      <c r="G555" s="1013">
        <v>25</v>
      </c>
      <c r="H555" s="1012">
        <v>96.6</v>
      </c>
    </row>
    <row r="556" spans="1:8" ht="12.65" customHeight="1">
      <c r="A556" s="1017" t="s">
        <v>4368</v>
      </c>
      <c r="B556" s="1017" t="s">
        <v>4314</v>
      </c>
      <c r="C556" s="1017" t="s">
        <v>4369</v>
      </c>
      <c r="D556" s="1016">
        <v>0.46</v>
      </c>
      <c r="E556" s="1015">
        <v>89.9</v>
      </c>
      <c r="F556" s="1014">
        <v>5.7</v>
      </c>
      <c r="G556" s="1013" t="s">
        <v>6080</v>
      </c>
      <c r="H556" s="1012">
        <v>96.2</v>
      </c>
    </row>
    <row r="557" spans="1:8" ht="12.65" customHeight="1">
      <c r="A557" s="1017" t="s">
        <v>4365</v>
      </c>
      <c r="B557" s="1017" t="s">
        <v>4314</v>
      </c>
      <c r="C557" s="1017" t="s">
        <v>4366</v>
      </c>
      <c r="D557" s="1016">
        <v>0.81</v>
      </c>
      <c r="E557" s="1015">
        <v>89.8</v>
      </c>
      <c r="F557" s="1014">
        <v>7.5</v>
      </c>
      <c r="G557" s="1013">
        <v>5.9</v>
      </c>
      <c r="H557" s="1012">
        <v>98.1</v>
      </c>
    </row>
    <row r="558" spans="1:8" ht="12.65" customHeight="1">
      <c r="A558" s="1017" t="s">
        <v>4362</v>
      </c>
      <c r="B558" s="1017" t="s">
        <v>4314</v>
      </c>
      <c r="C558" s="1017" t="s">
        <v>4363</v>
      </c>
      <c r="D558" s="1016">
        <v>0.73</v>
      </c>
      <c r="E558" s="1015">
        <v>84.4</v>
      </c>
      <c r="F558" s="1014">
        <v>9</v>
      </c>
      <c r="G558" s="1013">
        <v>24.8</v>
      </c>
      <c r="H558" s="1012">
        <v>98.3</v>
      </c>
    </row>
    <row r="559" spans="1:8" ht="12.65" customHeight="1">
      <c r="A559" s="1017" t="s">
        <v>4359</v>
      </c>
      <c r="B559" s="1017" t="s">
        <v>4314</v>
      </c>
      <c r="C559" s="1017" t="s">
        <v>4360</v>
      </c>
      <c r="D559" s="1016">
        <v>0.59</v>
      </c>
      <c r="E559" s="1015">
        <v>87.9</v>
      </c>
      <c r="F559" s="1014">
        <v>5.2</v>
      </c>
      <c r="G559" s="1013">
        <v>15.4</v>
      </c>
      <c r="H559" s="1012">
        <v>100.5</v>
      </c>
    </row>
    <row r="560" spans="1:8" ht="12.65" customHeight="1">
      <c r="A560" s="1017" t="s">
        <v>4356</v>
      </c>
      <c r="B560" s="1017" t="s">
        <v>4314</v>
      </c>
      <c r="C560" s="1017" t="s">
        <v>4357</v>
      </c>
      <c r="D560" s="1016">
        <v>0.73</v>
      </c>
      <c r="E560" s="1015">
        <v>88.9</v>
      </c>
      <c r="F560" s="1014">
        <v>4.0999999999999996</v>
      </c>
      <c r="G560" s="1013">
        <v>1.9</v>
      </c>
      <c r="H560" s="1012">
        <v>97.7</v>
      </c>
    </row>
    <row r="561" spans="1:8" ht="12.65" customHeight="1">
      <c r="A561" s="1017" t="s">
        <v>4353</v>
      </c>
      <c r="B561" s="1017" t="s">
        <v>4314</v>
      </c>
      <c r="C561" s="1017" t="s">
        <v>4354</v>
      </c>
      <c r="D561" s="1016">
        <v>0.63</v>
      </c>
      <c r="E561" s="1015">
        <v>86.5</v>
      </c>
      <c r="F561" s="1014">
        <v>5.6</v>
      </c>
      <c r="G561" s="1013" t="s">
        <v>6080</v>
      </c>
      <c r="H561" s="1012">
        <v>97.4</v>
      </c>
    </row>
    <row r="562" spans="1:8" ht="12.65" customHeight="1">
      <c r="A562" s="1017" t="s">
        <v>4350</v>
      </c>
      <c r="B562" s="1017" t="s">
        <v>4314</v>
      </c>
      <c r="C562" s="1017" t="s">
        <v>4351</v>
      </c>
      <c r="D562" s="1016">
        <v>0.51</v>
      </c>
      <c r="E562" s="1015">
        <v>91.2</v>
      </c>
      <c r="F562" s="1014">
        <v>11.7</v>
      </c>
      <c r="G562" s="1013">
        <v>76.599999999999994</v>
      </c>
      <c r="H562" s="1012">
        <v>96</v>
      </c>
    </row>
    <row r="563" spans="1:8" ht="12.65" customHeight="1">
      <c r="A563" s="1017" t="s">
        <v>4347</v>
      </c>
      <c r="B563" s="1017" t="s">
        <v>4314</v>
      </c>
      <c r="C563" s="1017" t="s">
        <v>4348</v>
      </c>
      <c r="D563" s="1016">
        <v>0.38</v>
      </c>
      <c r="E563" s="1015">
        <v>95.4</v>
      </c>
      <c r="F563" s="1014">
        <v>5.5</v>
      </c>
      <c r="G563" s="1013" t="s">
        <v>6080</v>
      </c>
      <c r="H563" s="1012">
        <v>96</v>
      </c>
    </row>
    <row r="564" spans="1:8" ht="12.65" customHeight="1">
      <c r="A564" s="1017" t="s">
        <v>4344</v>
      </c>
      <c r="B564" s="1017" t="s">
        <v>4314</v>
      </c>
      <c r="C564" s="1017" t="s">
        <v>4345</v>
      </c>
      <c r="D564" s="1016">
        <v>0.48</v>
      </c>
      <c r="E564" s="1015">
        <v>84.8</v>
      </c>
      <c r="F564" s="1014">
        <v>7.3</v>
      </c>
      <c r="G564" s="1013">
        <v>38</v>
      </c>
      <c r="H564" s="1012">
        <v>96</v>
      </c>
    </row>
    <row r="565" spans="1:8" ht="12.65" customHeight="1">
      <c r="A565" s="1017" t="s">
        <v>4341</v>
      </c>
      <c r="B565" s="1017" t="s">
        <v>4314</v>
      </c>
      <c r="C565" s="1017" t="s">
        <v>4342</v>
      </c>
      <c r="D565" s="1016">
        <v>0.38</v>
      </c>
      <c r="E565" s="1015">
        <v>84.7</v>
      </c>
      <c r="F565" s="1014">
        <v>6.2</v>
      </c>
      <c r="G565" s="1013" t="s">
        <v>6080</v>
      </c>
      <c r="H565" s="1012">
        <v>92.6</v>
      </c>
    </row>
    <row r="566" spans="1:8" ht="12.65" customHeight="1">
      <c r="A566" s="1017" t="s">
        <v>4338</v>
      </c>
      <c r="B566" s="1017" t="s">
        <v>4314</v>
      </c>
      <c r="C566" s="1017" t="s">
        <v>4339</v>
      </c>
      <c r="D566" s="1016">
        <v>0.36</v>
      </c>
      <c r="E566" s="1015">
        <v>77.900000000000006</v>
      </c>
      <c r="F566" s="1014">
        <v>11.2</v>
      </c>
      <c r="G566" s="1013" t="s">
        <v>6080</v>
      </c>
      <c r="H566" s="1012">
        <v>94</v>
      </c>
    </row>
    <row r="567" spans="1:8" ht="12.65" customHeight="1">
      <c r="A567" s="1017" t="s">
        <v>4335</v>
      </c>
      <c r="B567" s="1017" t="s">
        <v>4314</v>
      </c>
      <c r="C567" s="1017" t="s">
        <v>4336</v>
      </c>
      <c r="D567" s="1016">
        <v>0.3</v>
      </c>
      <c r="E567" s="1015">
        <v>86.9</v>
      </c>
      <c r="F567" s="1014">
        <v>8.1999999999999993</v>
      </c>
      <c r="G567" s="1013">
        <v>15.8</v>
      </c>
      <c r="H567" s="1012">
        <v>94.7</v>
      </c>
    </row>
    <row r="568" spans="1:8" ht="12.65" customHeight="1">
      <c r="A568" s="1017" t="s">
        <v>4332</v>
      </c>
      <c r="B568" s="1017" t="s">
        <v>4314</v>
      </c>
      <c r="C568" s="1017" t="s">
        <v>4333</v>
      </c>
      <c r="D568" s="1016">
        <v>0.18</v>
      </c>
      <c r="E568" s="1015">
        <v>92</v>
      </c>
      <c r="F568" s="1014">
        <v>2.9</v>
      </c>
      <c r="G568" s="1013" t="s">
        <v>6080</v>
      </c>
      <c r="H568" s="1012">
        <v>96.4</v>
      </c>
    </row>
    <row r="569" spans="1:8" ht="12.65" customHeight="1">
      <c r="A569" s="1017" t="s">
        <v>4330</v>
      </c>
      <c r="B569" s="1017" t="s">
        <v>4314</v>
      </c>
      <c r="C569" s="1017" t="s">
        <v>1159</v>
      </c>
      <c r="D569" s="1016">
        <v>0.62</v>
      </c>
      <c r="E569" s="1015">
        <v>80.5</v>
      </c>
      <c r="F569" s="1014">
        <v>7.5</v>
      </c>
      <c r="G569" s="1013" t="s">
        <v>6080</v>
      </c>
      <c r="H569" s="1012">
        <v>97.2</v>
      </c>
    </row>
    <row r="570" spans="1:8" ht="12.65" customHeight="1">
      <c r="A570" s="1017" t="s">
        <v>4328</v>
      </c>
      <c r="B570" s="1017" t="s">
        <v>4314</v>
      </c>
      <c r="C570" s="1017" t="s">
        <v>4329</v>
      </c>
      <c r="D570" s="1016">
        <v>0.48</v>
      </c>
      <c r="E570" s="1015">
        <v>83.7</v>
      </c>
      <c r="F570" s="1014">
        <v>7.5</v>
      </c>
      <c r="G570" s="1013" t="s">
        <v>6080</v>
      </c>
      <c r="H570" s="1012">
        <v>99.1</v>
      </c>
    </row>
    <row r="571" spans="1:8" ht="12.65" customHeight="1">
      <c r="A571" s="1017" t="s">
        <v>4325</v>
      </c>
      <c r="B571" s="1017" t="s">
        <v>4314</v>
      </c>
      <c r="C571" s="1017" t="s">
        <v>4326</v>
      </c>
      <c r="D571" s="1016">
        <v>0.74</v>
      </c>
      <c r="E571" s="1015">
        <v>95.4</v>
      </c>
      <c r="F571" s="1014">
        <v>9.1999999999999993</v>
      </c>
      <c r="G571" s="1013" t="s">
        <v>6080</v>
      </c>
      <c r="H571" s="1012">
        <v>98</v>
      </c>
    </row>
    <row r="572" spans="1:8" ht="12.65" customHeight="1">
      <c r="A572" s="1017" t="s">
        <v>4322</v>
      </c>
      <c r="B572" s="1017" t="s">
        <v>4314</v>
      </c>
      <c r="C572" s="1017" t="s">
        <v>4323</v>
      </c>
      <c r="D572" s="1016">
        <v>0.77</v>
      </c>
      <c r="E572" s="1015">
        <v>85.2</v>
      </c>
      <c r="F572" s="1014">
        <v>3.1</v>
      </c>
      <c r="G572" s="1013">
        <v>10</v>
      </c>
      <c r="H572" s="1012">
        <v>97.1</v>
      </c>
    </row>
    <row r="573" spans="1:8" ht="12.65" customHeight="1">
      <c r="A573" s="1017" t="s">
        <v>4319</v>
      </c>
      <c r="B573" s="1017" t="s">
        <v>4314</v>
      </c>
      <c r="C573" s="1017" t="s">
        <v>4320</v>
      </c>
      <c r="D573" s="1016">
        <v>0.57999999999999996</v>
      </c>
      <c r="E573" s="1015">
        <v>93</v>
      </c>
      <c r="F573" s="1014">
        <v>5.8</v>
      </c>
      <c r="G573" s="1013" t="s">
        <v>6080</v>
      </c>
      <c r="H573" s="1012">
        <v>94.8</v>
      </c>
    </row>
    <row r="574" spans="1:8" ht="12.65" customHeight="1">
      <c r="A574" s="1017" t="s">
        <v>4316</v>
      </c>
      <c r="B574" s="1017" t="s">
        <v>4314</v>
      </c>
      <c r="C574" s="1017" t="s">
        <v>4317</v>
      </c>
      <c r="D574" s="1016">
        <v>0.72</v>
      </c>
      <c r="E574" s="1015">
        <v>91.1</v>
      </c>
      <c r="F574" s="1014">
        <v>6.6</v>
      </c>
      <c r="G574" s="1013" t="s">
        <v>6080</v>
      </c>
      <c r="H574" s="1012">
        <v>95.4</v>
      </c>
    </row>
    <row r="575" spans="1:8" ht="12.65" customHeight="1">
      <c r="A575" s="1017" t="s">
        <v>4312</v>
      </c>
      <c r="B575" s="1017" t="s">
        <v>4314</v>
      </c>
      <c r="C575" s="1017" t="s">
        <v>4313</v>
      </c>
      <c r="D575" s="1016">
        <v>0.61</v>
      </c>
      <c r="E575" s="1015">
        <v>86</v>
      </c>
      <c r="F575" s="1014">
        <v>6.2</v>
      </c>
      <c r="G575" s="1013">
        <v>8</v>
      </c>
      <c r="H575" s="1012">
        <v>98.2</v>
      </c>
    </row>
    <row r="576" spans="1:8" ht="12.65" customHeight="1">
      <c r="A576" s="1017" t="s">
        <v>4305</v>
      </c>
      <c r="B576" s="1017" t="s">
        <v>4147</v>
      </c>
      <c r="C576" s="1017" t="s">
        <v>4306</v>
      </c>
      <c r="D576" s="1016">
        <v>0.89</v>
      </c>
      <c r="E576" s="1015">
        <v>98.4</v>
      </c>
      <c r="F576" s="1014">
        <v>10.7</v>
      </c>
      <c r="G576" s="1013">
        <v>122.4</v>
      </c>
      <c r="H576" s="1012">
        <v>100.6</v>
      </c>
    </row>
    <row r="577" spans="1:8" ht="12.65" customHeight="1">
      <c r="A577" s="1017" t="s">
        <v>4302</v>
      </c>
      <c r="B577" s="1017" t="s">
        <v>4147</v>
      </c>
      <c r="C577" s="1017" t="s">
        <v>4303</v>
      </c>
      <c r="D577" s="1016">
        <v>0.57999999999999996</v>
      </c>
      <c r="E577" s="1015">
        <v>92.1</v>
      </c>
      <c r="F577" s="1014">
        <v>13.4</v>
      </c>
      <c r="G577" s="1013">
        <v>65.099999999999994</v>
      </c>
      <c r="H577" s="1012">
        <v>98.6</v>
      </c>
    </row>
    <row r="578" spans="1:8" ht="12.65" customHeight="1">
      <c r="A578" s="1017" t="s">
        <v>4299</v>
      </c>
      <c r="B578" s="1017" t="s">
        <v>4147</v>
      </c>
      <c r="C578" s="1017" t="s">
        <v>4300</v>
      </c>
      <c r="D578" s="1016">
        <v>1.07</v>
      </c>
      <c r="E578" s="1015">
        <v>92.5</v>
      </c>
      <c r="F578" s="1014">
        <v>2.1</v>
      </c>
      <c r="G578" s="1013" t="s">
        <v>6080</v>
      </c>
      <c r="H578" s="1012">
        <v>101</v>
      </c>
    </row>
    <row r="579" spans="1:8" ht="12.65" customHeight="1">
      <c r="A579" s="1017" t="s">
        <v>4296</v>
      </c>
      <c r="B579" s="1017" t="s">
        <v>4147</v>
      </c>
      <c r="C579" s="1017" t="s">
        <v>4297</v>
      </c>
      <c r="D579" s="1016">
        <v>0.92</v>
      </c>
      <c r="E579" s="1015">
        <v>94.8</v>
      </c>
      <c r="F579" s="1014">
        <v>3.7</v>
      </c>
      <c r="G579" s="1013" t="s">
        <v>6080</v>
      </c>
      <c r="H579" s="1012">
        <v>99.6</v>
      </c>
    </row>
    <row r="580" spans="1:8" ht="12.65" customHeight="1">
      <c r="A580" s="1017" t="s">
        <v>4293</v>
      </c>
      <c r="B580" s="1017" t="s">
        <v>4147</v>
      </c>
      <c r="C580" s="1017" t="s">
        <v>4294</v>
      </c>
      <c r="D580" s="1016">
        <v>0.55000000000000004</v>
      </c>
      <c r="E580" s="1015">
        <v>94.7</v>
      </c>
      <c r="F580" s="1014">
        <v>6.8</v>
      </c>
      <c r="G580" s="1013">
        <v>51.1</v>
      </c>
      <c r="H580" s="1012">
        <v>99.9</v>
      </c>
    </row>
    <row r="581" spans="1:8" ht="12.65" customHeight="1">
      <c r="A581" s="1017" t="s">
        <v>4290</v>
      </c>
      <c r="B581" s="1017" t="s">
        <v>4147</v>
      </c>
      <c r="C581" s="1017" t="s">
        <v>4291</v>
      </c>
      <c r="D581" s="1016">
        <v>0.84</v>
      </c>
      <c r="E581" s="1015">
        <v>92.8</v>
      </c>
      <c r="F581" s="1014">
        <v>4.4000000000000004</v>
      </c>
      <c r="G581" s="1013" t="s">
        <v>6080</v>
      </c>
      <c r="H581" s="1012">
        <v>100.9</v>
      </c>
    </row>
    <row r="582" spans="1:8" ht="12.65" customHeight="1">
      <c r="A582" s="1017" t="s">
        <v>4287</v>
      </c>
      <c r="B582" s="1017" t="s">
        <v>4147</v>
      </c>
      <c r="C582" s="1017" t="s">
        <v>4288</v>
      </c>
      <c r="D582" s="1016">
        <v>0.84</v>
      </c>
      <c r="E582" s="1015">
        <v>93.6</v>
      </c>
      <c r="F582" s="1014">
        <v>2</v>
      </c>
      <c r="G582" s="1013">
        <v>13.2</v>
      </c>
      <c r="H582" s="1012">
        <v>100.9</v>
      </c>
    </row>
    <row r="583" spans="1:8" ht="12.65" customHeight="1">
      <c r="A583" s="1017" t="s">
        <v>4284</v>
      </c>
      <c r="B583" s="1017" t="s">
        <v>4147</v>
      </c>
      <c r="C583" s="1017" t="s">
        <v>4285</v>
      </c>
      <c r="D583" s="1016">
        <v>0.8</v>
      </c>
      <c r="E583" s="1015">
        <v>93.5</v>
      </c>
      <c r="F583" s="1014">
        <v>4.3</v>
      </c>
      <c r="G583" s="1013" t="s">
        <v>6080</v>
      </c>
      <c r="H583" s="1012">
        <v>99.2</v>
      </c>
    </row>
    <row r="584" spans="1:8" ht="12.65" customHeight="1">
      <c r="A584" s="1017" t="s">
        <v>4281</v>
      </c>
      <c r="B584" s="1017" t="s">
        <v>4147</v>
      </c>
      <c r="C584" s="1017" t="s">
        <v>4282</v>
      </c>
      <c r="D584" s="1016">
        <v>0.75</v>
      </c>
      <c r="E584" s="1015">
        <v>97.3</v>
      </c>
      <c r="F584" s="1014">
        <v>11.4</v>
      </c>
      <c r="G584" s="1013">
        <v>74.599999999999994</v>
      </c>
      <c r="H584" s="1012">
        <v>100.4</v>
      </c>
    </row>
    <row r="585" spans="1:8" ht="12.65" customHeight="1">
      <c r="A585" s="1017" t="s">
        <v>4278</v>
      </c>
      <c r="B585" s="1017" t="s">
        <v>4147</v>
      </c>
      <c r="C585" s="1017" t="s">
        <v>4279</v>
      </c>
      <c r="D585" s="1016">
        <v>1.27</v>
      </c>
      <c r="E585" s="1015">
        <v>90.2</v>
      </c>
      <c r="F585" s="1014">
        <v>9.9</v>
      </c>
      <c r="G585" s="1013">
        <v>92.2</v>
      </c>
      <c r="H585" s="1012">
        <v>100.9</v>
      </c>
    </row>
    <row r="586" spans="1:8" ht="12.65" customHeight="1">
      <c r="A586" s="1017" t="s">
        <v>4275</v>
      </c>
      <c r="B586" s="1017" t="s">
        <v>4147</v>
      </c>
      <c r="C586" s="1017" t="s">
        <v>4276</v>
      </c>
      <c r="D586" s="1016">
        <v>0.86</v>
      </c>
      <c r="E586" s="1015">
        <v>93.7</v>
      </c>
      <c r="F586" s="1014">
        <v>1.7</v>
      </c>
      <c r="G586" s="1013" t="s">
        <v>6080</v>
      </c>
      <c r="H586" s="1012">
        <v>98.8</v>
      </c>
    </row>
    <row r="587" spans="1:8" ht="12.65" customHeight="1">
      <c r="A587" s="1017" t="s">
        <v>4272</v>
      </c>
      <c r="B587" s="1017" t="s">
        <v>4147</v>
      </c>
      <c r="C587" s="1017" t="s">
        <v>4273</v>
      </c>
      <c r="D587" s="1016">
        <v>0.65</v>
      </c>
      <c r="E587" s="1015">
        <v>88.9</v>
      </c>
      <c r="F587" s="1014">
        <v>3.1</v>
      </c>
      <c r="G587" s="1013">
        <v>23.6</v>
      </c>
      <c r="H587" s="1012">
        <v>100.7</v>
      </c>
    </row>
    <row r="588" spans="1:8" ht="12.65" customHeight="1">
      <c r="A588" s="1017" t="s">
        <v>4269</v>
      </c>
      <c r="B588" s="1017" t="s">
        <v>4147</v>
      </c>
      <c r="C588" s="1017" t="s">
        <v>4270</v>
      </c>
      <c r="D588" s="1016">
        <v>0.49</v>
      </c>
      <c r="E588" s="1015">
        <v>94.5</v>
      </c>
      <c r="F588" s="1014">
        <v>9.9</v>
      </c>
      <c r="G588" s="1013" t="s">
        <v>6080</v>
      </c>
      <c r="H588" s="1012">
        <v>98.7</v>
      </c>
    </row>
    <row r="589" spans="1:8" ht="12.65" customHeight="1">
      <c r="A589" s="1017" t="s">
        <v>4266</v>
      </c>
      <c r="B589" s="1017" t="s">
        <v>4147</v>
      </c>
      <c r="C589" s="1017" t="s">
        <v>4267</v>
      </c>
      <c r="D589" s="1016">
        <v>0.89</v>
      </c>
      <c r="E589" s="1015">
        <v>96.9</v>
      </c>
      <c r="F589" s="1014">
        <v>7.6</v>
      </c>
      <c r="G589" s="1013">
        <v>30.5</v>
      </c>
      <c r="H589" s="1012">
        <v>100.9</v>
      </c>
    </row>
    <row r="590" spans="1:8" ht="12.65" customHeight="1">
      <c r="A590" s="1017" t="s">
        <v>4263</v>
      </c>
      <c r="B590" s="1017" t="s">
        <v>4147</v>
      </c>
      <c r="C590" s="1017" t="s">
        <v>4264</v>
      </c>
      <c r="D590" s="1016">
        <v>0.91</v>
      </c>
      <c r="E590" s="1015">
        <v>90.6</v>
      </c>
      <c r="F590" s="1014">
        <v>1.1000000000000001</v>
      </c>
      <c r="G590" s="1013" t="s">
        <v>6080</v>
      </c>
      <c r="H590" s="1012">
        <v>102</v>
      </c>
    </row>
    <row r="591" spans="1:8" ht="12.65" customHeight="1">
      <c r="A591" s="1017" t="s">
        <v>4260</v>
      </c>
      <c r="B591" s="1017" t="s">
        <v>4147</v>
      </c>
      <c r="C591" s="1017" t="s">
        <v>4261</v>
      </c>
      <c r="D591" s="1016">
        <v>0.47</v>
      </c>
      <c r="E591" s="1015">
        <v>99.8</v>
      </c>
      <c r="F591" s="1014">
        <v>7.1</v>
      </c>
      <c r="G591" s="1013" t="s">
        <v>6080</v>
      </c>
      <c r="H591" s="1012">
        <v>100.2</v>
      </c>
    </row>
    <row r="592" spans="1:8" ht="12.65" customHeight="1">
      <c r="A592" s="1017" t="s">
        <v>4257</v>
      </c>
      <c r="B592" s="1017" t="s">
        <v>4147</v>
      </c>
      <c r="C592" s="1017" t="s">
        <v>4258</v>
      </c>
      <c r="D592" s="1016">
        <v>1.06</v>
      </c>
      <c r="E592" s="1015">
        <v>89.7</v>
      </c>
      <c r="F592" s="1014">
        <v>5.5</v>
      </c>
      <c r="G592" s="1013">
        <v>2.4</v>
      </c>
      <c r="H592" s="1012">
        <v>100</v>
      </c>
    </row>
    <row r="593" spans="1:8" ht="12.65" customHeight="1">
      <c r="A593" s="1017" t="s">
        <v>4254</v>
      </c>
      <c r="B593" s="1017" t="s">
        <v>4147</v>
      </c>
      <c r="C593" s="1017" t="s">
        <v>4255</v>
      </c>
      <c r="D593" s="1016">
        <v>0.92</v>
      </c>
      <c r="E593" s="1015">
        <v>89.8</v>
      </c>
      <c r="F593" s="1014">
        <v>2.2000000000000002</v>
      </c>
      <c r="G593" s="1013">
        <v>49.2</v>
      </c>
      <c r="H593" s="1012">
        <v>102.6</v>
      </c>
    </row>
    <row r="594" spans="1:8" ht="12.65" customHeight="1">
      <c r="A594" s="1017" t="s">
        <v>4251</v>
      </c>
      <c r="B594" s="1017" t="s">
        <v>4147</v>
      </c>
      <c r="C594" s="1017" t="s">
        <v>4252</v>
      </c>
      <c r="D594" s="1016">
        <v>0.91</v>
      </c>
      <c r="E594" s="1015">
        <v>96.6</v>
      </c>
      <c r="F594" s="1014">
        <v>6.6</v>
      </c>
      <c r="G594" s="1013">
        <v>2.8</v>
      </c>
      <c r="H594" s="1012">
        <v>103.2</v>
      </c>
    </row>
    <row r="595" spans="1:8" ht="12.65" customHeight="1">
      <c r="A595" s="1017" t="s">
        <v>4248</v>
      </c>
      <c r="B595" s="1017" t="s">
        <v>4147</v>
      </c>
      <c r="C595" s="1017" t="s">
        <v>4249</v>
      </c>
      <c r="D595" s="1016">
        <v>0.74</v>
      </c>
      <c r="E595" s="1015">
        <v>95.3</v>
      </c>
      <c r="F595" s="1014">
        <v>2</v>
      </c>
      <c r="G595" s="1013" t="s">
        <v>6080</v>
      </c>
      <c r="H595" s="1012">
        <v>99.8</v>
      </c>
    </row>
    <row r="596" spans="1:8" ht="12.65" customHeight="1">
      <c r="A596" s="1017" t="s">
        <v>4245</v>
      </c>
      <c r="B596" s="1017" t="s">
        <v>4147</v>
      </c>
      <c r="C596" s="1017" t="s">
        <v>4246</v>
      </c>
      <c r="D596" s="1016">
        <v>0.5</v>
      </c>
      <c r="E596" s="1015">
        <v>102.2</v>
      </c>
      <c r="F596" s="1014">
        <v>9.9</v>
      </c>
      <c r="G596" s="1013">
        <v>80.099999999999994</v>
      </c>
      <c r="H596" s="1012">
        <v>99.4</v>
      </c>
    </row>
    <row r="597" spans="1:8" ht="12.65" customHeight="1">
      <c r="A597" s="1017" t="s">
        <v>4242</v>
      </c>
      <c r="B597" s="1017" t="s">
        <v>4147</v>
      </c>
      <c r="C597" s="1017" t="s">
        <v>4243</v>
      </c>
      <c r="D597" s="1016">
        <v>0.72</v>
      </c>
      <c r="E597" s="1015">
        <v>98.4</v>
      </c>
      <c r="F597" s="1014">
        <v>5.6</v>
      </c>
      <c r="G597" s="1013">
        <v>38</v>
      </c>
      <c r="H597" s="1012">
        <v>100.8</v>
      </c>
    </row>
    <row r="598" spans="1:8" ht="12.65" customHeight="1">
      <c r="A598" s="1017" t="s">
        <v>4239</v>
      </c>
      <c r="B598" s="1017" t="s">
        <v>4147</v>
      </c>
      <c r="C598" s="1017" t="s">
        <v>4240</v>
      </c>
      <c r="D598" s="1016">
        <v>1</v>
      </c>
      <c r="E598" s="1015">
        <v>94.1</v>
      </c>
      <c r="F598" s="1014">
        <v>4.2</v>
      </c>
      <c r="G598" s="1013">
        <v>30.9</v>
      </c>
      <c r="H598" s="1012">
        <v>99.7</v>
      </c>
    </row>
    <row r="599" spans="1:8" ht="12.65" customHeight="1">
      <c r="A599" s="1017" t="s">
        <v>4236</v>
      </c>
      <c r="B599" s="1017" t="s">
        <v>4147</v>
      </c>
      <c r="C599" s="1017" t="s">
        <v>4237</v>
      </c>
      <c r="D599" s="1016">
        <v>0.86</v>
      </c>
      <c r="E599" s="1015">
        <v>93.6</v>
      </c>
      <c r="F599" s="1014">
        <v>7.7</v>
      </c>
      <c r="G599" s="1013">
        <v>45</v>
      </c>
      <c r="H599" s="1012">
        <v>102.6</v>
      </c>
    </row>
    <row r="600" spans="1:8" ht="12.65" customHeight="1">
      <c r="A600" s="1017" t="s">
        <v>4233</v>
      </c>
      <c r="B600" s="1017" t="s">
        <v>4147</v>
      </c>
      <c r="C600" s="1017" t="s">
        <v>4234</v>
      </c>
      <c r="D600" s="1016">
        <v>1.42</v>
      </c>
      <c r="E600" s="1015">
        <v>86.7</v>
      </c>
      <c r="F600" s="1014">
        <v>7.4</v>
      </c>
      <c r="G600" s="1013">
        <v>28.5</v>
      </c>
      <c r="H600" s="1012">
        <v>101.2</v>
      </c>
    </row>
    <row r="601" spans="1:8" ht="12.65" customHeight="1">
      <c r="A601" s="1017" t="s">
        <v>4230</v>
      </c>
      <c r="B601" s="1017" t="s">
        <v>4147</v>
      </c>
      <c r="C601" s="1017" t="s">
        <v>4231</v>
      </c>
      <c r="D601" s="1016">
        <v>0.74</v>
      </c>
      <c r="E601" s="1015">
        <v>90.5</v>
      </c>
      <c r="F601" s="1014">
        <v>2</v>
      </c>
      <c r="G601" s="1013" t="s">
        <v>6080</v>
      </c>
      <c r="H601" s="1012">
        <v>99.6</v>
      </c>
    </row>
    <row r="602" spans="1:8" ht="12.65" customHeight="1">
      <c r="A602" s="1017" t="s">
        <v>4227</v>
      </c>
      <c r="B602" s="1017" t="s">
        <v>4147</v>
      </c>
      <c r="C602" s="1017" t="s">
        <v>4228</v>
      </c>
      <c r="D602" s="1016">
        <v>1.0900000000000001</v>
      </c>
      <c r="E602" s="1015">
        <v>90.1</v>
      </c>
      <c r="F602" s="1014">
        <v>4.0999999999999996</v>
      </c>
      <c r="G602" s="1013">
        <v>5.9</v>
      </c>
      <c r="H602" s="1012">
        <v>99.2</v>
      </c>
    </row>
    <row r="603" spans="1:8" ht="12.65" customHeight="1">
      <c r="A603" s="1017" t="s">
        <v>4224</v>
      </c>
      <c r="B603" s="1017" t="s">
        <v>4147</v>
      </c>
      <c r="C603" s="1017" t="s">
        <v>4225</v>
      </c>
      <c r="D603" s="1016">
        <v>0.62</v>
      </c>
      <c r="E603" s="1015">
        <v>97.5</v>
      </c>
      <c r="F603" s="1014">
        <v>6.7</v>
      </c>
      <c r="G603" s="1013">
        <v>45.2</v>
      </c>
      <c r="H603" s="1012">
        <v>99.2</v>
      </c>
    </row>
    <row r="604" spans="1:8" ht="12.65" customHeight="1">
      <c r="A604" s="1017" t="s">
        <v>4221</v>
      </c>
      <c r="B604" s="1017" t="s">
        <v>4147</v>
      </c>
      <c r="C604" s="1017" t="s">
        <v>4222</v>
      </c>
      <c r="D604" s="1016">
        <v>1.06</v>
      </c>
      <c r="E604" s="1015">
        <v>79.5</v>
      </c>
      <c r="F604" s="1014">
        <v>0.5</v>
      </c>
      <c r="G604" s="1013" t="s">
        <v>6080</v>
      </c>
      <c r="H604" s="1012">
        <v>99</v>
      </c>
    </row>
    <row r="605" spans="1:8" ht="12.65" customHeight="1">
      <c r="A605" s="1017" t="s">
        <v>4218</v>
      </c>
      <c r="B605" s="1017" t="s">
        <v>4147</v>
      </c>
      <c r="C605" s="1017" t="s">
        <v>4219</v>
      </c>
      <c r="D605" s="1016">
        <v>0.84</v>
      </c>
      <c r="E605" s="1015">
        <v>89.5</v>
      </c>
      <c r="F605" s="1014">
        <v>4.8</v>
      </c>
      <c r="G605" s="1013">
        <v>44.2</v>
      </c>
      <c r="H605" s="1012">
        <v>102.1</v>
      </c>
    </row>
    <row r="606" spans="1:8" ht="12.65" customHeight="1">
      <c r="A606" s="1017" t="s">
        <v>4215</v>
      </c>
      <c r="B606" s="1017" t="s">
        <v>4147</v>
      </c>
      <c r="C606" s="1017" t="s">
        <v>4216</v>
      </c>
      <c r="D606" s="1016">
        <v>0.74</v>
      </c>
      <c r="E606" s="1015">
        <v>94.5</v>
      </c>
      <c r="F606" s="1014">
        <v>6.8</v>
      </c>
      <c r="G606" s="1013" t="s">
        <v>6080</v>
      </c>
      <c r="H606" s="1012">
        <v>98.9</v>
      </c>
    </row>
    <row r="607" spans="1:8" ht="12.65" customHeight="1">
      <c r="A607" s="1017" t="s">
        <v>4212</v>
      </c>
      <c r="B607" s="1017" t="s">
        <v>4147</v>
      </c>
      <c r="C607" s="1017" t="s">
        <v>4213</v>
      </c>
      <c r="D607" s="1016">
        <v>0.31</v>
      </c>
      <c r="E607" s="1015">
        <v>93.4</v>
      </c>
      <c r="F607" s="1014">
        <v>8.9</v>
      </c>
      <c r="G607" s="1013" t="s">
        <v>6080</v>
      </c>
      <c r="H607" s="1012">
        <v>99</v>
      </c>
    </row>
    <row r="608" spans="1:8" ht="12.65" customHeight="1">
      <c r="A608" s="1017" t="s">
        <v>4209</v>
      </c>
      <c r="B608" s="1017" t="s">
        <v>4147</v>
      </c>
      <c r="C608" s="1017" t="s">
        <v>4210</v>
      </c>
      <c r="D608" s="1016">
        <v>0.46</v>
      </c>
      <c r="E608" s="1015">
        <v>97.1</v>
      </c>
      <c r="F608" s="1014">
        <v>7.3</v>
      </c>
      <c r="G608" s="1013">
        <v>5.7</v>
      </c>
      <c r="H608" s="1012">
        <v>102.1</v>
      </c>
    </row>
    <row r="609" spans="1:8" ht="12.65" customHeight="1">
      <c r="A609" s="1017" t="s">
        <v>4206</v>
      </c>
      <c r="B609" s="1017" t="s">
        <v>4147</v>
      </c>
      <c r="C609" s="1017" t="s">
        <v>4207</v>
      </c>
      <c r="D609" s="1016">
        <v>0.5</v>
      </c>
      <c r="E609" s="1015">
        <v>90.8</v>
      </c>
      <c r="F609" s="1014">
        <v>9.3000000000000007</v>
      </c>
      <c r="G609" s="1013">
        <v>5.2</v>
      </c>
      <c r="H609" s="1012">
        <v>99.9</v>
      </c>
    </row>
    <row r="610" spans="1:8" ht="12.65" customHeight="1">
      <c r="A610" s="1017" t="s">
        <v>4203</v>
      </c>
      <c r="B610" s="1017" t="s">
        <v>4147</v>
      </c>
      <c r="C610" s="1017" t="s">
        <v>4204</v>
      </c>
      <c r="D610" s="1016">
        <v>0.47</v>
      </c>
      <c r="E610" s="1015">
        <v>94.8</v>
      </c>
      <c r="F610" s="1014">
        <v>6.1</v>
      </c>
      <c r="G610" s="1013" t="s">
        <v>6080</v>
      </c>
      <c r="H610" s="1012">
        <v>101.1</v>
      </c>
    </row>
    <row r="611" spans="1:8" ht="12.65" customHeight="1">
      <c r="A611" s="1017" t="s">
        <v>4200</v>
      </c>
      <c r="B611" s="1017" t="s">
        <v>4147</v>
      </c>
      <c r="C611" s="1017" t="s">
        <v>4201</v>
      </c>
      <c r="D611" s="1016">
        <v>0.41</v>
      </c>
      <c r="E611" s="1015">
        <v>90.5</v>
      </c>
      <c r="F611" s="1014">
        <v>6.4</v>
      </c>
      <c r="G611" s="1013">
        <v>8.1</v>
      </c>
      <c r="H611" s="1012">
        <v>99.4</v>
      </c>
    </row>
    <row r="612" spans="1:8" ht="12.65" customHeight="1">
      <c r="A612" s="1017" t="s">
        <v>6087</v>
      </c>
      <c r="B612" s="1017" t="s">
        <v>4147</v>
      </c>
      <c r="C612" s="1017" t="s">
        <v>6086</v>
      </c>
      <c r="D612" s="1016">
        <v>0.57999999999999996</v>
      </c>
      <c r="E612" s="1015">
        <v>99.8</v>
      </c>
      <c r="F612" s="1014">
        <v>9.3000000000000007</v>
      </c>
      <c r="G612" s="1013">
        <v>32.700000000000003</v>
      </c>
      <c r="H612" s="1012">
        <v>98.8</v>
      </c>
    </row>
    <row r="613" spans="1:8" ht="12.65" customHeight="1">
      <c r="A613" s="1017" t="s">
        <v>4194</v>
      </c>
      <c r="B613" s="1017" t="s">
        <v>4147</v>
      </c>
      <c r="C613" s="1017" t="s">
        <v>4195</v>
      </c>
      <c r="D613" s="1016">
        <v>0.71</v>
      </c>
      <c r="E613" s="1015">
        <v>94.7</v>
      </c>
      <c r="F613" s="1014">
        <v>5.7</v>
      </c>
      <c r="G613" s="1013">
        <v>4</v>
      </c>
      <c r="H613" s="1012">
        <v>98.3</v>
      </c>
    </row>
    <row r="614" spans="1:8" ht="12.65" customHeight="1">
      <c r="A614" s="1017" t="s">
        <v>4191</v>
      </c>
      <c r="B614" s="1017" t="s">
        <v>4147</v>
      </c>
      <c r="C614" s="1017" t="s">
        <v>4192</v>
      </c>
      <c r="D614" s="1016">
        <v>0.51</v>
      </c>
      <c r="E614" s="1015">
        <v>96.3</v>
      </c>
      <c r="F614" s="1014">
        <v>5.4</v>
      </c>
      <c r="G614" s="1013" t="s">
        <v>6080</v>
      </c>
      <c r="H614" s="1012">
        <v>98.5</v>
      </c>
    </row>
    <row r="615" spans="1:8" ht="12.65" customHeight="1">
      <c r="A615" s="1017" t="s">
        <v>4188</v>
      </c>
      <c r="B615" s="1017" t="s">
        <v>4147</v>
      </c>
      <c r="C615" s="1017" t="s">
        <v>4189</v>
      </c>
      <c r="D615" s="1016">
        <v>0.38</v>
      </c>
      <c r="E615" s="1015">
        <v>87</v>
      </c>
      <c r="F615" s="1014">
        <v>3.3</v>
      </c>
      <c r="G615" s="1013" t="s">
        <v>6080</v>
      </c>
      <c r="H615" s="1012">
        <v>100.5</v>
      </c>
    </row>
    <row r="616" spans="1:8" ht="12.65" customHeight="1">
      <c r="A616" s="1017" t="s">
        <v>4185</v>
      </c>
      <c r="B616" s="1017" t="s">
        <v>4147</v>
      </c>
      <c r="C616" s="1017" t="s">
        <v>4186</v>
      </c>
      <c r="D616" s="1016">
        <v>0.53</v>
      </c>
      <c r="E616" s="1015">
        <v>91.5</v>
      </c>
      <c r="F616" s="1014">
        <v>5.9</v>
      </c>
      <c r="G616" s="1013" t="s">
        <v>6080</v>
      </c>
      <c r="H616" s="1012">
        <v>100</v>
      </c>
    </row>
    <row r="617" spans="1:8" ht="12.65" customHeight="1">
      <c r="A617" s="1017" t="s">
        <v>4182</v>
      </c>
      <c r="B617" s="1017" t="s">
        <v>4147</v>
      </c>
      <c r="C617" s="1017" t="s">
        <v>4183</v>
      </c>
      <c r="D617" s="1016">
        <v>0.41</v>
      </c>
      <c r="E617" s="1015">
        <v>86.9</v>
      </c>
      <c r="F617" s="1014">
        <v>4.9000000000000004</v>
      </c>
      <c r="G617" s="1013" t="s">
        <v>6080</v>
      </c>
      <c r="H617" s="1012">
        <v>100.5</v>
      </c>
    </row>
    <row r="618" spans="1:8" ht="12.65" customHeight="1">
      <c r="A618" s="1017" t="s">
        <v>4179</v>
      </c>
      <c r="B618" s="1017" t="s">
        <v>4147</v>
      </c>
      <c r="C618" s="1017" t="s">
        <v>4180</v>
      </c>
      <c r="D618" s="1016">
        <v>0.42</v>
      </c>
      <c r="E618" s="1015">
        <v>87.5</v>
      </c>
      <c r="F618" s="1014">
        <v>7.6</v>
      </c>
      <c r="G618" s="1013" t="s">
        <v>6080</v>
      </c>
      <c r="H618" s="1012">
        <v>100.8</v>
      </c>
    </row>
    <row r="619" spans="1:8" ht="12.65" customHeight="1">
      <c r="A619" s="1017" t="s">
        <v>4176</v>
      </c>
      <c r="B619" s="1017" t="s">
        <v>4147</v>
      </c>
      <c r="C619" s="1017" t="s">
        <v>4177</v>
      </c>
      <c r="D619" s="1016">
        <v>1.03</v>
      </c>
      <c r="E619" s="1015">
        <v>82.5</v>
      </c>
      <c r="F619" s="1014">
        <v>6.1</v>
      </c>
      <c r="G619" s="1013" t="s">
        <v>6080</v>
      </c>
      <c r="H619" s="1012">
        <v>101.7</v>
      </c>
    </row>
    <row r="620" spans="1:8" ht="12.65" customHeight="1">
      <c r="A620" s="1017" t="s">
        <v>4173</v>
      </c>
      <c r="B620" s="1017" t="s">
        <v>4147</v>
      </c>
      <c r="C620" s="1017" t="s">
        <v>4174</v>
      </c>
      <c r="D620" s="1016">
        <v>0.45</v>
      </c>
      <c r="E620" s="1015">
        <v>89.6</v>
      </c>
      <c r="F620" s="1014">
        <v>5.0999999999999996</v>
      </c>
      <c r="G620" s="1013" t="s">
        <v>6080</v>
      </c>
      <c r="H620" s="1012">
        <v>98.8</v>
      </c>
    </row>
    <row r="621" spans="1:8" ht="12.65" customHeight="1">
      <c r="A621" s="1017" t="s">
        <v>4170</v>
      </c>
      <c r="B621" s="1017" t="s">
        <v>4147</v>
      </c>
      <c r="C621" s="1017" t="s">
        <v>4171</v>
      </c>
      <c r="D621" s="1016">
        <v>0.53</v>
      </c>
      <c r="E621" s="1015">
        <v>88</v>
      </c>
      <c r="F621" s="1014">
        <v>4.4000000000000004</v>
      </c>
      <c r="G621" s="1013" t="s">
        <v>6080</v>
      </c>
      <c r="H621" s="1012">
        <v>100.9</v>
      </c>
    </row>
    <row r="622" spans="1:8" ht="12.65" customHeight="1">
      <c r="A622" s="1017" t="s">
        <v>4167</v>
      </c>
      <c r="B622" s="1017" t="s">
        <v>4147</v>
      </c>
      <c r="C622" s="1017" t="s">
        <v>4168</v>
      </c>
      <c r="D622" s="1016">
        <v>0.36</v>
      </c>
      <c r="E622" s="1015">
        <v>84.5</v>
      </c>
      <c r="F622" s="1014">
        <v>6.4</v>
      </c>
      <c r="G622" s="1013" t="s">
        <v>6080</v>
      </c>
      <c r="H622" s="1012">
        <v>99.9</v>
      </c>
    </row>
    <row r="623" spans="1:8" ht="12.65" customHeight="1">
      <c r="A623" s="1017" t="s">
        <v>4164</v>
      </c>
      <c r="B623" s="1017" t="s">
        <v>4147</v>
      </c>
      <c r="C623" s="1017" t="s">
        <v>4165</v>
      </c>
      <c r="D623" s="1016">
        <v>0.49</v>
      </c>
      <c r="E623" s="1015">
        <v>87.5</v>
      </c>
      <c r="F623" s="1014">
        <v>9.6999999999999993</v>
      </c>
      <c r="G623" s="1013">
        <v>34</v>
      </c>
      <c r="H623" s="1012">
        <v>101.8</v>
      </c>
    </row>
    <row r="624" spans="1:8" ht="12.65" customHeight="1">
      <c r="A624" s="1017" t="s">
        <v>4161</v>
      </c>
      <c r="B624" s="1017" t="s">
        <v>4147</v>
      </c>
      <c r="C624" s="1017" t="s">
        <v>4162</v>
      </c>
      <c r="D624" s="1016">
        <v>0.44</v>
      </c>
      <c r="E624" s="1015">
        <v>80.400000000000006</v>
      </c>
      <c r="F624" s="1014">
        <v>5.2</v>
      </c>
      <c r="G624" s="1013" t="s">
        <v>6080</v>
      </c>
      <c r="H624" s="1012">
        <v>100.5</v>
      </c>
    </row>
    <row r="625" spans="1:8" ht="12.65" customHeight="1">
      <c r="A625" s="1017" t="s">
        <v>4158</v>
      </c>
      <c r="B625" s="1017" t="s">
        <v>4147</v>
      </c>
      <c r="C625" s="1017" t="s">
        <v>4159</v>
      </c>
      <c r="D625" s="1016">
        <v>0.51</v>
      </c>
      <c r="E625" s="1015">
        <v>90.8</v>
      </c>
      <c r="F625" s="1014">
        <v>6.6</v>
      </c>
      <c r="G625" s="1013" t="s">
        <v>6080</v>
      </c>
      <c r="H625" s="1012">
        <v>100.5</v>
      </c>
    </row>
    <row r="626" spans="1:8" ht="12.65" customHeight="1">
      <c r="A626" s="1017" t="s">
        <v>4155</v>
      </c>
      <c r="B626" s="1017" t="s">
        <v>4147</v>
      </c>
      <c r="C626" s="1017" t="s">
        <v>4156</v>
      </c>
      <c r="D626" s="1016">
        <v>0.41</v>
      </c>
      <c r="E626" s="1015">
        <v>84.5</v>
      </c>
      <c r="F626" s="1014">
        <v>6.7</v>
      </c>
      <c r="G626" s="1013">
        <v>23.4</v>
      </c>
      <c r="H626" s="1012">
        <v>99.6</v>
      </c>
    </row>
    <row r="627" spans="1:8" ht="12.65" customHeight="1">
      <c r="A627" s="1017" t="s">
        <v>4152</v>
      </c>
      <c r="B627" s="1017" t="s">
        <v>4147</v>
      </c>
      <c r="C627" s="1017" t="s">
        <v>4153</v>
      </c>
      <c r="D627" s="1016">
        <v>0.4</v>
      </c>
      <c r="E627" s="1015">
        <v>91.7</v>
      </c>
      <c r="F627" s="1014">
        <v>3.7</v>
      </c>
      <c r="G627" s="1013" t="s">
        <v>6080</v>
      </c>
      <c r="H627" s="1012">
        <v>96.4</v>
      </c>
    </row>
    <row r="628" spans="1:8" ht="12.65" customHeight="1">
      <c r="A628" s="1017" t="s">
        <v>4149</v>
      </c>
      <c r="B628" s="1017" t="s">
        <v>4147</v>
      </c>
      <c r="C628" s="1017" t="s">
        <v>4150</v>
      </c>
      <c r="D628" s="1016">
        <v>0.39</v>
      </c>
      <c r="E628" s="1015">
        <v>90.4</v>
      </c>
      <c r="F628" s="1014">
        <v>4.9000000000000004</v>
      </c>
      <c r="G628" s="1013" t="s">
        <v>6080</v>
      </c>
      <c r="H628" s="1012">
        <v>98</v>
      </c>
    </row>
    <row r="629" spans="1:8" ht="12.65" customHeight="1">
      <c r="A629" s="1017" t="s">
        <v>4145</v>
      </c>
      <c r="B629" s="1017" t="s">
        <v>4147</v>
      </c>
      <c r="C629" s="1017" t="s">
        <v>4146</v>
      </c>
      <c r="D629" s="1016">
        <v>0.27</v>
      </c>
      <c r="E629" s="1015">
        <v>90.2</v>
      </c>
      <c r="F629" s="1014">
        <v>8.9</v>
      </c>
      <c r="G629" s="1013">
        <v>11.6</v>
      </c>
      <c r="H629" s="1012">
        <v>98.7</v>
      </c>
    </row>
    <row r="630" spans="1:8" ht="12.65" customHeight="1">
      <c r="A630" s="1017" t="s">
        <v>4138</v>
      </c>
      <c r="B630" s="1017" t="s">
        <v>3959</v>
      </c>
      <c r="C630" s="1017" t="s">
        <v>4139</v>
      </c>
      <c r="D630" s="1016">
        <v>0.84</v>
      </c>
      <c r="E630" s="1015">
        <v>72.3</v>
      </c>
      <c r="F630" s="1014">
        <v>-1.1000000000000001</v>
      </c>
      <c r="G630" s="1013" t="s">
        <v>6080</v>
      </c>
      <c r="H630" s="1012">
        <v>99</v>
      </c>
    </row>
    <row r="631" spans="1:8" ht="12.65" customHeight="1">
      <c r="A631" s="1017" t="s">
        <v>4135</v>
      </c>
      <c r="B631" s="1017" t="s">
        <v>3959</v>
      </c>
      <c r="C631" s="1017" t="s">
        <v>4136</v>
      </c>
      <c r="D631" s="1016">
        <v>0.61</v>
      </c>
      <c r="E631" s="1015">
        <v>60.4</v>
      </c>
      <c r="F631" s="1014">
        <v>1.1000000000000001</v>
      </c>
      <c r="G631" s="1013" t="s">
        <v>6080</v>
      </c>
      <c r="H631" s="1012">
        <v>100.9</v>
      </c>
    </row>
    <row r="632" spans="1:8" ht="12.65" customHeight="1">
      <c r="A632" s="1017" t="s">
        <v>4132</v>
      </c>
      <c r="B632" s="1017" t="s">
        <v>3959</v>
      </c>
      <c r="C632" s="1017" t="s">
        <v>4133</v>
      </c>
      <c r="D632" s="1016">
        <v>1.1499999999999999</v>
      </c>
      <c r="E632" s="1015">
        <v>70.7</v>
      </c>
      <c r="F632" s="1014">
        <v>-1.8</v>
      </c>
      <c r="G632" s="1013" t="s">
        <v>6080</v>
      </c>
      <c r="H632" s="1012">
        <v>98.3</v>
      </c>
    </row>
    <row r="633" spans="1:8" ht="12.65" customHeight="1">
      <c r="A633" s="1017" t="s">
        <v>4129</v>
      </c>
      <c r="B633" s="1017" t="s">
        <v>3959</v>
      </c>
      <c r="C633" s="1017" t="s">
        <v>4130</v>
      </c>
      <c r="D633" s="1016">
        <v>0.66</v>
      </c>
      <c r="E633" s="1015">
        <v>80</v>
      </c>
      <c r="F633" s="1014">
        <v>-2.4</v>
      </c>
      <c r="G633" s="1013" t="s">
        <v>6080</v>
      </c>
      <c r="H633" s="1012">
        <v>98.3</v>
      </c>
    </row>
    <row r="634" spans="1:8" ht="12.65" customHeight="1">
      <c r="A634" s="1017" t="s">
        <v>4126</v>
      </c>
      <c r="B634" s="1017" t="s">
        <v>3959</v>
      </c>
      <c r="C634" s="1017" t="s">
        <v>4127</v>
      </c>
      <c r="D634" s="1016">
        <v>0.62</v>
      </c>
      <c r="E634" s="1015">
        <v>82.7</v>
      </c>
      <c r="F634" s="1014">
        <v>-3.6</v>
      </c>
      <c r="G634" s="1013" t="s">
        <v>6080</v>
      </c>
      <c r="H634" s="1012">
        <v>99.6</v>
      </c>
    </row>
    <row r="635" spans="1:8" ht="12.65" customHeight="1">
      <c r="A635" s="1017" t="s">
        <v>4123</v>
      </c>
      <c r="B635" s="1017" t="s">
        <v>3959</v>
      </c>
      <c r="C635" s="1017" t="s">
        <v>4124</v>
      </c>
      <c r="D635" s="1016">
        <v>0.49</v>
      </c>
      <c r="E635" s="1015">
        <v>82.7</v>
      </c>
      <c r="F635" s="1014">
        <v>-2.1</v>
      </c>
      <c r="G635" s="1013" t="s">
        <v>6080</v>
      </c>
      <c r="H635" s="1012">
        <v>97.5</v>
      </c>
    </row>
    <row r="636" spans="1:8" ht="12.65" customHeight="1">
      <c r="A636" s="1017" t="s">
        <v>4120</v>
      </c>
      <c r="B636" s="1017" t="s">
        <v>3959</v>
      </c>
      <c r="C636" s="1017" t="s">
        <v>4121</v>
      </c>
      <c r="D636" s="1016">
        <v>0.42</v>
      </c>
      <c r="E636" s="1015">
        <v>78.900000000000006</v>
      </c>
      <c r="F636" s="1014">
        <v>-0.6</v>
      </c>
      <c r="G636" s="1013" t="s">
        <v>6080</v>
      </c>
      <c r="H636" s="1012">
        <v>98.3</v>
      </c>
    </row>
    <row r="637" spans="1:8" ht="12.65" customHeight="1">
      <c r="A637" s="1017" t="s">
        <v>4117</v>
      </c>
      <c r="B637" s="1017" t="s">
        <v>3959</v>
      </c>
      <c r="C637" s="1017" t="s">
        <v>4118</v>
      </c>
      <c r="D637" s="1016">
        <v>0.5</v>
      </c>
      <c r="E637" s="1015">
        <v>73.099999999999994</v>
      </c>
      <c r="F637" s="1014">
        <v>-2.8</v>
      </c>
      <c r="G637" s="1013" t="s">
        <v>6080</v>
      </c>
      <c r="H637" s="1012">
        <v>98.5</v>
      </c>
    </row>
    <row r="638" spans="1:8" ht="12.65" customHeight="1">
      <c r="A638" s="1017" t="s">
        <v>4114</v>
      </c>
      <c r="B638" s="1017" t="s">
        <v>3959</v>
      </c>
      <c r="C638" s="1017" t="s">
        <v>4115</v>
      </c>
      <c r="D638" s="1016">
        <v>0.56999999999999995</v>
      </c>
      <c r="E638" s="1015">
        <v>76.8</v>
      </c>
      <c r="F638" s="1014">
        <v>-3.7</v>
      </c>
      <c r="G638" s="1013" t="s">
        <v>6080</v>
      </c>
      <c r="H638" s="1012">
        <v>99.1</v>
      </c>
    </row>
    <row r="639" spans="1:8" ht="12.65" customHeight="1">
      <c r="A639" s="1017" t="s">
        <v>4111</v>
      </c>
      <c r="B639" s="1017" t="s">
        <v>3959</v>
      </c>
      <c r="C639" s="1017" t="s">
        <v>4112</v>
      </c>
      <c r="D639" s="1016">
        <v>0.73</v>
      </c>
      <c r="E639" s="1015">
        <v>76.099999999999994</v>
      </c>
      <c r="F639" s="1014">
        <v>-3.8</v>
      </c>
      <c r="G639" s="1013" t="s">
        <v>6080</v>
      </c>
      <c r="H639" s="1012">
        <v>99.6</v>
      </c>
    </row>
    <row r="640" spans="1:8" ht="12.65" customHeight="1">
      <c r="A640" s="1017" t="s">
        <v>4108</v>
      </c>
      <c r="B640" s="1017" t="s">
        <v>3959</v>
      </c>
      <c r="C640" s="1017" t="s">
        <v>4109</v>
      </c>
      <c r="D640" s="1016">
        <v>0.54</v>
      </c>
      <c r="E640" s="1015">
        <v>78.599999999999994</v>
      </c>
      <c r="F640" s="1014">
        <v>-2.1</v>
      </c>
      <c r="G640" s="1013" t="s">
        <v>6080</v>
      </c>
      <c r="H640" s="1012">
        <v>100.5</v>
      </c>
    </row>
    <row r="641" spans="1:8" ht="12.65" customHeight="1">
      <c r="A641" s="1017" t="s">
        <v>4105</v>
      </c>
      <c r="B641" s="1017" t="s">
        <v>3959</v>
      </c>
      <c r="C641" s="1017" t="s">
        <v>4106</v>
      </c>
      <c r="D641" s="1016">
        <v>0.68</v>
      </c>
      <c r="E641" s="1015">
        <v>80.8</v>
      </c>
      <c r="F641" s="1014">
        <v>-2.4</v>
      </c>
      <c r="G641" s="1013" t="s">
        <v>6080</v>
      </c>
      <c r="H641" s="1012">
        <v>99.6</v>
      </c>
    </row>
    <row r="642" spans="1:8" ht="12.65" customHeight="1">
      <c r="A642" s="1017" t="s">
        <v>4102</v>
      </c>
      <c r="B642" s="1017" t="s">
        <v>3959</v>
      </c>
      <c r="C642" s="1017" t="s">
        <v>4103</v>
      </c>
      <c r="D642" s="1016">
        <v>0.96</v>
      </c>
      <c r="E642" s="1015">
        <v>65.599999999999994</v>
      </c>
      <c r="F642" s="1014">
        <v>-3.4</v>
      </c>
      <c r="G642" s="1013" t="s">
        <v>6080</v>
      </c>
      <c r="H642" s="1012">
        <v>98.5</v>
      </c>
    </row>
    <row r="643" spans="1:8" ht="12.65" customHeight="1">
      <c r="A643" s="1017" t="s">
        <v>4099</v>
      </c>
      <c r="B643" s="1017" t="s">
        <v>3959</v>
      </c>
      <c r="C643" s="1017" t="s">
        <v>4100</v>
      </c>
      <c r="D643" s="1016">
        <v>0.49</v>
      </c>
      <c r="E643" s="1015">
        <v>71.2</v>
      </c>
      <c r="F643" s="1014">
        <v>-3.5</v>
      </c>
      <c r="G643" s="1013" t="s">
        <v>6080</v>
      </c>
      <c r="H643" s="1012">
        <v>98.8</v>
      </c>
    </row>
    <row r="644" spans="1:8" ht="12.65" customHeight="1">
      <c r="A644" s="1017" t="s">
        <v>4096</v>
      </c>
      <c r="B644" s="1017" t="s">
        <v>3959</v>
      </c>
      <c r="C644" s="1017" t="s">
        <v>4097</v>
      </c>
      <c r="D644" s="1016">
        <v>0.6</v>
      </c>
      <c r="E644" s="1015">
        <v>80.7</v>
      </c>
      <c r="F644" s="1014">
        <v>-4.5999999999999996</v>
      </c>
      <c r="G644" s="1013" t="s">
        <v>6080</v>
      </c>
      <c r="H644" s="1012">
        <v>99</v>
      </c>
    </row>
    <row r="645" spans="1:8" ht="12.65" customHeight="1">
      <c r="A645" s="1017" t="s">
        <v>4093</v>
      </c>
      <c r="B645" s="1017" t="s">
        <v>3959</v>
      </c>
      <c r="C645" s="1017" t="s">
        <v>4094</v>
      </c>
      <c r="D645" s="1016">
        <v>0.53</v>
      </c>
      <c r="E645" s="1015">
        <v>79.599999999999994</v>
      </c>
      <c r="F645" s="1014">
        <v>-1.4</v>
      </c>
      <c r="G645" s="1013" t="s">
        <v>6080</v>
      </c>
      <c r="H645" s="1012">
        <v>98.2</v>
      </c>
    </row>
    <row r="646" spans="1:8" ht="12.65" customHeight="1">
      <c r="A646" s="1017" t="s">
        <v>4090</v>
      </c>
      <c r="B646" s="1017" t="s">
        <v>3959</v>
      </c>
      <c r="C646" s="1017" t="s">
        <v>4091</v>
      </c>
      <c r="D646" s="1016">
        <v>0.39</v>
      </c>
      <c r="E646" s="1015">
        <v>79.8</v>
      </c>
      <c r="F646" s="1014">
        <v>-2</v>
      </c>
      <c r="G646" s="1013" t="s">
        <v>6080</v>
      </c>
      <c r="H646" s="1012">
        <v>97.7</v>
      </c>
    </row>
    <row r="647" spans="1:8" ht="12.65" customHeight="1">
      <c r="A647" s="1017" t="s">
        <v>4087</v>
      </c>
      <c r="B647" s="1017" t="s">
        <v>3959</v>
      </c>
      <c r="C647" s="1017" t="s">
        <v>4088</v>
      </c>
      <c r="D647" s="1016">
        <v>0.34</v>
      </c>
      <c r="E647" s="1015">
        <v>79.099999999999994</v>
      </c>
      <c r="F647" s="1014">
        <v>2.2000000000000002</v>
      </c>
      <c r="G647" s="1013" t="s">
        <v>6080</v>
      </c>
      <c r="H647" s="1012">
        <v>96.6</v>
      </c>
    </row>
    <row r="648" spans="1:8" ht="12.65" customHeight="1">
      <c r="A648" s="1017" t="s">
        <v>4084</v>
      </c>
      <c r="B648" s="1017" t="s">
        <v>3959</v>
      </c>
      <c r="C648" s="1017" t="s">
        <v>4085</v>
      </c>
      <c r="D648" s="1016">
        <v>0.43</v>
      </c>
      <c r="E648" s="1015">
        <v>75.8</v>
      </c>
      <c r="F648" s="1014">
        <v>-3.4</v>
      </c>
      <c r="G648" s="1013" t="s">
        <v>6080</v>
      </c>
      <c r="H648" s="1012">
        <v>98</v>
      </c>
    </row>
    <row r="649" spans="1:8" ht="12.65" customHeight="1">
      <c r="A649" s="1017" t="s">
        <v>4081</v>
      </c>
      <c r="B649" s="1017" t="s">
        <v>3959</v>
      </c>
      <c r="C649" s="1017" t="s">
        <v>4082</v>
      </c>
      <c r="D649" s="1016">
        <v>0.46</v>
      </c>
      <c r="E649" s="1015">
        <v>80.599999999999994</v>
      </c>
      <c r="F649" s="1014">
        <v>-2.5</v>
      </c>
      <c r="G649" s="1013" t="s">
        <v>6080</v>
      </c>
      <c r="H649" s="1012">
        <v>98.3</v>
      </c>
    </row>
    <row r="650" spans="1:8" ht="12.65" customHeight="1">
      <c r="A650" s="1017" t="s">
        <v>4078</v>
      </c>
      <c r="B650" s="1017" t="s">
        <v>3959</v>
      </c>
      <c r="C650" s="1017" t="s">
        <v>4079</v>
      </c>
      <c r="D650" s="1016">
        <v>0.38</v>
      </c>
      <c r="E650" s="1015">
        <v>78.599999999999994</v>
      </c>
      <c r="F650" s="1014">
        <v>-3.4</v>
      </c>
      <c r="G650" s="1013" t="s">
        <v>6080</v>
      </c>
      <c r="H650" s="1012">
        <v>98.7</v>
      </c>
    </row>
    <row r="651" spans="1:8" ht="12.65" customHeight="1">
      <c r="A651" s="1017" t="s">
        <v>4075</v>
      </c>
      <c r="B651" s="1017" t="s">
        <v>3959</v>
      </c>
      <c r="C651" s="1017" t="s">
        <v>4076</v>
      </c>
      <c r="D651" s="1016">
        <v>0.35</v>
      </c>
      <c r="E651" s="1015">
        <v>77.5</v>
      </c>
      <c r="F651" s="1014">
        <v>-1.5</v>
      </c>
      <c r="G651" s="1013" t="s">
        <v>6080</v>
      </c>
      <c r="H651" s="1012">
        <v>98</v>
      </c>
    </row>
    <row r="652" spans="1:8" ht="12.65" customHeight="1">
      <c r="A652" s="1017" t="s">
        <v>4072</v>
      </c>
      <c r="B652" s="1017" t="s">
        <v>3959</v>
      </c>
      <c r="C652" s="1017" t="s">
        <v>4073</v>
      </c>
      <c r="D652" s="1016">
        <v>0.39</v>
      </c>
      <c r="E652" s="1015">
        <v>70.5</v>
      </c>
      <c r="F652" s="1014">
        <v>-5</v>
      </c>
      <c r="G652" s="1013" t="s">
        <v>6080</v>
      </c>
      <c r="H652" s="1012">
        <v>97.6</v>
      </c>
    </row>
    <row r="653" spans="1:8" ht="12.65" customHeight="1">
      <c r="A653" s="1017" t="s">
        <v>4069</v>
      </c>
      <c r="B653" s="1017" t="s">
        <v>3959</v>
      </c>
      <c r="C653" s="1017" t="s">
        <v>4070</v>
      </c>
      <c r="D653" s="1016">
        <v>0.9</v>
      </c>
      <c r="E653" s="1015">
        <v>87.5</v>
      </c>
      <c r="F653" s="1014">
        <v>0</v>
      </c>
      <c r="G653" s="1013" t="s">
        <v>6080</v>
      </c>
      <c r="H653" s="1012">
        <v>97.6</v>
      </c>
    </row>
    <row r="654" spans="1:8" ht="12.65" customHeight="1">
      <c r="A654" s="1017" t="s">
        <v>4066</v>
      </c>
      <c r="B654" s="1017" t="s">
        <v>3959</v>
      </c>
      <c r="C654" s="1017" t="s">
        <v>4067</v>
      </c>
      <c r="D654" s="1016">
        <v>1.1599999999999999</v>
      </c>
      <c r="E654" s="1015">
        <v>85.1</v>
      </c>
      <c r="F654" s="1014">
        <v>2.7</v>
      </c>
      <c r="G654" s="1013" t="s">
        <v>6080</v>
      </c>
      <c r="H654" s="1012">
        <v>97.8</v>
      </c>
    </row>
    <row r="655" spans="1:8" ht="12.65" customHeight="1">
      <c r="A655" s="1017" t="s">
        <v>4063</v>
      </c>
      <c r="B655" s="1017" t="s">
        <v>3959</v>
      </c>
      <c r="C655" s="1017" t="s">
        <v>4064</v>
      </c>
      <c r="D655" s="1016">
        <v>1.51</v>
      </c>
      <c r="E655" s="1015">
        <v>79.5</v>
      </c>
      <c r="F655" s="1014">
        <v>-0.8</v>
      </c>
      <c r="G655" s="1013" t="s">
        <v>6080</v>
      </c>
      <c r="H655" s="1012">
        <v>100.4</v>
      </c>
    </row>
    <row r="656" spans="1:8" ht="12.65" customHeight="1">
      <c r="A656" s="1017" t="s">
        <v>4060</v>
      </c>
      <c r="B656" s="1017" t="s">
        <v>3959</v>
      </c>
      <c r="C656" s="1017" t="s">
        <v>4061</v>
      </c>
      <c r="D656" s="1016">
        <v>1.1299999999999999</v>
      </c>
      <c r="E656" s="1015">
        <v>89.4</v>
      </c>
      <c r="F656" s="1014">
        <v>0.8</v>
      </c>
      <c r="G656" s="1013" t="s">
        <v>6080</v>
      </c>
      <c r="H656" s="1012">
        <v>99.6</v>
      </c>
    </row>
    <row r="657" spans="1:8" ht="12.65" customHeight="1">
      <c r="A657" s="1017" t="s">
        <v>4057</v>
      </c>
      <c r="B657" s="1017" t="s">
        <v>3959</v>
      </c>
      <c r="C657" s="1017" t="s">
        <v>4058</v>
      </c>
      <c r="D657" s="1016">
        <v>0.78</v>
      </c>
      <c r="E657" s="1015">
        <v>99.1</v>
      </c>
      <c r="F657" s="1014">
        <v>2.2000000000000002</v>
      </c>
      <c r="G657" s="1013" t="s">
        <v>6080</v>
      </c>
      <c r="H657" s="1012">
        <v>99.1</v>
      </c>
    </row>
    <row r="658" spans="1:8" ht="12.65" customHeight="1">
      <c r="A658" s="1017" t="s">
        <v>4055</v>
      </c>
      <c r="B658" s="1017" t="s">
        <v>3959</v>
      </c>
      <c r="C658" s="1017" t="s">
        <v>1941</v>
      </c>
      <c r="D658" s="1016">
        <v>1.21</v>
      </c>
      <c r="E658" s="1015">
        <v>86.2</v>
      </c>
      <c r="F658" s="1014">
        <v>2.7</v>
      </c>
      <c r="G658" s="1013" t="s">
        <v>6080</v>
      </c>
      <c r="H658" s="1012">
        <v>99.8</v>
      </c>
    </row>
    <row r="659" spans="1:8" ht="12.65" customHeight="1">
      <c r="A659" s="1017" t="s">
        <v>4053</v>
      </c>
      <c r="B659" s="1017" t="s">
        <v>3959</v>
      </c>
      <c r="C659" s="1017" t="s">
        <v>4054</v>
      </c>
      <c r="D659" s="1016">
        <v>0.97</v>
      </c>
      <c r="E659" s="1015">
        <v>84.6</v>
      </c>
      <c r="F659" s="1014">
        <v>0.2</v>
      </c>
      <c r="G659" s="1013" t="s">
        <v>6080</v>
      </c>
      <c r="H659" s="1012">
        <v>99.8</v>
      </c>
    </row>
    <row r="660" spans="1:8" ht="12.65" customHeight="1">
      <c r="A660" s="1017" t="s">
        <v>4050</v>
      </c>
      <c r="B660" s="1017" t="s">
        <v>3959</v>
      </c>
      <c r="C660" s="1017" t="s">
        <v>4051</v>
      </c>
      <c r="D660" s="1016">
        <v>1.18</v>
      </c>
      <c r="E660" s="1015">
        <v>89.4</v>
      </c>
      <c r="F660" s="1014">
        <v>1.5</v>
      </c>
      <c r="G660" s="1013">
        <v>1.8</v>
      </c>
      <c r="H660" s="1012">
        <v>99.9</v>
      </c>
    </row>
    <row r="661" spans="1:8" ht="12.65" customHeight="1">
      <c r="A661" s="1017" t="s">
        <v>4047</v>
      </c>
      <c r="B661" s="1017" t="s">
        <v>3959</v>
      </c>
      <c r="C661" s="1017" t="s">
        <v>4048</v>
      </c>
      <c r="D661" s="1016">
        <v>0.93</v>
      </c>
      <c r="E661" s="1015">
        <v>94.3</v>
      </c>
      <c r="F661" s="1014">
        <v>0.6</v>
      </c>
      <c r="G661" s="1013" t="s">
        <v>6080</v>
      </c>
      <c r="H661" s="1012">
        <v>99.1</v>
      </c>
    </row>
    <row r="662" spans="1:8" ht="12.65" customHeight="1">
      <c r="A662" s="1017" t="s">
        <v>4044</v>
      </c>
      <c r="B662" s="1017" t="s">
        <v>3959</v>
      </c>
      <c r="C662" s="1017" t="s">
        <v>4045</v>
      </c>
      <c r="D662" s="1016">
        <v>1.01</v>
      </c>
      <c r="E662" s="1015">
        <v>93.9</v>
      </c>
      <c r="F662" s="1014">
        <v>1.7</v>
      </c>
      <c r="G662" s="1013" t="s">
        <v>6080</v>
      </c>
      <c r="H662" s="1012">
        <v>96.8</v>
      </c>
    </row>
    <row r="663" spans="1:8" ht="12.65" customHeight="1">
      <c r="A663" s="1017" t="s">
        <v>4041</v>
      </c>
      <c r="B663" s="1017" t="s">
        <v>3959</v>
      </c>
      <c r="C663" s="1017" t="s">
        <v>4042</v>
      </c>
      <c r="D663" s="1016">
        <v>0.92</v>
      </c>
      <c r="E663" s="1015">
        <v>82.6</v>
      </c>
      <c r="F663" s="1014">
        <v>1.8</v>
      </c>
      <c r="G663" s="1013" t="s">
        <v>6080</v>
      </c>
      <c r="H663" s="1012">
        <v>100.2</v>
      </c>
    </row>
    <row r="664" spans="1:8" ht="12.65" customHeight="1">
      <c r="A664" s="1017" t="s">
        <v>4038</v>
      </c>
      <c r="B664" s="1017" t="s">
        <v>3959</v>
      </c>
      <c r="C664" s="1017" t="s">
        <v>4039</v>
      </c>
      <c r="D664" s="1016">
        <v>0.92</v>
      </c>
      <c r="E664" s="1015">
        <v>94.2</v>
      </c>
      <c r="F664" s="1014">
        <v>-1.4</v>
      </c>
      <c r="G664" s="1013">
        <v>6.4</v>
      </c>
      <c r="H664" s="1012">
        <v>98</v>
      </c>
    </row>
    <row r="665" spans="1:8" ht="12.65" customHeight="1">
      <c r="A665" s="1017" t="s">
        <v>4035</v>
      </c>
      <c r="B665" s="1017" t="s">
        <v>3959</v>
      </c>
      <c r="C665" s="1017" t="s">
        <v>4036</v>
      </c>
      <c r="D665" s="1016">
        <v>0.75</v>
      </c>
      <c r="E665" s="1015">
        <v>94.2</v>
      </c>
      <c r="F665" s="1014">
        <v>2.2000000000000002</v>
      </c>
      <c r="G665" s="1013" t="s">
        <v>6080</v>
      </c>
      <c r="H665" s="1012">
        <v>100.1</v>
      </c>
    </row>
    <row r="666" spans="1:8" ht="12.65" customHeight="1">
      <c r="A666" s="1017" t="s">
        <v>4032</v>
      </c>
      <c r="B666" s="1017" t="s">
        <v>3959</v>
      </c>
      <c r="C666" s="1017" t="s">
        <v>4033</v>
      </c>
      <c r="D666" s="1016">
        <v>1.03</v>
      </c>
      <c r="E666" s="1015">
        <v>95.7</v>
      </c>
      <c r="F666" s="1014">
        <v>1.2</v>
      </c>
      <c r="G666" s="1013">
        <v>15.3</v>
      </c>
      <c r="H666" s="1012">
        <v>99.4</v>
      </c>
    </row>
    <row r="667" spans="1:8" ht="12.65" customHeight="1">
      <c r="A667" s="1017" t="s">
        <v>4029</v>
      </c>
      <c r="B667" s="1017" t="s">
        <v>3959</v>
      </c>
      <c r="C667" s="1017" t="s">
        <v>4030</v>
      </c>
      <c r="D667" s="1016">
        <v>0.99</v>
      </c>
      <c r="E667" s="1015">
        <v>98.9</v>
      </c>
      <c r="F667" s="1014">
        <v>2.5</v>
      </c>
      <c r="G667" s="1013" t="s">
        <v>6080</v>
      </c>
      <c r="H667" s="1012">
        <v>100.9</v>
      </c>
    </row>
    <row r="668" spans="1:8" ht="12.65" customHeight="1">
      <c r="A668" s="1017" t="s">
        <v>4026</v>
      </c>
      <c r="B668" s="1017" t="s">
        <v>3959</v>
      </c>
      <c r="C668" s="1017" t="s">
        <v>4027</v>
      </c>
      <c r="D668" s="1016">
        <v>0.72</v>
      </c>
      <c r="E668" s="1015">
        <v>88.5</v>
      </c>
      <c r="F668" s="1014">
        <v>-2.8</v>
      </c>
      <c r="G668" s="1013" t="s">
        <v>6080</v>
      </c>
      <c r="H668" s="1012">
        <v>99.7</v>
      </c>
    </row>
    <row r="669" spans="1:8" ht="12.65" customHeight="1">
      <c r="A669" s="1017" t="s">
        <v>4023</v>
      </c>
      <c r="B669" s="1017" t="s">
        <v>3959</v>
      </c>
      <c r="C669" s="1017" t="s">
        <v>4024</v>
      </c>
      <c r="D669" s="1016">
        <v>0.82</v>
      </c>
      <c r="E669" s="1015">
        <v>87.3</v>
      </c>
      <c r="F669" s="1014">
        <v>0.9</v>
      </c>
      <c r="G669" s="1013" t="s">
        <v>6080</v>
      </c>
      <c r="H669" s="1012">
        <v>101.2</v>
      </c>
    </row>
    <row r="670" spans="1:8" ht="12.65" customHeight="1">
      <c r="A670" s="1017" t="s">
        <v>4020</v>
      </c>
      <c r="B670" s="1017" t="s">
        <v>3959</v>
      </c>
      <c r="C670" s="1017" t="s">
        <v>4021</v>
      </c>
      <c r="D670" s="1016">
        <v>0.78</v>
      </c>
      <c r="E670" s="1015">
        <v>96.7</v>
      </c>
      <c r="F670" s="1014">
        <v>-0.6</v>
      </c>
      <c r="G670" s="1013" t="s">
        <v>6080</v>
      </c>
      <c r="H670" s="1012">
        <v>99.9</v>
      </c>
    </row>
    <row r="671" spans="1:8" ht="12.65" customHeight="1">
      <c r="A671" s="1017" t="s">
        <v>4017</v>
      </c>
      <c r="B671" s="1017" t="s">
        <v>3959</v>
      </c>
      <c r="C671" s="1017" t="s">
        <v>4018</v>
      </c>
      <c r="D671" s="1016">
        <v>0.66</v>
      </c>
      <c r="E671" s="1015">
        <v>93.9</v>
      </c>
      <c r="F671" s="1014">
        <v>4</v>
      </c>
      <c r="G671" s="1013">
        <v>27</v>
      </c>
      <c r="H671" s="1012">
        <v>100.5</v>
      </c>
    </row>
    <row r="672" spans="1:8" ht="12.65" customHeight="1">
      <c r="A672" s="1017" t="s">
        <v>4014</v>
      </c>
      <c r="B672" s="1017" t="s">
        <v>3959</v>
      </c>
      <c r="C672" s="1017" t="s">
        <v>4015</v>
      </c>
      <c r="D672" s="1016">
        <v>0.79</v>
      </c>
      <c r="E672" s="1015">
        <v>94</v>
      </c>
      <c r="F672" s="1014">
        <v>0.1</v>
      </c>
      <c r="G672" s="1013" t="s">
        <v>6080</v>
      </c>
      <c r="H672" s="1012">
        <v>97.9</v>
      </c>
    </row>
    <row r="673" spans="1:8" ht="12.65" customHeight="1">
      <c r="A673" s="1017" t="s">
        <v>4011</v>
      </c>
      <c r="B673" s="1017" t="s">
        <v>3959</v>
      </c>
      <c r="C673" s="1017" t="s">
        <v>4012</v>
      </c>
      <c r="D673" s="1016">
        <v>0.78</v>
      </c>
      <c r="E673" s="1015">
        <v>94.6</v>
      </c>
      <c r="F673" s="1014">
        <v>1.7</v>
      </c>
      <c r="G673" s="1013" t="s">
        <v>6080</v>
      </c>
      <c r="H673" s="1012">
        <v>97.8</v>
      </c>
    </row>
    <row r="674" spans="1:8" ht="12.65" customHeight="1">
      <c r="A674" s="1017" t="s">
        <v>4008</v>
      </c>
      <c r="B674" s="1017" t="s">
        <v>3959</v>
      </c>
      <c r="C674" s="1017" t="s">
        <v>4009</v>
      </c>
      <c r="D674" s="1016">
        <v>1.1200000000000001</v>
      </c>
      <c r="E674" s="1015">
        <v>87.8</v>
      </c>
      <c r="F674" s="1014">
        <v>2.9</v>
      </c>
      <c r="G674" s="1013" t="s">
        <v>6080</v>
      </c>
      <c r="H674" s="1012">
        <v>99.7</v>
      </c>
    </row>
    <row r="675" spans="1:8" ht="12.65" customHeight="1">
      <c r="A675" s="1017" t="s">
        <v>4005</v>
      </c>
      <c r="B675" s="1017" t="s">
        <v>3959</v>
      </c>
      <c r="C675" s="1017" t="s">
        <v>4006</v>
      </c>
      <c r="D675" s="1016">
        <v>0.93</v>
      </c>
      <c r="E675" s="1015">
        <v>91.7</v>
      </c>
      <c r="F675" s="1014">
        <v>3.7</v>
      </c>
      <c r="G675" s="1013">
        <v>10.3</v>
      </c>
      <c r="H675" s="1012">
        <v>99.7</v>
      </c>
    </row>
    <row r="676" spans="1:8" ht="12.65" customHeight="1">
      <c r="A676" s="1017" t="s">
        <v>4002</v>
      </c>
      <c r="B676" s="1017" t="s">
        <v>3959</v>
      </c>
      <c r="C676" s="1017" t="s">
        <v>4003</v>
      </c>
      <c r="D676" s="1016">
        <v>0.93</v>
      </c>
      <c r="E676" s="1015">
        <v>98.5</v>
      </c>
      <c r="F676" s="1014">
        <v>0.4</v>
      </c>
      <c r="G676" s="1013" t="s">
        <v>6080</v>
      </c>
      <c r="H676" s="1012">
        <v>101.5</v>
      </c>
    </row>
    <row r="677" spans="1:8" ht="12.65" customHeight="1">
      <c r="A677" s="1017" t="s">
        <v>3999</v>
      </c>
      <c r="B677" s="1017" t="s">
        <v>3959</v>
      </c>
      <c r="C677" s="1017" t="s">
        <v>4000</v>
      </c>
      <c r="D677" s="1016">
        <v>0.69</v>
      </c>
      <c r="E677" s="1015">
        <v>98.8</v>
      </c>
      <c r="F677" s="1014">
        <v>4.4000000000000004</v>
      </c>
      <c r="G677" s="1013">
        <v>14.1</v>
      </c>
      <c r="H677" s="1012">
        <v>99.1</v>
      </c>
    </row>
    <row r="678" spans="1:8" ht="12.65" customHeight="1">
      <c r="A678" s="1017" t="s">
        <v>3996</v>
      </c>
      <c r="B678" s="1017" t="s">
        <v>3959</v>
      </c>
      <c r="C678" s="1017" t="s">
        <v>3997</v>
      </c>
      <c r="D678" s="1016">
        <v>0.88</v>
      </c>
      <c r="E678" s="1015">
        <v>93.3</v>
      </c>
      <c r="F678" s="1014">
        <v>2.6</v>
      </c>
      <c r="G678" s="1013" t="s">
        <v>6080</v>
      </c>
      <c r="H678" s="1012">
        <v>99.1</v>
      </c>
    </row>
    <row r="679" spans="1:8" ht="12.65" customHeight="1">
      <c r="A679" s="1017" t="s">
        <v>3993</v>
      </c>
      <c r="B679" s="1017" t="s">
        <v>3959</v>
      </c>
      <c r="C679" s="1017" t="s">
        <v>3994</v>
      </c>
      <c r="D679" s="1016">
        <v>0.99</v>
      </c>
      <c r="E679" s="1015">
        <v>92.2</v>
      </c>
      <c r="F679" s="1014">
        <v>0.9</v>
      </c>
      <c r="G679" s="1013" t="s">
        <v>6080</v>
      </c>
      <c r="H679" s="1012">
        <v>101.5</v>
      </c>
    </row>
    <row r="680" spans="1:8" ht="12.65" customHeight="1">
      <c r="A680" s="1017" t="s">
        <v>3990</v>
      </c>
      <c r="B680" s="1017" t="s">
        <v>3959</v>
      </c>
      <c r="C680" s="1017" t="s">
        <v>3991</v>
      </c>
      <c r="D680" s="1016">
        <v>0.63</v>
      </c>
      <c r="E680" s="1015">
        <v>100.9</v>
      </c>
      <c r="F680" s="1014">
        <v>3.5</v>
      </c>
      <c r="G680" s="1013" t="s">
        <v>6080</v>
      </c>
      <c r="H680" s="1012">
        <v>97.5</v>
      </c>
    </row>
    <row r="681" spans="1:8" ht="12.65" customHeight="1">
      <c r="A681" s="1017" t="s">
        <v>3987</v>
      </c>
      <c r="B681" s="1017" t="s">
        <v>3959</v>
      </c>
      <c r="C681" s="1017" t="s">
        <v>3988</v>
      </c>
      <c r="D681" s="1016">
        <v>0.17</v>
      </c>
      <c r="E681" s="1015">
        <v>75.900000000000006</v>
      </c>
      <c r="F681" s="1014">
        <v>-3.2</v>
      </c>
      <c r="G681" s="1013" t="s">
        <v>6080</v>
      </c>
      <c r="H681" s="1012">
        <v>99.9</v>
      </c>
    </row>
    <row r="682" spans="1:8" ht="12.65" customHeight="1">
      <c r="A682" s="1017" t="s">
        <v>3984</v>
      </c>
      <c r="B682" s="1017" t="s">
        <v>3959</v>
      </c>
      <c r="C682" s="1017" t="s">
        <v>3985</v>
      </c>
      <c r="D682" s="1016">
        <v>0.27</v>
      </c>
      <c r="E682" s="1015">
        <v>76.599999999999994</v>
      </c>
      <c r="F682" s="1014">
        <v>7.4</v>
      </c>
      <c r="G682" s="1013" t="s">
        <v>6080</v>
      </c>
      <c r="H682" s="1012">
        <v>99.9</v>
      </c>
    </row>
    <row r="683" spans="1:8" ht="12.65" customHeight="1">
      <c r="A683" s="1017" t="s">
        <v>3981</v>
      </c>
      <c r="B683" s="1017" t="s">
        <v>3959</v>
      </c>
      <c r="C683" s="1017" t="s">
        <v>3982</v>
      </c>
      <c r="D683" s="1016">
        <v>0.28000000000000003</v>
      </c>
      <c r="E683" s="1015">
        <v>96.7</v>
      </c>
      <c r="F683" s="1014">
        <v>12.9</v>
      </c>
      <c r="G683" s="1013">
        <v>92.7</v>
      </c>
      <c r="H683" s="1012">
        <v>90.6</v>
      </c>
    </row>
    <row r="684" spans="1:8" ht="12.65" customHeight="1">
      <c r="A684" s="1017" t="s">
        <v>3978</v>
      </c>
      <c r="B684" s="1017" t="s">
        <v>3959</v>
      </c>
      <c r="C684" s="1017" t="s">
        <v>3979</v>
      </c>
      <c r="D684" s="1016">
        <v>0.12</v>
      </c>
      <c r="E684" s="1015">
        <v>75.3</v>
      </c>
      <c r="F684" s="1014">
        <v>6.8</v>
      </c>
      <c r="G684" s="1013" t="s">
        <v>6080</v>
      </c>
      <c r="H684" s="1012">
        <v>91.1</v>
      </c>
    </row>
    <row r="685" spans="1:8" ht="12.65" customHeight="1">
      <c r="A685" s="1017" t="s">
        <v>3976</v>
      </c>
      <c r="B685" s="1017" t="s">
        <v>3959</v>
      </c>
      <c r="C685" s="1017" t="s">
        <v>3977</v>
      </c>
      <c r="D685" s="1016">
        <v>0.18</v>
      </c>
      <c r="E685" s="1015">
        <v>82.1</v>
      </c>
      <c r="F685" s="1014">
        <v>6.9</v>
      </c>
      <c r="G685" s="1013" t="s">
        <v>6080</v>
      </c>
      <c r="H685" s="1012">
        <v>88.9</v>
      </c>
    </row>
    <row r="686" spans="1:8" ht="12.65" customHeight="1">
      <c r="A686" s="1017" t="s">
        <v>3973</v>
      </c>
      <c r="B686" s="1017" t="s">
        <v>3959</v>
      </c>
      <c r="C686" s="1017" t="s">
        <v>3974</v>
      </c>
      <c r="D686" s="1016">
        <v>0.19</v>
      </c>
      <c r="E686" s="1015">
        <v>75.8</v>
      </c>
      <c r="F686" s="1014">
        <v>2.2000000000000002</v>
      </c>
      <c r="G686" s="1013" t="s">
        <v>6080</v>
      </c>
      <c r="H686" s="1012">
        <v>93.2</v>
      </c>
    </row>
    <row r="687" spans="1:8" ht="12.65" customHeight="1">
      <c r="A687" s="1017" t="s">
        <v>3970</v>
      </c>
      <c r="B687" s="1017" t="s">
        <v>3959</v>
      </c>
      <c r="C687" s="1017" t="s">
        <v>3971</v>
      </c>
      <c r="D687" s="1016">
        <v>0.2</v>
      </c>
      <c r="E687" s="1015">
        <v>93.9</v>
      </c>
      <c r="F687" s="1014">
        <v>9.9</v>
      </c>
      <c r="G687" s="1013" t="s">
        <v>6080</v>
      </c>
      <c r="H687" s="1012">
        <v>88.6</v>
      </c>
    </row>
    <row r="688" spans="1:8" ht="12.65" customHeight="1">
      <c r="A688" s="1017" t="s">
        <v>3967</v>
      </c>
      <c r="B688" s="1017" t="s">
        <v>3959</v>
      </c>
      <c r="C688" s="1017" t="s">
        <v>3968</v>
      </c>
      <c r="D688" s="1016">
        <v>0.11</v>
      </c>
      <c r="E688" s="1015">
        <v>76.900000000000006</v>
      </c>
      <c r="F688" s="1014">
        <v>5.0999999999999996</v>
      </c>
      <c r="G688" s="1013" t="s">
        <v>6080</v>
      </c>
      <c r="H688" s="1012">
        <v>80.2</v>
      </c>
    </row>
    <row r="689" spans="1:8" ht="12.65" customHeight="1">
      <c r="A689" s="1017" t="s">
        <v>3964</v>
      </c>
      <c r="B689" s="1017" t="s">
        <v>3959</v>
      </c>
      <c r="C689" s="1017" t="s">
        <v>3965</v>
      </c>
      <c r="D689" s="1016">
        <v>0.27</v>
      </c>
      <c r="E689" s="1015">
        <v>85.5</v>
      </c>
      <c r="F689" s="1014">
        <v>11.1</v>
      </c>
      <c r="G689" s="1013" t="s">
        <v>6080</v>
      </c>
      <c r="H689" s="1012">
        <v>87.1</v>
      </c>
    </row>
    <row r="690" spans="1:8" ht="12.65" customHeight="1">
      <c r="A690" s="1017" t="s">
        <v>3961</v>
      </c>
      <c r="B690" s="1017" t="s">
        <v>3959</v>
      </c>
      <c r="C690" s="1017" t="s">
        <v>3962</v>
      </c>
      <c r="D690" s="1016">
        <v>0.16</v>
      </c>
      <c r="E690" s="1015">
        <v>64.900000000000006</v>
      </c>
      <c r="F690" s="1014">
        <v>-0.2</v>
      </c>
      <c r="G690" s="1013" t="s">
        <v>6080</v>
      </c>
      <c r="H690" s="1012">
        <v>73.3</v>
      </c>
    </row>
    <row r="691" spans="1:8" ht="12.65" customHeight="1">
      <c r="A691" s="1017" t="s">
        <v>3957</v>
      </c>
      <c r="B691" s="1017" t="s">
        <v>3959</v>
      </c>
      <c r="C691" s="1017" t="s">
        <v>3958</v>
      </c>
      <c r="D691" s="1016">
        <v>0.24</v>
      </c>
      <c r="E691" s="1015">
        <v>74.400000000000006</v>
      </c>
      <c r="F691" s="1014">
        <v>3.2</v>
      </c>
      <c r="G691" s="1013" t="s">
        <v>6080</v>
      </c>
      <c r="H691" s="1012">
        <v>93.2</v>
      </c>
    </row>
    <row r="692" spans="1:8" ht="12.65" customHeight="1">
      <c r="A692" s="1017" t="s">
        <v>3950</v>
      </c>
      <c r="B692" s="1017" t="s">
        <v>3855</v>
      </c>
      <c r="C692" s="1017" t="s">
        <v>3951</v>
      </c>
      <c r="D692" s="1016">
        <v>0.94</v>
      </c>
      <c r="E692" s="1015">
        <v>98.1</v>
      </c>
      <c r="F692" s="1014">
        <v>9.5</v>
      </c>
      <c r="G692" s="1013">
        <v>127.2</v>
      </c>
      <c r="H692" s="1012">
        <v>100</v>
      </c>
    </row>
    <row r="693" spans="1:8" ht="12.65" customHeight="1">
      <c r="A693" s="1017" t="s">
        <v>3947</v>
      </c>
      <c r="B693" s="1017" t="s">
        <v>3855</v>
      </c>
      <c r="C693" s="1017" t="s">
        <v>3948</v>
      </c>
      <c r="D693" s="1016">
        <v>1.03</v>
      </c>
      <c r="E693" s="1015">
        <v>97.2</v>
      </c>
      <c r="F693" s="1014">
        <v>8.4</v>
      </c>
      <c r="G693" s="1013">
        <v>124</v>
      </c>
      <c r="H693" s="1012">
        <v>100.2</v>
      </c>
    </row>
    <row r="694" spans="1:8" ht="12.65" customHeight="1">
      <c r="A694" s="1017" t="s">
        <v>3944</v>
      </c>
      <c r="B694" s="1017" t="s">
        <v>3855</v>
      </c>
      <c r="C694" s="1017" t="s">
        <v>3945</v>
      </c>
      <c r="D694" s="1016">
        <v>0.83</v>
      </c>
      <c r="E694" s="1015">
        <v>96</v>
      </c>
      <c r="F694" s="1014">
        <v>2.8</v>
      </c>
      <c r="G694" s="1013" t="s">
        <v>6080</v>
      </c>
      <c r="H694" s="1012">
        <v>98.3</v>
      </c>
    </row>
    <row r="695" spans="1:8" ht="12.65" customHeight="1">
      <c r="A695" s="1017" t="s">
        <v>3941</v>
      </c>
      <c r="B695" s="1017" t="s">
        <v>3855</v>
      </c>
      <c r="C695" s="1017" t="s">
        <v>3942</v>
      </c>
      <c r="D695" s="1016">
        <v>0.75</v>
      </c>
      <c r="E695" s="1015">
        <v>99.9</v>
      </c>
      <c r="F695" s="1014">
        <v>5.6</v>
      </c>
      <c r="G695" s="1013">
        <v>26</v>
      </c>
      <c r="H695" s="1012">
        <v>100.9</v>
      </c>
    </row>
    <row r="696" spans="1:8" ht="12.65" customHeight="1">
      <c r="A696" s="1017" t="s">
        <v>3938</v>
      </c>
      <c r="B696" s="1017" t="s">
        <v>3855</v>
      </c>
      <c r="C696" s="1017" t="s">
        <v>3939</v>
      </c>
      <c r="D696" s="1016">
        <v>0.94</v>
      </c>
      <c r="E696" s="1015">
        <v>96.4</v>
      </c>
      <c r="F696" s="1014">
        <v>5</v>
      </c>
      <c r="G696" s="1013">
        <v>14.5</v>
      </c>
      <c r="H696" s="1012">
        <v>98.7</v>
      </c>
    </row>
    <row r="697" spans="1:8" ht="12.65" customHeight="1">
      <c r="A697" s="1017" t="s">
        <v>3935</v>
      </c>
      <c r="B697" s="1017" t="s">
        <v>3855</v>
      </c>
      <c r="C697" s="1017" t="s">
        <v>3936</v>
      </c>
      <c r="D697" s="1016">
        <v>1.08</v>
      </c>
      <c r="E697" s="1015">
        <v>96.1</v>
      </c>
      <c r="F697" s="1014">
        <v>1.3</v>
      </c>
      <c r="G697" s="1013" t="s">
        <v>6080</v>
      </c>
      <c r="H697" s="1012">
        <v>98.5</v>
      </c>
    </row>
    <row r="698" spans="1:8" ht="12.65" customHeight="1">
      <c r="A698" s="1017" t="s">
        <v>3932</v>
      </c>
      <c r="B698" s="1017" t="s">
        <v>3855</v>
      </c>
      <c r="C698" s="1017" t="s">
        <v>3933</v>
      </c>
      <c r="D698" s="1016">
        <v>1.05</v>
      </c>
      <c r="E698" s="1015">
        <v>92.3</v>
      </c>
      <c r="F698" s="1014">
        <v>5.2</v>
      </c>
      <c r="G698" s="1013">
        <v>45.2</v>
      </c>
      <c r="H698" s="1012">
        <v>101.1</v>
      </c>
    </row>
    <row r="699" spans="1:8" ht="12.65" customHeight="1">
      <c r="A699" s="1017" t="s">
        <v>3929</v>
      </c>
      <c r="B699" s="1017" t="s">
        <v>3855</v>
      </c>
      <c r="C699" s="1017" t="s">
        <v>3930</v>
      </c>
      <c r="D699" s="1016">
        <v>0.91</v>
      </c>
      <c r="E699" s="1015">
        <v>94</v>
      </c>
      <c r="F699" s="1014">
        <v>3.3</v>
      </c>
      <c r="G699" s="1013">
        <v>38.4</v>
      </c>
      <c r="H699" s="1012">
        <v>98.8</v>
      </c>
    </row>
    <row r="700" spans="1:8" ht="12.65" customHeight="1">
      <c r="A700" s="1017" t="s">
        <v>3926</v>
      </c>
      <c r="B700" s="1017" t="s">
        <v>3855</v>
      </c>
      <c r="C700" s="1017" t="s">
        <v>3927</v>
      </c>
      <c r="D700" s="1016">
        <v>0.9</v>
      </c>
      <c r="E700" s="1015">
        <v>95.9</v>
      </c>
      <c r="F700" s="1014">
        <v>3.9</v>
      </c>
      <c r="G700" s="1013">
        <v>16.3</v>
      </c>
      <c r="H700" s="1012">
        <v>98.1</v>
      </c>
    </row>
    <row r="701" spans="1:8" ht="12.65" customHeight="1">
      <c r="A701" s="1017" t="s">
        <v>3923</v>
      </c>
      <c r="B701" s="1017" t="s">
        <v>3855</v>
      </c>
      <c r="C701" s="1017" t="s">
        <v>3924</v>
      </c>
      <c r="D701" s="1016">
        <v>0.79</v>
      </c>
      <c r="E701" s="1015">
        <v>94.3</v>
      </c>
      <c r="F701" s="1014">
        <v>6.6</v>
      </c>
      <c r="G701" s="1013" t="s">
        <v>6080</v>
      </c>
      <c r="H701" s="1012">
        <v>98.5</v>
      </c>
    </row>
    <row r="702" spans="1:8" ht="12.65" customHeight="1">
      <c r="A702" s="1017" t="s">
        <v>3920</v>
      </c>
      <c r="B702" s="1017" t="s">
        <v>3855</v>
      </c>
      <c r="C702" s="1017" t="s">
        <v>3921</v>
      </c>
      <c r="D702" s="1016">
        <v>0.54</v>
      </c>
      <c r="E702" s="1015">
        <v>100.4</v>
      </c>
      <c r="F702" s="1014">
        <v>11.7</v>
      </c>
      <c r="G702" s="1013">
        <v>92.1</v>
      </c>
      <c r="H702" s="1012">
        <v>96.9</v>
      </c>
    </row>
    <row r="703" spans="1:8" ht="12.65" customHeight="1">
      <c r="A703" s="1017" t="s">
        <v>3917</v>
      </c>
      <c r="B703" s="1017" t="s">
        <v>3855</v>
      </c>
      <c r="C703" s="1017" t="s">
        <v>3918</v>
      </c>
      <c r="D703" s="1016">
        <v>0.79</v>
      </c>
      <c r="E703" s="1015">
        <v>95</v>
      </c>
      <c r="F703" s="1014">
        <v>1.6</v>
      </c>
      <c r="G703" s="1013">
        <v>8.4</v>
      </c>
      <c r="H703" s="1012">
        <v>101.1</v>
      </c>
    </row>
    <row r="704" spans="1:8" ht="12.65" customHeight="1">
      <c r="A704" s="1017" t="s">
        <v>3914</v>
      </c>
      <c r="B704" s="1017" t="s">
        <v>3855</v>
      </c>
      <c r="C704" s="1017" t="s">
        <v>3915</v>
      </c>
      <c r="D704" s="1016">
        <v>1.1499999999999999</v>
      </c>
      <c r="E704" s="1015">
        <v>88.5</v>
      </c>
      <c r="F704" s="1014">
        <v>3.2</v>
      </c>
      <c r="G704" s="1013">
        <v>56.2</v>
      </c>
      <c r="H704" s="1012">
        <v>100.1</v>
      </c>
    </row>
    <row r="705" spans="1:8" ht="12.65" customHeight="1">
      <c r="A705" s="1017" t="s">
        <v>3911</v>
      </c>
      <c r="B705" s="1017" t="s">
        <v>3855</v>
      </c>
      <c r="C705" s="1017" t="s">
        <v>3912</v>
      </c>
      <c r="D705" s="1016">
        <v>0.93</v>
      </c>
      <c r="E705" s="1015">
        <v>99.3</v>
      </c>
      <c r="F705" s="1014">
        <v>4.3</v>
      </c>
      <c r="G705" s="1013">
        <v>39.799999999999997</v>
      </c>
      <c r="H705" s="1012">
        <v>95.7</v>
      </c>
    </row>
    <row r="706" spans="1:8" ht="12.65" customHeight="1">
      <c r="A706" s="1017" t="s">
        <v>3908</v>
      </c>
      <c r="B706" s="1017" t="s">
        <v>3855</v>
      </c>
      <c r="C706" s="1017" t="s">
        <v>3909</v>
      </c>
      <c r="D706" s="1016">
        <v>0.92</v>
      </c>
      <c r="E706" s="1015">
        <v>98.9</v>
      </c>
      <c r="F706" s="1014">
        <v>7.4</v>
      </c>
      <c r="G706" s="1013">
        <v>28.6</v>
      </c>
      <c r="H706" s="1012">
        <v>101.2</v>
      </c>
    </row>
    <row r="707" spans="1:8" ht="12.65" customHeight="1">
      <c r="A707" s="1017" t="s">
        <v>3905</v>
      </c>
      <c r="B707" s="1017" t="s">
        <v>3855</v>
      </c>
      <c r="C707" s="1017" t="s">
        <v>3906</v>
      </c>
      <c r="D707" s="1016">
        <v>1.03</v>
      </c>
      <c r="E707" s="1015">
        <v>94.3</v>
      </c>
      <c r="F707" s="1014">
        <v>5.2</v>
      </c>
      <c r="G707" s="1013">
        <v>30.2</v>
      </c>
      <c r="H707" s="1012">
        <v>101.3</v>
      </c>
    </row>
    <row r="708" spans="1:8" ht="12.65" customHeight="1">
      <c r="A708" s="1017" t="s">
        <v>3902</v>
      </c>
      <c r="B708" s="1017" t="s">
        <v>3855</v>
      </c>
      <c r="C708" s="1017" t="s">
        <v>3903</v>
      </c>
      <c r="D708" s="1016">
        <v>0.83</v>
      </c>
      <c r="E708" s="1015">
        <v>99.4</v>
      </c>
      <c r="F708" s="1014">
        <v>2.4</v>
      </c>
      <c r="G708" s="1013">
        <v>10.1</v>
      </c>
      <c r="H708" s="1012">
        <v>102.9</v>
      </c>
    </row>
    <row r="709" spans="1:8" ht="12.65" customHeight="1">
      <c r="A709" s="1017" t="s">
        <v>3899</v>
      </c>
      <c r="B709" s="1017" t="s">
        <v>3855</v>
      </c>
      <c r="C709" s="1017" t="s">
        <v>3900</v>
      </c>
      <c r="D709" s="1016">
        <v>0.78</v>
      </c>
      <c r="E709" s="1015">
        <v>98.7</v>
      </c>
      <c r="F709" s="1014">
        <v>2.9</v>
      </c>
      <c r="G709" s="1013" t="s">
        <v>6080</v>
      </c>
      <c r="H709" s="1012">
        <v>101.3</v>
      </c>
    </row>
    <row r="710" spans="1:8" ht="12.65" customHeight="1">
      <c r="A710" s="1017" t="s">
        <v>3896</v>
      </c>
      <c r="B710" s="1017" t="s">
        <v>3855</v>
      </c>
      <c r="C710" s="1017" t="s">
        <v>3897</v>
      </c>
      <c r="D710" s="1016">
        <v>0.86</v>
      </c>
      <c r="E710" s="1015">
        <v>92.4</v>
      </c>
      <c r="F710" s="1014">
        <v>2.4</v>
      </c>
      <c r="G710" s="1013" t="s">
        <v>6080</v>
      </c>
      <c r="H710" s="1012">
        <v>100.3</v>
      </c>
    </row>
    <row r="711" spans="1:8" ht="12.65" customHeight="1">
      <c r="A711" s="1017" t="s">
        <v>3893</v>
      </c>
      <c r="B711" s="1017" t="s">
        <v>3855</v>
      </c>
      <c r="C711" s="1017" t="s">
        <v>3894</v>
      </c>
      <c r="D711" s="1016">
        <v>0.8</v>
      </c>
      <c r="E711" s="1015">
        <v>90</v>
      </c>
      <c r="F711" s="1014">
        <v>-2.7</v>
      </c>
      <c r="G711" s="1013" t="s">
        <v>6080</v>
      </c>
      <c r="H711" s="1012">
        <v>101.7</v>
      </c>
    </row>
    <row r="712" spans="1:8" ht="12.65" customHeight="1">
      <c r="A712" s="1017" t="s">
        <v>3890</v>
      </c>
      <c r="B712" s="1017" t="s">
        <v>3855</v>
      </c>
      <c r="C712" s="1017" t="s">
        <v>3891</v>
      </c>
      <c r="D712" s="1016">
        <v>1.08</v>
      </c>
      <c r="E712" s="1015">
        <v>92.6</v>
      </c>
      <c r="F712" s="1014">
        <v>6.4</v>
      </c>
      <c r="G712" s="1013" t="s">
        <v>6080</v>
      </c>
      <c r="H712" s="1012">
        <v>99.6</v>
      </c>
    </row>
    <row r="713" spans="1:8" ht="12.65" customHeight="1">
      <c r="A713" s="1017" t="s">
        <v>3887</v>
      </c>
      <c r="B713" s="1017" t="s">
        <v>3855</v>
      </c>
      <c r="C713" s="1017" t="s">
        <v>3888</v>
      </c>
      <c r="D713" s="1016">
        <v>0.75</v>
      </c>
      <c r="E713" s="1015">
        <v>86.6</v>
      </c>
      <c r="F713" s="1014">
        <v>4.8</v>
      </c>
      <c r="G713" s="1013">
        <v>5.7</v>
      </c>
      <c r="H713" s="1012">
        <v>96.1</v>
      </c>
    </row>
    <row r="714" spans="1:8" ht="12.65" customHeight="1">
      <c r="A714" s="1017" t="s">
        <v>3884</v>
      </c>
      <c r="B714" s="1017" t="s">
        <v>3855</v>
      </c>
      <c r="C714" s="1017" t="s">
        <v>3885</v>
      </c>
      <c r="D714" s="1016">
        <v>0.63</v>
      </c>
      <c r="E714" s="1015">
        <v>95</v>
      </c>
      <c r="F714" s="1014">
        <v>5.4</v>
      </c>
      <c r="G714" s="1013">
        <v>6.7</v>
      </c>
      <c r="H714" s="1012">
        <v>97.4</v>
      </c>
    </row>
    <row r="715" spans="1:8" ht="12.65" customHeight="1">
      <c r="A715" s="1017" t="s">
        <v>3881</v>
      </c>
      <c r="B715" s="1017" t="s">
        <v>3855</v>
      </c>
      <c r="C715" s="1017" t="s">
        <v>3882</v>
      </c>
      <c r="D715" s="1016">
        <v>0.91</v>
      </c>
      <c r="E715" s="1015">
        <v>75.3</v>
      </c>
      <c r="F715" s="1014">
        <v>0</v>
      </c>
      <c r="G715" s="1013" t="s">
        <v>6080</v>
      </c>
      <c r="H715" s="1012">
        <v>94.9</v>
      </c>
    </row>
    <row r="716" spans="1:8" ht="12.65" customHeight="1">
      <c r="A716" s="1017" t="s">
        <v>3878</v>
      </c>
      <c r="B716" s="1017" t="s">
        <v>3855</v>
      </c>
      <c r="C716" s="1017" t="s">
        <v>3879</v>
      </c>
      <c r="D716" s="1016">
        <v>0.72</v>
      </c>
      <c r="E716" s="1015">
        <v>85.6</v>
      </c>
      <c r="F716" s="1014">
        <v>-1.6</v>
      </c>
      <c r="G716" s="1013" t="s">
        <v>6080</v>
      </c>
      <c r="H716" s="1012">
        <v>97.3</v>
      </c>
    </row>
    <row r="717" spans="1:8" ht="12.65" customHeight="1">
      <c r="A717" s="1017" t="s">
        <v>3875</v>
      </c>
      <c r="B717" s="1017" t="s">
        <v>3855</v>
      </c>
      <c r="C717" s="1017" t="s">
        <v>3876</v>
      </c>
      <c r="D717" s="1016">
        <v>0.55000000000000004</v>
      </c>
      <c r="E717" s="1015">
        <v>89.3</v>
      </c>
      <c r="F717" s="1014">
        <v>6.3</v>
      </c>
      <c r="G717" s="1013">
        <v>7.1</v>
      </c>
      <c r="H717" s="1012">
        <v>95.8</v>
      </c>
    </row>
    <row r="718" spans="1:8" ht="12.65" customHeight="1">
      <c r="A718" s="1017" t="s">
        <v>3872</v>
      </c>
      <c r="B718" s="1017" t="s">
        <v>3855</v>
      </c>
      <c r="C718" s="1017" t="s">
        <v>3873</v>
      </c>
      <c r="D718" s="1016">
        <v>0.5</v>
      </c>
      <c r="E718" s="1015">
        <v>85.5</v>
      </c>
      <c r="F718" s="1014">
        <v>11.6</v>
      </c>
      <c r="G718" s="1013">
        <v>4.8</v>
      </c>
      <c r="H718" s="1012">
        <v>101.3</v>
      </c>
    </row>
    <row r="719" spans="1:8" ht="12.65" customHeight="1">
      <c r="A719" s="1017" t="s">
        <v>3869</v>
      </c>
      <c r="B719" s="1017" t="s">
        <v>3855</v>
      </c>
      <c r="C719" s="1017" t="s">
        <v>3870</v>
      </c>
      <c r="D719" s="1016">
        <v>0.82</v>
      </c>
      <c r="E719" s="1015">
        <v>86.3</v>
      </c>
      <c r="F719" s="1014">
        <v>5.6</v>
      </c>
      <c r="G719" s="1013">
        <v>31.8</v>
      </c>
      <c r="H719" s="1012">
        <v>100.3</v>
      </c>
    </row>
    <row r="720" spans="1:8" ht="12.65" customHeight="1">
      <c r="A720" s="1017" t="s">
        <v>3866</v>
      </c>
      <c r="B720" s="1017" t="s">
        <v>3855</v>
      </c>
      <c r="C720" s="1017" t="s">
        <v>3867</v>
      </c>
      <c r="D720" s="1016">
        <v>1.3</v>
      </c>
      <c r="E720" s="1015">
        <v>99.7</v>
      </c>
      <c r="F720" s="1014">
        <v>12.7</v>
      </c>
      <c r="G720" s="1013">
        <v>64.400000000000006</v>
      </c>
      <c r="H720" s="1012">
        <v>99.1</v>
      </c>
    </row>
    <row r="721" spans="1:8" ht="12.65" customHeight="1">
      <c r="A721" s="1017" t="s">
        <v>3863</v>
      </c>
      <c r="B721" s="1017" t="s">
        <v>3855</v>
      </c>
      <c r="C721" s="1017" t="s">
        <v>3864</v>
      </c>
      <c r="D721" s="1016">
        <v>0.38</v>
      </c>
      <c r="E721" s="1015">
        <v>96.5</v>
      </c>
      <c r="F721" s="1014">
        <v>12.8</v>
      </c>
      <c r="G721" s="1013">
        <v>78</v>
      </c>
      <c r="H721" s="1012">
        <v>91.5</v>
      </c>
    </row>
    <row r="722" spans="1:8" ht="12.65" customHeight="1">
      <c r="A722" s="1017" t="s">
        <v>3860</v>
      </c>
      <c r="B722" s="1017" t="s">
        <v>3855</v>
      </c>
      <c r="C722" s="1017" t="s">
        <v>3861</v>
      </c>
      <c r="D722" s="1016">
        <v>0.63</v>
      </c>
      <c r="E722" s="1015">
        <v>101.9</v>
      </c>
      <c r="F722" s="1014">
        <v>7.1</v>
      </c>
      <c r="G722" s="1013">
        <v>65.7</v>
      </c>
      <c r="H722" s="1012">
        <v>97.1</v>
      </c>
    </row>
    <row r="723" spans="1:8" ht="12.65" customHeight="1">
      <c r="A723" s="1017" t="s">
        <v>3857</v>
      </c>
      <c r="B723" s="1017" t="s">
        <v>3855</v>
      </c>
      <c r="C723" s="1017" t="s">
        <v>3858</v>
      </c>
      <c r="D723" s="1016">
        <v>0.96</v>
      </c>
      <c r="E723" s="1015">
        <v>95.3</v>
      </c>
      <c r="F723" s="1014">
        <v>0.8</v>
      </c>
      <c r="G723" s="1013" t="s">
        <v>6080</v>
      </c>
      <c r="H723" s="1012">
        <v>100.1</v>
      </c>
    </row>
    <row r="724" spans="1:8" ht="12.65" customHeight="1">
      <c r="A724" s="1017" t="s">
        <v>3853</v>
      </c>
      <c r="B724" s="1017" t="s">
        <v>3855</v>
      </c>
      <c r="C724" s="1017" t="s">
        <v>3854</v>
      </c>
      <c r="D724" s="1016">
        <v>0.77</v>
      </c>
      <c r="E724" s="1015">
        <v>82.4</v>
      </c>
      <c r="F724" s="1014">
        <v>-0.1</v>
      </c>
      <c r="G724" s="1013" t="s">
        <v>6080</v>
      </c>
      <c r="H724" s="1012">
        <v>93.2</v>
      </c>
    </row>
    <row r="725" spans="1:8" ht="12.65" customHeight="1">
      <c r="A725" s="1017" t="s">
        <v>3846</v>
      </c>
      <c r="B725" s="1017" t="s">
        <v>3760</v>
      </c>
      <c r="C725" s="1017" t="s">
        <v>3847</v>
      </c>
      <c r="D725" s="1016">
        <v>0.65</v>
      </c>
      <c r="E725" s="1015">
        <v>94.2</v>
      </c>
      <c r="F725" s="1014">
        <v>12.1</v>
      </c>
      <c r="G725" s="1013">
        <v>123</v>
      </c>
      <c r="H725" s="1012">
        <v>99</v>
      </c>
    </row>
    <row r="726" spans="1:8" ht="12.65" customHeight="1">
      <c r="A726" s="1017" t="s">
        <v>3843</v>
      </c>
      <c r="B726" s="1017" t="s">
        <v>3760</v>
      </c>
      <c r="C726" s="1017" t="s">
        <v>3844</v>
      </c>
      <c r="D726" s="1016">
        <v>0.59</v>
      </c>
      <c r="E726" s="1015">
        <v>92.6</v>
      </c>
      <c r="F726" s="1014">
        <v>7.3</v>
      </c>
      <c r="G726" s="1013">
        <v>73.099999999999994</v>
      </c>
      <c r="H726" s="1012">
        <v>96.4</v>
      </c>
    </row>
    <row r="727" spans="1:8" ht="12.65" customHeight="1">
      <c r="A727" s="1017" t="s">
        <v>3840</v>
      </c>
      <c r="B727" s="1017" t="s">
        <v>3760</v>
      </c>
      <c r="C727" s="1017" t="s">
        <v>3841</v>
      </c>
      <c r="D727" s="1016">
        <v>0.54</v>
      </c>
      <c r="E727" s="1015">
        <v>95.1</v>
      </c>
      <c r="F727" s="1014">
        <v>14.2</v>
      </c>
      <c r="G727" s="1013">
        <v>79.3</v>
      </c>
      <c r="H727" s="1012">
        <v>94</v>
      </c>
    </row>
    <row r="728" spans="1:8" ht="12.65" customHeight="1">
      <c r="A728" s="1017" t="s">
        <v>3837</v>
      </c>
      <c r="B728" s="1017" t="s">
        <v>3760</v>
      </c>
      <c r="C728" s="1017" t="s">
        <v>3838</v>
      </c>
      <c r="D728" s="1016">
        <v>0.65</v>
      </c>
      <c r="E728" s="1015">
        <v>92.8</v>
      </c>
      <c r="F728" s="1014">
        <v>9.6</v>
      </c>
      <c r="G728" s="1013">
        <v>6.6</v>
      </c>
      <c r="H728" s="1012">
        <v>98.4</v>
      </c>
    </row>
    <row r="729" spans="1:8" ht="12.65" customHeight="1">
      <c r="A729" s="1017" t="s">
        <v>3834</v>
      </c>
      <c r="B729" s="1017" t="s">
        <v>3760</v>
      </c>
      <c r="C729" s="1017" t="s">
        <v>3835</v>
      </c>
      <c r="D729" s="1016">
        <v>0.48</v>
      </c>
      <c r="E729" s="1015">
        <v>87.5</v>
      </c>
      <c r="F729" s="1014">
        <v>7.4</v>
      </c>
      <c r="G729" s="1013">
        <v>63.3</v>
      </c>
      <c r="H729" s="1012">
        <v>95.1</v>
      </c>
    </row>
    <row r="730" spans="1:8" ht="12.65" customHeight="1">
      <c r="A730" s="1017" t="s">
        <v>3831</v>
      </c>
      <c r="B730" s="1017" t="s">
        <v>3760</v>
      </c>
      <c r="C730" s="1017" t="s">
        <v>3832</v>
      </c>
      <c r="D730" s="1016">
        <v>0.52</v>
      </c>
      <c r="E730" s="1015">
        <v>88.9</v>
      </c>
      <c r="F730" s="1014">
        <v>10.4</v>
      </c>
      <c r="G730" s="1013">
        <v>22.3</v>
      </c>
      <c r="H730" s="1012">
        <v>95.3</v>
      </c>
    </row>
    <row r="731" spans="1:8" ht="12.65" customHeight="1">
      <c r="A731" s="1017" t="s">
        <v>3828</v>
      </c>
      <c r="B731" s="1017" t="s">
        <v>3760</v>
      </c>
      <c r="C731" s="1017" t="s">
        <v>3829</v>
      </c>
      <c r="D731" s="1016">
        <v>0.4</v>
      </c>
      <c r="E731" s="1015">
        <v>96.5</v>
      </c>
      <c r="F731" s="1014">
        <v>9.6999999999999993</v>
      </c>
      <c r="G731" s="1013">
        <v>83.6</v>
      </c>
      <c r="H731" s="1012">
        <v>94.4</v>
      </c>
    </row>
    <row r="732" spans="1:8" ht="12.65" customHeight="1">
      <c r="A732" s="1017" t="s">
        <v>3825</v>
      </c>
      <c r="B732" s="1017" t="s">
        <v>3760</v>
      </c>
      <c r="C732" s="1017" t="s">
        <v>3826</v>
      </c>
      <c r="D732" s="1016">
        <v>0.33</v>
      </c>
      <c r="E732" s="1015">
        <v>95.7</v>
      </c>
      <c r="F732" s="1014">
        <v>13.7</v>
      </c>
      <c r="G732" s="1013">
        <v>92.7</v>
      </c>
      <c r="H732" s="1012">
        <v>96.1</v>
      </c>
    </row>
    <row r="733" spans="1:8" ht="12.65" customHeight="1">
      <c r="A733" s="1017" t="s">
        <v>3822</v>
      </c>
      <c r="B733" s="1017" t="s">
        <v>3760</v>
      </c>
      <c r="C733" s="1017" t="s">
        <v>3823</v>
      </c>
      <c r="D733" s="1016">
        <v>0.53</v>
      </c>
      <c r="E733" s="1015">
        <v>94.9</v>
      </c>
      <c r="F733" s="1014">
        <v>11.9</v>
      </c>
      <c r="G733" s="1013">
        <v>80.900000000000006</v>
      </c>
      <c r="H733" s="1012">
        <v>95.8</v>
      </c>
    </row>
    <row r="734" spans="1:8" ht="12.65" customHeight="1">
      <c r="A734" s="1017" t="s">
        <v>3819</v>
      </c>
      <c r="B734" s="1017" t="s">
        <v>3760</v>
      </c>
      <c r="C734" s="1017" t="s">
        <v>3820</v>
      </c>
      <c r="D734" s="1016">
        <v>0.34</v>
      </c>
      <c r="E734" s="1015">
        <v>92.1</v>
      </c>
      <c r="F734" s="1014">
        <v>12</v>
      </c>
      <c r="G734" s="1013">
        <v>75.599999999999994</v>
      </c>
      <c r="H734" s="1012">
        <v>93</v>
      </c>
    </row>
    <row r="735" spans="1:8" ht="12.65" customHeight="1">
      <c r="A735" s="1017" t="s">
        <v>3816</v>
      </c>
      <c r="B735" s="1017" t="s">
        <v>3760</v>
      </c>
      <c r="C735" s="1017" t="s">
        <v>3817</v>
      </c>
      <c r="D735" s="1016">
        <v>0.6</v>
      </c>
      <c r="E735" s="1015">
        <v>93</v>
      </c>
      <c r="F735" s="1014">
        <v>13.3</v>
      </c>
      <c r="G735" s="1013">
        <v>86.5</v>
      </c>
      <c r="H735" s="1012">
        <v>95.2</v>
      </c>
    </row>
    <row r="736" spans="1:8" ht="12.65" customHeight="1">
      <c r="A736" s="1017" t="s">
        <v>3813</v>
      </c>
      <c r="B736" s="1017" t="s">
        <v>3760</v>
      </c>
      <c r="C736" s="1017" t="s">
        <v>3814</v>
      </c>
      <c r="D736" s="1016">
        <v>0.47</v>
      </c>
      <c r="E736" s="1015">
        <v>96.5</v>
      </c>
      <c r="F736" s="1014">
        <v>12.4</v>
      </c>
      <c r="G736" s="1013">
        <v>50.7</v>
      </c>
      <c r="H736" s="1012">
        <v>93.4</v>
      </c>
    </row>
    <row r="737" spans="1:8" ht="12.65" customHeight="1">
      <c r="A737" s="1017" t="s">
        <v>3810</v>
      </c>
      <c r="B737" s="1017" t="s">
        <v>3760</v>
      </c>
      <c r="C737" s="1017" t="s">
        <v>3811</v>
      </c>
      <c r="D737" s="1016">
        <v>0.42</v>
      </c>
      <c r="E737" s="1015">
        <v>85.7</v>
      </c>
      <c r="F737" s="1014">
        <v>7</v>
      </c>
      <c r="G737" s="1013" t="s">
        <v>6080</v>
      </c>
      <c r="H737" s="1012">
        <v>93.2</v>
      </c>
    </row>
    <row r="738" spans="1:8" ht="12.65" customHeight="1">
      <c r="A738" s="1017" t="s">
        <v>3807</v>
      </c>
      <c r="B738" s="1017" t="s">
        <v>3760</v>
      </c>
      <c r="C738" s="1017" t="s">
        <v>3808</v>
      </c>
      <c r="D738" s="1016">
        <v>0.43</v>
      </c>
      <c r="E738" s="1015">
        <v>88.2</v>
      </c>
      <c r="F738" s="1014">
        <v>7.1</v>
      </c>
      <c r="G738" s="1013">
        <v>46.4</v>
      </c>
      <c r="H738" s="1012">
        <v>94.2</v>
      </c>
    </row>
    <row r="739" spans="1:8" ht="12.65" customHeight="1">
      <c r="A739" s="1017" t="s">
        <v>3804</v>
      </c>
      <c r="B739" s="1017" t="s">
        <v>3760</v>
      </c>
      <c r="C739" s="1017" t="s">
        <v>3805</v>
      </c>
      <c r="D739" s="1016">
        <v>0.56999999999999995</v>
      </c>
      <c r="E739" s="1015">
        <v>92.4</v>
      </c>
      <c r="F739" s="1014">
        <v>10.9</v>
      </c>
      <c r="G739" s="1013">
        <v>58.6</v>
      </c>
      <c r="H739" s="1012">
        <v>98.2</v>
      </c>
    </row>
    <row r="740" spans="1:8" ht="12.65" customHeight="1">
      <c r="A740" s="1017" t="s">
        <v>3801</v>
      </c>
      <c r="B740" s="1017" t="s">
        <v>3760</v>
      </c>
      <c r="C740" s="1017" t="s">
        <v>3802</v>
      </c>
      <c r="D740" s="1016">
        <v>0.42</v>
      </c>
      <c r="E740" s="1015">
        <v>89.2</v>
      </c>
      <c r="F740" s="1014">
        <v>9.8000000000000007</v>
      </c>
      <c r="G740" s="1013">
        <v>58.4</v>
      </c>
      <c r="H740" s="1012">
        <v>93.9</v>
      </c>
    </row>
    <row r="741" spans="1:8" ht="12.65" customHeight="1">
      <c r="A741" s="1017" t="s">
        <v>3798</v>
      </c>
      <c r="B741" s="1017" t="s">
        <v>3760</v>
      </c>
      <c r="C741" s="1017" t="s">
        <v>3799</v>
      </c>
      <c r="D741" s="1016">
        <v>0.24</v>
      </c>
      <c r="E741" s="1015">
        <v>95.3</v>
      </c>
      <c r="F741" s="1014">
        <v>12.1</v>
      </c>
      <c r="G741" s="1013">
        <v>130.19999999999999</v>
      </c>
      <c r="H741" s="1012">
        <v>92.8</v>
      </c>
    </row>
    <row r="742" spans="1:8" ht="12.65" customHeight="1">
      <c r="A742" s="1017" t="s">
        <v>3795</v>
      </c>
      <c r="B742" s="1017" t="s">
        <v>3760</v>
      </c>
      <c r="C742" s="1017" t="s">
        <v>3796</v>
      </c>
      <c r="D742" s="1016">
        <v>0.28000000000000003</v>
      </c>
      <c r="E742" s="1015">
        <v>91.4</v>
      </c>
      <c r="F742" s="1014">
        <v>8.8000000000000007</v>
      </c>
      <c r="G742" s="1013">
        <v>7.1</v>
      </c>
      <c r="H742" s="1012">
        <v>93.4</v>
      </c>
    </row>
    <row r="743" spans="1:8" ht="12.65" customHeight="1">
      <c r="A743" s="1017" t="s">
        <v>3792</v>
      </c>
      <c r="B743" s="1017" t="s">
        <v>3760</v>
      </c>
      <c r="C743" s="1017" t="s">
        <v>3793</v>
      </c>
      <c r="D743" s="1016">
        <v>0.41</v>
      </c>
      <c r="E743" s="1015">
        <v>89.5</v>
      </c>
      <c r="F743" s="1014">
        <v>11.8</v>
      </c>
      <c r="G743" s="1013" t="s">
        <v>6080</v>
      </c>
      <c r="H743" s="1012">
        <v>93.1</v>
      </c>
    </row>
    <row r="744" spans="1:8" ht="12.65" customHeight="1">
      <c r="A744" s="1017" t="s">
        <v>3789</v>
      </c>
      <c r="B744" s="1017" t="s">
        <v>3760</v>
      </c>
      <c r="C744" s="1017" t="s">
        <v>3790</v>
      </c>
      <c r="D744" s="1016">
        <v>0.44</v>
      </c>
      <c r="E744" s="1015">
        <v>98.6</v>
      </c>
      <c r="F744" s="1014">
        <v>13.1</v>
      </c>
      <c r="G744" s="1013">
        <v>110.6</v>
      </c>
      <c r="H744" s="1012">
        <v>92.8</v>
      </c>
    </row>
    <row r="745" spans="1:8" ht="12.65" customHeight="1">
      <c r="A745" s="1017" t="s">
        <v>3786</v>
      </c>
      <c r="B745" s="1017" t="s">
        <v>3760</v>
      </c>
      <c r="C745" s="1017" t="s">
        <v>3787</v>
      </c>
      <c r="D745" s="1016">
        <v>1.07</v>
      </c>
      <c r="E745" s="1015">
        <v>84.6</v>
      </c>
      <c r="F745" s="1014">
        <v>10.5</v>
      </c>
      <c r="G745" s="1013">
        <v>2.1</v>
      </c>
      <c r="H745" s="1012">
        <v>96.9</v>
      </c>
    </row>
    <row r="746" spans="1:8" ht="12.65" customHeight="1">
      <c r="A746" s="1017" t="s">
        <v>3783</v>
      </c>
      <c r="B746" s="1017" t="s">
        <v>3760</v>
      </c>
      <c r="C746" s="1017" t="s">
        <v>3784</v>
      </c>
      <c r="D746" s="1016">
        <v>0.38</v>
      </c>
      <c r="E746" s="1015">
        <v>78.2</v>
      </c>
      <c r="F746" s="1014">
        <v>12.9</v>
      </c>
      <c r="G746" s="1013">
        <v>51.3</v>
      </c>
      <c r="H746" s="1012">
        <v>94.7</v>
      </c>
    </row>
    <row r="747" spans="1:8" ht="12.65" customHeight="1">
      <c r="A747" s="1017" t="s">
        <v>3780</v>
      </c>
      <c r="B747" s="1017" t="s">
        <v>3760</v>
      </c>
      <c r="C747" s="1017" t="s">
        <v>3781</v>
      </c>
      <c r="D747" s="1016">
        <v>0.36</v>
      </c>
      <c r="E747" s="1015">
        <v>83.9</v>
      </c>
      <c r="F747" s="1014">
        <v>7.6</v>
      </c>
      <c r="G747" s="1013">
        <v>17</v>
      </c>
      <c r="H747" s="1012">
        <v>91</v>
      </c>
    </row>
    <row r="748" spans="1:8" ht="12.65" customHeight="1">
      <c r="A748" s="1017" t="s">
        <v>3777</v>
      </c>
      <c r="B748" s="1017" t="s">
        <v>3760</v>
      </c>
      <c r="C748" s="1017" t="s">
        <v>3778</v>
      </c>
      <c r="D748" s="1016">
        <v>0.2</v>
      </c>
      <c r="E748" s="1015">
        <v>92.2</v>
      </c>
      <c r="F748" s="1014">
        <v>12.7</v>
      </c>
      <c r="G748" s="1013">
        <v>65.2</v>
      </c>
      <c r="H748" s="1012">
        <v>91.1</v>
      </c>
    </row>
    <row r="749" spans="1:8" ht="12.65" customHeight="1">
      <c r="A749" s="1017" t="s">
        <v>3774</v>
      </c>
      <c r="B749" s="1017" t="s">
        <v>3760</v>
      </c>
      <c r="C749" s="1017" t="s">
        <v>3775</v>
      </c>
      <c r="D749" s="1016">
        <v>0.22</v>
      </c>
      <c r="E749" s="1015">
        <v>86.3</v>
      </c>
      <c r="F749" s="1014">
        <v>8.8000000000000007</v>
      </c>
      <c r="G749" s="1013" t="s">
        <v>6080</v>
      </c>
      <c r="H749" s="1012">
        <v>95</v>
      </c>
    </row>
    <row r="750" spans="1:8" ht="12.65" customHeight="1">
      <c r="A750" s="1017" t="s">
        <v>3771</v>
      </c>
      <c r="B750" s="1017" t="s">
        <v>3760</v>
      </c>
      <c r="C750" s="1017" t="s">
        <v>3772</v>
      </c>
      <c r="D750" s="1016">
        <v>0.9</v>
      </c>
      <c r="E750" s="1015">
        <v>94.9</v>
      </c>
      <c r="F750" s="1014">
        <v>8</v>
      </c>
      <c r="G750" s="1013">
        <v>28.8</v>
      </c>
      <c r="H750" s="1012">
        <v>94.3</v>
      </c>
    </row>
    <row r="751" spans="1:8" ht="12.65" customHeight="1">
      <c r="A751" s="1017" t="s">
        <v>3768</v>
      </c>
      <c r="B751" s="1017" t="s">
        <v>3760</v>
      </c>
      <c r="C751" s="1017" t="s">
        <v>3769</v>
      </c>
      <c r="D751" s="1016">
        <v>0.25</v>
      </c>
      <c r="E751" s="1015">
        <v>89</v>
      </c>
      <c r="F751" s="1014">
        <v>11.6</v>
      </c>
      <c r="G751" s="1013">
        <v>23.4</v>
      </c>
      <c r="H751" s="1012">
        <v>93</v>
      </c>
    </row>
    <row r="752" spans="1:8" ht="12.65" customHeight="1">
      <c r="A752" s="1017" t="s">
        <v>3765</v>
      </c>
      <c r="B752" s="1017" t="s">
        <v>3760</v>
      </c>
      <c r="C752" s="1017" t="s">
        <v>3766</v>
      </c>
      <c r="D752" s="1016">
        <v>1.39</v>
      </c>
      <c r="E752" s="1015">
        <v>71.2</v>
      </c>
      <c r="F752" s="1014">
        <v>-1.7</v>
      </c>
      <c r="G752" s="1013" t="s">
        <v>6080</v>
      </c>
      <c r="H752" s="1012">
        <v>96.2</v>
      </c>
    </row>
    <row r="753" spans="1:8" ht="12.65" customHeight="1">
      <c r="A753" s="1017" t="s">
        <v>3762</v>
      </c>
      <c r="B753" s="1017" t="s">
        <v>3760</v>
      </c>
      <c r="C753" s="1017" t="s">
        <v>3763</v>
      </c>
      <c r="D753" s="1016">
        <v>0.21</v>
      </c>
      <c r="E753" s="1015">
        <v>86.7</v>
      </c>
      <c r="F753" s="1014">
        <v>12.4</v>
      </c>
      <c r="G753" s="1013">
        <v>16.7</v>
      </c>
      <c r="H753" s="1012">
        <v>92.7</v>
      </c>
    </row>
    <row r="754" spans="1:8" ht="12.65" customHeight="1">
      <c r="A754" s="1017" t="s">
        <v>3758</v>
      </c>
      <c r="B754" s="1017" t="s">
        <v>3760</v>
      </c>
      <c r="C754" s="1017" t="s">
        <v>3759</v>
      </c>
      <c r="D754" s="1016">
        <v>0.09</v>
      </c>
      <c r="E754" s="1015">
        <v>83.9</v>
      </c>
      <c r="F754" s="1014">
        <v>5.3</v>
      </c>
      <c r="G754" s="1013" t="s">
        <v>6080</v>
      </c>
      <c r="H754" s="1012">
        <v>82.9</v>
      </c>
    </row>
    <row r="755" spans="1:8" ht="12.65" customHeight="1">
      <c r="A755" s="1017" t="s">
        <v>3751</v>
      </c>
      <c r="B755" s="1017" t="s">
        <v>3710</v>
      </c>
      <c r="C755" s="1017" t="s">
        <v>3752</v>
      </c>
      <c r="D755" s="1016">
        <v>0.8</v>
      </c>
      <c r="E755" s="1015">
        <v>92.9</v>
      </c>
      <c r="F755" s="1014">
        <v>8.8000000000000007</v>
      </c>
      <c r="G755" s="1013">
        <v>84.2</v>
      </c>
      <c r="H755" s="1012">
        <v>100.1</v>
      </c>
    </row>
    <row r="756" spans="1:8" ht="12.65" customHeight="1">
      <c r="A756" s="1017" t="s">
        <v>3748</v>
      </c>
      <c r="B756" s="1017" t="s">
        <v>3710</v>
      </c>
      <c r="C756" s="1017" t="s">
        <v>3749</v>
      </c>
      <c r="D756" s="1016">
        <v>0.71</v>
      </c>
      <c r="E756" s="1015">
        <v>85</v>
      </c>
      <c r="F756" s="1014">
        <v>11.6</v>
      </c>
      <c r="G756" s="1013">
        <v>100.6</v>
      </c>
      <c r="H756" s="1012">
        <v>99.7</v>
      </c>
    </row>
    <row r="757" spans="1:8" ht="12.65" customHeight="1">
      <c r="A757" s="1017" t="s">
        <v>3745</v>
      </c>
      <c r="B757" s="1017" t="s">
        <v>3710</v>
      </c>
      <c r="C757" s="1017" t="s">
        <v>3746</v>
      </c>
      <c r="D757" s="1016">
        <v>0.67</v>
      </c>
      <c r="E757" s="1015">
        <v>90.9</v>
      </c>
      <c r="F757" s="1014">
        <v>11.3</v>
      </c>
      <c r="G757" s="1013">
        <v>73.5</v>
      </c>
      <c r="H757" s="1012">
        <v>98.7</v>
      </c>
    </row>
    <row r="758" spans="1:8" ht="12.65" customHeight="1">
      <c r="A758" s="1017" t="s">
        <v>3742</v>
      </c>
      <c r="B758" s="1017" t="s">
        <v>3710</v>
      </c>
      <c r="C758" s="1017" t="s">
        <v>3743</v>
      </c>
      <c r="D758" s="1016">
        <v>0.46</v>
      </c>
      <c r="E758" s="1015">
        <v>86.7</v>
      </c>
      <c r="F758" s="1014">
        <v>11.8</v>
      </c>
      <c r="G758" s="1013">
        <v>12.9</v>
      </c>
      <c r="H758" s="1012">
        <v>97.9</v>
      </c>
    </row>
    <row r="759" spans="1:8" ht="12.65" customHeight="1">
      <c r="A759" s="1017" t="s">
        <v>3739</v>
      </c>
      <c r="B759" s="1017" t="s">
        <v>3710</v>
      </c>
      <c r="C759" s="1017" t="s">
        <v>3740</v>
      </c>
      <c r="D759" s="1016">
        <v>0.71</v>
      </c>
      <c r="E759" s="1015">
        <v>84.2</v>
      </c>
      <c r="F759" s="1014">
        <v>4.7</v>
      </c>
      <c r="G759" s="1013" t="s">
        <v>6080</v>
      </c>
      <c r="H759" s="1012">
        <v>98.5</v>
      </c>
    </row>
    <row r="760" spans="1:8" ht="12.65" customHeight="1">
      <c r="A760" s="1017" t="s">
        <v>3736</v>
      </c>
      <c r="B760" s="1017" t="s">
        <v>3710</v>
      </c>
      <c r="C760" s="1017" t="s">
        <v>3737</v>
      </c>
      <c r="D760" s="1016">
        <v>0.62</v>
      </c>
      <c r="E760" s="1015">
        <v>89.5</v>
      </c>
      <c r="F760" s="1014">
        <v>10.8</v>
      </c>
      <c r="G760" s="1013">
        <v>113.9</v>
      </c>
      <c r="H760" s="1012">
        <v>98.3</v>
      </c>
    </row>
    <row r="761" spans="1:8" ht="12.65" customHeight="1">
      <c r="A761" s="1017" t="s">
        <v>3733</v>
      </c>
      <c r="B761" s="1017" t="s">
        <v>3710</v>
      </c>
      <c r="C761" s="1017" t="s">
        <v>3734</v>
      </c>
      <c r="D761" s="1016">
        <v>0.56999999999999995</v>
      </c>
      <c r="E761" s="1015">
        <v>92.7</v>
      </c>
      <c r="F761" s="1014">
        <v>12.3</v>
      </c>
      <c r="G761" s="1013">
        <v>18.5</v>
      </c>
      <c r="H761" s="1012">
        <v>97.7</v>
      </c>
    </row>
    <row r="762" spans="1:8" ht="12.65" customHeight="1">
      <c r="A762" s="1017" t="s">
        <v>3730</v>
      </c>
      <c r="B762" s="1017" t="s">
        <v>3710</v>
      </c>
      <c r="C762" s="1017" t="s">
        <v>3731</v>
      </c>
      <c r="D762" s="1016">
        <v>0.56000000000000005</v>
      </c>
      <c r="E762" s="1015">
        <v>89.2</v>
      </c>
      <c r="F762" s="1014">
        <v>13.3</v>
      </c>
      <c r="G762" s="1013">
        <v>141.4</v>
      </c>
      <c r="H762" s="1012">
        <v>93.8</v>
      </c>
    </row>
    <row r="763" spans="1:8" ht="12.65" customHeight="1">
      <c r="A763" s="1017" t="s">
        <v>3727</v>
      </c>
      <c r="B763" s="1017" t="s">
        <v>3710</v>
      </c>
      <c r="C763" s="1017" t="s">
        <v>3728</v>
      </c>
      <c r="D763" s="1016">
        <v>0.34</v>
      </c>
      <c r="E763" s="1015">
        <v>93.4</v>
      </c>
      <c r="F763" s="1014">
        <v>7.8</v>
      </c>
      <c r="G763" s="1013" t="s">
        <v>6080</v>
      </c>
      <c r="H763" s="1012">
        <v>95.1</v>
      </c>
    </row>
    <row r="764" spans="1:8" ht="12.65" customHeight="1">
      <c r="A764" s="1017" t="s">
        <v>3724</v>
      </c>
      <c r="B764" s="1017" t="s">
        <v>3710</v>
      </c>
      <c r="C764" s="1017" t="s">
        <v>3725</v>
      </c>
      <c r="D764" s="1016">
        <v>0.64</v>
      </c>
      <c r="E764" s="1015">
        <v>89</v>
      </c>
      <c r="F764" s="1014">
        <v>9.3000000000000007</v>
      </c>
      <c r="G764" s="1013">
        <v>61.7</v>
      </c>
      <c r="H764" s="1012">
        <v>96.1</v>
      </c>
    </row>
    <row r="765" spans="1:8" ht="12.65" customHeight="1">
      <c r="A765" s="1017" t="s">
        <v>3721</v>
      </c>
      <c r="B765" s="1017" t="s">
        <v>3710</v>
      </c>
      <c r="C765" s="1017" t="s">
        <v>3722</v>
      </c>
      <c r="D765" s="1016">
        <v>0.32</v>
      </c>
      <c r="E765" s="1015">
        <v>89.8</v>
      </c>
      <c r="F765" s="1014">
        <v>8.8000000000000007</v>
      </c>
      <c r="G765" s="1013">
        <v>44.6</v>
      </c>
      <c r="H765" s="1012">
        <v>91.4</v>
      </c>
    </row>
    <row r="766" spans="1:8" ht="12.65" customHeight="1">
      <c r="A766" s="1017" t="s">
        <v>3718</v>
      </c>
      <c r="B766" s="1017" t="s">
        <v>3710</v>
      </c>
      <c r="C766" s="1017" t="s">
        <v>3719</v>
      </c>
      <c r="D766" s="1016">
        <v>0.44</v>
      </c>
      <c r="E766" s="1015">
        <v>89.1</v>
      </c>
      <c r="F766" s="1014">
        <v>14.2</v>
      </c>
      <c r="G766" s="1013">
        <v>53.8</v>
      </c>
      <c r="H766" s="1012">
        <v>93.5</v>
      </c>
    </row>
    <row r="767" spans="1:8" ht="12.65" customHeight="1">
      <c r="A767" s="1017" t="s">
        <v>3715</v>
      </c>
      <c r="B767" s="1017" t="s">
        <v>3710</v>
      </c>
      <c r="C767" s="1017" t="s">
        <v>3716</v>
      </c>
      <c r="D767" s="1016">
        <v>0.46</v>
      </c>
      <c r="E767" s="1015">
        <v>83.6</v>
      </c>
      <c r="F767" s="1014">
        <v>11.5</v>
      </c>
      <c r="G767" s="1013">
        <v>25.4</v>
      </c>
      <c r="H767" s="1012">
        <v>97.6</v>
      </c>
    </row>
    <row r="768" spans="1:8" ht="12.65" customHeight="1">
      <c r="A768" s="1017" t="s">
        <v>3712</v>
      </c>
      <c r="B768" s="1017" t="s">
        <v>3710</v>
      </c>
      <c r="C768" s="1017" t="s">
        <v>3713</v>
      </c>
      <c r="D768" s="1016">
        <v>0.52</v>
      </c>
      <c r="E768" s="1015">
        <v>87.4</v>
      </c>
      <c r="F768" s="1014">
        <v>15.5</v>
      </c>
      <c r="G768" s="1013">
        <v>30.9</v>
      </c>
      <c r="H768" s="1012">
        <v>95.2</v>
      </c>
    </row>
    <row r="769" spans="1:8" ht="12.65" customHeight="1">
      <c r="A769" s="1017" t="s">
        <v>3709</v>
      </c>
      <c r="B769" s="1017" t="s">
        <v>3710</v>
      </c>
      <c r="C769" s="1017" t="s">
        <v>2822</v>
      </c>
      <c r="D769" s="1016">
        <v>0.34</v>
      </c>
      <c r="E769" s="1015">
        <v>91.1</v>
      </c>
      <c r="F769" s="1014">
        <v>12.9</v>
      </c>
      <c r="G769" s="1013" t="s">
        <v>6080</v>
      </c>
      <c r="H769" s="1012">
        <v>93.9</v>
      </c>
    </row>
    <row r="770" spans="1:8" ht="12.65" customHeight="1">
      <c r="A770" s="1017" t="s">
        <v>3702</v>
      </c>
      <c r="B770" s="1017" t="s">
        <v>3649</v>
      </c>
      <c r="C770" s="1017" t="s">
        <v>3703</v>
      </c>
      <c r="D770" s="1016">
        <v>0.86</v>
      </c>
      <c r="E770" s="1015">
        <v>89.9</v>
      </c>
      <c r="F770" s="1014">
        <v>4</v>
      </c>
      <c r="G770" s="1013">
        <v>20.2</v>
      </c>
      <c r="H770" s="1012">
        <v>99.2</v>
      </c>
    </row>
    <row r="771" spans="1:8" ht="12.65" customHeight="1">
      <c r="A771" s="1017" t="s">
        <v>3699</v>
      </c>
      <c r="B771" s="1017" t="s">
        <v>3649</v>
      </c>
      <c r="C771" s="1017" t="s">
        <v>3700</v>
      </c>
      <c r="D771" s="1016">
        <v>0.44</v>
      </c>
      <c r="E771" s="1015">
        <v>95.5</v>
      </c>
      <c r="F771" s="1014">
        <v>12.9</v>
      </c>
      <c r="G771" s="1013">
        <v>72</v>
      </c>
      <c r="H771" s="1012">
        <v>94.5</v>
      </c>
    </row>
    <row r="772" spans="1:8" ht="12.65" customHeight="1">
      <c r="A772" s="1017" t="s">
        <v>3696</v>
      </c>
      <c r="B772" s="1017" t="s">
        <v>3649</v>
      </c>
      <c r="C772" s="1017" t="s">
        <v>3697</v>
      </c>
      <c r="D772" s="1016">
        <v>0.65</v>
      </c>
      <c r="E772" s="1015">
        <v>94.7</v>
      </c>
      <c r="F772" s="1014">
        <v>11.3</v>
      </c>
      <c r="G772" s="1013">
        <v>102.1</v>
      </c>
      <c r="H772" s="1012">
        <v>97.4</v>
      </c>
    </row>
    <row r="773" spans="1:8" ht="12.65" customHeight="1">
      <c r="A773" s="1017" t="s">
        <v>3693</v>
      </c>
      <c r="B773" s="1017" t="s">
        <v>3649</v>
      </c>
      <c r="C773" s="1017" t="s">
        <v>3694</v>
      </c>
      <c r="D773" s="1016">
        <v>0.24</v>
      </c>
      <c r="E773" s="1015">
        <v>93.6</v>
      </c>
      <c r="F773" s="1014">
        <v>14.9</v>
      </c>
      <c r="G773" s="1013">
        <v>11.1</v>
      </c>
      <c r="H773" s="1012">
        <v>97.3</v>
      </c>
    </row>
    <row r="774" spans="1:8" ht="12.65" customHeight="1">
      <c r="A774" s="1017" t="s">
        <v>3690</v>
      </c>
      <c r="B774" s="1017" t="s">
        <v>3649</v>
      </c>
      <c r="C774" s="1017" t="s">
        <v>3691</v>
      </c>
      <c r="D774" s="1016">
        <v>0.22</v>
      </c>
      <c r="E774" s="1015">
        <v>96.8</v>
      </c>
      <c r="F774" s="1014">
        <v>15.1</v>
      </c>
      <c r="G774" s="1013" t="s">
        <v>6080</v>
      </c>
      <c r="H774" s="1012">
        <v>95.3</v>
      </c>
    </row>
    <row r="775" spans="1:8" ht="12.65" customHeight="1">
      <c r="A775" s="1017" t="s">
        <v>3687</v>
      </c>
      <c r="B775" s="1017" t="s">
        <v>3649</v>
      </c>
      <c r="C775" s="1017" t="s">
        <v>3688</v>
      </c>
      <c r="D775" s="1016">
        <v>0.54</v>
      </c>
      <c r="E775" s="1015">
        <v>95.5</v>
      </c>
      <c r="F775" s="1014">
        <v>8.6999999999999993</v>
      </c>
      <c r="G775" s="1013">
        <v>106.8</v>
      </c>
      <c r="H775" s="1012">
        <v>97.2</v>
      </c>
    </row>
    <row r="776" spans="1:8" ht="12.65" customHeight="1">
      <c r="A776" s="1017" t="s">
        <v>3684</v>
      </c>
      <c r="B776" s="1017" t="s">
        <v>3649</v>
      </c>
      <c r="C776" s="1017" t="s">
        <v>3685</v>
      </c>
      <c r="D776" s="1016">
        <v>0.4</v>
      </c>
      <c r="E776" s="1015">
        <v>89.9</v>
      </c>
      <c r="F776" s="1014">
        <v>7.1</v>
      </c>
      <c r="G776" s="1013" t="s">
        <v>6080</v>
      </c>
      <c r="H776" s="1012">
        <v>94.3</v>
      </c>
    </row>
    <row r="777" spans="1:8" ht="12.65" customHeight="1">
      <c r="A777" s="1017" t="s">
        <v>3681</v>
      </c>
      <c r="B777" s="1017" t="s">
        <v>3649</v>
      </c>
      <c r="C777" s="1017" t="s">
        <v>3682</v>
      </c>
      <c r="D777" s="1016">
        <v>0.41</v>
      </c>
      <c r="E777" s="1015">
        <v>90.8</v>
      </c>
      <c r="F777" s="1014">
        <v>10.6</v>
      </c>
      <c r="G777" s="1013">
        <v>87.7</v>
      </c>
      <c r="H777" s="1012">
        <v>94.8</v>
      </c>
    </row>
    <row r="778" spans="1:8" ht="12.65" customHeight="1">
      <c r="A778" s="1017" t="s">
        <v>3678</v>
      </c>
      <c r="B778" s="1017" t="s">
        <v>3649</v>
      </c>
      <c r="C778" s="1017" t="s">
        <v>3679</v>
      </c>
      <c r="D778" s="1016">
        <v>0.63</v>
      </c>
      <c r="E778" s="1015">
        <v>94.4</v>
      </c>
      <c r="F778" s="1014">
        <v>11</v>
      </c>
      <c r="G778" s="1013">
        <v>120.3</v>
      </c>
      <c r="H778" s="1012">
        <v>97.6</v>
      </c>
    </row>
    <row r="779" spans="1:8" ht="12.65" customHeight="1">
      <c r="A779" s="1017" t="s">
        <v>3675</v>
      </c>
      <c r="B779" s="1017" t="s">
        <v>3649</v>
      </c>
      <c r="C779" s="1017" t="s">
        <v>3676</v>
      </c>
      <c r="D779" s="1016">
        <v>0.65</v>
      </c>
      <c r="E779" s="1015">
        <v>93.7</v>
      </c>
      <c r="F779" s="1014">
        <v>3.8</v>
      </c>
      <c r="G779" s="1013">
        <v>1.8</v>
      </c>
      <c r="H779" s="1012">
        <v>96.1</v>
      </c>
    </row>
    <row r="780" spans="1:8" ht="12.65" customHeight="1">
      <c r="A780" s="1017" t="s">
        <v>3672</v>
      </c>
      <c r="B780" s="1017" t="s">
        <v>3649</v>
      </c>
      <c r="C780" s="1017" t="s">
        <v>3673</v>
      </c>
      <c r="D780" s="1016">
        <v>0.78</v>
      </c>
      <c r="E780" s="1015">
        <v>94</v>
      </c>
      <c r="F780" s="1014">
        <v>6.7</v>
      </c>
      <c r="G780" s="1013" t="s">
        <v>6080</v>
      </c>
      <c r="H780" s="1012">
        <v>96.6</v>
      </c>
    </row>
    <row r="781" spans="1:8" ht="12.65" customHeight="1">
      <c r="A781" s="1017" t="s">
        <v>3669</v>
      </c>
      <c r="B781" s="1017" t="s">
        <v>3649</v>
      </c>
      <c r="C781" s="1017" t="s">
        <v>3670</v>
      </c>
      <c r="D781" s="1016">
        <v>0.54</v>
      </c>
      <c r="E781" s="1015">
        <v>86.1</v>
      </c>
      <c r="F781" s="1014">
        <v>7.3</v>
      </c>
      <c r="G781" s="1013">
        <v>4.2</v>
      </c>
      <c r="H781" s="1012">
        <v>92.3</v>
      </c>
    </row>
    <row r="782" spans="1:8" ht="12.65" customHeight="1">
      <c r="A782" s="1017" t="s">
        <v>3666</v>
      </c>
      <c r="B782" s="1017" t="s">
        <v>3649</v>
      </c>
      <c r="C782" s="1017" t="s">
        <v>3667</v>
      </c>
      <c r="D782" s="1016">
        <v>0.55000000000000004</v>
      </c>
      <c r="E782" s="1015">
        <v>88.9</v>
      </c>
      <c r="F782" s="1014">
        <v>7.5</v>
      </c>
      <c r="G782" s="1013">
        <v>77.599999999999994</v>
      </c>
      <c r="H782" s="1012">
        <v>94.9</v>
      </c>
    </row>
    <row r="783" spans="1:8" ht="12.65" customHeight="1">
      <c r="A783" s="1017" t="s">
        <v>3663</v>
      </c>
      <c r="B783" s="1017" t="s">
        <v>3649</v>
      </c>
      <c r="C783" s="1017" t="s">
        <v>3664</v>
      </c>
      <c r="D783" s="1016">
        <v>0.5</v>
      </c>
      <c r="E783" s="1015">
        <v>88.9</v>
      </c>
      <c r="F783" s="1014">
        <v>8.5</v>
      </c>
      <c r="G783" s="1013">
        <v>49.2</v>
      </c>
      <c r="H783" s="1012">
        <v>93.3</v>
      </c>
    </row>
    <row r="784" spans="1:8" ht="12.65" customHeight="1">
      <c r="A784" s="1017" t="s">
        <v>3660</v>
      </c>
      <c r="B784" s="1017" t="s">
        <v>3649</v>
      </c>
      <c r="C784" s="1017" t="s">
        <v>3661</v>
      </c>
      <c r="D784" s="1016">
        <v>0.54</v>
      </c>
      <c r="E784" s="1015">
        <v>90</v>
      </c>
      <c r="F784" s="1014">
        <v>8.5</v>
      </c>
      <c r="G784" s="1013" t="s">
        <v>6080</v>
      </c>
      <c r="H784" s="1012">
        <v>93.1</v>
      </c>
    </row>
    <row r="785" spans="1:8" ht="12.65" customHeight="1">
      <c r="A785" s="1017" t="s">
        <v>3657</v>
      </c>
      <c r="B785" s="1017" t="s">
        <v>3649</v>
      </c>
      <c r="C785" s="1017" t="s">
        <v>3658</v>
      </c>
      <c r="D785" s="1016">
        <v>0.36</v>
      </c>
      <c r="E785" s="1015">
        <v>88.9</v>
      </c>
      <c r="F785" s="1014">
        <v>8.5</v>
      </c>
      <c r="G785" s="1013" t="s">
        <v>6080</v>
      </c>
      <c r="H785" s="1012">
        <v>92.6</v>
      </c>
    </row>
    <row r="786" spans="1:8" ht="12.65" customHeight="1">
      <c r="A786" s="1017" t="s">
        <v>3654</v>
      </c>
      <c r="B786" s="1017" t="s">
        <v>3649</v>
      </c>
      <c r="C786" s="1017" t="s">
        <v>3655</v>
      </c>
      <c r="D786" s="1016">
        <v>0.3</v>
      </c>
      <c r="E786" s="1015">
        <v>93.1</v>
      </c>
      <c r="F786" s="1014">
        <v>15.2</v>
      </c>
      <c r="G786" s="1013">
        <v>27.3</v>
      </c>
      <c r="H786" s="1012">
        <v>90.5</v>
      </c>
    </row>
    <row r="787" spans="1:8" ht="12.65" customHeight="1">
      <c r="A787" s="1017" t="s">
        <v>3651</v>
      </c>
      <c r="B787" s="1017" t="s">
        <v>3649</v>
      </c>
      <c r="C787" s="1017" t="s">
        <v>3652</v>
      </c>
      <c r="D787" s="1016">
        <v>0.25</v>
      </c>
      <c r="E787" s="1015">
        <v>88.9</v>
      </c>
      <c r="F787" s="1014">
        <v>9.1</v>
      </c>
      <c r="G787" s="1013">
        <v>53.6</v>
      </c>
      <c r="H787" s="1012">
        <v>93</v>
      </c>
    </row>
    <row r="788" spans="1:8" ht="12.65" customHeight="1">
      <c r="A788" s="1017" t="s">
        <v>3647</v>
      </c>
      <c r="B788" s="1017" t="s">
        <v>3649</v>
      </c>
      <c r="C788" s="1017" t="s">
        <v>3648</v>
      </c>
      <c r="D788" s="1016">
        <v>0.19</v>
      </c>
      <c r="E788" s="1015">
        <v>86.2</v>
      </c>
      <c r="F788" s="1014">
        <v>4</v>
      </c>
      <c r="G788" s="1013">
        <v>1.6</v>
      </c>
      <c r="H788" s="1012">
        <v>94.3</v>
      </c>
    </row>
    <row r="789" spans="1:8" ht="12.65" customHeight="1">
      <c r="A789" s="1017" t="s">
        <v>3640</v>
      </c>
      <c r="B789" s="1017" t="s">
        <v>3598</v>
      </c>
      <c r="C789" s="1017" t="s">
        <v>3641</v>
      </c>
      <c r="D789" s="1016">
        <v>0.78</v>
      </c>
      <c r="E789" s="1015">
        <v>91.1</v>
      </c>
      <c r="F789" s="1014">
        <v>10.4</v>
      </c>
      <c r="G789" s="1013">
        <v>47.2</v>
      </c>
      <c r="H789" s="1012">
        <v>99.5</v>
      </c>
    </row>
    <row r="790" spans="1:8" ht="12.65" customHeight="1">
      <c r="A790" s="1017" t="s">
        <v>3637</v>
      </c>
      <c r="B790" s="1017" t="s">
        <v>3598</v>
      </c>
      <c r="C790" s="1017" t="s">
        <v>3638</v>
      </c>
      <c r="D790" s="1016">
        <v>0.86</v>
      </c>
      <c r="E790" s="1015">
        <v>94.7</v>
      </c>
      <c r="F790" s="1014">
        <v>3.9</v>
      </c>
      <c r="G790" s="1013" t="s">
        <v>6080</v>
      </c>
      <c r="H790" s="1012">
        <v>97.4</v>
      </c>
    </row>
    <row r="791" spans="1:8" ht="12.65" customHeight="1">
      <c r="A791" s="1017" t="s">
        <v>3634</v>
      </c>
      <c r="B791" s="1017" t="s">
        <v>3598</v>
      </c>
      <c r="C791" s="1017" t="s">
        <v>3635</v>
      </c>
      <c r="D791" s="1016">
        <v>0.42</v>
      </c>
      <c r="E791" s="1015">
        <v>98.9</v>
      </c>
      <c r="F791" s="1014">
        <v>11.3</v>
      </c>
      <c r="G791" s="1013">
        <v>94</v>
      </c>
      <c r="H791" s="1012">
        <v>96.6</v>
      </c>
    </row>
    <row r="792" spans="1:8" ht="12.65" customHeight="1">
      <c r="A792" s="1017" t="s">
        <v>3631</v>
      </c>
      <c r="B792" s="1017" t="s">
        <v>3598</v>
      </c>
      <c r="C792" s="1017" t="s">
        <v>3632</v>
      </c>
      <c r="D792" s="1016">
        <v>0.42</v>
      </c>
      <c r="E792" s="1015">
        <v>95.1</v>
      </c>
      <c r="F792" s="1014">
        <v>5.7</v>
      </c>
      <c r="G792" s="1013">
        <v>17</v>
      </c>
      <c r="H792" s="1012">
        <v>97.1</v>
      </c>
    </row>
    <row r="793" spans="1:8" ht="12.65" customHeight="1">
      <c r="A793" s="1017" t="s">
        <v>3628</v>
      </c>
      <c r="B793" s="1017" t="s">
        <v>3598</v>
      </c>
      <c r="C793" s="1017" t="s">
        <v>3629</v>
      </c>
      <c r="D793" s="1016">
        <v>0.42</v>
      </c>
      <c r="E793" s="1015">
        <v>92.5</v>
      </c>
      <c r="F793" s="1014">
        <v>8.9</v>
      </c>
      <c r="G793" s="1013">
        <v>32.9</v>
      </c>
      <c r="H793" s="1012">
        <v>94.5</v>
      </c>
    </row>
    <row r="794" spans="1:8" ht="12.65" customHeight="1">
      <c r="A794" s="1017" t="s">
        <v>3625</v>
      </c>
      <c r="B794" s="1017" t="s">
        <v>3598</v>
      </c>
      <c r="C794" s="1017" t="s">
        <v>3626</v>
      </c>
      <c r="D794" s="1016">
        <v>0.66</v>
      </c>
      <c r="E794" s="1015">
        <v>91</v>
      </c>
      <c r="F794" s="1014">
        <v>5.0999999999999996</v>
      </c>
      <c r="G794" s="1013" t="s">
        <v>6080</v>
      </c>
      <c r="H794" s="1012">
        <v>96.8</v>
      </c>
    </row>
    <row r="795" spans="1:8" ht="12.65" customHeight="1">
      <c r="A795" s="1017" t="s">
        <v>3622</v>
      </c>
      <c r="B795" s="1017" t="s">
        <v>3598</v>
      </c>
      <c r="C795" s="1017" t="s">
        <v>3623</v>
      </c>
      <c r="D795" s="1016">
        <v>0.56000000000000005</v>
      </c>
      <c r="E795" s="1015">
        <v>94.8</v>
      </c>
      <c r="F795" s="1014">
        <v>7.3</v>
      </c>
      <c r="G795" s="1013">
        <v>23.6</v>
      </c>
      <c r="H795" s="1012">
        <v>98.4</v>
      </c>
    </row>
    <row r="796" spans="1:8" ht="12.65" customHeight="1">
      <c r="A796" s="1017" t="s">
        <v>3619</v>
      </c>
      <c r="B796" s="1017" t="s">
        <v>3598</v>
      </c>
      <c r="C796" s="1017" t="s">
        <v>3620</v>
      </c>
      <c r="D796" s="1016">
        <v>0.73</v>
      </c>
      <c r="E796" s="1015">
        <v>95</v>
      </c>
      <c r="F796" s="1014">
        <v>10.199999999999999</v>
      </c>
      <c r="G796" s="1013">
        <v>128.19999999999999</v>
      </c>
      <c r="H796" s="1012">
        <v>99.2</v>
      </c>
    </row>
    <row r="797" spans="1:8" ht="12.65" customHeight="1">
      <c r="A797" s="1017" t="s">
        <v>3616</v>
      </c>
      <c r="B797" s="1017" t="s">
        <v>3598</v>
      </c>
      <c r="C797" s="1017" t="s">
        <v>3617</v>
      </c>
      <c r="D797" s="1016">
        <v>0.6</v>
      </c>
      <c r="E797" s="1015">
        <v>95.4</v>
      </c>
      <c r="F797" s="1014">
        <v>8.1</v>
      </c>
      <c r="G797" s="1013">
        <v>8.4</v>
      </c>
      <c r="H797" s="1012">
        <v>98.7</v>
      </c>
    </row>
    <row r="798" spans="1:8" ht="12.65" customHeight="1">
      <c r="A798" s="1017" t="s">
        <v>3614</v>
      </c>
      <c r="B798" s="1017" t="s">
        <v>3598</v>
      </c>
      <c r="C798" s="1017" t="s">
        <v>3615</v>
      </c>
      <c r="D798" s="1016">
        <v>0.37</v>
      </c>
      <c r="E798" s="1015">
        <v>96.8</v>
      </c>
      <c r="F798" s="1014">
        <v>7.5</v>
      </c>
      <c r="G798" s="1013" t="s">
        <v>6080</v>
      </c>
      <c r="H798" s="1012">
        <v>93.8</v>
      </c>
    </row>
    <row r="799" spans="1:8" ht="12.65" customHeight="1">
      <c r="A799" s="1017" t="s">
        <v>3612</v>
      </c>
      <c r="B799" s="1017" t="s">
        <v>3598</v>
      </c>
      <c r="C799" s="1017" t="s">
        <v>3183</v>
      </c>
      <c r="D799" s="1016">
        <v>0.14000000000000001</v>
      </c>
      <c r="E799" s="1015">
        <v>80.900000000000006</v>
      </c>
      <c r="F799" s="1014">
        <v>8</v>
      </c>
      <c r="G799" s="1013" t="s">
        <v>6080</v>
      </c>
      <c r="H799" s="1012">
        <v>92.7</v>
      </c>
    </row>
    <row r="800" spans="1:8" ht="12.65" customHeight="1">
      <c r="A800" s="1017" t="s">
        <v>3610</v>
      </c>
      <c r="B800" s="1017" t="s">
        <v>3598</v>
      </c>
      <c r="C800" s="1017" t="s">
        <v>3611</v>
      </c>
      <c r="D800" s="1016">
        <v>0.27</v>
      </c>
      <c r="E800" s="1015">
        <v>88.7</v>
      </c>
      <c r="F800" s="1014">
        <v>2</v>
      </c>
      <c r="G800" s="1013" t="s">
        <v>6080</v>
      </c>
      <c r="H800" s="1012">
        <v>90.8</v>
      </c>
    </row>
    <row r="801" spans="1:8" ht="12.65" customHeight="1">
      <c r="A801" s="1017" t="s">
        <v>3607</v>
      </c>
      <c r="B801" s="1017" t="s">
        <v>3598</v>
      </c>
      <c r="C801" s="1017" t="s">
        <v>3608</v>
      </c>
      <c r="D801" s="1016">
        <v>0.33</v>
      </c>
      <c r="E801" s="1015">
        <v>92.4</v>
      </c>
      <c r="F801" s="1014">
        <v>9.8000000000000007</v>
      </c>
      <c r="G801" s="1013" t="s">
        <v>6080</v>
      </c>
      <c r="H801" s="1012">
        <v>91.7</v>
      </c>
    </row>
    <row r="802" spans="1:8" ht="12.65" customHeight="1">
      <c r="A802" s="1017" t="s">
        <v>3605</v>
      </c>
      <c r="B802" s="1017" t="s">
        <v>3598</v>
      </c>
      <c r="C802" s="1017" t="s">
        <v>2214</v>
      </c>
      <c r="D802" s="1016">
        <v>1.04</v>
      </c>
      <c r="E802" s="1015">
        <v>69.099999999999994</v>
      </c>
      <c r="F802" s="1014">
        <v>8.4</v>
      </c>
      <c r="G802" s="1013">
        <v>53.3</v>
      </c>
      <c r="H802" s="1012">
        <v>93.7</v>
      </c>
    </row>
    <row r="803" spans="1:8" ht="12.65" customHeight="1">
      <c r="A803" s="1017" t="s">
        <v>3603</v>
      </c>
      <c r="B803" s="1017" t="s">
        <v>3598</v>
      </c>
      <c r="C803" s="1017" t="s">
        <v>3604</v>
      </c>
      <c r="D803" s="1016">
        <v>1.33</v>
      </c>
      <c r="E803" s="1015">
        <v>70.400000000000006</v>
      </c>
      <c r="F803" s="1014">
        <v>6.5</v>
      </c>
      <c r="G803" s="1013" t="s">
        <v>6080</v>
      </c>
      <c r="H803" s="1012">
        <v>91.6</v>
      </c>
    </row>
    <row r="804" spans="1:8" ht="12.65" customHeight="1">
      <c r="A804" s="1017" t="s">
        <v>3600</v>
      </c>
      <c r="B804" s="1017" t="s">
        <v>3598</v>
      </c>
      <c r="C804" s="1017" t="s">
        <v>3601</v>
      </c>
      <c r="D804" s="1016">
        <v>1.02</v>
      </c>
      <c r="E804" s="1015">
        <v>74.599999999999994</v>
      </c>
      <c r="F804" s="1014">
        <v>1</v>
      </c>
      <c r="G804" s="1013" t="s">
        <v>6080</v>
      </c>
      <c r="H804" s="1012">
        <v>92</v>
      </c>
    </row>
    <row r="805" spans="1:8" ht="12.65" customHeight="1">
      <c r="A805" s="1017" t="s">
        <v>3596</v>
      </c>
      <c r="B805" s="1017" t="s">
        <v>3598</v>
      </c>
      <c r="C805" s="1017" t="s">
        <v>3597</v>
      </c>
      <c r="D805" s="1016">
        <v>0.33</v>
      </c>
      <c r="E805" s="1015">
        <v>88.8</v>
      </c>
      <c r="F805" s="1014">
        <v>14.8</v>
      </c>
      <c r="G805" s="1013">
        <v>57.7</v>
      </c>
      <c r="H805" s="1012">
        <v>91.4</v>
      </c>
    </row>
    <row r="806" spans="1:8" ht="12.65" customHeight="1">
      <c r="A806" s="1017" t="s">
        <v>3590</v>
      </c>
      <c r="B806" s="1017" t="s">
        <v>3515</v>
      </c>
      <c r="C806" s="1017" t="s">
        <v>3591</v>
      </c>
      <c r="D806" s="1016">
        <v>0.71</v>
      </c>
      <c r="E806" s="1015">
        <v>91.7</v>
      </c>
      <c r="F806" s="1014">
        <v>8.3000000000000007</v>
      </c>
      <c r="G806" s="1013">
        <v>15.6</v>
      </c>
      <c r="H806" s="1012">
        <v>97.9</v>
      </c>
    </row>
    <row r="807" spans="1:8" ht="12.65" customHeight="1">
      <c r="A807" s="1017" t="s">
        <v>3587</v>
      </c>
      <c r="B807" s="1017" t="s">
        <v>3515</v>
      </c>
      <c r="C807" s="1017" t="s">
        <v>3588</v>
      </c>
      <c r="D807" s="1016">
        <v>0.66</v>
      </c>
      <c r="E807" s="1015">
        <v>83.2</v>
      </c>
      <c r="F807" s="1014">
        <v>9.5</v>
      </c>
      <c r="G807" s="1013" t="s">
        <v>6080</v>
      </c>
      <c r="H807" s="1012">
        <v>99</v>
      </c>
    </row>
    <row r="808" spans="1:8" ht="12.65" customHeight="1">
      <c r="A808" s="1017" t="s">
        <v>3584</v>
      </c>
      <c r="B808" s="1017" t="s">
        <v>3515</v>
      </c>
      <c r="C808" s="1017" t="s">
        <v>3585</v>
      </c>
      <c r="D808" s="1016">
        <v>0.45</v>
      </c>
      <c r="E808" s="1015">
        <v>89.6</v>
      </c>
      <c r="F808" s="1014">
        <v>11.4</v>
      </c>
      <c r="G808" s="1013" t="s">
        <v>6080</v>
      </c>
      <c r="H808" s="1012">
        <v>97.7</v>
      </c>
    </row>
    <row r="809" spans="1:8" ht="12.65" customHeight="1">
      <c r="A809" s="1017" t="s">
        <v>3581</v>
      </c>
      <c r="B809" s="1017" t="s">
        <v>3515</v>
      </c>
      <c r="C809" s="1017" t="s">
        <v>3582</v>
      </c>
      <c r="D809" s="1016">
        <v>0.41</v>
      </c>
      <c r="E809" s="1015">
        <v>99.4</v>
      </c>
      <c r="F809" s="1014">
        <v>12.3</v>
      </c>
      <c r="G809" s="1013">
        <v>27.3</v>
      </c>
      <c r="H809" s="1012">
        <v>96.6</v>
      </c>
    </row>
    <row r="810" spans="1:8" ht="12.65" customHeight="1">
      <c r="A810" s="1017" t="s">
        <v>3578</v>
      </c>
      <c r="B810" s="1017" t="s">
        <v>3515</v>
      </c>
      <c r="C810" s="1017" t="s">
        <v>3579</v>
      </c>
      <c r="D810" s="1016">
        <v>0.6</v>
      </c>
      <c r="E810" s="1015">
        <v>92.1</v>
      </c>
      <c r="F810" s="1014">
        <v>14.7</v>
      </c>
      <c r="G810" s="1013">
        <v>72.3</v>
      </c>
      <c r="H810" s="1012">
        <v>95.7</v>
      </c>
    </row>
    <row r="811" spans="1:8" ht="12.65" customHeight="1">
      <c r="A811" s="1017" t="s">
        <v>3575</v>
      </c>
      <c r="B811" s="1017" t="s">
        <v>3515</v>
      </c>
      <c r="C811" s="1017" t="s">
        <v>3576</v>
      </c>
      <c r="D811" s="1016">
        <v>0.74</v>
      </c>
      <c r="E811" s="1015">
        <v>95.1</v>
      </c>
      <c r="F811" s="1014">
        <v>10.5</v>
      </c>
      <c r="G811" s="1013">
        <v>56.9</v>
      </c>
      <c r="H811" s="1012">
        <v>98.7</v>
      </c>
    </row>
    <row r="812" spans="1:8" ht="12.65" customHeight="1">
      <c r="A812" s="1017" t="s">
        <v>3572</v>
      </c>
      <c r="B812" s="1017" t="s">
        <v>3515</v>
      </c>
      <c r="C812" s="1017" t="s">
        <v>3573</v>
      </c>
      <c r="D812" s="1016">
        <v>0.5</v>
      </c>
      <c r="E812" s="1015">
        <v>92.1</v>
      </c>
      <c r="F812" s="1014">
        <v>4.5999999999999996</v>
      </c>
      <c r="G812" s="1013" t="s">
        <v>6080</v>
      </c>
      <c r="H812" s="1012">
        <v>98.5</v>
      </c>
    </row>
    <row r="813" spans="1:8" ht="12.65" customHeight="1">
      <c r="A813" s="1017" t="s">
        <v>3569</v>
      </c>
      <c r="B813" s="1017" t="s">
        <v>3515</v>
      </c>
      <c r="C813" s="1017" t="s">
        <v>3570</v>
      </c>
      <c r="D813" s="1016">
        <v>0.41</v>
      </c>
      <c r="E813" s="1015">
        <v>85.9</v>
      </c>
      <c r="F813" s="1014">
        <v>5.8</v>
      </c>
      <c r="G813" s="1013" t="s">
        <v>6080</v>
      </c>
      <c r="H813" s="1012">
        <v>98.7</v>
      </c>
    </row>
    <row r="814" spans="1:8" ht="12.65" customHeight="1">
      <c r="A814" s="1017" t="s">
        <v>3566</v>
      </c>
      <c r="B814" s="1017" t="s">
        <v>3515</v>
      </c>
      <c r="C814" s="1017" t="s">
        <v>3567</v>
      </c>
      <c r="D814" s="1016">
        <v>0.61</v>
      </c>
      <c r="E814" s="1015">
        <v>88.9</v>
      </c>
      <c r="F814" s="1014">
        <v>5.2</v>
      </c>
      <c r="G814" s="1013" t="s">
        <v>6080</v>
      </c>
      <c r="H814" s="1012">
        <v>97.1</v>
      </c>
    </row>
    <row r="815" spans="1:8" ht="12.65" customHeight="1">
      <c r="A815" s="1017" t="s">
        <v>3563</v>
      </c>
      <c r="B815" s="1017" t="s">
        <v>3515</v>
      </c>
      <c r="C815" s="1017" t="s">
        <v>3564</v>
      </c>
      <c r="D815" s="1016">
        <v>0.51</v>
      </c>
      <c r="E815" s="1015">
        <v>94.6</v>
      </c>
      <c r="F815" s="1014">
        <v>7.5</v>
      </c>
      <c r="G815" s="1013" t="s">
        <v>6080</v>
      </c>
      <c r="H815" s="1012">
        <v>97.4</v>
      </c>
    </row>
    <row r="816" spans="1:8" ht="12.65" customHeight="1">
      <c r="A816" s="1017" t="s">
        <v>3560</v>
      </c>
      <c r="B816" s="1017" t="s">
        <v>3515</v>
      </c>
      <c r="C816" s="1017" t="s">
        <v>3561</v>
      </c>
      <c r="D816" s="1016">
        <v>0.48</v>
      </c>
      <c r="E816" s="1015">
        <v>88</v>
      </c>
      <c r="F816" s="1014">
        <v>12.1</v>
      </c>
      <c r="G816" s="1013">
        <v>12.4</v>
      </c>
      <c r="H816" s="1012">
        <v>97.5</v>
      </c>
    </row>
    <row r="817" spans="1:8" ht="12.65" customHeight="1">
      <c r="A817" s="1017" t="s">
        <v>3557</v>
      </c>
      <c r="B817" s="1017" t="s">
        <v>3515</v>
      </c>
      <c r="C817" s="1017" t="s">
        <v>3558</v>
      </c>
      <c r="D817" s="1016">
        <v>0.43</v>
      </c>
      <c r="E817" s="1015">
        <v>90.1</v>
      </c>
      <c r="F817" s="1014">
        <v>14.3</v>
      </c>
      <c r="G817" s="1013">
        <v>47.5</v>
      </c>
      <c r="H817" s="1012">
        <v>95.5</v>
      </c>
    </row>
    <row r="818" spans="1:8" ht="12.65" customHeight="1">
      <c r="A818" s="1017" t="s">
        <v>3554</v>
      </c>
      <c r="B818" s="1017" t="s">
        <v>3515</v>
      </c>
      <c r="C818" s="1017" t="s">
        <v>3555</v>
      </c>
      <c r="D818" s="1016">
        <v>0.66</v>
      </c>
      <c r="E818" s="1015">
        <v>91.4</v>
      </c>
      <c r="F818" s="1014">
        <v>7.1</v>
      </c>
      <c r="G818" s="1013" t="s">
        <v>6080</v>
      </c>
      <c r="H818" s="1012">
        <v>96.3</v>
      </c>
    </row>
    <row r="819" spans="1:8" ht="12.65" customHeight="1">
      <c r="A819" s="1017" t="s">
        <v>3551</v>
      </c>
      <c r="B819" s="1017" t="s">
        <v>3515</v>
      </c>
      <c r="C819" s="1017" t="s">
        <v>3552</v>
      </c>
      <c r="D819" s="1016">
        <v>0.3</v>
      </c>
      <c r="E819" s="1015">
        <v>98.1</v>
      </c>
      <c r="F819" s="1014">
        <v>13</v>
      </c>
      <c r="G819" s="1013">
        <v>111.1</v>
      </c>
      <c r="H819" s="1012">
        <v>96.1</v>
      </c>
    </row>
    <row r="820" spans="1:8" ht="12.65" customHeight="1">
      <c r="A820" s="1017" t="s">
        <v>3548</v>
      </c>
      <c r="B820" s="1017" t="s">
        <v>3515</v>
      </c>
      <c r="C820" s="1017" t="s">
        <v>3549</v>
      </c>
      <c r="D820" s="1016">
        <v>0.26</v>
      </c>
      <c r="E820" s="1015">
        <v>76.400000000000006</v>
      </c>
      <c r="F820" s="1014">
        <v>3.3</v>
      </c>
      <c r="G820" s="1013" t="s">
        <v>6080</v>
      </c>
      <c r="H820" s="1012">
        <v>96.8</v>
      </c>
    </row>
    <row r="821" spans="1:8" ht="12.65" customHeight="1">
      <c r="A821" s="1017" t="s">
        <v>3545</v>
      </c>
      <c r="B821" s="1017" t="s">
        <v>3515</v>
      </c>
      <c r="C821" s="1017" t="s">
        <v>3546</v>
      </c>
      <c r="D821" s="1016">
        <v>0.25</v>
      </c>
      <c r="E821" s="1015">
        <v>77.099999999999994</v>
      </c>
      <c r="F821" s="1014">
        <v>-0.6</v>
      </c>
      <c r="G821" s="1013" t="s">
        <v>6080</v>
      </c>
      <c r="H821" s="1012">
        <v>95.1</v>
      </c>
    </row>
    <row r="822" spans="1:8" ht="12.65" customHeight="1">
      <c r="A822" s="1017" t="s">
        <v>3543</v>
      </c>
      <c r="B822" s="1017" t="s">
        <v>3515</v>
      </c>
      <c r="C822" s="1017" t="s">
        <v>2125</v>
      </c>
      <c r="D822" s="1016">
        <v>0.27</v>
      </c>
      <c r="E822" s="1015">
        <v>78.599999999999994</v>
      </c>
      <c r="F822" s="1014">
        <v>1</v>
      </c>
      <c r="G822" s="1013" t="s">
        <v>6080</v>
      </c>
      <c r="H822" s="1012">
        <v>96.3</v>
      </c>
    </row>
    <row r="823" spans="1:8" ht="12.65" customHeight="1">
      <c r="A823" s="1017" t="s">
        <v>3541</v>
      </c>
      <c r="B823" s="1017" t="s">
        <v>3515</v>
      </c>
      <c r="C823" s="1017" t="s">
        <v>3542</v>
      </c>
      <c r="D823" s="1016">
        <v>0.34</v>
      </c>
      <c r="E823" s="1015">
        <v>86.8</v>
      </c>
      <c r="F823" s="1014">
        <v>10.4</v>
      </c>
      <c r="G823" s="1013">
        <v>61.7</v>
      </c>
      <c r="H823" s="1012">
        <v>97</v>
      </c>
    </row>
    <row r="824" spans="1:8" ht="12.65" customHeight="1">
      <c r="A824" s="1017" t="s">
        <v>3538</v>
      </c>
      <c r="B824" s="1017" t="s">
        <v>3515</v>
      </c>
      <c r="C824" s="1017" t="s">
        <v>3539</v>
      </c>
      <c r="D824" s="1016">
        <v>1.1200000000000001</v>
      </c>
      <c r="E824" s="1015">
        <v>83.9</v>
      </c>
      <c r="F824" s="1014">
        <v>8.6999999999999993</v>
      </c>
      <c r="G824" s="1013" t="s">
        <v>6080</v>
      </c>
      <c r="H824" s="1012">
        <v>93.9</v>
      </c>
    </row>
    <row r="825" spans="1:8" ht="12.65" customHeight="1">
      <c r="A825" s="1017" t="s">
        <v>3535</v>
      </c>
      <c r="B825" s="1017" t="s">
        <v>3515</v>
      </c>
      <c r="C825" s="1017" t="s">
        <v>3536</v>
      </c>
      <c r="D825" s="1016">
        <v>0.15</v>
      </c>
      <c r="E825" s="1015">
        <v>86.9</v>
      </c>
      <c r="F825" s="1014">
        <v>9.6</v>
      </c>
      <c r="G825" s="1013" t="s">
        <v>6080</v>
      </c>
      <c r="H825" s="1012">
        <v>95.6</v>
      </c>
    </row>
    <row r="826" spans="1:8" ht="12.65" customHeight="1">
      <c r="A826" s="1017" t="s">
        <v>3532</v>
      </c>
      <c r="B826" s="1017" t="s">
        <v>3515</v>
      </c>
      <c r="C826" s="1017" t="s">
        <v>3533</v>
      </c>
      <c r="D826" s="1016">
        <v>0.28000000000000003</v>
      </c>
      <c r="E826" s="1015">
        <v>89.3</v>
      </c>
      <c r="F826" s="1014">
        <v>7.5</v>
      </c>
      <c r="G826" s="1013" t="s">
        <v>6080</v>
      </c>
      <c r="H826" s="1012">
        <v>91.8</v>
      </c>
    </row>
    <row r="827" spans="1:8" ht="12.65" customHeight="1">
      <c r="A827" s="1017" t="s">
        <v>3529</v>
      </c>
      <c r="B827" s="1017" t="s">
        <v>3515</v>
      </c>
      <c r="C827" s="1017" t="s">
        <v>3530</v>
      </c>
      <c r="D827" s="1016">
        <v>1.0900000000000001</v>
      </c>
      <c r="E827" s="1015">
        <v>79</v>
      </c>
      <c r="F827" s="1014">
        <v>-3.3</v>
      </c>
      <c r="G827" s="1013" t="s">
        <v>6080</v>
      </c>
      <c r="H827" s="1012">
        <v>93.7</v>
      </c>
    </row>
    <row r="828" spans="1:8" ht="12.65" customHeight="1">
      <c r="A828" s="1017" t="s">
        <v>3526</v>
      </c>
      <c r="B828" s="1017" t="s">
        <v>3515</v>
      </c>
      <c r="C828" s="1017" t="s">
        <v>3527</v>
      </c>
      <c r="D828" s="1016">
        <v>1.07</v>
      </c>
      <c r="E828" s="1015">
        <v>75.2</v>
      </c>
      <c r="F828" s="1014">
        <v>1.4</v>
      </c>
      <c r="G828" s="1013" t="s">
        <v>6080</v>
      </c>
      <c r="H828" s="1012">
        <v>93.5</v>
      </c>
    </row>
    <row r="829" spans="1:8" ht="12.65" customHeight="1">
      <c r="A829" s="1017" t="s">
        <v>3523</v>
      </c>
      <c r="B829" s="1017" t="s">
        <v>3515</v>
      </c>
      <c r="C829" s="1017" t="s">
        <v>3524</v>
      </c>
      <c r="D829" s="1016">
        <v>0.52</v>
      </c>
      <c r="E829" s="1015">
        <v>74.599999999999994</v>
      </c>
      <c r="F829" s="1014">
        <v>-2.4</v>
      </c>
      <c r="G829" s="1013" t="s">
        <v>6080</v>
      </c>
      <c r="H829" s="1012">
        <v>94.9</v>
      </c>
    </row>
    <row r="830" spans="1:8" ht="12.65" customHeight="1">
      <c r="A830" s="1017" t="s">
        <v>3520</v>
      </c>
      <c r="B830" s="1017" t="s">
        <v>3515</v>
      </c>
      <c r="C830" s="1017" t="s">
        <v>3521</v>
      </c>
      <c r="D830" s="1016">
        <v>0.57999999999999996</v>
      </c>
      <c r="E830" s="1015">
        <v>77.8</v>
      </c>
      <c r="F830" s="1014">
        <v>10.8</v>
      </c>
      <c r="G830" s="1013">
        <v>32</v>
      </c>
      <c r="H830" s="1012">
        <v>96.2</v>
      </c>
    </row>
    <row r="831" spans="1:8" ht="12.65" customHeight="1">
      <c r="A831" s="1017" t="s">
        <v>3517</v>
      </c>
      <c r="B831" s="1017" t="s">
        <v>3515</v>
      </c>
      <c r="C831" s="1017" t="s">
        <v>3518</v>
      </c>
      <c r="D831" s="1016">
        <v>0.11</v>
      </c>
      <c r="E831" s="1015">
        <v>88.1</v>
      </c>
      <c r="F831" s="1014">
        <v>10.4</v>
      </c>
      <c r="G831" s="1013" t="s">
        <v>6080</v>
      </c>
      <c r="H831" s="1012">
        <v>88.3</v>
      </c>
    </row>
    <row r="832" spans="1:8" ht="12.65" customHeight="1">
      <c r="A832" s="1017" t="s">
        <v>3513</v>
      </c>
      <c r="B832" s="1017" t="s">
        <v>3515</v>
      </c>
      <c r="C832" s="1017" t="s">
        <v>3514</v>
      </c>
      <c r="D832" s="1016">
        <v>7.0000000000000007E-2</v>
      </c>
      <c r="E832" s="1015">
        <v>94.3</v>
      </c>
      <c r="F832" s="1014">
        <v>9.3000000000000007</v>
      </c>
      <c r="G832" s="1013" t="s">
        <v>6080</v>
      </c>
      <c r="H832" s="1012">
        <v>94.7</v>
      </c>
    </row>
    <row r="833" spans="1:8" ht="12.65" customHeight="1">
      <c r="A833" s="1017" t="s">
        <v>3506</v>
      </c>
      <c r="B833" s="1017" t="s">
        <v>3284</v>
      </c>
      <c r="C833" s="1017" t="s">
        <v>3507</v>
      </c>
      <c r="D833" s="1016">
        <v>0.71</v>
      </c>
      <c r="E833" s="1015">
        <v>91.8</v>
      </c>
      <c r="F833" s="1014">
        <v>5.2</v>
      </c>
      <c r="G833" s="1013">
        <v>20.6</v>
      </c>
      <c r="H833" s="1012">
        <v>100.2</v>
      </c>
    </row>
    <row r="834" spans="1:8" ht="12.65" customHeight="1">
      <c r="A834" s="1017" t="s">
        <v>3503</v>
      </c>
      <c r="B834" s="1017" t="s">
        <v>3284</v>
      </c>
      <c r="C834" s="1017" t="s">
        <v>3504</v>
      </c>
      <c r="D834" s="1016">
        <v>0.7</v>
      </c>
      <c r="E834" s="1015">
        <v>87.8</v>
      </c>
      <c r="F834" s="1014">
        <v>3.6</v>
      </c>
      <c r="G834" s="1013" t="s">
        <v>6080</v>
      </c>
      <c r="H834" s="1012">
        <v>99.3</v>
      </c>
    </row>
    <row r="835" spans="1:8" ht="12.65" customHeight="1">
      <c r="A835" s="1017" t="s">
        <v>3500</v>
      </c>
      <c r="B835" s="1017" t="s">
        <v>3284</v>
      </c>
      <c r="C835" s="1017" t="s">
        <v>3501</v>
      </c>
      <c r="D835" s="1016">
        <v>0.57999999999999996</v>
      </c>
      <c r="E835" s="1015">
        <v>90.5</v>
      </c>
      <c r="F835" s="1014">
        <v>5.3</v>
      </c>
      <c r="G835" s="1013">
        <v>19.399999999999999</v>
      </c>
      <c r="H835" s="1012">
        <v>99.4</v>
      </c>
    </row>
    <row r="836" spans="1:8" ht="12.65" customHeight="1">
      <c r="A836" s="1017" t="s">
        <v>3497</v>
      </c>
      <c r="B836" s="1017" t="s">
        <v>3284</v>
      </c>
      <c r="C836" s="1017" t="s">
        <v>3498</v>
      </c>
      <c r="D836" s="1016">
        <v>0.6</v>
      </c>
      <c r="E836" s="1015">
        <v>88</v>
      </c>
      <c r="F836" s="1014">
        <v>6.9</v>
      </c>
      <c r="G836" s="1013">
        <v>34</v>
      </c>
      <c r="H836" s="1012">
        <v>96.2</v>
      </c>
    </row>
    <row r="837" spans="1:8" ht="12.65" customHeight="1">
      <c r="A837" s="1017" t="s">
        <v>3494</v>
      </c>
      <c r="B837" s="1017" t="s">
        <v>3284</v>
      </c>
      <c r="C837" s="1017" t="s">
        <v>3495</v>
      </c>
      <c r="D837" s="1016">
        <v>0.53</v>
      </c>
      <c r="E837" s="1015">
        <v>90.4</v>
      </c>
      <c r="F837" s="1014">
        <v>8.1</v>
      </c>
      <c r="G837" s="1013">
        <v>3.1</v>
      </c>
      <c r="H837" s="1012">
        <v>96.9</v>
      </c>
    </row>
    <row r="838" spans="1:8" ht="12.65" customHeight="1">
      <c r="A838" s="1017" t="s">
        <v>3491</v>
      </c>
      <c r="B838" s="1017" t="s">
        <v>3284</v>
      </c>
      <c r="C838" s="1017" t="s">
        <v>3492</v>
      </c>
      <c r="D838" s="1016">
        <v>0.68</v>
      </c>
      <c r="E838" s="1015">
        <v>88.7</v>
      </c>
      <c r="F838" s="1014">
        <v>7.2</v>
      </c>
      <c r="G838" s="1013">
        <v>46.4</v>
      </c>
      <c r="H838" s="1012">
        <v>96.4</v>
      </c>
    </row>
    <row r="839" spans="1:8" ht="12.65" customHeight="1">
      <c r="A839" s="1017" t="s">
        <v>3488</v>
      </c>
      <c r="B839" s="1017" t="s">
        <v>3284</v>
      </c>
      <c r="C839" s="1017" t="s">
        <v>3489</v>
      </c>
      <c r="D839" s="1016">
        <v>0.55000000000000004</v>
      </c>
      <c r="E839" s="1015">
        <v>91.7</v>
      </c>
      <c r="F839" s="1014">
        <v>8</v>
      </c>
      <c r="G839" s="1013" t="s">
        <v>6080</v>
      </c>
      <c r="H839" s="1012">
        <v>99</v>
      </c>
    </row>
    <row r="840" spans="1:8" ht="12.65" customHeight="1">
      <c r="A840" s="1017" t="s">
        <v>3485</v>
      </c>
      <c r="B840" s="1017" t="s">
        <v>3284</v>
      </c>
      <c r="C840" s="1017" t="s">
        <v>3486</v>
      </c>
      <c r="D840" s="1016">
        <v>0.57999999999999996</v>
      </c>
      <c r="E840" s="1015">
        <v>95.5</v>
      </c>
      <c r="F840" s="1014">
        <v>7.3</v>
      </c>
      <c r="G840" s="1013" t="s">
        <v>6080</v>
      </c>
      <c r="H840" s="1012">
        <v>97.8</v>
      </c>
    </row>
    <row r="841" spans="1:8" ht="12.65" customHeight="1">
      <c r="A841" s="1017" t="s">
        <v>3482</v>
      </c>
      <c r="B841" s="1017" t="s">
        <v>3284</v>
      </c>
      <c r="C841" s="1017" t="s">
        <v>3483</v>
      </c>
      <c r="D841" s="1016">
        <v>0.47</v>
      </c>
      <c r="E841" s="1015">
        <v>87.5</v>
      </c>
      <c r="F841" s="1014">
        <v>6.8</v>
      </c>
      <c r="G841" s="1013" t="s">
        <v>6080</v>
      </c>
      <c r="H841" s="1012">
        <v>97.3</v>
      </c>
    </row>
    <row r="842" spans="1:8" ht="12.65" customHeight="1">
      <c r="A842" s="1017" t="s">
        <v>3479</v>
      </c>
      <c r="B842" s="1017" t="s">
        <v>3284</v>
      </c>
      <c r="C842" s="1017" t="s">
        <v>6085</v>
      </c>
      <c r="D842" s="1016">
        <v>0.56000000000000005</v>
      </c>
      <c r="E842" s="1015">
        <v>92.1</v>
      </c>
      <c r="F842" s="1014">
        <v>11.7</v>
      </c>
      <c r="G842" s="1013">
        <v>70.599999999999994</v>
      </c>
      <c r="H842" s="1012">
        <v>97.3</v>
      </c>
    </row>
    <row r="843" spans="1:8" ht="12.65" customHeight="1">
      <c r="A843" s="1017" t="s">
        <v>3476</v>
      </c>
      <c r="B843" s="1017" t="s">
        <v>3284</v>
      </c>
      <c r="C843" s="1017" t="s">
        <v>3477</v>
      </c>
      <c r="D843" s="1016">
        <v>0.56000000000000005</v>
      </c>
      <c r="E843" s="1015">
        <v>90.7</v>
      </c>
      <c r="F843" s="1014">
        <v>6.1</v>
      </c>
      <c r="G843" s="1013" t="s">
        <v>6080</v>
      </c>
      <c r="H843" s="1012">
        <v>96.8</v>
      </c>
    </row>
    <row r="844" spans="1:8" ht="12.65" customHeight="1">
      <c r="A844" s="1017" t="s">
        <v>3473</v>
      </c>
      <c r="B844" s="1017" t="s">
        <v>3284</v>
      </c>
      <c r="C844" s="1017" t="s">
        <v>3474</v>
      </c>
      <c r="D844" s="1016">
        <v>0.44</v>
      </c>
      <c r="E844" s="1015">
        <v>89.8</v>
      </c>
      <c r="F844" s="1014">
        <v>8.3000000000000007</v>
      </c>
      <c r="G844" s="1013">
        <v>31.9</v>
      </c>
      <c r="H844" s="1012">
        <v>96.5</v>
      </c>
    </row>
    <row r="845" spans="1:8" ht="12.65" customHeight="1">
      <c r="A845" s="1017" t="s">
        <v>3470</v>
      </c>
      <c r="B845" s="1017" t="s">
        <v>3284</v>
      </c>
      <c r="C845" s="1017" t="s">
        <v>3471</v>
      </c>
      <c r="D845" s="1016">
        <v>0.34</v>
      </c>
      <c r="E845" s="1015">
        <v>91.7</v>
      </c>
      <c r="F845" s="1014">
        <v>11.7</v>
      </c>
      <c r="G845" s="1013" t="s">
        <v>6080</v>
      </c>
      <c r="H845" s="1012">
        <v>96.8</v>
      </c>
    </row>
    <row r="846" spans="1:8" ht="12.65" customHeight="1">
      <c r="A846" s="1017" t="s">
        <v>3467</v>
      </c>
      <c r="B846" s="1017" t="s">
        <v>3284</v>
      </c>
      <c r="C846" s="1017" t="s">
        <v>3468</v>
      </c>
      <c r="D846" s="1016">
        <v>0.54</v>
      </c>
      <c r="E846" s="1015">
        <v>91</v>
      </c>
      <c r="F846" s="1014">
        <v>7.5</v>
      </c>
      <c r="G846" s="1013">
        <v>45.1</v>
      </c>
      <c r="H846" s="1012">
        <v>96.2</v>
      </c>
    </row>
    <row r="847" spans="1:8" ht="12.65" customHeight="1">
      <c r="A847" s="1017" t="s">
        <v>3464</v>
      </c>
      <c r="B847" s="1017" t="s">
        <v>3284</v>
      </c>
      <c r="C847" s="1017" t="s">
        <v>3465</v>
      </c>
      <c r="D847" s="1016">
        <v>0.63</v>
      </c>
      <c r="E847" s="1015">
        <v>91.7</v>
      </c>
      <c r="F847" s="1014">
        <v>7.2</v>
      </c>
      <c r="G847" s="1013">
        <v>7.8</v>
      </c>
      <c r="H847" s="1012">
        <v>98.6</v>
      </c>
    </row>
    <row r="848" spans="1:8" ht="12.65" customHeight="1">
      <c r="A848" s="1017" t="s">
        <v>3461</v>
      </c>
      <c r="B848" s="1017" t="s">
        <v>3284</v>
      </c>
      <c r="C848" s="1017" t="s">
        <v>3462</v>
      </c>
      <c r="D848" s="1016">
        <v>0.51</v>
      </c>
      <c r="E848" s="1015">
        <v>84.8</v>
      </c>
      <c r="F848" s="1014">
        <v>1.4</v>
      </c>
      <c r="G848" s="1013" t="s">
        <v>6080</v>
      </c>
      <c r="H848" s="1012">
        <v>99.4</v>
      </c>
    </row>
    <row r="849" spans="1:8" ht="12.65" customHeight="1">
      <c r="A849" s="1017" t="s">
        <v>3458</v>
      </c>
      <c r="B849" s="1017" t="s">
        <v>3284</v>
      </c>
      <c r="C849" s="1017" t="s">
        <v>3459</v>
      </c>
      <c r="D849" s="1016">
        <v>0.5</v>
      </c>
      <c r="E849" s="1015">
        <v>94.9</v>
      </c>
      <c r="F849" s="1014">
        <v>10.7</v>
      </c>
      <c r="G849" s="1013">
        <v>5.3</v>
      </c>
      <c r="H849" s="1012">
        <v>96.5</v>
      </c>
    </row>
    <row r="850" spans="1:8" ht="12.65" customHeight="1">
      <c r="A850" s="1017" t="s">
        <v>3455</v>
      </c>
      <c r="B850" s="1017" t="s">
        <v>3284</v>
      </c>
      <c r="C850" s="1017" t="s">
        <v>3456</v>
      </c>
      <c r="D850" s="1016">
        <v>0.48</v>
      </c>
      <c r="E850" s="1015">
        <v>91.9</v>
      </c>
      <c r="F850" s="1014">
        <v>10.1</v>
      </c>
      <c r="G850" s="1013">
        <v>24.1</v>
      </c>
      <c r="H850" s="1012">
        <v>98.2</v>
      </c>
    </row>
    <row r="851" spans="1:8" ht="12.65" customHeight="1">
      <c r="A851" s="1017" t="s">
        <v>3452</v>
      </c>
      <c r="B851" s="1017" t="s">
        <v>3284</v>
      </c>
      <c r="C851" s="1017" t="s">
        <v>3453</v>
      </c>
      <c r="D851" s="1016">
        <v>0.5</v>
      </c>
      <c r="E851" s="1015">
        <v>88.4</v>
      </c>
      <c r="F851" s="1014">
        <v>8.3000000000000007</v>
      </c>
      <c r="G851" s="1013" t="s">
        <v>6080</v>
      </c>
      <c r="H851" s="1012">
        <v>97.5</v>
      </c>
    </row>
    <row r="852" spans="1:8" ht="12.65" customHeight="1">
      <c r="A852" s="1017" t="s">
        <v>3449</v>
      </c>
      <c r="B852" s="1017" t="s">
        <v>3284</v>
      </c>
      <c r="C852" s="1017" t="s">
        <v>3450</v>
      </c>
      <c r="D852" s="1016">
        <v>0.26</v>
      </c>
      <c r="E852" s="1015">
        <v>82.9</v>
      </c>
      <c r="F852" s="1014">
        <v>7.1</v>
      </c>
      <c r="G852" s="1013" t="s">
        <v>6080</v>
      </c>
      <c r="H852" s="1012">
        <v>95.6</v>
      </c>
    </row>
    <row r="853" spans="1:8" ht="12.65" customHeight="1">
      <c r="A853" s="1017" t="s">
        <v>3447</v>
      </c>
      <c r="B853" s="1017" t="s">
        <v>3284</v>
      </c>
      <c r="C853" s="1017" t="s">
        <v>2272</v>
      </c>
      <c r="D853" s="1016">
        <v>0.26</v>
      </c>
      <c r="E853" s="1015">
        <v>79.599999999999994</v>
      </c>
      <c r="F853" s="1014">
        <v>1.5</v>
      </c>
      <c r="G853" s="1013" t="s">
        <v>6080</v>
      </c>
      <c r="H853" s="1012">
        <v>91.6</v>
      </c>
    </row>
    <row r="854" spans="1:8" ht="12.65" customHeight="1">
      <c r="A854" s="1017" t="s">
        <v>3445</v>
      </c>
      <c r="B854" s="1017" t="s">
        <v>3284</v>
      </c>
      <c r="C854" s="1017" t="s">
        <v>3446</v>
      </c>
      <c r="D854" s="1016">
        <v>0.28000000000000003</v>
      </c>
      <c r="E854" s="1015">
        <v>76.099999999999994</v>
      </c>
      <c r="F854" s="1014">
        <v>2.6</v>
      </c>
      <c r="G854" s="1013" t="s">
        <v>6080</v>
      </c>
      <c r="H854" s="1012">
        <v>95.7</v>
      </c>
    </row>
    <row r="855" spans="1:8" ht="12.65" customHeight="1">
      <c r="A855" s="1017" t="s">
        <v>3442</v>
      </c>
      <c r="B855" s="1017" t="s">
        <v>3284</v>
      </c>
      <c r="C855" s="1017" t="s">
        <v>3443</v>
      </c>
      <c r="D855" s="1016">
        <v>0.61</v>
      </c>
      <c r="E855" s="1015">
        <v>82.5</v>
      </c>
      <c r="F855" s="1014">
        <v>0.5</v>
      </c>
      <c r="G855" s="1013" t="s">
        <v>6080</v>
      </c>
      <c r="H855" s="1012">
        <v>90.1</v>
      </c>
    </row>
    <row r="856" spans="1:8" ht="12.65" customHeight="1">
      <c r="A856" s="1017" t="s">
        <v>3439</v>
      </c>
      <c r="B856" s="1017" t="s">
        <v>3284</v>
      </c>
      <c r="C856" s="1017" t="s">
        <v>3440</v>
      </c>
      <c r="D856" s="1016">
        <v>0.14000000000000001</v>
      </c>
      <c r="E856" s="1015">
        <v>89.5</v>
      </c>
      <c r="F856" s="1014">
        <v>7.4</v>
      </c>
      <c r="G856" s="1013" t="s">
        <v>6080</v>
      </c>
      <c r="H856" s="1012">
        <v>90.3</v>
      </c>
    </row>
    <row r="857" spans="1:8" ht="12.65" customHeight="1">
      <c r="A857" s="1017" t="s">
        <v>3436</v>
      </c>
      <c r="B857" s="1017" t="s">
        <v>3284</v>
      </c>
      <c r="C857" s="1017" t="s">
        <v>3437</v>
      </c>
      <c r="D857" s="1016">
        <v>0.24</v>
      </c>
      <c r="E857" s="1015">
        <v>90.7</v>
      </c>
      <c r="F857" s="1014">
        <v>10.5</v>
      </c>
      <c r="G857" s="1013" t="s">
        <v>6080</v>
      </c>
      <c r="H857" s="1012">
        <v>96.2</v>
      </c>
    </row>
    <row r="858" spans="1:8" ht="12.65" customHeight="1">
      <c r="A858" s="1017" t="s">
        <v>3433</v>
      </c>
      <c r="B858" s="1017" t="s">
        <v>3284</v>
      </c>
      <c r="C858" s="1017" t="s">
        <v>3434</v>
      </c>
      <c r="D858" s="1016">
        <v>1.52</v>
      </c>
      <c r="E858" s="1015">
        <v>62.7</v>
      </c>
      <c r="F858" s="1014">
        <v>1</v>
      </c>
      <c r="G858" s="1013" t="s">
        <v>6080</v>
      </c>
      <c r="H858" s="1012">
        <v>96.4</v>
      </c>
    </row>
    <row r="859" spans="1:8" ht="12.65" customHeight="1">
      <c r="A859" s="1017" t="s">
        <v>3430</v>
      </c>
      <c r="B859" s="1017" t="s">
        <v>3284</v>
      </c>
      <c r="C859" s="1017" t="s">
        <v>3431</v>
      </c>
      <c r="D859" s="1016">
        <v>0.6</v>
      </c>
      <c r="E859" s="1015">
        <v>75.900000000000006</v>
      </c>
      <c r="F859" s="1014">
        <v>7.8</v>
      </c>
      <c r="G859" s="1013" t="s">
        <v>6080</v>
      </c>
      <c r="H859" s="1012">
        <v>96</v>
      </c>
    </row>
    <row r="860" spans="1:8" ht="12.65" customHeight="1">
      <c r="A860" s="1017" t="s">
        <v>3427</v>
      </c>
      <c r="B860" s="1017" t="s">
        <v>3284</v>
      </c>
      <c r="C860" s="1017" t="s">
        <v>3428</v>
      </c>
      <c r="D860" s="1016">
        <v>0.32</v>
      </c>
      <c r="E860" s="1015">
        <v>87.4</v>
      </c>
      <c r="F860" s="1014">
        <v>8</v>
      </c>
      <c r="G860" s="1013" t="s">
        <v>6080</v>
      </c>
      <c r="H860" s="1012">
        <v>98.6</v>
      </c>
    </row>
    <row r="861" spans="1:8" ht="12.65" customHeight="1">
      <c r="A861" s="1017" t="s">
        <v>3424</v>
      </c>
      <c r="B861" s="1017" t="s">
        <v>3284</v>
      </c>
      <c r="C861" s="1017" t="s">
        <v>3425</v>
      </c>
      <c r="D861" s="1016">
        <v>0.22</v>
      </c>
      <c r="E861" s="1015">
        <v>80.400000000000006</v>
      </c>
      <c r="F861" s="1014">
        <v>8.1</v>
      </c>
      <c r="G861" s="1013" t="s">
        <v>6080</v>
      </c>
      <c r="H861" s="1012">
        <v>95.9</v>
      </c>
    </row>
    <row r="862" spans="1:8" ht="12.65" customHeight="1">
      <c r="A862" s="1017" t="s">
        <v>3421</v>
      </c>
      <c r="B862" s="1017" t="s">
        <v>3284</v>
      </c>
      <c r="C862" s="1017" t="s">
        <v>3422</v>
      </c>
      <c r="D862" s="1016">
        <v>0.22</v>
      </c>
      <c r="E862" s="1015">
        <v>85.7</v>
      </c>
      <c r="F862" s="1014">
        <v>9.8000000000000007</v>
      </c>
      <c r="G862" s="1013">
        <v>44</v>
      </c>
      <c r="H862" s="1012">
        <v>97.6</v>
      </c>
    </row>
    <row r="863" spans="1:8" ht="12.65" customHeight="1">
      <c r="A863" s="1017" t="s">
        <v>3418</v>
      </c>
      <c r="B863" s="1017" t="s">
        <v>3284</v>
      </c>
      <c r="C863" s="1017" t="s">
        <v>3419</v>
      </c>
      <c r="D863" s="1016">
        <v>0.53</v>
      </c>
      <c r="E863" s="1015">
        <v>85.3</v>
      </c>
      <c r="F863" s="1014">
        <v>7</v>
      </c>
      <c r="G863" s="1013">
        <v>29.6</v>
      </c>
      <c r="H863" s="1012">
        <v>95.4</v>
      </c>
    </row>
    <row r="864" spans="1:8" ht="12.65" customHeight="1">
      <c r="A864" s="1017" t="s">
        <v>3415</v>
      </c>
      <c r="B864" s="1017" t="s">
        <v>3284</v>
      </c>
      <c r="C864" s="1017" t="s">
        <v>3416</v>
      </c>
      <c r="D864" s="1016">
        <v>0.52</v>
      </c>
      <c r="E864" s="1015">
        <v>90.2</v>
      </c>
      <c r="F864" s="1014">
        <v>6.3</v>
      </c>
      <c r="G864" s="1013" t="s">
        <v>6080</v>
      </c>
      <c r="H864" s="1012">
        <v>99.4</v>
      </c>
    </row>
    <row r="865" spans="1:8" ht="12.65" customHeight="1">
      <c r="A865" s="1017" t="s">
        <v>3412</v>
      </c>
      <c r="B865" s="1017" t="s">
        <v>3284</v>
      </c>
      <c r="C865" s="1017" t="s">
        <v>3413</v>
      </c>
      <c r="D865" s="1016">
        <v>0.36</v>
      </c>
      <c r="E865" s="1015">
        <v>84.7</v>
      </c>
      <c r="F865" s="1014">
        <v>6.9</v>
      </c>
      <c r="G865" s="1013" t="s">
        <v>6080</v>
      </c>
      <c r="H865" s="1012">
        <v>93.7</v>
      </c>
    </row>
    <row r="866" spans="1:8" ht="12.65" customHeight="1">
      <c r="A866" s="1017" t="s">
        <v>3409</v>
      </c>
      <c r="B866" s="1017" t="s">
        <v>3284</v>
      </c>
      <c r="C866" s="1017" t="s">
        <v>3410</v>
      </c>
      <c r="D866" s="1016">
        <v>0.45</v>
      </c>
      <c r="E866" s="1015">
        <v>86.3</v>
      </c>
      <c r="F866" s="1014">
        <v>6.7</v>
      </c>
      <c r="G866" s="1013" t="s">
        <v>6080</v>
      </c>
      <c r="H866" s="1012">
        <v>95.1</v>
      </c>
    </row>
    <row r="867" spans="1:8" ht="12.65" customHeight="1">
      <c r="A867" s="1017" t="s">
        <v>3406</v>
      </c>
      <c r="B867" s="1017" t="s">
        <v>3284</v>
      </c>
      <c r="C867" s="1017" t="s">
        <v>3407</v>
      </c>
      <c r="D867" s="1016">
        <v>0.56000000000000005</v>
      </c>
      <c r="E867" s="1015">
        <v>85.9</v>
      </c>
      <c r="F867" s="1014">
        <v>8.1999999999999993</v>
      </c>
      <c r="G867" s="1013">
        <v>30.1</v>
      </c>
      <c r="H867" s="1012">
        <v>96.7</v>
      </c>
    </row>
    <row r="868" spans="1:8" ht="12.65" customHeight="1">
      <c r="A868" s="1017" t="s">
        <v>3403</v>
      </c>
      <c r="B868" s="1017" t="s">
        <v>3284</v>
      </c>
      <c r="C868" s="1017" t="s">
        <v>3404</v>
      </c>
      <c r="D868" s="1016">
        <v>0.37</v>
      </c>
      <c r="E868" s="1015">
        <v>78.5</v>
      </c>
      <c r="F868" s="1014">
        <v>8</v>
      </c>
      <c r="G868" s="1013">
        <v>29.4</v>
      </c>
      <c r="H868" s="1012">
        <v>95</v>
      </c>
    </row>
    <row r="869" spans="1:8" ht="12.65" customHeight="1">
      <c r="A869" s="1017" t="s">
        <v>3400</v>
      </c>
      <c r="B869" s="1017" t="s">
        <v>3284</v>
      </c>
      <c r="C869" s="1017" t="s">
        <v>3401</v>
      </c>
      <c r="D869" s="1016">
        <v>0.54</v>
      </c>
      <c r="E869" s="1015">
        <v>86.6</v>
      </c>
      <c r="F869" s="1014">
        <v>7.5</v>
      </c>
      <c r="G869" s="1013">
        <v>1.7</v>
      </c>
      <c r="H869" s="1012">
        <v>95.1</v>
      </c>
    </row>
    <row r="870" spans="1:8" ht="12.65" customHeight="1">
      <c r="A870" s="1017" t="s">
        <v>3397</v>
      </c>
      <c r="B870" s="1017" t="s">
        <v>3284</v>
      </c>
      <c r="C870" s="1017" t="s">
        <v>3398</v>
      </c>
      <c r="D870" s="1016">
        <v>0.21</v>
      </c>
      <c r="E870" s="1015">
        <v>82.2</v>
      </c>
      <c r="F870" s="1014">
        <v>-1</v>
      </c>
      <c r="G870" s="1013" t="s">
        <v>6080</v>
      </c>
      <c r="H870" s="1012">
        <v>96.3</v>
      </c>
    </row>
    <row r="871" spans="1:8" ht="12.65" customHeight="1">
      <c r="A871" s="1017" t="s">
        <v>3394</v>
      </c>
      <c r="B871" s="1017" t="s">
        <v>3284</v>
      </c>
      <c r="C871" s="1017" t="s">
        <v>3395</v>
      </c>
      <c r="D871" s="1016">
        <v>0.46</v>
      </c>
      <c r="E871" s="1015">
        <v>80.900000000000006</v>
      </c>
      <c r="F871" s="1014">
        <v>7.1</v>
      </c>
      <c r="G871" s="1013" t="s">
        <v>6080</v>
      </c>
      <c r="H871" s="1012">
        <v>93.8</v>
      </c>
    </row>
    <row r="872" spans="1:8" ht="12.65" customHeight="1">
      <c r="A872" s="1017" t="s">
        <v>3391</v>
      </c>
      <c r="B872" s="1017" t="s">
        <v>3284</v>
      </c>
      <c r="C872" s="1017" t="s">
        <v>3392</v>
      </c>
      <c r="D872" s="1016">
        <v>0.38</v>
      </c>
      <c r="E872" s="1015">
        <v>85.7</v>
      </c>
      <c r="F872" s="1014">
        <v>5.9</v>
      </c>
      <c r="G872" s="1013" t="s">
        <v>6080</v>
      </c>
      <c r="H872" s="1012">
        <v>97.4</v>
      </c>
    </row>
    <row r="873" spans="1:8" ht="12.65" customHeight="1">
      <c r="A873" s="1017" t="s">
        <v>3389</v>
      </c>
      <c r="B873" s="1017" t="s">
        <v>3284</v>
      </c>
      <c r="C873" s="1017" t="s">
        <v>1129</v>
      </c>
      <c r="D873" s="1016">
        <v>0.41</v>
      </c>
      <c r="E873" s="1015">
        <v>84.8</v>
      </c>
      <c r="F873" s="1014">
        <v>8.3000000000000007</v>
      </c>
      <c r="G873" s="1013">
        <v>35.5</v>
      </c>
      <c r="H873" s="1012">
        <v>98.1</v>
      </c>
    </row>
    <row r="874" spans="1:8" ht="12.65" customHeight="1">
      <c r="A874" s="1017" t="s">
        <v>3387</v>
      </c>
      <c r="B874" s="1017" t="s">
        <v>3284</v>
      </c>
      <c r="C874" s="1017" t="s">
        <v>3388</v>
      </c>
      <c r="D874" s="1016">
        <v>0.18</v>
      </c>
      <c r="E874" s="1015">
        <v>77</v>
      </c>
      <c r="F874" s="1014">
        <v>4</v>
      </c>
      <c r="G874" s="1013" t="s">
        <v>6080</v>
      </c>
      <c r="H874" s="1012">
        <v>89.6</v>
      </c>
    </row>
    <row r="875" spans="1:8" ht="12.65" customHeight="1">
      <c r="A875" s="1017" t="s">
        <v>3384</v>
      </c>
      <c r="B875" s="1017" t="s">
        <v>3284</v>
      </c>
      <c r="C875" s="1017" t="s">
        <v>3385</v>
      </c>
      <c r="D875" s="1016">
        <v>0.23</v>
      </c>
      <c r="E875" s="1015">
        <v>81.3</v>
      </c>
      <c r="F875" s="1014">
        <v>1.6</v>
      </c>
      <c r="G875" s="1013" t="s">
        <v>6080</v>
      </c>
      <c r="H875" s="1012">
        <v>93</v>
      </c>
    </row>
    <row r="876" spans="1:8" ht="12.65" customHeight="1">
      <c r="A876" s="1017" t="s">
        <v>3381</v>
      </c>
      <c r="B876" s="1017" t="s">
        <v>3284</v>
      </c>
      <c r="C876" s="1017" t="s">
        <v>3382</v>
      </c>
      <c r="D876" s="1016">
        <v>0.14000000000000001</v>
      </c>
      <c r="E876" s="1015">
        <v>80.7</v>
      </c>
      <c r="F876" s="1014">
        <v>5.0999999999999996</v>
      </c>
      <c r="G876" s="1013" t="s">
        <v>6080</v>
      </c>
      <c r="H876" s="1012">
        <v>93.6</v>
      </c>
    </row>
    <row r="877" spans="1:8" ht="12.65" customHeight="1">
      <c r="A877" s="1017" t="s">
        <v>3378</v>
      </c>
      <c r="B877" s="1017" t="s">
        <v>3284</v>
      </c>
      <c r="C877" s="1017" t="s">
        <v>3379</v>
      </c>
      <c r="D877" s="1016">
        <v>0.11</v>
      </c>
      <c r="E877" s="1015">
        <v>68</v>
      </c>
      <c r="F877" s="1014">
        <v>4.5</v>
      </c>
      <c r="G877" s="1013" t="s">
        <v>6080</v>
      </c>
      <c r="H877" s="1012">
        <v>93.6</v>
      </c>
    </row>
    <row r="878" spans="1:8" ht="12.65" customHeight="1">
      <c r="A878" s="1017" t="s">
        <v>3375</v>
      </c>
      <c r="B878" s="1017" t="s">
        <v>3284</v>
      </c>
      <c r="C878" s="1017" t="s">
        <v>3376</v>
      </c>
      <c r="D878" s="1016">
        <v>0.22</v>
      </c>
      <c r="E878" s="1015">
        <v>68.3</v>
      </c>
      <c r="F878" s="1014">
        <v>-4.5999999999999996</v>
      </c>
      <c r="G878" s="1013" t="s">
        <v>6080</v>
      </c>
      <c r="H878" s="1012">
        <v>93.9</v>
      </c>
    </row>
    <row r="879" spans="1:8" ht="12.65" customHeight="1">
      <c r="A879" s="1017" t="s">
        <v>3372</v>
      </c>
      <c r="B879" s="1017" t="s">
        <v>3284</v>
      </c>
      <c r="C879" s="1017" t="s">
        <v>3373</v>
      </c>
      <c r="D879" s="1016">
        <v>0.11</v>
      </c>
      <c r="E879" s="1015">
        <v>86.3</v>
      </c>
      <c r="F879" s="1014">
        <v>10.9</v>
      </c>
      <c r="G879" s="1013" t="s">
        <v>6080</v>
      </c>
      <c r="H879" s="1012">
        <v>90.8</v>
      </c>
    </row>
    <row r="880" spans="1:8" ht="12.65" customHeight="1">
      <c r="A880" s="1017" t="s">
        <v>3369</v>
      </c>
      <c r="B880" s="1017" t="s">
        <v>3284</v>
      </c>
      <c r="C880" s="1017" t="s">
        <v>3370</v>
      </c>
      <c r="D880" s="1016">
        <v>0.15</v>
      </c>
      <c r="E880" s="1015">
        <v>79.7</v>
      </c>
      <c r="F880" s="1014">
        <v>1.9</v>
      </c>
      <c r="G880" s="1013" t="s">
        <v>6080</v>
      </c>
      <c r="H880" s="1012">
        <v>92.4</v>
      </c>
    </row>
    <row r="881" spans="1:8" ht="12.65" customHeight="1">
      <c r="A881" s="1017" t="s">
        <v>3366</v>
      </c>
      <c r="B881" s="1017" t="s">
        <v>3284</v>
      </c>
      <c r="C881" s="1017" t="s">
        <v>3367</v>
      </c>
      <c r="D881" s="1016">
        <v>0.15</v>
      </c>
      <c r="E881" s="1015">
        <v>69.3</v>
      </c>
      <c r="F881" s="1014">
        <v>7.2</v>
      </c>
      <c r="G881" s="1013" t="s">
        <v>6080</v>
      </c>
      <c r="H881" s="1012">
        <v>93.5</v>
      </c>
    </row>
    <row r="882" spans="1:8" ht="12.65" customHeight="1">
      <c r="A882" s="1017" t="s">
        <v>3363</v>
      </c>
      <c r="B882" s="1017" t="s">
        <v>3284</v>
      </c>
      <c r="C882" s="1017" t="s">
        <v>3364</v>
      </c>
      <c r="D882" s="1016">
        <v>0.24</v>
      </c>
      <c r="E882" s="1015">
        <v>79.599999999999994</v>
      </c>
      <c r="F882" s="1014">
        <v>8.5</v>
      </c>
      <c r="G882" s="1013" t="s">
        <v>6080</v>
      </c>
      <c r="H882" s="1012">
        <v>94.5</v>
      </c>
    </row>
    <row r="883" spans="1:8" ht="12.65" customHeight="1">
      <c r="A883" s="1017" t="s">
        <v>3360</v>
      </c>
      <c r="B883" s="1017" t="s">
        <v>3284</v>
      </c>
      <c r="C883" s="1017" t="s">
        <v>3361</v>
      </c>
      <c r="D883" s="1016">
        <v>0.28999999999999998</v>
      </c>
      <c r="E883" s="1015">
        <v>75.900000000000006</v>
      </c>
      <c r="F883" s="1014">
        <v>11.8</v>
      </c>
      <c r="G883" s="1013" t="s">
        <v>6080</v>
      </c>
      <c r="H883" s="1012">
        <v>96.5</v>
      </c>
    </row>
    <row r="884" spans="1:8" ht="12.65" customHeight="1">
      <c r="A884" s="1017" t="s">
        <v>3357</v>
      </c>
      <c r="B884" s="1017" t="s">
        <v>3284</v>
      </c>
      <c r="C884" s="1017" t="s">
        <v>3358</v>
      </c>
      <c r="D884" s="1016">
        <v>0.15</v>
      </c>
      <c r="E884" s="1015">
        <v>68.5</v>
      </c>
      <c r="F884" s="1014">
        <v>1.6</v>
      </c>
      <c r="G884" s="1013" t="s">
        <v>6080</v>
      </c>
      <c r="H884" s="1012">
        <v>94</v>
      </c>
    </row>
    <row r="885" spans="1:8" ht="12.65" customHeight="1">
      <c r="A885" s="1017" t="s">
        <v>3354</v>
      </c>
      <c r="B885" s="1017" t="s">
        <v>3284</v>
      </c>
      <c r="C885" s="1017" t="s">
        <v>3355</v>
      </c>
      <c r="D885" s="1016">
        <v>0.23</v>
      </c>
      <c r="E885" s="1015">
        <v>91.4</v>
      </c>
      <c r="F885" s="1014">
        <v>10.3</v>
      </c>
      <c r="G885" s="1013">
        <v>40</v>
      </c>
      <c r="H885" s="1012">
        <v>94.5</v>
      </c>
    </row>
    <row r="886" spans="1:8" ht="12.65" customHeight="1">
      <c r="A886" s="1017" t="s">
        <v>3351</v>
      </c>
      <c r="B886" s="1017" t="s">
        <v>3284</v>
      </c>
      <c r="C886" s="1017" t="s">
        <v>3352</v>
      </c>
      <c r="D886" s="1016">
        <v>0.23</v>
      </c>
      <c r="E886" s="1015">
        <v>83</v>
      </c>
      <c r="F886" s="1014">
        <v>8.9</v>
      </c>
      <c r="G886" s="1013" t="s">
        <v>6080</v>
      </c>
      <c r="H886" s="1012">
        <v>96.7</v>
      </c>
    </row>
    <row r="887" spans="1:8" ht="12.65" customHeight="1">
      <c r="A887" s="1017" t="s">
        <v>3348</v>
      </c>
      <c r="B887" s="1017" t="s">
        <v>3284</v>
      </c>
      <c r="C887" s="1017" t="s">
        <v>3349</v>
      </c>
      <c r="D887" s="1016">
        <v>0.27</v>
      </c>
      <c r="E887" s="1015">
        <v>85.8</v>
      </c>
      <c r="F887" s="1014">
        <v>7.6</v>
      </c>
      <c r="G887" s="1013" t="s">
        <v>6080</v>
      </c>
      <c r="H887" s="1012">
        <v>95.2</v>
      </c>
    </row>
    <row r="888" spans="1:8" ht="12.65" customHeight="1">
      <c r="A888" s="1017" t="s">
        <v>3345</v>
      </c>
      <c r="B888" s="1017" t="s">
        <v>3284</v>
      </c>
      <c r="C888" s="1017" t="s">
        <v>3346</v>
      </c>
      <c r="D888" s="1016">
        <v>0.19</v>
      </c>
      <c r="E888" s="1015">
        <v>80</v>
      </c>
      <c r="F888" s="1014">
        <v>8</v>
      </c>
      <c r="G888" s="1013" t="s">
        <v>6080</v>
      </c>
      <c r="H888" s="1012">
        <v>92.6</v>
      </c>
    </row>
    <row r="889" spans="1:8" ht="12.65" customHeight="1">
      <c r="A889" s="1017" t="s">
        <v>3342</v>
      </c>
      <c r="B889" s="1017" t="s">
        <v>3284</v>
      </c>
      <c r="C889" s="1017" t="s">
        <v>3343</v>
      </c>
      <c r="D889" s="1016">
        <v>0.24</v>
      </c>
      <c r="E889" s="1015">
        <v>89.2</v>
      </c>
      <c r="F889" s="1014">
        <v>11.7</v>
      </c>
      <c r="G889" s="1013">
        <v>40.299999999999997</v>
      </c>
      <c r="H889" s="1012">
        <v>98.7</v>
      </c>
    </row>
    <row r="890" spans="1:8" ht="12.65" customHeight="1">
      <c r="A890" s="1017" t="s">
        <v>3339</v>
      </c>
      <c r="B890" s="1017" t="s">
        <v>3284</v>
      </c>
      <c r="C890" s="1017" t="s">
        <v>3340</v>
      </c>
      <c r="D890" s="1016">
        <v>0.26</v>
      </c>
      <c r="E890" s="1015">
        <v>88.5</v>
      </c>
      <c r="F890" s="1014">
        <v>9.3000000000000007</v>
      </c>
      <c r="G890" s="1013" t="s">
        <v>6080</v>
      </c>
      <c r="H890" s="1012">
        <v>97.4</v>
      </c>
    </row>
    <row r="891" spans="1:8" ht="12.65" customHeight="1">
      <c r="A891" s="1017" t="s">
        <v>3336</v>
      </c>
      <c r="B891" s="1017" t="s">
        <v>3284</v>
      </c>
      <c r="C891" s="1017" t="s">
        <v>3337</v>
      </c>
      <c r="D891" s="1016">
        <v>0.17</v>
      </c>
      <c r="E891" s="1015">
        <v>79.8</v>
      </c>
      <c r="F891" s="1014">
        <v>6.3</v>
      </c>
      <c r="G891" s="1013" t="s">
        <v>6080</v>
      </c>
      <c r="H891" s="1012">
        <v>91.8</v>
      </c>
    </row>
    <row r="892" spans="1:8" ht="12.65" customHeight="1">
      <c r="A892" s="1017" t="s">
        <v>3333</v>
      </c>
      <c r="B892" s="1017" t="s">
        <v>3284</v>
      </c>
      <c r="C892" s="1017" t="s">
        <v>3334</v>
      </c>
      <c r="D892" s="1016">
        <v>0.13</v>
      </c>
      <c r="E892" s="1015">
        <v>80.8</v>
      </c>
      <c r="F892" s="1014">
        <v>7.4</v>
      </c>
      <c r="G892" s="1013" t="s">
        <v>6080</v>
      </c>
      <c r="H892" s="1012">
        <v>94</v>
      </c>
    </row>
    <row r="893" spans="1:8" ht="12.65" customHeight="1">
      <c r="A893" s="1017" t="s">
        <v>3330</v>
      </c>
      <c r="B893" s="1017" t="s">
        <v>3284</v>
      </c>
      <c r="C893" s="1017" t="s">
        <v>3331</v>
      </c>
      <c r="D893" s="1016">
        <v>0.43</v>
      </c>
      <c r="E893" s="1015">
        <v>77</v>
      </c>
      <c r="F893" s="1014">
        <v>6</v>
      </c>
      <c r="G893" s="1013" t="s">
        <v>6080</v>
      </c>
      <c r="H893" s="1012">
        <v>91.5</v>
      </c>
    </row>
    <row r="894" spans="1:8" ht="12.65" customHeight="1">
      <c r="A894" s="1017" t="s">
        <v>3327</v>
      </c>
      <c r="B894" s="1017" t="s">
        <v>3284</v>
      </c>
      <c r="C894" s="1017" t="s">
        <v>3328</v>
      </c>
      <c r="D894" s="1016">
        <v>0.36</v>
      </c>
      <c r="E894" s="1015">
        <v>76.2</v>
      </c>
      <c r="F894" s="1014">
        <v>7.1</v>
      </c>
      <c r="G894" s="1013" t="s">
        <v>6080</v>
      </c>
      <c r="H894" s="1012">
        <v>93.6</v>
      </c>
    </row>
    <row r="895" spans="1:8" ht="12.65" customHeight="1">
      <c r="A895" s="1017" t="s">
        <v>3324</v>
      </c>
      <c r="B895" s="1017" t="s">
        <v>3284</v>
      </c>
      <c r="C895" s="1017" t="s">
        <v>3325</v>
      </c>
      <c r="D895" s="1016">
        <v>0.16</v>
      </c>
      <c r="E895" s="1015">
        <v>81.599999999999994</v>
      </c>
      <c r="F895" s="1014">
        <v>2.6</v>
      </c>
      <c r="G895" s="1013" t="s">
        <v>6080</v>
      </c>
      <c r="H895" s="1012">
        <v>93</v>
      </c>
    </row>
    <row r="896" spans="1:8" ht="12.65" customHeight="1">
      <c r="A896" s="1017" t="s">
        <v>3322</v>
      </c>
      <c r="B896" s="1017" t="s">
        <v>3284</v>
      </c>
      <c r="C896" s="1017" t="s">
        <v>3183</v>
      </c>
      <c r="D896" s="1016">
        <v>0.31</v>
      </c>
      <c r="E896" s="1015">
        <v>87.2</v>
      </c>
      <c r="F896" s="1014">
        <v>12.1</v>
      </c>
      <c r="G896" s="1013" t="s">
        <v>6080</v>
      </c>
      <c r="H896" s="1012">
        <v>94.5</v>
      </c>
    </row>
    <row r="897" spans="1:8" ht="12.65" customHeight="1">
      <c r="A897" s="1017" t="s">
        <v>3319</v>
      </c>
      <c r="B897" s="1017" t="s">
        <v>3284</v>
      </c>
      <c r="C897" s="1017" t="s">
        <v>3320</v>
      </c>
      <c r="D897" s="1016">
        <v>0.34</v>
      </c>
      <c r="E897" s="1015">
        <v>81</v>
      </c>
      <c r="F897" s="1014">
        <v>10</v>
      </c>
      <c r="G897" s="1013" t="s">
        <v>6080</v>
      </c>
      <c r="H897" s="1012">
        <v>96.5</v>
      </c>
    </row>
    <row r="898" spans="1:8" ht="12.65" customHeight="1">
      <c r="A898" s="1017" t="s">
        <v>3316</v>
      </c>
      <c r="B898" s="1017" t="s">
        <v>3284</v>
      </c>
      <c r="C898" s="1017" t="s">
        <v>3317</v>
      </c>
      <c r="D898" s="1016">
        <v>0.42</v>
      </c>
      <c r="E898" s="1015">
        <v>80.099999999999994</v>
      </c>
      <c r="F898" s="1014">
        <v>15.6</v>
      </c>
      <c r="G898" s="1013">
        <v>4.7</v>
      </c>
      <c r="H898" s="1012">
        <v>96.7</v>
      </c>
    </row>
    <row r="899" spans="1:8" ht="12.65" customHeight="1">
      <c r="A899" s="1017" t="s">
        <v>3313</v>
      </c>
      <c r="B899" s="1017" t="s">
        <v>3284</v>
      </c>
      <c r="C899" s="1017" t="s">
        <v>3314</v>
      </c>
      <c r="D899" s="1016">
        <v>0.22</v>
      </c>
      <c r="E899" s="1015">
        <v>81.900000000000006</v>
      </c>
      <c r="F899" s="1014">
        <v>11.3</v>
      </c>
      <c r="G899" s="1013" t="s">
        <v>6080</v>
      </c>
      <c r="H899" s="1012">
        <v>93.5</v>
      </c>
    </row>
    <row r="900" spans="1:8" ht="12.65" customHeight="1">
      <c r="A900" s="1017" t="s">
        <v>3310</v>
      </c>
      <c r="B900" s="1017" t="s">
        <v>3284</v>
      </c>
      <c r="C900" s="1017" t="s">
        <v>3311</v>
      </c>
      <c r="D900" s="1016">
        <v>0.62</v>
      </c>
      <c r="E900" s="1015">
        <v>82.2</v>
      </c>
      <c r="F900" s="1014">
        <v>7.9</v>
      </c>
      <c r="G900" s="1013" t="s">
        <v>6080</v>
      </c>
      <c r="H900" s="1012">
        <v>95.9</v>
      </c>
    </row>
    <row r="901" spans="1:8" ht="12.65" customHeight="1">
      <c r="A901" s="1017" t="s">
        <v>3307</v>
      </c>
      <c r="B901" s="1017" t="s">
        <v>3284</v>
      </c>
      <c r="C901" s="1017" t="s">
        <v>3308</v>
      </c>
      <c r="D901" s="1016">
        <v>0.4</v>
      </c>
      <c r="E901" s="1015">
        <v>87.8</v>
      </c>
      <c r="F901" s="1014">
        <v>5.6</v>
      </c>
      <c r="G901" s="1013" t="s">
        <v>6080</v>
      </c>
      <c r="H901" s="1012">
        <v>96.5</v>
      </c>
    </row>
    <row r="902" spans="1:8" ht="12.65" customHeight="1">
      <c r="A902" s="1017" t="s">
        <v>3304</v>
      </c>
      <c r="B902" s="1017" t="s">
        <v>3284</v>
      </c>
      <c r="C902" s="1017" t="s">
        <v>3305</v>
      </c>
      <c r="D902" s="1016">
        <v>0.28000000000000003</v>
      </c>
      <c r="E902" s="1015">
        <v>85.1</v>
      </c>
      <c r="F902" s="1014">
        <v>7.2</v>
      </c>
      <c r="G902" s="1013" t="s">
        <v>6080</v>
      </c>
      <c r="H902" s="1012">
        <v>91.5</v>
      </c>
    </row>
    <row r="903" spans="1:8" ht="12.65" customHeight="1">
      <c r="A903" s="1017" t="s">
        <v>3301</v>
      </c>
      <c r="B903" s="1017" t="s">
        <v>3284</v>
      </c>
      <c r="C903" s="1017" t="s">
        <v>3302</v>
      </c>
      <c r="D903" s="1016">
        <v>0.37</v>
      </c>
      <c r="E903" s="1015">
        <v>86.2</v>
      </c>
      <c r="F903" s="1014">
        <v>8.6</v>
      </c>
      <c r="G903" s="1013">
        <v>41.7</v>
      </c>
      <c r="H903" s="1012">
        <v>92.7</v>
      </c>
    </row>
    <row r="904" spans="1:8" ht="12.65" customHeight="1">
      <c r="A904" s="1017" t="s">
        <v>3298</v>
      </c>
      <c r="B904" s="1017" t="s">
        <v>3284</v>
      </c>
      <c r="C904" s="1017" t="s">
        <v>3299</v>
      </c>
      <c r="D904" s="1016">
        <v>0.19</v>
      </c>
      <c r="E904" s="1015">
        <v>81.099999999999994</v>
      </c>
      <c r="F904" s="1014">
        <v>13.2</v>
      </c>
      <c r="G904" s="1013" t="s">
        <v>6080</v>
      </c>
      <c r="H904" s="1012">
        <v>94.1</v>
      </c>
    </row>
    <row r="905" spans="1:8" ht="12.65" customHeight="1">
      <c r="A905" s="1017" t="s">
        <v>3295</v>
      </c>
      <c r="B905" s="1017" t="s">
        <v>3284</v>
      </c>
      <c r="C905" s="1017" t="s">
        <v>3296</v>
      </c>
      <c r="D905" s="1016">
        <v>0.18</v>
      </c>
      <c r="E905" s="1015">
        <v>83.5</v>
      </c>
      <c r="F905" s="1014">
        <v>8.1</v>
      </c>
      <c r="G905" s="1013" t="s">
        <v>6080</v>
      </c>
      <c r="H905" s="1012">
        <v>89.8</v>
      </c>
    </row>
    <row r="906" spans="1:8" ht="12.65" customHeight="1">
      <c r="A906" s="1017" t="s">
        <v>3292</v>
      </c>
      <c r="B906" s="1017" t="s">
        <v>3284</v>
      </c>
      <c r="C906" s="1017" t="s">
        <v>3293</v>
      </c>
      <c r="D906" s="1016">
        <v>0.3</v>
      </c>
      <c r="E906" s="1015">
        <v>85.9</v>
      </c>
      <c r="F906" s="1014">
        <v>8.4</v>
      </c>
      <c r="G906" s="1013" t="s">
        <v>6080</v>
      </c>
      <c r="H906" s="1012">
        <v>95.3</v>
      </c>
    </row>
    <row r="907" spans="1:8" ht="12.65" customHeight="1">
      <c r="A907" s="1017" t="s">
        <v>3289</v>
      </c>
      <c r="B907" s="1017" t="s">
        <v>3284</v>
      </c>
      <c r="C907" s="1017" t="s">
        <v>3290</v>
      </c>
      <c r="D907" s="1016">
        <v>0.13</v>
      </c>
      <c r="E907" s="1015">
        <v>89.7</v>
      </c>
      <c r="F907" s="1014">
        <v>6.1</v>
      </c>
      <c r="G907" s="1013" t="s">
        <v>6080</v>
      </c>
      <c r="H907" s="1012">
        <v>92.8</v>
      </c>
    </row>
    <row r="908" spans="1:8" ht="12.65" customHeight="1">
      <c r="A908" s="1017" t="s">
        <v>3286</v>
      </c>
      <c r="B908" s="1017" t="s">
        <v>3284</v>
      </c>
      <c r="C908" s="1017" t="s">
        <v>3287</v>
      </c>
      <c r="D908" s="1016">
        <v>0.25</v>
      </c>
      <c r="E908" s="1015">
        <v>84.3</v>
      </c>
      <c r="F908" s="1014">
        <v>11.3</v>
      </c>
      <c r="G908" s="1013" t="s">
        <v>6080</v>
      </c>
      <c r="H908" s="1012">
        <v>94.5</v>
      </c>
    </row>
    <row r="909" spans="1:8" ht="12.65" customHeight="1">
      <c r="A909" s="1017" t="s">
        <v>3282</v>
      </c>
      <c r="B909" s="1017" t="s">
        <v>3284</v>
      </c>
      <c r="C909" s="1017" t="s">
        <v>3283</v>
      </c>
      <c r="D909" s="1016">
        <v>0.13</v>
      </c>
      <c r="E909" s="1015">
        <v>74</v>
      </c>
      <c r="F909" s="1014">
        <v>7.2</v>
      </c>
      <c r="G909" s="1013" t="s">
        <v>6080</v>
      </c>
      <c r="H909" s="1012">
        <v>93.2</v>
      </c>
    </row>
    <row r="910" spans="1:8" ht="12.65" customHeight="1">
      <c r="A910" s="1017" t="s">
        <v>3275</v>
      </c>
      <c r="B910" s="1017" t="s">
        <v>3153</v>
      </c>
      <c r="C910" s="1017" t="s">
        <v>3276</v>
      </c>
      <c r="D910" s="1016">
        <v>0.82</v>
      </c>
      <c r="E910" s="1015">
        <v>95.6</v>
      </c>
      <c r="F910" s="1014">
        <v>2.5</v>
      </c>
      <c r="G910" s="1013" t="s">
        <v>6080</v>
      </c>
      <c r="H910" s="1012">
        <v>100</v>
      </c>
    </row>
    <row r="911" spans="1:8" ht="12.65" customHeight="1">
      <c r="A911" s="1017" t="s">
        <v>3272</v>
      </c>
      <c r="B911" s="1017" t="s">
        <v>3153</v>
      </c>
      <c r="C911" s="1017" t="s">
        <v>3273</v>
      </c>
      <c r="D911" s="1016">
        <v>0.83</v>
      </c>
      <c r="E911" s="1015">
        <v>89</v>
      </c>
      <c r="F911" s="1014">
        <v>2.5</v>
      </c>
      <c r="G911" s="1013">
        <v>9.6</v>
      </c>
      <c r="H911" s="1012">
        <v>99.7</v>
      </c>
    </row>
    <row r="912" spans="1:8" ht="12.65" customHeight="1">
      <c r="A912" s="1017" t="s">
        <v>3269</v>
      </c>
      <c r="B912" s="1017" t="s">
        <v>3153</v>
      </c>
      <c r="C912" s="1017" t="s">
        <v>3270</v>
      </c>
      <c r="D912" s="1016">
        <v>0.53</v>
      </c>
      <c r="E912" s="1015">
        <v>79.900000000000006</v>
      </c>
      <c r="F912" s="1014">
        <v>4.5</v>
      </c>
      <c r="G912" s="1013" t="s">
        <v>6080</v>
      </c>
      <c r="H912" s="1012">
        <v>99.3</v>
      </c>
    </row>
    <row r="913" spans="1:8" ht="12.65" customHeight="1">
      <c r="A913" s="1017" t="s">
        <v>3266</v>
      </c>
      <c r="B913" s="1017" t="s">
        <v>3153</v>
      </c>
      <c r="C913" s="1017" t="s">
        <v>3267</v>
      </c>
      <c r="D913" s="1016">
        <v>0.68</v>
      </c>
      <c r="E913" s="1015">
        <v>87.4</v>
      </c>
      <c r="F913" s="1014">
        <v>-3.1</v>
      </c>
      <c r="G913" s="1013" t="s">
        <v>6080</v>
      </c>
      <c r="H913" s="1012">
        <v>96.1</v>
      </c>
    </row>
    <row r="914" spans="1:8" ht="12.65" customHeight="1">
      <c r="A914" s="1017" t="s">
        <v>3263</v>
      </c>
      <c r="B914" s="1017" t="s">
        <v>3153</v>
      </c>
      <c r="C914" s="1017" t="s">
        <v>3264</v>
      </c>
      <c r="D914" s="1016">
        <v>0.59</v>
      </c>
      <c r="E914" s="1015">
        <v>84.6</v>
      </c>
      <c r="F914" s="1014">
        <v>2</v>
      </c>
      <c r="G914" s="1013" t="s">
        <v>6080</v>
      </c>
      <c r="H914" s="1012">
        <v>97.7</v>
      </c>
    </row>
    <row r="915" spans="1:8" ht="12.65" customHeight="1">
      <c r="A915" s="1017" t="s">
        <v>3260</v>
      </c>
      <c r="B915" s="1017" t="s">
        <v>3153</v>
      </c>
      <c r="C915" s="1017" t="s">
        <v>3261</v>
      </c>
      <c r="D915" s="1016">
        <v>0.49</v>
      </c>
      <c r="E915" s="1015">
        <v>89.7</v>
      </c>
      <c r="F915" s="1014">
        <v>6.9</v>
      </c>
      <c r="G915" s="1013" t="s">
        <v>6080</v>
      </c>
      <c r="H915" s="1012">
        <v>98.3</v>
      </c>
    </row>
    <row r="916" spans="1:8" ht="12.65" customHeight="1">
      <c r="A916" s="1017" t="s">
        <v>3257</v>
      </c>
      <c r="B916" s="1017" t="s">
        <v>3153</v>
      </c>
      <c r="C916" s="1017" t="s">
        <v>3258</v>
      </c>
      <c r="D916" s="1016">
        <v>0.52</v>
      </c>
      <c r="E916" s="1015">
        <v>90.8</v>
      </c>
      <c r="F916" s="1014">
        <v>9.5</v>
      </c>
      <c r="G916" s="1013">
        <v>6.3</v>
      </c>
      <c r="H916" s="1012">
        <v>96.9</v>
      </c>
    </row>
    <row r="917" spans="1:8" ht="12.65" customHeight="1">
      <c r="A917" s="1017" t="s">
        <v>3254</v>
      </c>
      <c r="B917" s="1017" t="s">
        <v>3153</v>
      </c>
      <c r="C917" s="1017" t="s">
        <v>3255</v>
      </c>
      <c r="D917" s="1016">
        <v>0.6</v>
      </c>
      <c r="E917" s="1015">
        <v>90.9</v>
      </c>
      <c r="F917" s="1014">
        <v>2.2999999999999998</v>
      </c>
      <c r="G917" s="1013" t="s">
        <v>6080</v>
      </c>
      <c r="H917" s="1012">
        <v>97.4</v>
      </c>
    </row>
    <row r="918" spans="1:8" ht="12.65" customHeight="1">
      <c r="A918" s="1017" t="s">
        <v>3251</v>
      </c>
      <c r="B918" s="1017" t="s">
        <v>3153</v>
      </c>
      <c r="C918" s="1017" t="s">
        <v>3252</v>
      </c>
      <c r="D918" s="1016">
        <v>0.74</v>
      </c>
      <c r="E918" s="1015">
        <v>95.2</v>
      </c>
      <c r="F918" s="1014">
        <v>7</v>
      </c>
      <c r="G918" s="1013" t="s">
        <v>6080</v>
      </c>
      <c r="H918" s="1012">
        <v>97.9</v>
      </c>
    </row>
    <row r="919" spans="1:8" ht="12.65" customHeight="1">
      <c r="A919" s="1017" t="s">
        <v>3248</v>
      </c>
      <c r="B919" s="1017" t="s">
        <v>3153</v>
      </c>
      <c r="C919" s="1017" t="s">
        <v>3249</v>
      </c>
      <c r="D919" s="1016">
        <v>0.44</v>
      </c>
      <c r="E919" s="1015">
        <v>90.4</v>
      </c>
      <c r="F919" s="1014">
        <v>1</v>
      </c>
      <c r="G919" s="1013" t="s">
        <v>6080</v>
      </c>
      <c r="H919" s="1012">
        <v>96.8</v>
      </c>
    </row>
    <row r="920" spans="1:8" ht="12.65" customHeight="1">
      <c r="A920" s="1017" t="s">
        <v>3245</v>
      </c>
      <c r="B920" s="1017" t="s">
        <v>3153</v>
      </c>
      <c r="C920" s="1017" t="s">
        <v>3246</v>
      </c>
      <c r="D920" s="1016">
        <v>0.76</v>
      </c>
      <c r="E920" s="1015">
        <v>90.2</v>
      </c>
      <c r="F920" s="1014">
        <v>4.4000000000000004</v>
      </c>
      <c r="G920" s="1013" t="s">
        <v>6080</v>
      </c>
      <c r="H920" s="1012">
        <v>95.2</v>
      </c>
    </row>
    <row r="921" spans="1:8" ht="12.65" customHeight="1">
      <c r="A921" s="1017" t="s">
        <v>3242</v>
      </c>
      <c r="B921" s="1017" t="s">
        <v>3153</v>
      </c>
      <c r="C921" s="1017" t="s">
        <v>3243</v>
      </c>
      <c r="D921" s="1016">
        <v>0.66</v>
      </c>
      <c r="E921" s="1015">
        <v>90.1</v>
      </c>
      <c r="F921" s="1014">
        <v>5.0999999999999996</v>
      </c>
      <c r="G921" s="1013" t="s">
        <v>6080</v>
      </c>
      <c r="H921" s="1012">
        <v>97.1</v>
      </c>
    </row>
    <row r="922" spans="1:8" ht="12.65" customHeight="1">
      <c r="A922" s="1017" t="s">
        <v>3239</v>
      </c>
      <c r="B922" s="1017" t="s">
        <v>3153</v>
      </c>
      <c r="C922" s="1017" t="s">
        <v>3240</v>
      </c>
      <c r="D922" s="1016">
        <v>0.85</v>
      </c>
      <c r="E922" s="1015">
        <v>92.8</v>
      </c>
      <c r="F922" s="1014">
        <v>4.7</v>
      </c>
      <c r="G922" s="1013" t="s">
        <v>6080</v>
      </c>
      <c r="H922" s="1012">
        <v>100.3</v>
      </c>
    </row>
    <row r="923" spans="1:8" ht="12.65" customHeight="1">
      <c r="A923" s="1017" t="s">
        <v>3236</v>
      </c>
      <c r="B923" s="1017" t="s">
        <v>3153</v>
      </c>
      <c r="C923" s="1017" t="s">
        <v>3237</v>
      </c>
      <c r="D923" s="1016">
        <v>0.81</v>
      </c>
      <c r="E923" s="1015">
        <v>87</v>
      </c>
      <c r="F923" s="1014">
        <v>-0.8</v>
      </c>
      <c r="G923" s="1013" t="s">
        <v>6080</v>
      </c>
      <c r="H923" s="1012">
        <v>96.1</v>
      </c>
    </row>
    <row r="924" spans="1:8" ht="12.65" customHeight="1">
      <c r="A924" s="1017" t="s">
        <v>3233</v>
      </c>
      <c r="B924" s="1017" t="s">
        <v>3153</v>
      </c>
      <c r="C924" s="1017" t="s">
        <v>3234</v>
      </c>
      <c r="D924" s="1016">
        <v>0.4</v>
      </c>
      <c r="E924" s="1015">
        <v>92.2</v>
      </c>
      <c r="F924" s="1014">
        <v>9.4</v>
      </c>
      <c r="G924" s="1013">
        <v>3.1</v>
      </c>
      <c r="H924" s="1012">
        <v>95.9</v>
      </c>
    </row>
    <row r="925" spans="1:8" ht="12.65" customHeight="1">
      <c r="A925" s="1017" t="s">
        <v>3230</v>
      </c>
      <c r="B925" s="1017" t="s">
        <v>3153</v>
      </c>
      <c r="C925" s="1017" t="s">
        <v>3231</v>
      </c>
      <c r="D925" s="1016">
        <v>0.72</v>
      </c>
      <c r="E925" s="1015">
        <v>88</v>
      </c>
      <c r="F925" s="1014">
        <v>1.2</v>
      </c>
      <c r="G925" s="1013" t="s">
        <v>6080</v>
      </c>
      <c r="H925" s="1012">
        <v>95</v>
      </c>
    </row>
    <row r="926" spans="1:8" ht="12.65" customHeight="1">
      <c r="A926" s="1017" t="s">
        <v>3227</v>
      </c>
      <c r="B926" s="1017" t="s">
        <v>3153</v>
      </c>
      <c r="C926" s="1017" t="s">
        <v>3228</v>
      </c>
      <c r="D926" s="1016">
        <v>0.34</v>
      </c>
      <c r="E926" s="1015">
        <v>92.7</v>
      </c>
      <c r="F926" s="1014">
        <v>12.2</v>
      </c>
      <c r="G926" s="1013" t="s">
        <v>6080</v>
      </c>
      <c r="H926" s="1012">
        <v>93.7</v>
      </c>
    </row>
    <row r="927" spans="1:8" ht="12.65" customHeight="1">
      <c r="A927" s="1017" t="s">
        <v>3224</v>
      </c>
      <c r="B927" s="1017" t="s">
        <v>3153</v>
      </c>
      <c r="C927" s="1017" t="s">
        <v>3225</v>
      </c>
      <c r="D927" s="1016">
        <v>0.53</v>
      </c>
      <c r="E927" s="1015">
        <v>89.2</v>
      </c>
      <c r="F927" s="1014">
        <v>7.9</v>
      </c>
      <c r="G927" s="1013">
        <v>50</v>
      </c>
      <c r="H927" s="1012">
        <v>96.7</v>
      </c>
    </row>
    <row r="928" spans="1:8" ht="12.65" customHeight="1">
      <c r="A928" s="1017" t="s">
        <v>3221</v>
      </c>
      <c r="B928" s="1017" t="s">
        <v>3153</v>
      </c>
      <c r="C928" s="1017" t="s">
        <v>3222</v>
      </c>
      <c r="D928" s="1016">
        <v>0.32</v>
      </c>
      <c r="E928" s="1015">
        <v>86.9</v>
      </c>
      <c r="F928" s="1014">
        <v>11.1</v>
      </c>
      <c r="G928" s="1013">
        <v>68.3</v>
      </c>
      <c r="H928" s="1012">
        <v>93.7</v>
      </c>
    </row>
    <row r="929" spans="1:8" ht="12.65" customHeight="1">
      <c r="A929" s="1017" t="s">
        <v>3218</v>
      </c>
      <c r="B929" s="1017" t="s">
        <v>3153</v>
      </c>
      <c r="C929" s="1017" t="s">
        <v>3219</v>
      </c>
      <c r="D929" s="1016">
        <v>0.33</v>
      </c>
      <c r="E929" s="1015">
        <v>93.1</v>
      </c>
      <c r="F929" s="1014">
        <v>11</v>
      </c>
      <c r="G929" s="1013">
        <v>1.9</v>
      </c>
      <c r="H929" s="1012">
        <v>97.3</v>
      </c>
    </row>
    <row r="930" spans="1:8" ht="12.65" customHeight="1">
      <c r="A930" s="1017" t="s">
        <v>3215</v>
      </c>
      <c r="B930" s="1017" t="s">
        <v>3153</v>
      </c>
      <c r="C930" s="1017" t="s">
        <v>3216</v>
      </c>
      <c r="D930" s="1016">
        <v>0.45</v>
      </c>
      <c r="E930" s="1015">
        <v>88.8</v>
      </c>
      <c r="F930" s="1014">
        <v>7.7</v>
      </c>
      <c r="G930" s="1013">
        <v>29.3</v>
      </c>
      <c r="H930" s="1012">
        <v>93.6</v>
      </c>
    </row>
    <row r="931" spans="1:8" ht="12.65" customHeight="1">
      <c r="A931" s="1017" t="s">
        <v>3212</v>
      </c>
      <c r="B931" s="1017" t="s">
        <v>3153</v>
      </c>
      <c r="C931" s="1017" t="s">
        <v>3213</v>
      </c>
      <c r="D931" s="1016">
        <v>0.89</v>
      </c>
      <c r="E931" s="1015">
        <v>92</v>
      </c>
      <c r="F931" s="1014">
        <v>7.7</v>
      </c>
      <c r="G931" s="1013" t="s">
        <v>6080</v>
      </c>
      <c r="H931" s="1012">
        <v>96.7</v>
      </c>
    </row>
    <row r="932" spans="1:8" ht="12.65" customHeight="1">
      <c r="A932" s="1017" t="s">
        <v>3209</v>
      </c>
      <c r="B932" s="1017" t="s">
        <v>3153</v>
      </c>
      <c r="C932" s="1017" t="s">
        <v>3210</v>
      </c>
      <c r="D932" s="1016">
        <v>0.67</v>
      </c>
      <c r="E932" s="1015">
        <v>91.6</v>
      </c>
      <c r="F932" s="1014">
        <v>6.4</v>
      </c>
      <c r="G932" s="1013">
        <v>37.799999999999997</v>
      </c>
      <c r="H932" s="1012">
        <v>95.7</v>
      </c>
    </row>
    <row r="933" spans="1:8" ht="12.65" customHeight="1">
      <c r="A933" s="1017" t="s">
        <v>3206</v>
      </c>
      <c r="B933" s="1017" t="s">
        <v>3153</v>
      </c>
      <c r="C933" s="1017" t="s">
        <v>3207</v>
      </c>
      <c r="D933" s="1016">
        <v>0.57999999999999996</v>
      </c>
      <c r="E933" s="1015">
        <v>87.7</v>
      </c>
      <c r="F933" s="1014">
        <v>8.1999999999999993</v>
      </c>
      <c r="G933" s="1013">
        <v>32.6</v>
      </c>
      <c r="H933" s="1012">
        <v>95.7</v>
      </c>
    </row>
    <row r="934" spans="1:8" ht="12.65" customHeight="1">
      <c r="A934" s="1017" t="s">
        <v>3203</v>
      </c>
      <c r="B934" s="1017" t="s">
        <v>3153</v>
      </c>
      <c r="C934" s="1017" t="s">
        <v>3204</v>
      </c>
      <c r="D934" s="1016">
        <v>0.67</v>
      </c>
      <c r="E934" s="1015">
        <v>84.3</v>
      </c>
      <c r="F934" s="1014">
        <v>4.8</v>
      </c>
      <c r="G934" s="1013">
        <v>69.599999999999994</v>
      </c>
      <c r="H934" s="1012">
        <v>96.9</v>
      </c>
    </row>
    <row r="935" spans="1:8" ht="12.65" customHeight="1">
      <c r="A935" s="1017" t="s">
        <v>3200</v>
      </c>
      <c r="B935" s="1017" t="s">
        <v>3153</v>
      </c>
      <c r="C935" s="1017" t="s">
        <v>3201</v>
      </c>
      <c r="D935" s="1016">
        <v>0.45</v>
      </c>
      <c r="E935" s="1015">
        <v>88.5</v>
      </c>
      <c r="F935" s="1014">
        <v>10.3</v>
      </c>
      <c r="G935" s="1013">
        <v>19.8</v>
      </c>
      <c r="H935" s="1012">
        <v>91.5</v>
      </c>
    </row>
    <row r="936" spans="1:8" ht="12.65" customHeight="1">
      <c r="A936" s="1017" t="s">
        <v>3197</v>
      </c>
      <c r="B936" s="1017" t="s">
        <v>3153</v>
      </c>
      <c r="C936" s="1017" t="s">
        <v>3198</v>
      </c>
      <c r="D936" s="1016">
        <v>0.63</v>
      </c>
      <c r="E936" s="1015">
        <v>83.7</v>
      </c>
      <c r="F936" s="1014">
        <v>4.7</v>
      </c>
      <c r="G936" s="1013">
        <v>36.200000000000003</v>
      </c>
      <c r="H936" s="1012">
        <v>93.3</v>
      </c>
    </row>
    <row r="937" spans="1:8" ht="12.65" customHeight="1">
      <c r="A937" s="1017" t="s">
        <v>3194</v>
      </c>
      <c r="B937" s="1017" t="s">
        <v>3153</v>
      </c>
      <c r="C937" s="1017" t="s">
        <v>3195</v>
      </c>
      <c r="D937" s="1016">
        <v>0.56999999999999995</v>
      </c>
      <c r="E937" s="1015">
        <v>81.7</v>
      </c>
      <c r="F937" s="1014">
        <v>7.1</v>
      </c>
      <c r="G937" s="1013">
        <v>5.0999999999999996</v>
      </c>
      <c r="H937" s="1012">
        <v>94.2</v>
      </c>
    </row>
    <row r="938" spans="1:8" ht="12.65" customHeight="1">
      <c r="A938" s="1017" t="s">
        <v>3191</v>
      </c>
      <c r="B938" s="1017" t="s">
        <v>3153</v>
      </c>
      <c r="C938" s="1017" t="s">
        <v>3192</v>
      </c>
      <c r="D938" s="1016">
        <v>0.57999999999999996</v>
      </c>
      <c r="E938" s="1015">
        <v>87.6</v>
      </c>
      <c r="F938" s="1014">
        <v>13.7</v>
      </c>
      <c r="G938" s="1013">
        <v>62.3</v>
      </c>
      <c r="H938" s="1012">
        <v>92.1</v>
      </c>
    </row>
    <row r="939" spans="1:8" ht="12.65" customHeight="1">
      <c r="A939" s="1017" t="s">
        <v>3188</v>
      </c>
      <c r="B939" s="1017" t="s">
        <v>3153</v>
      </c>
      <c r="C939" s="1017" t="s">
        <v>3189</v>
      </c>
      <c r="D939" s="1016">
        <v>0.45</v>
      </c>
      <c r="E939" s="1015">
        <v>83.2</v>
      </c>
      <c r="F939" s="1014">
        <v>6.8</v>
      </c>
      <c r="G939" s="1013" t="s">
        <v>6080</v>
      </c>
      <c r="H939" s="1012">
        <v>93.2</v>
      </c>
    </row>
    <row r="940" spans="1:8" ht="12.65" customHeight="1">
      <c r="A940" s="1017" t="s">
        <v>3185</v>
      </c>
      <c r="B940" s="1017" t="s">
        <v>3153</v>
      </c>
      <c r="C940" s="1017" t="s">
        <v>3186</v>
      </c>
      <c r="D940" s="1016">
        <v>0.57999999999999996</v>
      </c>
      <c r="E940" s="1015">
        <v>88.3</v>
      </c>
      <c r="F940" s="1014">
        <v>5.9</v>
      </c>
      <c r="G940" s="1013" t="s">
        <v>6080</v>
      </c>
      <c r="H940" s="1012">
        <v>95.6</v>
      </c>
    </row>
    <row r="941" spans="1:8" ht="12.65" customHeight="1">
      <c r="A941" s="1017" t="s">
        <v>3182</v>
      </c>
      <c r="B941" s="1017" t="s">
        <v>3153</v>
      </c>
      <c r="C941" s="1017" t="s">
        <v>3183</v>
      </c>
      <c r="D941" s="1016">
        <v>0.6</v>
      </c>
      <c r="E941" s="1015">
        <v>81.7</v>
      </c>
      <c r="F941" s="1014">
        <v>11.4</v>
      </c>
      <c r="G941" s="1013">
        <v>51.1</v>
      </c>
      <c r="H941" s="1012">
        <v>94.8</v>
      </c>
    </row>
    <row r="942" spans="1:8" ht="12.65" customHeight="1">
      <c r="A942" s="1017" t="s">
        <v>3179</v>
      </c>
      <c r="B942" s="1017" t="s">
        <v>3153</v>
      </c>
      <c r="C942" s="1017" t="s">
        <v>3180</v>
      </c>
      <c r="D942" s="1016">
        <v>0.6</v>
      </c>
      <c r="E942" s="1015">
        <v>88.2</v>
      </c>
      <c r="F942" s="1014">
        <v>11.1</v>
      </c>
      <c r="G942" s="1013" t="s">
        <v>6080</v>
      </c>
      <c r="H942" s="1012">
        <v>95</v>
      </c>
    </row>
    <row r="943" spans="1:8" ht="12.65" customHeight="1">
      <c r="A943" s="1017" t="s">
        <v>3176</v>
      </c>
      <c r="B943" s="1017" t="s">
        <v>3153</v>
      </c>
      <c r="C943" s="1017" t="s">
        <v>3177</v>
      </c>
      <c r="D943" s="1016">
        <v>0.49</v>
      </c>
      <c r="E943" s="1015">
        <v>85.6</v>
      </c>
      <c r="F943" s="1014">
        <v>4.3</v>
      </c>
      <c r="G943" s="1013" t="s">
        <v>6080</v>
      </c>
      <c r="H943" s="1012">
        <v>95.7</v>
      </c>
    </row>
    <row r="944" spans="1:8" ht="12.65" customHeight="1">
      <c r="A944" s="1017" t="s">
        <v>3173</v>
      </c>
      <c r="B944" s="1017" t="s">
        <v>3153</v>
      </c>
      <c r="C944" s="1017" t="s">
        <v>3174</v>
      </c>
      <c r="D944" s="1016">
        <v>0.42</v>
      </c>
      <c r="E944" s="1015">
        <v>89.5</v>
      </c>
      <c r="F944" s="1014">
        <v>10.1</v>
      </c>
      <c r="G944" s="1013" t="s">
        <v>6080</v>
      </c>
      <c r="H944" s="1012">
        <v>96.6</v>
      </c>
    </row>
    <row r="945" spans="1:8" ht="12.65" customHeight="1">
      <c r="A945" s="1017" t="s">
        <v>3170</v>
      </c>
      <c r="B945" s="1017" t="s">
        <v>3153</v>
      </c>
      <c r="C945" s="1017" t="s">
        <v>3171</v>
      </c>
      <c r="D945" s="1016">
        <v>0.42</v>
      </c>
      <c r="E945" s="1015">
        <v>84.6</v>
      </c>
      <c r="F945" s="1014">
        <v>9.1</v>
      </c>
      <c r="G945" s="1013" t="s">
        <v>6080</v>
      </c>
      <c r="H945" s="1012">
        <v>94.1</v>
      </c>
    </row>
    <row r="946" spans="1:8" ht="12.65" customHeight="1">
      <c r="A946" s="1017" t="s">
        <v>3167</v>
      </c>
      <c r="B946" s="1017" t="s">
        <v>3153</v>
      </c>
      <c r="C946" s="1017" t="s">
        <v>3168</v>
      </c>
      <c r="D946" s="1016">
        <v>0.24</v>
      </c>
      <c r="E946" s="1015">
        <v>75</v>
      </c>
      <c r="F946" s="1014">
        <v>2.8</v>
      </c>
      <c r="G946" s="1013" t="s">
        <v>6080</v>
      </c>
      <c r="H946" s="1012">
        <v>97</v>
      </c>
    </row>
    <row r="947" spans="1:8" ht="12.65" customHeight="1">
      <c r="A947" s="1017" t="s">
        <v>3164</v>
      </c>
      <c r="B947" s="1017" t="s">
        <v>3153</v>
      </c>
      <c r="C947" s="1017" t="s">
        <v>3165</v>
      </c>
      <c r="D947" s="1016">
        <v>0.4</v>
      </c>
      <c r="E947" s="1015">
        <v>83.7</v>
      </c>
      <c r="F947" s="1014">
        <v>3.4</v>
      </c>
      <c r="G947" s="1013" t="s">
        <v>6080</v>
      </c>
      <c r="H947" s="1012">
        <v>96.5</v>
      </c>
    </row>
    <row r="948" spans="1:8" ht="12.65" customHeight="1">
      <c r="A948" s="1017" t="s">
        <v>3161</v>
      </c>
      <c r="B948" s="1017" t="s">
        <v>3153</v>
      </c>
      <c r="C948" s="1017" t="s">
        <v>3162</v>
      </c>
      <c r="D948" s="1016">
        <v>0.27</v>
      </c>
      <c r="E948" s="1015">
        <v>82</v>
      </c>
      <c r="F948" s="1014">
        <v>10</v>
      </c>
      <c r="G948" s="1013" t="s">
        <v>6080</v>
      </c>
      <c r="H948" s="1012">
        <v>94.1</v>
      </c>
    </row>
    <row r="949" spans="1:8" ht="12.65" customHeight="1">
      <c r="A949" s="1017" t="s">
        <v>3158</v>
      </c>
      <c r="B949" s="1017" t="s">
        <v>3153</v>
      </c>
      <c r="C949" s="1017" t="s">
        <v>3159</v>
      </c>
      <c r="D949" s="1016">
        <v>0.15</v>
      </c>
      <c r="E949" s="1015">
        <v>107.2</v>
      </c>
      <c r="F949" s="1014">
        <v>15.8</v>
      </c>
      <c r="G949" s="1013">
        <v>32.6</v>
      </c>
      <c r="H949" s="1012">
        <v>94.6</v>
      </c>
    </row>
    <row r="950" spans="1:8" ht="12.65" customHeight="1">
      <c r="A950" s="1017" t="s">
        <v>3155</v>
      </c>
      <c r="B950" s="1017" t="s">
        <v>3153</v>
      </c>
      <c r="C950" s="1017" t="s">
        <v>3156</v>
      </c>
      <c r="D950" s="1016">
        <v>0.59</v>
      </c>
      <c r="E950" s="1015">
        <v>84.8</v>
      </c>
      <c r="F950" s="1014">
        <v>6.5</v>
      </c>
      <c r="G950" s="1013" t="s">
        <v>6080</v>
      </c>
      <c r="H950" s="1012">
        <v>97.3</v>
      </c>
    </row>
    <row r="951" spans="1:8" ht="12.65" customHeight="1">
      <c r="A951" s="1017" t="s">
        <v>3151</v>
      </c>
      <c r="B951" s="1017" t="s">
        <v>3153</v>
      </c>
      <c r="C951" s="1017" t="s">
        <v>3152</v>
      </c>
      <c r="D951" s="1016">
        <v>0.32</v>
      </c>
      <c r="E951" s="1015">
        <v>64.2</v>
      </c>
      <c r="F951" s="1014">
        <v>3.2</v>
      </c>
      <c r="G951" s="1013" t="s">
        <v>6080</v>
      </c>
      <c r="H951" s="1012">
        <v>95</v>
      </c>
    </row>
    <row r="952" spans="1:8" ht="12.65" customHeight="1">
      <c r="A952" s="1017" t="s">
        <v>3144</v>
      </c>
      <c r="B952" s="1017" t="s">
        <v>3043</v>
      </c>
      <c r="C952" s="1017" t="s">
        <v>3145</v>
      </c>
      <c r="D952" s="1016">
        <v>0.83</v>
      </c>
      <c r="E952" s="1015">
        <v>92.8</v>
      </c>
      <c r="F952" s="1014">
        <v>6.1</v>
      </c>
      <c r="G952" s="1013">
        <v>31.9</v>
      </c>
      <c r="H952" s="1012">
        <v>101.5</v>
      </c>
    </row>
    <row r="953" spans="1:8" ht="12.65" customHeight="1">
      <c r="A953" s="1017" t="s">
        <v>3141</v>
      </c>
      <c r="B953" s="1017" t="s">
        <v>3043</v>
      </c>
      <c r="C953" s="1017" t="s">
        <v>3142</v>
      </c>
      <c r="D953" s="1016">
        <v>0.81</v>
      </c>
      <c r="E953" s="1015">
        <v>91.2</v>
      </c>
      <c r="F953" s="1014">
        <v>3.8</v>
      </c>
      <c r="G953" s="1013" t="s">
        <v>6080</v>
      </c>
      <c r="H953" s="1012">
        <v>100.1</v>
      </c>
    </row>
    <row r="954" spans="1:8" ht="12.65" customHeight="1">
      <c r="A954" s="1017" t="s">
        <v>3138</v>
      </c>
      <c r="B954" s="1017" t="s">
        <v>3043</v>
      </c>
      <c r="C954" s="1017" t="s">
        <v>3139</v>
      </c>
      <c r="D954" s="1016">
        <v>0.91</v>
      </c>
      <c r="E954" s="1015">
        <v>87.8</v>
      </c>
      <c r="F954" s="1014">
        <v>4.5999999999999996</v>
      </c>
      <c r="G954" s="1013">
        <v>12.1</v>
      </c>
      <c r="H954" s="1012">
        <v>102.3</v>
      </c>
    </row>
    <row r="955" spans="1:8" ht="12.65" customHeight="1">
      <c r="A955" s="1017" t="s">
        <v>3135</v>
      </c>
      <c r="B955" s="1017" t="s">
        <v>3043</v>
      </c>
      <c r="C955" s="1017" t="s">
        <v>3136</v>
      </c>
      <c r="D955" s="1016">
        <v>0.84</v>
      </c>
      <c r="E955" s="1015">
        <v>88.5</v>
      </c>
      <c r="F955" s="1014">
        <v>4.3</v>
      </c>
      <c r="G955" s="1013" t="s">
        <v>6080</v>
      </c>
      <c r="H955" s="1012">
        <v>102.8</v>
      </c>
    </row>
    <row r="956" spans="1:8" ht="12.65" customHeight="1">
      <c r="A956" s="1017" t="s">
        <v>3132</v>
      </c>
      <c r="B956" s="1017" t="s">
        <v>3043</v>
      </c>
      <c r="C956" s="1017" t="s">
        <v>3133</v>
      </c>
      <c r="D956" s="1016">
        <v>0.86</v>
      </c>
      <c r="E956" s="1015">
        <v>89.2</v>
      </c>
      <c r="F956" s="1014">
        <v>6.4</v>
      </c>
      <c r="G956" s="1013">
        <v>26.2</v>
      </c>
      <c r="H956" s="1012">
        <v>102.4</v>
      </c>
    </row>
    <row r="957" spans="1:8" ht="12.65" customHeight="1">
      <c r="A957" s="1017" t="s">
        <v>3129</v>
      </c>
      <c r="B957" s="1017" t="s">
        <v>3043</v>
      </c>
      <c r="C957" s="1017" t="s">
        <v>3130</v>
      </c>
      <c r="D957" s="1016">
        <v>0.84</v>
      </c>
      <c r="E957" s="1015">
        <v>90.3</v>
      </c>
      <c r="F957" s="1014">
        <v>3.4</v>
      </c>
      <c r="G957" s="1013" t="s">
        <v>6080</v>
      </c>
      <c r="H957" s="1012">
        <v>101.3</v>
      </c>
    </row>
    <row r="958" spans="1:8" ht="12.65" customHeight="1">
      <c r="A958" s="1017" t="s">
        <v>3126</v>
      </c>
      <c r="B958" s="1017" t="s">
        <v>3043</v>
      </c>
      <c r="C958" s="1017" t="s">
        <v>3127</v>
      </c>
      <c r="D958" s="1016">
        <v>0.65</v>
      </c>
      <c r="E958" s="1015">
        <v>88.1</v>
      </c>
      <c r="F958" s="1014">
        <v>5.9</v>
      </c>
      <c r="G958" s="1013" t="s">
        <v>6080</v>
      </c>
      <c r="H958" s="1012">
        <v>100.5</v>
      </c>
    </row>
    <row r="959" spans="1:8" ht="12.65" customHeight="1">
      <c r="A959" s="1017" t="s">
        <v>3123</v>
      </c>
      <c r="B959" s="1017" t="s">
        <v>3043</v>
      </c>
      <c r="C959" s="1017" t="s">
        <v>3124</v>
      </c>
      <c r="D959" s="1016">
        <v>0.69</v>
      </c>
      <c r="E959" s="1015">
        <v>92.5</v>
      </c>
      <c r="F959" s="1014">
        <v>5.7</v>
      </c>
      <c r="G959" s="1013">
        <v>9.3000000000000007</v>
      </c>
      <c r="H959" s="1012">
        <v>100</v>
      </c>
    </row>
    <row r="960" spans="1:8" ht="12.65" customHeight="1">
      <c r="A960" s="1017" t="s">
        <v>3120</v>
      </c>
      <c r="B960" s="1017" t="s">
        <v>3043</v>
      </c>
      <c r="C960" s="1017" t="s">
        <v>3121</v>
      </c>
      <c r="D960" s="1016">
        <v>1</v>
      </c>
      <c r="E960" s="1015">
        <v>90.4</v>
      </c>
      <c r="F960" s="1014">
        <v>3.8</v>
      </c>
      <c r="G960" s="1013">
        <v>63.8</v>
      </c>
      <c r="H960" s="1012">
        <v>101.4</v>
      </c>
    </row>
    <row r="961" spans="1:8" ht="12.65" customHeight="1">
      <c r="A961" s="1017" t="s">
        <v>3117</v>
      </c>
      <c r="B961" s="1017" t="s">
        <v>3043</v>
      </c>
      <c r="C961" s="1017" t="s">
        <v>3118</v>
      </c>
      <c r="D961" s="1016">
        <v>0.78</v>
      </c>
      <c r="E961" s="1015">
        <v>87.4</v>
      </c>
      <c r="F961" s="1014">
        <v>0.9</v>
      </c>
      <c r="G961" s="1013" t="s">
        <v>6080</v>
      </c>
      <c r="H961" s="1012">
        <v>98.7</v>
      </c>
    </row>
    <row r="962" spans="1:8" ht="12.65" customHeight="1">
      <c r="A962" s="1017" t="s">
        <v>3114</v>
      </c>
      <c r="B962" s="1017" t="s">
        <v>3043</v>
      </c>
      <c r="C962" s="1017" t="s">
        <v>3115</v>
      </c>
      <c r="D962" s="1016">
        <v>0.82</v>
      </c>
      <c r="E962" s="1015">
        <v>92.5</v>
      </c>
      <c r="F962" s="1014">
        <v>6.3</v>
      </c>
      <c r="G962" s="1013" t="s">
        <v>6080</v>
      </c>
      <c r="H962" s="1012">
        <v>100.1</v>
      </c>
    </row>
    <row r="963" spans="1:8" ht="12.65" customHeight="1">
      <c r="A963" s="1017" t="s">
        <v>3111</v>
      </c>
      <c r="B963" s="1017" t="s">
        <v>3043</v>
      </c>
      <c r="C963" s="1017" t="s">
        <v>3112</v>
      </c>
      <c r="D963" s="1016">
        <v>0.84</v>
      </c>
      <c r="E963" s="1015">
        <v>89.2</v>
      </c>
      <c r="F963" s="1014">
        <v>7.9</v>
      </c>
      <c r="G963" s="1013">
        <v>15.6</v>
      </c>
      <c r="H963" s="1012">
        <v>101.4</v>
      </c>
    </row>
    <row r="964" spans="1:8" ht="12.65" customHeight="1">
      <c r="A964" s="1017" t="s">
        <v>3108</v>
      </c>
      <c r="B964" s="1017" t="s">
        <v>3043</v>
      </c>
      <c r="C964" s="1017" t="s">
        <v>3109</v>
      </c>
      <c r="D964" s="1016">
        <v>0.82</v>
      </c>
      <c r="E964" s="1015">
        <v>88.9</v>
      </c>
      <c r="F964" s="1014">
        <v>5</v>
      </c>
      <c r="G964" s="1013" t="s">
        <v>6080</v>
      </c>
      <c r="H964" s="1012">
        <v>101.7</v>
      </c>
    </row>
    <row r="965" spans="1:8" ht="12.65" customHeight="1">
      <c r="A965" s="1017" t="s">
        <v>3105</v>
      </c>
      <c r="B965" s="1017" t="s">
        <v>3043</v>
      </c>
      <c r="C965" s="1017" t="s">
        <v>3106</v>
      </c>
      <c r="D965" s="1016">
        <v>1.02</v>
      </c>
      <c r="E965" s="1015">
        <v>85.4</v>
      </c>
      <c r="F965" s="1014">
        <v>10.4</v>
      </c>
      <c r="G965" s="1013">
        <v>11</v>
      </c>
      <c r="H965" s="1012">
        <v>101</v>
      </c>
    </row>
    <row r="966" spans="1:8" ht="12.65" customHeight="1">
      <c r="A966" s="1017" t="s">
        <v>3102</v>
      </c>
      <c r="B966" s="1017" t="s">
        <v>3043</v>
      </c>
      <c r="C966" s="1017" t="s">
        <v>3103</v>
      </c>
      <c r="D966" s="1016">
        <v>0.81</v>
      </c>
      <c r="E966" s="1015">
        <v>92.8</v>
      </c>
      <c r="F966" s="1014">
        <v>5.0999999999999996</v>
      </c>
      <c r="G966" s="1013">
        <v>52.5</v>
      </c>
      <c r="H966" s="1012">
        <v>101.5</v>
      </c>
    </row>
    <row r="967" spans="1:8" ht="12.65" customHeight="1">
      <c r="A967" s="1017" t="s">
        <v>3099</v>
      </c>
      <c r="B967" s="1017" t="s">
        <v>3043</v>
      </c>
      <c r="C967" s="1017" t="s">
        <v>3100</v>
      </c>
      <c r="D967" s="1016">
        <v>0.46</v>
      </c>
      <c r="E967" s="1015">
        <v>85.7</v>
      </c>
      <c r="F967" s="1014">
        <v>6.8</v>
      </c>
      <c r="G967" s="1013">
        <v>46.8</v>
      </c>
      <c r="H967" s="1012">
        <v>99</v>
      </c>
    </row>
    <row r="968" spans="1:8" ht="12.65" customHeight="1">
      <c r="A968" s="1017" t="s">
        <v>3096</v>
      </c>
      <c r="B968" s="1017" t="s">
        <v>3043</v>
      </c>
      <c r="C968" s="1017" t="s">
        <v>3097</v>
      </c>
      <c r="D968" s="1016">
        <v>0.95</v>
      </c>
      <c r="E968" s="1015">
        <v>96.8</v>
      </c>
      <c r="F968" s="1014">
        <v>12.2</v>
      </c>
      <c r="G968" s="1013">
        <v>27.3</v>
      </c>
      <c r="H968" s="1012">
        <v>100.1</v>
      </c>
    </row>
    <row r="969" spans="1:8" ht="12.65" customHeight="1">
      <c r="A969" s="1017" t="s">
        <v>3093</v>
      </c>
      <c r="B969" s="1017" t="s">
        <v>3043</v>
      </c>
      <c r="C969" s="1017" t="s">
        <v>3094</v>
      </c>
      <c r="D969" s="1016">
        <v>1</v>
      </c>
      <c r="E969" s="1015">
        <v>92.6</v>
      </c>
      <c r="F969" s="1014">
        <v>4.9000000000000004</v>
      </c>
      <c r="G969" s="1013">
        <v>2.4</v>
      </c>
      <c r="H969" s="1012">
        <v>101.6</v>
      </c>
    </row>
    <row r="970" spans="1:8" ht="12.65" customHeight="1">
      <c r="A970" s="1017" t="s">
        <v>3090</v>
      </c>
      <c r="B970" s="1017" t="s">
        <v>3043</v>
      </c>
      <c r="C970" s="1017" t="s">
        <v>3091</v>
      </c>
      <c r="D970" s="1016">
        <v>0.45</v>
      </c>
      <c r="E970" s="1015">
        <v>88</v>
      </c>
      <c r="F970" s="1014">
        <v>6.4</v>
      </c>
      <c r="G970" s="1013">
        <v>46</v>
      </c>
      <c r="H970" s="1012">
        <v>95.4</v>
      </c>
    </row>
    <row r="971" spans="1:8" ht="12.65" customHeight="1">
      <c r="A971" s="1017" t="s">
        <v>3087</v>
      </c>
      <c r="B971" s="1017" t="s">
        <v>3043</v>
      </c>
      <c r="C971" s="1017" t="s">
        <v>3088</v>
      </c>
      <c r="D971" s="1016">
        <v>0.92</v>
      </c>
      <c r="E971" s="1015">
        <v>89.7</v>
      </c>
      <c r="F971" s="1014">
        <v>1</v>
      </c>
      <c r="G971" s="1013" t="s">
        <v>6080</v>
      </c>
      <c r="H971" s="1012">
        <v>97.5</v>
      </c>
    </row>
    <row r="972" spans="1:8" ht="12.65" customHeight="1">
      <c r="A972" s="1017" t="s">
        <v>3084</v>
      </c>
      <c r="B972" s="1017" t="s">
        <v>3043</v>
      </c>
      <c r="C972" s="1017" t="s">
        <v>3085</v>
      </c>
      <c r="D972" s="1016">
        <v>0.7</v>
      </c>
      <c r="E972" s="1015">
        <v>93.4</v>
      </c>
      <c r="F972" s="1014">
        <v>8.9</v>
      </c>
      <c r="G972" s="1013" t="s">
        <v>6080</v>
      </c>
      <c r="H972" s="1012">
        <v>98.2</v>
      </c>
    </row>
    <row r="973" spans="1:8" ht="12.65" customHeight="1">
      <c r="A973" s="1017" t="s">
        <v>3081</v>
      </c>
      <c r="B973" s="1017" t="s">
        <v>3043</v>
      </c>
      <c r="C973" s="1017" t="s">
        <v>3082</v>
      </c>
      <c r="D973" s="1016">
        <v>0.63</v>
      </c>
      <c r="E973" s="1015">
        <v>90.7</v>
      </c>
      <c r="F973" s="1014">
        <v>7.2</v>
      </c>
      <c r="G973" s="1013">
        <v>27.5</v>
      </c>
      <c r="H973" s="1012">
        <v>97.7</v>
      </c>
    </row>
    <row r="974" spans="1:8" ht="12.65" customHeight="1">
      <c r="A974" s="1017" t="s">
        <v>3078</v>
      </c>
      <c r="B974" s="1017" t="s">
        <v>3043</v>
      </c>
      <c r="C974" s="1017" t="s">
        <v>3079</v>
      </c>
      <c r="D974" s="1016">
        <v>0.7</v>
      </c>
      <c r="E974" s="1015">
        <v>90.5</v>
      </c>
      <c r="F974" s="1014">
        <v>5.8</v>
      </c>
      <c r="G974" s="1013" t="s">
        <v>6080</v>
      </c>
      <c r="H974" s="1012">
        <v>95.9</v>
      </c>
    </row>
    <row r="975" spans="1:8" ht="12.65" customHeight="1">
      <c r="A975" s="1017" t="s">
        <v>3075</v>
      </c>
      <c r="B975" s="1017" t="s">
        <v>3043</v>
      </c>
      <c r="C975" s="1017" t="s">
        <v>3076</v>
      </c>
      <c r="D975" s="1016">
        <v>0.54</v>
      </c>
      <c r="E975" s="1015">
        <v>83.1</v>
      </c>
      <c r="F975" s="1014">
        <v>7.4</v>
      </c>
      <c r="G975" s="1013">
        <v>20</v>
      </c>
      <c r="H975" s="1012">
        <v>92.7</v>
      </c>
    </row>
    <row r="976" spans="1:8" ht="12.65" customHeight="1">
      <c r="A976" s="1017" t="s">
        <v>3072</v>
      </c>
      <c r="B976" s="1017" t="s">
        <v>3043</v>
      </c>
      <c r="C976" s="1017" t="s">
        <v>3073</v>
      </c>
      <c r="D976" s="1016">
        <v>0.39</v>
      </c>
      <c r="E976" s="1015">
        <v>89.7</v>
      </c>
      <c r="F976" s="1014">
        <v>5.9</v>
      </c>
      <c r="G976" s="1013" t="s">
        <v>6080</v>
      </c>
      <c r="H976" s="1012">
        <v>94.7</v>
      </c>
    </row>
    <row r="977" spans="1:8" ht="12.65" customHeight="1">
      <c r="A977" s="1017" t="s">
        <v>3069</v>
      </c>
      <c r="B977" s="1017" t="s">
        <v>3043</v>
      </c>
      <c r="C977" s="1017" t="s">
        <v>3070</v>
      </c>
      <c r="D977" s="1016">
        <v>0.28999999999999998</v>
      </c>
      <c r="E977" s="1015">
        <v>85.4</v>
      </c>
      <c r="F977" s="1014">
        <v>7.6</v>
      </c>
      <c r="G977" s="1013" t="s">
        <v>6080</v>
      </c>
      <c r="H977" s="1012">
        <v>97.2</v>
      </c>
    </row>
    <row r="978" spans="1:8" ht="12.65" customHeight="1">
      <c r="A978" s="1017" t="s">
        <v>3066</v>
      </c>
      <c r="B978" s="1017" t="s">
        <v>3043</v>
      </c>
      <c r="C978" s="1017" t="s">
        <v>3067</v>
      </c>
      <c r="D978" s="1016">
        <v>0.26</v>
      </c>
      <c r="E978" s="1015">
        <v>86.3</v>
      </c>
      <c r="F978" s="1014">
        <v>5.3</v>
      </c>
      <c r="G978" s="1013" t="s">
        <v>6080</v>
      </c>
      <c r="H978" s="1012">
        <v>96</v>
      </c>
    </row>
    <row r="979" spans="1:8" ht="12.65" customHeight="1">
      <c r="A979" s="1017" t="s">
        <v>3063</v>
      </c>
      <c r="B979" s="1017" t="s">
        <v>3043</v>
      </c>
      <c r="C979" s="1017" t="s">
        <v>3064</v>
      </c>
      <c r="D979" s="1016">
        <v>0.26</v>
      </c>
      <c r="E979" s="1015">
        <v>81.7</v>
      </c>
      <c r="F979" s="1014">
        <v>4.3</v>
      </c>
      <c r="G979" s="1013" t="s">
        <v>6080</v>
      </c>
      <c r="H979" s="1012">
        <v>96.7</v>
      </c>
    </row>
    <row r="980" spans="1:8" ht="12.65" customHeight="1">
      <c r="A980" s="1017" t="s">
        <v>3060</v>
      </c>
      <c r="B980" s="1017" t="s">
        <v>3043</v>
      </c>
      <c r="C980" s="1017" t="s">
        <v>3061</v>
      </c>
      <c r="D980" s="1016">
        <v>0.72</v>
      </c>
      <c r="E980" s="1015">
        <v>91.5</v>
      </c>
      <c r="F980" s="1014">
        <v>5.0999999999999996</v>
      </c>
      <c r="G980" s="1013">
        <v>17.2</v>
      </c>
      <c r="H980" s="1012">
        <v>97.2</v>
      </c>
    </row>
    <row r="981" spans="1:8" ht="12.65" customHeight="1">
      <c r="A981" s="1017" t="s">
        <v>3057</v>
      </c>
      <c r="B981" s="1017" t="s">
        <v>3043</v>
      </c>
      <c r="C981" s="1017" t="s">
        <v>3058</v>
      </c>
      <c r="D981" s="1016">
        <v>0.92</v>
      </c>
      <c r="E981" s="1015">
        <v>87.8</v>
      </c>
      <c r="F981" s="1014">
        <v>6.4</v>
      </c>
      <c r="G981" s="1013">
        <v>14.9</v>
      </c>
      <c r="H981" s="1012">
        <v>94.9</v>
      </c>
    </row>
    <row r="982" spans="1:8" ht="12.65" customHeight="1">
      <c r="A982" s="1017" t="s">
        <v>3054</v>
      </c>
      <c r="B982" s="1017" t="s">
        <v>3043</v>
      </c>
      <c r="C982" s="1017" t="s">
        <v>3055</v>
      </c>
      <c r="D982" s="1016">
        <v>1.1399999999999999</v>
      </c>
      <c r="E982" s="1015">
        <v>83.5</v>
      </c>
      <c r="F982" s="1014">
        <v>1.6</v>
      </c>
      <c r="G982" s="1013" t="s">
        <v>6080</v>
      </c>
      <c r="H982" s="1012">
        <v>96.6</v>
      </c>
    </row>
    <row r="983" spans="1:8" ht="12.65" customHeight="1">
      <c r="A983" s="1017" t="s">
        <v>3051</v>
      </c>
      <c r="B983" s="1017" t="s">
        <v>3043</v>
      </c>
      <c r="C983" s="1017" t="s">
        <v>3052</v>
      </c>
      <c r="D983" s="1016">
        <v>0.85</v>
      </c>
      <c r="E983" s="1015">
        <v>89.6</v>
      </c>
      <c r="F983" s="1014">
        <v>10.3</v>
      </c>
      <c r="G983" s="1013">
        <v>30.7</v>
      </c>
      <c r="H983" s="1012">
        <v>98.8</v>
      </c>
    </row>
    <row r="984" spans="1:8" ht="12.65" customHeight="1">
      <c r="A984" s="1017" t="s">
        <v>3048</v>
      </c>
      <c r="B984" s="1017" t="s">
        <v>3043</v>
      </c>
      <c r="C984" s="1017" t="s">
        <v>3049</v>
      </c>
      <c r="D984" s="1016">
        <v>0.87</v>
      </c>
      <c r="E984" s="1015">
        <v>88.1</v>
      </c>
      <c r="F984" s="1014">
        <v>10.7</v>
      </c>
      <c r="G984" s="1013">
        <v>18.7</v>
      </c>
      <c r="H984" s="1012">
        <v>95.8</v>
      </c>
    </row>
    <row r="985" spans="1:8" ht="12.65" customHeight="1">
      <c r="A985" s="1017" t="s">
        <v>3045</v>
      </c>
      <c r="B985" s="1017" t="s">
        <v>3043</v>
      </c>
      <c r="C985" s="1017" t="s">
        <v>3046</v>
      </c>
      <c r="D985" s="1016">
        <v>0.33</v>
      </c>
      <c r="E985" s="1015">
        <v>86.4</v>
      </c>
      <c r="F985" s="1014">
        <v>1</v>
      </c>
      <c r="G985" s="1013" t="s">
        <v>6080</v>
      </c>
      <c r="H985" s="1012">
        <v>94.5</v>
      </c>
    </row>
    <row r="986" spans="1:8" ht="12.65" customHeight="1">
      <c r="A986" s="1017" t="s">
        <v>3041</v>
      </c>
      <c r="B986" s="1017" t="s">
        <v>3043</v>
      </c>
      <c r="C986" s="1017" t="s">
        <v>3042</v>
      </c>
      <c r="D986" s="1016">
        <v>0.54</v>
      </c>
      <c r="E986" s="1015">
        <v>93.1</v>
      </c>
      <c r="F986" s="1014">
        <v>12.9</v>
      </c>
      <c r="G986" s="1013">
        <v>28.4</v>
      </c>
      <c r="H986" s="1012">
        <v>95.8</v>
      </c>
    </row>
    <row r="987" spans="1:8" ht="12.65" customHeight="1">
      <c r="A987" s="1017" t="s">
        <v>3034</v>
      </c>
      <c r="B987" s="1017" t="s">
        <v>2881</v>
      </c>
      <c r="C987" s="1017" t="s">
        <v>3035</v>
      </c>
      <c r="D987" s="1016">
        <v>0.97</v>
      </c>
      <c r="E987" s="1015">
        <v>99.9</v>
      </c>
      <c r="F987" s="1014">
        <v>6.4</v>
      </c>
      <c r="G987" s="1013">
        <v>83</v>
      </c>
      <c r="H987" s="1012">
        <v>98.8</v>
      </c>
    </row>
    <row r="988" spans="1:8" ht="12.65" customHeight="1">
      <c r="A988" s="1017" t="s">
        <v>3031</v>
      </c>
      <c r="B988" s="1017" t="s">
        <v>2881</v>
      </c>
      <c r="C988" s="1017" t="s">
        <v>3032</v>
      </c>
      <c r="D988" s="1016">
        <v>0.98</v>
      </c>
      <c r="E988" s="1015">
        <v>90</v>
      </c>
      <c r="F988" s="1014">
        <v>5.0999999999999996</v>
      </c>
      <c r="G988" s="1013">
        <v>27.1</v>
      </c>
      <c r="H988" s="1012">
        <v>96</v>
      </c>
    </row>
    <row r="989" spans="1:8" ht="12.65" customHeight="1">
      <c r="A989" s="1017" t="s">
        <v>3028</v>
      </c>
      <c r="B989" s="1017" t="s">
        <v>2881</v>
      </c>
      <c r="C989" s="1017" t="s">
        <v>3029</v>
      </c>
      <c r="D989" s="1016">
        <v>1</v>
      </c>
      <c r="E989" s="1015">
        <v>91.9</v>
      </c>
      <c r="F989" s="1014">
        <v>1.1000000000000001</v>
      </c>
      <c r="G989" s="1013" t="s">
        <v>6080</v>
      </c>
      <c r="H989" s="1012">
        <v>99.6</v>
      </c>
    </row>
    <row r="990" spans="1:8" ht="12.65" customHeight="1">
      <c r="A990" s="1017" t="s">
        <v>3025</v>
      </c>
      <c r="B990" s="1017" t="s">
        <v>2881</v>
      </c>
      <c r="C990" s="1017" t="s">
        <v>3026</v>
      </c>
      <c r="D990" s="1016">
        <v>0.77</v>
      </c>
      <c r="E990" s="1015">
        <v>90.7</v>
      </c>
      <c r="F990" s="1014">
        <v>3.5</v>
      </c>
      <c r="G990" s="1013">
        <v>11</v>
      </c>
      <c r="H990" s="1012">
        <v>100.4</v>
      </c>
    </row>
    <row r="991" spans="1:8" ht="12.65" customHeight="1">
      <c r="A991" s="1017" t="s">
        <v>3022</v>
      </c>
      <c r="B991" s="1017" t="s">
        <v>2881</v>
      </c>
      <c r="C991" s="1017" t="s">
        <v>3023</v>
      </c>
      <c r="D991" s="1016">
        <v>0.81</v>
      </c>
      <c r="E991" s="1015">
        <v>88</v>
      </c>
      <c r="F991" s="1014">
        <v>1.1000000000000001</v>
      </c>
      <c r="G991" s="1013" t="s">
        <v>6080</v>
      </c>
      <c r="H991" s="1012">
        <v>99.3</v>
      </c>
    </row>
    <row r="992" spans="1:8" ht="12.65" customHeight="1">
      <c r="A992" s="1017" t="s">
        <v>3019</v>
      </c>
      <c r="B992" s="1017" t="s">
        <v>2881</v>
      </c>
      <c r="C992" s="1017" t="s">
        <v>3020</v>
      </c>
      <c r="D992" s="1016">
        <v>0.96</v>
      </c>
      <c r="E992" s="1015">
        <v>83.4</v>
      </c>
      <c r="F992" s="1014">
        <v>0.6</v>
      </c>
      <c r="G992" s="1013" t="s">
        <v>6080</v>
      </c>
      <c r="H992" s="1012">
        <v>98.9</v>
      </c>
    </row>
    <row r="993" spans="1:8" ht="12.65" customHeight="1">
      <c r="A993" s="1017" t="s">
        <v>3016</v>
      </c>
      <c r="B993" s="1017" t="s">
        <v>2881</v>
      </c>
      <c r="C993" s="1017" t="s">
        <v>3017</v>
      </c>
      <c r="D993" s="1016">
        <v>0.93</v>
      </c>
      <c r="E993" s="1015">
        <v>97.4</v>
      </c>
      <c r="F993" s="1014">
        <v>4.3</v>
      </c>
      <c r="G993" s="1013">
        <v>21.9</v>
      </c>
      <c r="H993" s="1012">
        <v>100.7</v>
      </c>
    </row>
    <row r="994" spans="1:8" ht="12.65" customHeight="1">
      <c r="A994" s="1017" t="s">
        <v>3013</v>
      </c>
      <c r="B994" s="1017" t="s">
        <v>2881</v>
      </c>
      <c r="C994" s="1017" t="s">
        <v>3014</v>
      </c>
      <c r="D994" s="1016">
        <v>0.79</v>
      </c>
      <c r="E994" s="1015">
        <v>86.1</v>
      </c>
      <c r="F994" s="1014">
        <v>-0.9</v>
      </c>
      <c r="G994" s="1013" t="s">
        <v>6080</v>
      </c>
      <c r="H994" s="1012">
        <v>101</v>
      </c>
    </row>
    <row r="995" spans="1:8" ht="12.65" customHeight="1">
      <c r="A995" s="1017" t="s">
        <v>3010</v>
      </c>
      <c r="B995" s="1017" t="s">
        <v>2881</v>
      </c>
      <c r="C995" s="1017" t="s">
        <v>3011</v>
      </c>
      <c r="D995" s="1016">
        <v>0.71</v>
      </c>
      <c r="E995" s="1015">
        <v>94.6</v>
      </c>
      <c r="F995" s="1014">
        <v>4.9000000000000004</v>
      </c>
      <c r="G995" s="1013" t="s">
        <v>6080</v>
      </c>
      <c r="H995" s="1012">
        <v>96.7</v>
      </c>
    </row>
    <row r="996" spans="1:8" ht="12.65" customHeight="1">
      <c r="A996" s="1017" t="s">
        <v>3008</v>
      </c>
      <c r="B996" s="1017" t="s">
        <v>2881</v>
      </c>
      <c r="C996" s="1017" t="s">
        <v>3009</v>
      </c>
      <c r="D996" s="1016">
        <v>1.1599999999999999</v>
      </c>
      <c r="E996" s="1015">
        <v>97.5</v>
      </c>
      <c r="F996" s="1014">
        <v>3.1</v>
      </c>
      <c r="G996" s="1013">
        <v>2.8</v>
      </c>
      <c r="H996" s="1012">
        <v>96.4</v>
      </c>
    </row>
    <row r="997" spans="1:8" ht="12.65" customHeight="1">
      <c r="A997" s="1017" t="s">
        <v>3005</v>
      </c>
      <c r="B997" s="1017" t="s">
        <v>2881</v>
      </c>
      <c r="C997" s="1017" t="s">
        <v>3006</v>
      </c>
      <c r="D997" s="1016">
        <v>1.24</v>
      </c>
      <c r="E997" s="1015">
        <v>84.4</v>
      </c>
      <c r="F997" s="1014">
        <v>-1.5</v>
      </c>
      <c r="G997" s="1013" t="s">
        <v>6080</v>
      </c>
      <c r="H997" s="1012">
        <v>99</v>
      </c>
    </row>
    <row r="998" spans="1:8" ht="12.65" customHeight="1">
      <c r="A998" s="1017" t="s">
        <v>3002</v>
      </c>
      <c r="B998" s="1017" t="s">
        <v>2881</v>
      </c>
      <c r="C998" s="1017" t="s">
        <v>3003</v>
      </c>
      <c r="D998" s="1016">
        <v>1.34</v>
      </c>
      <c r="E998" s="1015">
        <v>75.099999999999994</v>
      </c>
      <c r="F998" s="1014">
        <v>1.2</v>
      </c>
      <c r="G998" s="1013" t="s">
        <v>6080</v>
      </c>
      <c r="H998" s="1012">
        <v>99.8</v>
      </c>
    </row>
    <row r="999" spans="1:8" ht="12.65" customHeight="1">
      <c r="A999" s="1017" t="s">
        <v>2999</v>
      </c>
      <c r="B999" s="1017" t="s">
        <v>2881</v>
      </c>
      <c r="C999" s="1017" t="s">
        <v>3000</v>
      </c>
      <c r="D999" s="1016">
        <v>1.25</v>
      </c>
      <c r="E999" s="1015">
        <v>84.7</v>
      </c>
      <c r="F999" s="1014">
        <v>0.6</v>
      </c>
      <c r="G999" s="1013" t="s">
        <v>6080</v>
      </c>
      <c r="H999" s="1012">
        <v>99.2</v>
      </c>
    </row>
    <row r="1000" spans="1:8" ht="12.65" customHeight="1">
      <c r="A1000" s="1017" t="s">
        <v>2996</v>
      </c>
      <c r="B1000" s="1017" t="s">
        <v>2881</v>
      </c>
      <c r="C1000" s="1017" t="s">
        <v>2997</v>
      </c>
      <c r="D1000" s="1016">
        <v>0.94</v>
      </c>
      <c r="E1000" s="1015">
        <v>93.8</v>
      </c>
      <c r="F1000" s="1014">
        <v>1.6</v>
      </c>
      <c r="G1000" s="1013" t="s">
        <v>6080</v>
      </c>
      <c r="H1000" s="1012">
        <v>99.7</v>
      </c>
    </row>
    <row r="1001" spans="1:8" ht="12.65" customHeight="1">
      <c r="A1001" s="1017" t="s">
        <v>2993</v>
      </c>
      <c r="B1001" s="1017" t="s">
        <v>2881</v>
      </c>
      <c r="C1001" s="1017" t="s">
        <v>2994</v>
      </c>
      <c r="D1001" s="1016">
        <v>0.8</v>
      </c>
      <c r="E1001" s="1015">
        <v>92.8</v>
      </c>
      <c r="F1001" s="1014">
        <v>0.9</v>
      </c>
      <c r="G1001" s="1013" t="s">
        <v>6080</v>
      </c>
      <c r="H1001" s="1012">
        <v>100.9</v>
      </c>
    </row>
    <row r="1002" spans="1:8" ht="12.65" customHeight="1">
      <c r="A1002" s="1017" t="s">
        <v>2990</v>
      </c>
      <c r="B1002" s="1017" t="s">
        <v>2881</v>
      </c>
      <c r="C1002" s="1017" t="s">
        <v>2991</v>
      </c>
      <c r="D1002" s="1016">
        <v>0.85</v>
      </c>
      <c r="E1002" s="1015">
        <v>92.2</v>
      </c>
      <c r="F1002" s="1014">
        <v>2.7</v>
      </c>
      <c r="G1002" s="1013" t="s">
        <v>6080</v>
      </c>
      <c r="H1002" s="1012">
        <v>100.8</v>
      </c>
    </row>
    <row r="1003" spans="1:8" ht="12.65" customHeight="1">
      <c r="A1003" s="1017" t="s">
        <v>2987</v>
      </c>
      <c r="B1003" s="1017" t="s">
        <v>2881</v>
      </c>
      <c r="C1003" s="1017" t="s">
        <v>2988</v>
      </c>
      <c r="D1003" s="1016">
        <v>0.93</v>
      </c>
      <c r="E1003" s="1015">
        <v>86.9</v>
      </c>
      <c r="F1003" s="1014">
        <v>12</v>
      </c>
      <c r="G1003" s="1013">
        <v>101.2</v>
      </c>
      <c r="H1003" s="1012">
        <v>96.4</v>
      </c>
    </row>
    <row r="1004" spans="1:8" ht="12.65" customHeight="1">
      <c r="A1004" s="1017" t="s">
        <v>2984</v>
      </c>
      <c r="B1004" s="1017" t="s">
        <v>2881</v>
      </c>
      <c r="C1004" s="1017" t="s">
        <v>2985</v>
      </c>
      <c r="D1004" s="1016">
        <v>0.75</v>
      </c>
      <c r="E1004" s="1015">
        <v>93.8</v>
      </c>
      <c r="F1004" s="1014">
        <v>3.2</v>
      </c>
      <c r="G1004" s="1013" t="s">
        <v>6080</v>
      </c>
      <c r="H1004" s="1012">
        <v>99.3</v>
      </c>
    </row>
    <row r="1005" spans="1:8" ht="12.65" customHeight="1">
      <c r="A1005" s="1017" t="s">
        <v>2982</v>
      </c>
      <c r="B1005" s="1017" t="s">
        <v>2881</v>
      </c>
      <c r="C1005" s="1017" t="s">
        <v>2983</v>
      </c>
      <c r="D1005" s="1016">
        <v>1.18</v>
      </c>
      <c r="E1005" s="1015">
        <v>92.9</v>
      </c>
      <c r="F1005" s="1014">
        <v>0.8</v>
      </c>
      <c r="G1005" s="1013" t="s">
        <v>6080</v>
      </c>
      <c r="H1005" s="1012">
        <v>101.2</v>
      </c>
    </row>
    <row r="1006" spans="1:8" ht="12.65" customHeight="1">
      <c r="A1006" s="1017" t="s">
        <v>2979</v>
      </c>
      <c r="B1006" s="1017" t="s">
        <v>2881</v>
      </c>
      <c r="C1006" s="1017" t="s">
        <v>2980</v>
      </c>
      <c r="D1006" s="1016">
        <v>0.84</v>
      </c>
      <c r="E1006" s="1015">
        <v>92</v>
      </c>
      <c r="F1006" s="1014">
        <v>3.2</v>
      </c>
      <c r="G1006" s="1013" t="s">
        <v>6080</v>
      </c>
      <c r="H1006" s="1012">
        <v>100.1</v>
      </c>
    </row>
    <row r="1007" spans="1:8" ht="12.65" customHeight="1">
      <c r="A1007" s="1017" t="s">
        <v>2976</v>
      </c>
      <c r="B1007" s="1017" t="s">
        <v>2881</v>
      </c>
      <c r="C1007" s="1017" t="s">
        <v>2977</v>
      </c>
      <c r="D1007" s="1016">
        <v>0.53</v>
      </c>
      <c r="E1007" s="1015">
        <v>92.5</v>
      </c>
      <c r="F1007" s="1014">
        <v>7.9</v>
      </c>
      <c r="G1007" s="1013">
        <v>49</v>
      </c>
      <c r="H1007" s="1012">
        <v>98.2</v>
      </c>
    </row>
    <row r="1008" spans="1:8" ht="12.65" customHeight="1">
      <c r="A1008" s="1017" t="s">
        <v>2973</v>
      </c>
      <c r="B1008" s="1017" t="s">
        <v>2881</v>
      </c>
      <c r="C1008" s="1017" t="s">
        <v>2974</v>
      </c>
      <c r="D1008" s="1016">
        <v>1.26</v>
      </c>
      <c r="E1008" s="1015">
        <v>84</v>
      </c>
      <c r="F1008" s="1014">
        <v>0.8</v>
      </c>
      <c r="G1008" s="1013">
        <v>17.100000000000001</v>
      </c>
      <c r="H1008" s="1012">
        <v>100.7</v>
      </c>
    </row>
    <row r="1009" spans="1:8" ht="12.65" customHeight="1">
      <c r="A1009" s="1017" t="s">
        <v>2970</v>
      </c>
      <c r="B1009" s="1017" t="s">
        <v>2881</v>
      </c>
      <c r="C1009" s="1017" t="s">
        <v>2971</v>
      </c>
      <c r="D1009" s="1016">
        <v>1.1200000000000001</v>
      </c>
      <c r="E1009" s="1015">
        <v>83.6</v>
      </c>
      <c r="F1009" s="1014">
        <v>-0.2</v>
      </c>
      <c r="G1009" s="1013" t="s">
        <v>6080</v>
      </c>
      <c r="H1009" s="1012">
        <v>97.4</v>
      </c>
    </row>
    <row r="1010" spans="1:8" ht="12.65" customHeight="1">
      <c r="A1010" s="1017" t="s">
        <v>2967</v>
      </c>
      <c r="B1010" s="1017" t="s">
        <v>2881</v>
      </c>
      <c r="C1010" s="1017" t="s">
        <v>2968</v>
      </c>
      <c r="D1010" s="1016">
        <v>0.92</v>
      </c>
      <c r="E1010" s="1015">
        <v>94</v>
      </c>
      <c r="F1010" s="1014">
        <v>2.9</v>
      </c>
      <c r="G1010" s="1013">
        <v>19.3</v>
      </c>
      <c r="H1010" s="1012">
        <v>96.3</v>
      </c>
    </row>
    <row r="1011" spans="1:8" ht="12.65" customHeight="1">
      <c r="A1011" s="1017" t="s">
        <v>2964</v>
      </c>
      <c r="B1011" s="1017" t="s">
        <v>2881</v>
      </c>
      <c r="C1011" s="1017" t="s">
        <v>2965</v>
      </c>
      <c r="D1011" s="1016">
        <v>0.95</v>
      </c>
      <c r="E1011" s="1015">
        <v>90</v>
      </c>
      <c r="F1011" s="1014">
        <v>1.7</v>
      </c>
      <c r="G1011" s="1013" t="s">
        <v>6080</v>
      </c>
      <c r="H1011" s="1012">
        <v>99.4</v>
      </c>
    </row>
    <row r="1012" spans="1:8" ht="12.65" customHeight="1">
      <c r="A1012" s="1017" t="s">
        <v>2961</v>
      </c>
      <c r="B1012" s="1017" t="s">
        <v>2881</v>
      </c>
      <c r="C1012" s="1017" t="s">
        <v>2962</v>
      </c>
      <c r="D1012" s="1016">
        <v>0.84</v>
      </c>
      <c r="E1012" s="1015">
        <v>89.5</v>
      </c>
      <c r="F1012" s="1014">
        <v>3.6</v>
      </c>
      <c r="G1012" s="1013" t="s">
        <v>6080</v>
      </c>
      <c r="H1012" s="1012">
        <v>98.3</v>
      </c>
    </row>
    <row r="1013" spans="1:8" ht="12.65" customHeight="1">
      <c r="A1013" s="1017" t="s">
        <v>2958</v>
      </c>
      <c r="B1013" s="1017" t="s">
        <v>2881</v>
      </c>
      <c r="C1013" s="1017" t="s">
        <v>2959</v>
      </c>
      <c r="D1013" s="1016">
        <v>1.01</v>
      </c>
      <c r="E1013" s="1015">
        <v>97.6</v>
      </c>
      <c r="F1013" s="1014">
        <v>2.9</v>
      </c>
      <c r="G1013" s="1013">
        <v>28.8</v>
      </c>
      <c r="H1013" s="1012">
        <v>96.6</v>
      </c>
    </row>
    <row r="1014" spans="1:8" ht="12.65" customHeight="1">
      <c r="A1014" s="1017" t="s">
        <v>2955</v>
      </c>
      <c r="B1014" s="1017" t="s">
        <v>2881</v>
      </c>
      <c r="C1014" s="1017" t="s">
        <v>2956</v>
      </c>
      <c r="D1014" s="1016">
        <v>0.74</v>
      </c>
      <c r="E1014" s="1015">
        <v>91.6</v>
      </c>
      <c r="F1014" s="1014">
        <v>3.8</v>
      </c>
      <c r="G1014" s="1013">
        <v>4</v>
      </c>
      <c r="H1014" s="1012">
        <v>100.1</v>
      </c>
    </row>
    <row r="1015" spans="1:8" ht="12.65" customHeight="1">
      <c r="A1015" s="1017" t="s">
        <v>2952</v>
      </c>
      <c r="B1015" s="1017" t="s">
        <v>2881</v>
      </c>
      <c r="C1015" s="1017" t="s">
        <v>2953</v>
      </c>
      <c r="D1015" s="1016">
        <v>0.84</v>
      </c>
      <c r="E1015" s="1015">
        <v>90</v>
      </c>
      <c r="F1015" s="1014">
        <v>1</v>
      </c>
      <c r="G1015" s="1013" t="s">
        <v>6080</v>
      </c>
      <c r="H1015" s="1012">
        <v>97.7</v>
      </c>
    </row>
    <row r="1016" spans="1:8" ht="12.65" customHeight="1">
      <c r="A1016" s="1017" t="s">
        <v>2949</v>
      </c>
      <c r="B1016" s="1017" t="s">
        <v>2881</v>
      </c>
      <c r="C1016" s="1017" t="s">
        <v>2950</v>
      </c>
      <c r="D1016" s="1016">
        <v>1</v>
      </c>
      <c r="E1016" s="1015">
        <v>85.1</v>
      </c>
      <c r="F1016" s="1014">
        <v>0.7</v>
      </c>
      <c r="G1016" s="1013" t="s">
        <v>6080</v>
      </c>
      <c r="H1016" s="1012">
        <v>98.8</v>
      </c>
    </row>
    <row r="1017" spans="1:8" ht="12.65" customHeight="1">
      <c r="A1017" s="1017" t="s">
        <v>2946</v>
      </c>
      <c r="B1017" s="1017" t="s">
        <v>2881</v>
      </c>
      <c r="C1017" s="1017" t="s">
        <v>2947</v>
      </c>
      <c r="D1017" s="1016">
        <v>0.93</v>
      </c>
      <c r="E1017" s="1015">
        <v>99</v>
      </c>
      <c r="F1017" s="1014">
        <v>2.2999999999999998</v>
      </c>
      <c r="G1017" s="1013" t="s">
        <v>6080</v>
      </c>
      <c r="H1017" s="1012">
        <v>99.6</v>
      </c>
    </row>
    <row r="1018" spans="1:8" ht="12.65" customHeight="1">
      <c r="A1018" s="1017" t="s">
        <v>2943</v>
      </c>
      <c r="B1018" s="1017" t="s">
        <v>2881</v>
      </c>
      <c r="C1018" s="1017" t="s">
        <v>2944</v>
      </c>
      <c r="D1018" s="1016">
        <v>0.59</v>
      </c>
      <c r="E1018" s="1015">
        <v>94.4</v>
      </c>
      <c r="F1018" s="1014">
        <v>4.8</v>
      </c>
      <c r="G1018" s="1013" t="s">
        <v>6080</v>
      </c>
      <c r="H1018" s="1012">
        <v>97.5</v>
      </c>
    </row>
    <row r="1019" spans="1:8" ht="12.65" customHeight="1">
      <c r="A1019" s="1017" t="s">
        <v>2940</v>
      </c>
      <c r="B1019" s="1017" t="s">
        <v>2881</v>
      </c>
      <c r="C1019" s="1017" t="s">
        <v>2941</v>
      </c>
      <c r="D1019" s="1016">
        <v>0.78</v>
      </c>
      <c r="E1019" s="1015">
        <v>91.8</v>
      </c>
      <c r="F1019" s="1014">
        <v>2.2999999999999998</v>
      </c>
      <c r="G1019" s="1013" t="s">
        <v>6080</v>
      </c>
      <c r="H1019" s="1012">
        <v>97.5</v>
      </c>
    </row>
    <row r="1020" spans="1:8" ht="12.65" customHeight="1">
      <c r="A1020" s="1017" t="s">
        <v>2937</v>
      </c>
      <c r="B1020" s="1017" t="s">
        <v>2881</v>
      </c>
      <c r="C1020" s="1017" t="s">
        <v>2938</v>
      </c>
      <c r="D1020" s="1016">
        <v>0.83</v>
      </c>
      <c r="E1020" s="1015">
        <v>92.8</v>
      </c>
      <c r="F1020" s="1014">
        <v>5.2</v>
      </c>
      <c r="G1020" s="1013" t="s">
        <v>6080</v>
      </c>
      <c r="H1020" s="1012">
        <v>98.8</v>
      </c>
    </row>
    <row r="1021" spans="1:8" ht="12.65" customHeight="1">
      <c r="A1021" s="1017" t="s">
        <v>2934</v>
      </c>
      <c r="B1021" s="1017" t="s">
        <v>2881</v>
      </c>
      <c r="C1021" s="1017" t="s">
        <v>2935</v>
      </c>
      <c r="D1021" s="1016">
        <v>0.92</v>
      </c>
      <c r="E1021" s="1015">
        <v>91.9</v>
      </c>
      <c r="F1021" s="1014">
        <v>5</v>
      </c>
      <c r="G1021" s="1013">
        <v>84.6</v>
      </c>
      <c r="H1021" s="1012">
        <v>97.5</v>
      </c>
    </row>
    <row r="1022" spans="1:8" ht="12.65" customHeight="1">
      <c r="A1022" s="1017" t="s">
        <v>2931</v>
      </c>
      <c r="B1022" s="1017" t="s">
        <v>2881</v>
      </c>
      <c r="C1022" s="1017" t="s">
        <v>2932</v>
      </c>
      <c r="D1022" s="1016">
        <v>1.34</v>
      </c>
      <c r="E1022" s="1015">
        <v>84.7</v>
      </c>
      <c r="F1022" s="1014">
        <v>2.2000000000000002</v>
      </c>
      <c r="G1022" s="1013" t="s">
        <v>6080</v>
      </c>
      <c r="H1022" s="1012">
        <v>97.5</v>
      </c>
    </row>
    <row r="1023" spans="1:8" ht="12.65" customHeight="1">
      <c r="A1023" s="1017" t="s">
        <v>2929</v>
      </c>
      <c r="B1023" s="1017" t="s">
        <v>2881</v>
      </c>
      <c r="C1023" s="1017" t="s">
        <v>2930</v>
      </c>
      <c r="D1023" s="1016">
        <v>0.68</v>
      </c>
      <c r="E1023" s="1015">
        <v>92.3</v>
      </c>
      <c r="F1023" s="1014">
        <v>6.4</v>
      </c>
      <c r="G1023" s="1013">
        <v>55.8</v>
      </c>
      <c r="H1023" s="1012">
        <v>96.5</v>
      </c>
    </row>
    <row r="1024" spans="1:8" ht="12.65" customHeight="1">
      <c r="A1024" s="1017" t="s">
        <v>2926</v>
      </c>
      <c r="B1024" s="1017" t="s">
        <v>2881</v>
      </c>
      <c r="C1024" s="1017" t="s">
        <v>2927</v>
      </c>
      <c r="D1024" s="1016">
        <v>1.03</v>
      </c>
      <c r="E1024" s="1015">
        <v>94.7</v>
      </c>
      <c r="F1024" s="1014">
        <v>1.7</v>
      </c>
      <c r="G1024" s="1013" t="s">
        <v>6080</v>
      </c>
      <c r="H1024" s="1012">
        <v>97.8</v>
      </c>
    </row>
    <row r="1025" spans="1:8" ht="12.65" customHeight="1">
      <c r="A1025" s="1017" t="s">
        <v>2923</v>
      </c>
      <c r="B1025" s="1017" t="s">
        <v>2881</v>
      </c>
      <c r="C1025" s="1017" t="s">
        <v>2924</v>
      </c>
      <c r="D1025" s="1016">
        <v>0.85</v>
      </c>
      <c r="E1025" s="1015">
        <v>97.1</v>
      </c>
      <c r="F1025" s="1014">
        <v>1</v>
      </c>
      <c r="G1025" s="1013" t="s">
        <v>6080</v>
      </c>
      <c r="H1025" s="1012">
        <v>98.2</v>
      </c>
    </row>
    <row r="1026" spans="1:8" ht="12.65" customHeight="1">
      <c r="A1026" s="1017" t="s">
        <v>2920</v>
      </c>
      <c r="B1026" s="1017" t="s">
        <v>2881</v>
      </c>
      <c r="C1026" s="1017" t="s">
        <v>2921</v>
      </c>
      <c r="D1026" s="1016">
        <v>1.0900000000000001</v>
      </c>
      <c r="E1026" s="1015">
        <v>87.1</v>
      </c>
      <c r="F1026" s="1014">
        <v>1.3</v>
      </c>
      <c r="G1026" s="1013" t="s">
        <v>6080</v>
      </c>
      <c r="H1026" s="1012">
        <v>100.1</v>
      </c>
    </row>
    <row r="1027" spans="1:8" ht="12.65" customHeight="1">
      <c r="A1027" s="1017" t="s">
        <v>2917</v>
      </c>
      <c r="B1027" s="1017" t="s">
        <v>2881</v>
      </c>
      <c r="C1027" s="1017" t="s">
        <v>2918</v>
      </c>
      <c r="D1027" s="1016">
        <v>1.1100000000000001</v>
      </c>
      <c r="E1027" s="1015">
        <v>74.8</v>
      </c>
      <c r="F1027" s="1014">
        <v>1.4</v>
      </c>
      <c r="G1027" s="1013" t="s">
        <v>6080</v>
      </c>
      <c r="H1027" s="1012">
        <v>94.9</v>
      </c>
    </row>
    <row r="1028" spans="1:8" ht="12.65" customHeight="1">
      <c r="A1028" s="1017" t="s">
        <v>2914</v>
      </c>
      <c r="B1028" s="1017" t="s">
        <v>2881</v>
      </c>
      <c r="C1028" s="1017" t="s">
        <v>2915</v>
      </c>
      <c r="D1028" s="1016">
        <v>0.75</v>
      </c>
      <c r="E1028" s="1015">
        <v>89.7</v>
      </c>
      <c r="F1028" s="1014">
        <v>0.6</v>
      </c>
      <c r="G1028" s="1013" t="s">
        <v>6080</v>
      </c>
      <c r="H1028" s="1012">
        <v>96.8</v>
      </c>
    </row>
    <row r="1029" spans="1:8" ht="12.65" customHeight="1">
      <c r="A1029" s="1017" t="s">
        <v>2911</v>
      </c>
      <c r="B1029" s="1017" t="s">
        <v>2881</v>
      </c>
      <c r="C1029" s="1017" t="s">
        <v>2912</v>
      </c>
      <c r="D1029" s="1016">
        <v>0.78</v>
      </c>
      <c r="E1029" s="1015">
        <v>91.9</v>
      </c>
      <c r="F1029" s="1014">
        <v>3.2</v>
      </c>
      <c r="G1029" s="1013">
        <v>16.3</v>
      </c>
      <c r="H1029" s="1012">
        <v>96.1</v>
      </c>
    </row>
    <row r="1030" spans="1:8" ht="12.65" customHeight="1">
      <c r="A1030" s="1017" t="s">
        <v>2908</v>
      </c>
      <c r="B1030" s="1017" t="s">
        <v>2881</v>
      </c>
      <c r="C1030" s="1017" t="s">
        <v>2909</v>
      </c>
      <c r="D1030" s="1016">
        <v>0.81</v>
      </c>
      <c r="E1030" s="1015">
        <v>92</v>
      </c>
      <c r="F1030" s="1014">
        <v>5.4</v>
      </c>
      <c r="G1030" s="1013">
        <v>57.1</v>
      </c>
      <c r="H1030" s="1012">
        <v>93.6</v>
      </c>
    </row>
    <row r="1031" spans="1:8" ht="12.65" customHeight="1">
      <c r="A1031" s="1017" t="s">
        <v>2905</v>
      </c>
      <c r="B1031" s="1017" t="s">
        <v>2881</v>
      </c>
      <c r="C1031" s="1017" t="s">
        <v>2906</v>
      </c>
      <c r="D1031" s="1016">
        <v>1.94</v>
      </c>
      <c r="E1031" s="1015">
        <v>74.7</v>
      </c>
      <c r="F1031" s="1014">
        <v>-0.6</v>
      </c>
      <c r="G1031" s="1013" t="s">
        <v>6080</v>
      </c>
      <c r="H1031" s="1012">
        <v>97.8</v>
      </c>
    </row>
    <row r="1032" spans="1:8" ht="12.65" customHeight="1">
      <c r="A1032" s="1017" t="s">
        <v>2902</v>
      </c>
      <c r="B1032" s="1017" t="s">
        <v>2881</v>
      </c>
      <c r="C1032" s="1017" t="s">
        <v>2903</v>
      </c>
      <c r="D1032" s="1016">
        <v>0.71</v>
      </c>
      <c r="E1032" s="1015">
        <v>89.7</v>
      </c>
      <c r="F1032" s="1014">
        <v>5.0999999999999996</v>
      </c>
      <c r="G1032" s="1013">
        <v>15.9</v>
      </c>
      <c r="H1032" s="1012">
        <v>98.3</v>
      </c>
    </row>
    <row r="1033" spans="1:8" ht="12.65" customHeight="1">
      <c r="A1033" s="1017" t="s">
        <v>2899</v>
      </c>
      <c r="B1033" s="1017" t="s">
        <v>2881</v>
      </c>
      <c r="C1033" s="1017" t="s">
        <v>2900</v>
      </c>
      <c r="D1033" s="1016">
        <v>0.87</v>
      </c>
      <c r="E1033" s="1015">
        <v>88.2</v>
      </c>
      <c r="F1033" s="1014">
        <v>0.3</v>
      </c>
      <c r="G1033" s="1013" t="s">
        <v>6080</v>
      </c>
      <c r="H1033" s="1012">
        <v>96.2</v>
      </c>
    </row>
    <row r="1034" spans="1:8" ht="12.65" customHeight="1">
      <c r="A1034" s="1017" t="s">
        <v>2896</v>
      </c>
      <c r="B1034" s="1017" t="s">
        <v>2881</v>
      </c>
      <c r="C1034" s="1017" t="s">
        <v>2897</v>
      </c>
      <c r="D1034" s="1016">
        <v>0.47</v>
      </c>
      <c r="E1034" s="1015">
        <v>90.3</v>
      </c>
      <c r="F1034" s="1014">
        <v>6.7</v>
      </c>
      <c r="G1034" s="1013">
        <v>66</v>
      </c>
      <c r="H1034" s="1012">
        <v>97</v>
      </c>
    </row>
    <row r="1035" spans="1:8" ht="12.65" customHeight="1">
      <c r="A1035" s="1017" t="s">
        <v>2894</v>
      </c>
      <c r="B1035" s="1017" t="s">
        <v>2881</v>
      </c>
      <c r="C1035" s="1017" t="s">
        <v>2214</v>
      </c>
      <c r="D1035" s="1016">
        <v>0.62</v>
      </c>
      <c r="E1035" s="1015">
        <v>88.8</v>
      </c>
      <c r="F1035" s="1014">
        <v>2</v>
      </c>
      <c r="G1035" s="1013">
        <v>9</v>
      </c>
      <c r="H1035" s="1012">
        <v>98.5</v>
      </c>
    </row>
    <row r="1036" spans="1:8" ht="12.65" customHeight="1">
      <c r="A1036" s="1017" t="s">
        <v>2892</v>
      </c>
      <c r="B1036" s="1017" t="s">
        <v>2881</v>
      </c>
      <c r="C1036" s="1017" t="s">
        <v>2893</v>
      </c>
      <c r="D1036" s="1016">
        <v>1.05</v>
      </c>
      <c r="E1036" s="1015">
        <v>65.3</v>
      </c>
      <c r="F1036" s="1014">
        <v>0.1</v>
      </c>
      <c r="G1036" s="1013">
        <v>3.8</v>
      </c>
      <c r="H1036" s="1012">
        <v>99.6</v>
      </c>
    </row>
    <row r="1037" spans="1:8" ht="12.65" customHeight="1">
      <c r="A1037" s="1017" t="s">
        <v>2889</v>
      </c>
      <c r="B1037" s="1017" t="s">
        <v>2881</v>
      </c>
      <c r="C1037" s="1017" t="s">
        <v>2890</v>
      </c>
      <c r="D1037" s="1016">
        <v>1.04</v>
      </c>
      <c r="E1037" s="1015">
        <v>91</v>
      </c>
      <c r="F1037" s="1014">
        <v>0.4</v>
      </c>
      <c r="G1037" s="1013" t="s">
        <v>6080</v>
      </c>
      <c r="H1037" s="1012">
        <v>99.2</v>
      </c>
    </row>
    <row r="1038" spans="1:8" ht="12.65" customHeight="1">
      <c r="A1038" s="1017" t="s">
        <v>2886</v>
      </c>
      <c r="B1038" s="1017" t="s">
        <v>2881</v>
      </c>
      <c r="C1038" s="1017" t="s">
        <v>2887</v>
      </c>
      <c r="D1038" s="1016">
        <v>0.23</v>
      </c>
      <c r="E1038" s="1015">
        <v>79.8</v>
      </c>
      <c r="F1038" s="1014">
        <v>7</v>
      </c>
      <c r="G1038" s="1013" t="s">
        <v>6080</v>
      </c>
      <c r="H1038" s="1012">
        <v>94.4</v>
      </c>
    </row>
    <row r="1039" spans="1:8" ht="12.65" customHeight="1">
      <c r="A1039" s="1017" t="s">
        <v>2883</v>
      </c>
      <c r="B1039" s="1017" t="s">
        <v>2881</v>
      </c>
      <c r="C1039" s="1017" t="s">
        <v>2884</v>
      </c>
      <c r="D1039" s="1016">
        <v>0.18</v>
      </c>
      <c r="E1039" s="1015">
        <v>83.5</v>
      </c>
      <c r="F1039" s="1014">
        <v>10.1</v>
      </c>
      <c r="G1039" s="1013" t="s">
        <v>6080</v>
      </c>
      <c r="H1039" s="1012">
        <v>93.8</v>
      </c>
    </row>
    <row r="1040" spans="1:8" ht="12.65" customHeight="1">
      <c r="A1040" s="1017" t="s">
        <v>2879</v>
      </c>
      <c r="B1040" s="1017" t="s">
        <v>2881</v>
      </c>
      <c r="C1040" s="1017" t="s">
        <v>2880</v>
      </c>
      <c r="D1040" s="1016">
        <v>0.26</v>
      </c>
      <c r="E1040" s="1015">
        <v>93</v>
      </c>
      <c r="F1040" s="1014">
        <v>7.5</v>
      </c>
      <c r="G1040" s="1013" t="s">
        <v>6080</v>
      </c>
      <c r="H1040" s="1012">
        <v>93.5</v>
      </c>
    </row>
    <row r="1041" spans="1:8" ht="12.65" customHeight="1">
      <c r="A1041" s="1017" t="s">
        <v>2872</v>
      </c>
      <c r="B1041" s="1017" t="s">
        <v>2791</v>
      </c>
      <c r="C1041" s="1017" t="s">
        <v>2873</v>
      </c>
      <c r="D1041" s="1016">
        <v>0.67</v>
      </c>
      <c r="E1041" s="1015">
        <v>98.6</v>
      </c>
      <c r="F1041" s="1014">
        <v>5.2</v>
      </c>
      <c r="G1041" s="1013">
        <v>22.6</v>
      </c>
      <c r="H1041" s="1012">
        <v>99.1</v>
      </c>
    </row>
    <row r="1042" spans="1:8" ht="12.65" customHeight="1">
      <c r="A1042" s="1017" t="s">
        <v>2869</v>
      </c>
      <c r="B1042" s="1017" t="s">
        <v>2791</v>
      </c>
      <c r="C1042" s="1017" t="s">
        <v>2870</v>
      </c>
      <c r="D1042" s="1016">
        <v>1.1399999999999999</v>
      </c>
      <c r="E1042" s="1015">
        <v>80.7</v>
      </c>
      <c r="F1042" s="1014">
        <v>3.3</v>
      </c>
      <c r="G1042" s="1013" t="s">
        <v>6080</v>
      </c>
      <c r="H1042" s="1012">
        <v>101.9</v>
      </c>
    </row>
    <row r="1043" spans="1:8" ht="12.65" customHeight="1">
      <c r="A1043" s="1017" t="s">
        <v>2866</v>
      </c>
      <c r="B1043" s="1017" t="s">
        <v>2791</v>
      </c>
      <c r="C1043" s="1017" t="s">
        <v>2867</v>
      </c>
      <c r="D1043" s="1016">
        <v>0.56999999999999995</v>
      </c>
      <c r="E1043" s="1015">
        <v>94.8</v>
      </c>
      <c r="F1043" s="1014">
        <v>5.4</v>
      </c>
      <c r="G1043" s="1013" t="s">
        <v>6080</v>
      </c>
      <c r="H1043" s="1012">
        <v>98.6</v>
      </c>
    </row>
    <row r="1044" spans="1:8" ht="12.65" customHeight="1">
      <c r="A1044" s="1017" t="s">
        <v>2863</v>
      </c>
      <c r="B1044" s="1017" t="s">
        <v>2791</v>
      </c>
      <c r="C1044" s="1017" t="s">
        <v>2864</v>
      </c>
      <c r="D1044" s="1016">
        <v>0.59</v>
      </c>
      <c r="E1044" s="1015">
        <v>88.7</v>
      </c>
      <c r="F1044" s="1014">
        <v>1.5</v>
      </c>
      <c r="G1044" s="1013" t="s">
        <v>6080</v>
      </c>
      <c r="H1044" s="1012">
        <v>98</v>
      </c>
    </row>
    <row r="1045" spans="1:8" ht="12.65" customHeight="1">
      <c r="A1045" s="1017" t="s">
        <v>2860</v>
      </c>
      <c r="B1045" s="1017" t="s">
        <v>2791</v>
      </c>
      <c r="C1045" s="1017" t="s">
        <v>2861</v>
      </c>
      <c r="D1045" s="1016">
        <v>0.8</v>
      </c>
      <c r="E1045" s="1015">
        <v>92.6</v>
      </c>
      <c r="F1045" s="1014">
        <v>7.2</v>
      </c>
      <c r="G1045" s="1013">
        <v>36.4</v>
      </c>
      <c r="H1045" s="1012">
        <v>100.5</v>
      </c>
    </row>
    <row r="1046" spans="1:8" ht="12.65" customHeight="1">
      <c r="A1046" s="1017" t="s">
        <v>2857</v>
      </c>
      <c r="B1046" s="1017" t="s">
        <v>2791</v>
      </c>
      <c r="C1046" s="1017" t="s">
        <v>2858</v>
      </c>
      <c r="D1046" s="1016">
        <v>0.86</v>
      </c>
      <c r="E1046" s="1015">
        <v>93.4</v>
      </c>
      <c r="F1046" s="1014">
        <v>1.5</v>
      </c>
      <c r="G1046" s="1013" t="s">
        <v>6080</v>
      </c>
      <c r="H1046" s="1012">
        <v>100.1</v>
      </c>
    </row>
    <row r="1047" spans="1:8" ht="12.65" customHeight="1">
      <c r="A1047" s="1017" t="s">
        <v>2854</v>
      </c>
      <c r="B1047" s="1017" t="s">
        <v>2791</v>
      </c>
      <c r="C1047" s="1017" t="s">
        <v>2855</v>
      </c>
      <c r="D1047" s="1016">
        <v>0.63</v>
      </c>
      <c r="E1047" s="1015">
        <v>100</v>
      </c>
      <c r="F1047" s="1014">
        <v>15.5</v>
      </c>
      <c r="G1047" s="1013">
        <v>130.5</v>
      </c>
      <c r="H1047" s="1012">
        <v>96</v>
      </c>
    </row>
    <row r="1048" spans="1:8" ht="12.65" customHeight="1">
      <c r="A1048" s="1017" t="s">
        <v>2851</v>
      </c>
      <c r="B1048" s="1017" t="s">
        <v>2791</v>
      </c>
      <c r="C1048" s="1017" t="s">
        <v>2852</v>
      </c>
      <c r="D1048" s="1016">
        <v>0.34</v>
      </c>
      <c r="E1048" s="1015">
        <v>94.3</v>
      </c>
      <c r="F1048" s="1014">
        <v>8.8000000000000007</v>
      </c>
      <c r="G1048" s="1013">
        <v>1.4</v>
      </c>
      <c r="H1048" s="1012">
        <v>97</v>
      </c>
    </row>
    <row r="1049" spans="1:8" ht="12.65" customHeight="1">
      <c r="A1049" s="1017" t="s">
        <v>2848</v>
      </c>
      <c r="B1049" s="1017" t="s">
        <v>2791</v>
      </c>
      <c r="C1049" s="1017" t="s">
        <v>2849</v>
      </c>
      <c r="D1049" s="1016">
        <v>0.82</v>
      </c>
      <c r="E1049" s="1015">
        <v>86.8</v>
      </c>
      <c r="F1049" s="1014">
        <v>3</v>
      </c>
      <c r="G1049" s="1013" t="s">
        <v>6080</v>
      </c>
      <c r="H1049" s="1012">
        <v>100.1</v>
      </c>
    </row>
    <row r="1050" spans="1:8" ht="12.65" customHeight="1">
      <c r="A1050" s="1017" t="s">
        <v>2845</v>
      </c>
      <c r="B1050" s="1017" t="s">
        <v>2791</v>
      </c>
      <c r="C1050" s="1017" t="s">
        <v>2846</v>
      </c>
      <c r="D1050" s="1016">
        <v>0.4</v>
      </c>
      <c r="E1050" s="1015">
        <v>87.5</v>
      </c>
      <c r="F1050" s="1014">
        <v>7.7</v>
      </c>
      <c r="G1050" s="1013" t="s">
        <v>6080</v>
      </c>
      <c r="H1050" s="1012">
        <v>96.1</v>
      </c>
    </row>
    <row r="1051" spans="1:8" ht="12.65" customHeight="1">
      <c r="A1051" s="1017" t="s">
        <v>2842</v>
      </c>
      <c r="B1051" s="1017" t="s">
        <v>2791</v>
      </c>
      <c r="C1051" s="1017" t="s">
        <v>2843</v>
      </c>
      <c r="D1051" s="1016">
        <v>0.25</v>
      </c>
      <c r="E1051" s="1015">
        <v>81.900000000000006</v>
      </c>
      <c r="F1051" s="1014">
        <v>5.5</v>
      </c>
      <c r="G1051" s="1013" t="s">
        <v>6080</v>
      </c>
      <c r="H1051" s="1012">
        <v>100.4</v>
      </c>
    </row>
    <row r="1052" spans="1:8" ht="12.65" customHeight="1">
      <c r="A1052" s="1017" t="s">
        <v>2839</v>
      </c>
      <c r="B1052" s="1017" t="s">
        <v>2791</v>
      </c>
      <c r="C1052" s="1017" t="s">
        <v>2840</v>
      </c>
      <c r="D1052" s="1016">
        <v>0.76</v>
      </c>
      <c r="E1052" s="1015">
        <v>89.3</v>
      </c>
      <c r="F1052" s="1014">
        <v>9.8000000000000007</v>
      </c>
      <c r="G1052" s="1013">
        <v>0.8</v>
      </c>
      <c r="H1052" s="1012">
        <v>99.8</v>
      </c>
    </row>
    <row r="1053" spans="1:8" ht="12.65" customHeight="1">
      <c r="A1053" s="1017" t="s">
        <v>2836</v>
      </c>
      <c r="B1053" s="1017" t="s">
        <v>2791</v>
      </c>
      <c r="C1053" s="1017" t="s">
        <v>2837</v>
      </c>
      <c r="D1053" s="1016">
        <v>0.39</v>
      </c>
      <c r="E1053" s="1015">
        <v>96.8</v>
      </c>
      <c r="F1053" s="1014">
        <v>8.8000000000000007</v>
      </c>
      <c r="G1053" s="1013">
        <v>15.4</v>
      </c>
      <c r="H1053" s="1012">
        <v>97.3</v>
      </c>
    </row>
    <row r="1054" spans="1:8" ht="12.65" customHeight="1">
      <c r="A1054" s="1017" t="s">
        <v>2833</v>
      </c>
      <c r="B1054" s="1017" t="s">
        <v>2791</v>
      </c>
      <c r="C1054" s="1017" t="s">
        <v>2834</v>
      </c>
      <c r="D1054" s="1016">
        <v>0.6</v>
      </c>
      <c r="E1054" s="1015">
        <v>96.6</v>
      </c>
      <c r="F1054" s="1014">
        <v>8.6</v>
      </c>
      <c r="G1054" s="1013">
        <v>56.3</v>
      </c>
      <c r="H1054" s="1012">
        <v>96.8</v>
      </c>
    </row>
    <row r="1055" spans="1:8" ht="12.65" customHeight="1">
      <c r="A1055" s="1017" t="s">
        <v>2830</v>
      </c>
      <c r="B1055" s="1017" t="s">
        <v>2791</v>
      </c>
      <c r="C1055" s="1017" t="s">
        <v>2831</v>
      </c>
      <c r="D1055" s="1016">
        <v>0.47</v>
      </c>
      <c r="E1055" s="1015">
        <v>73.3</v>
      </c>
      <c r="F1055" s="1014">
        <v>4.5</v>
      </c>
      <c r="G1055" s="1013" t="s">
        <v>6080</v>
      </c>
      <c r="H1055" s="1012">
        <v>97.3</v>
      </c>
    </row>
    <row r="1056" spans="1:8" ht="12.65" customHeight="1">
      <c r="A1056" s="1017" t="s">
        <v>2827</v>
      </c>
      <c r="B1056" s="1017" t="s">
        <v>2791</v>
      </c>
      <c r="C1056" s="1017" t="s">
        <v>2828</v>
      </c>
      <c r="D1056" s="1016">
        <v>0.7</v>
      </c>
      <c r="E1056" s="1015">
        <v>87.1</v>
      </c>
      <c r="F1056" s="1014">
        <v>3.6</v>
      </c>
      <c r="G1056" s="1013" t="s">
        <v>6080</v>
      </c>
      <c r="H1056" s="1012">
        <v>98.9</v>
      </c>
    </row>
    <row r="1057" spans="1:8" ht="12.65" customHeight="1">
      <c r="A1057" s="1017" t="s">
        <v>2824</v>
      </c>
      <c r="B1057" s="1017" t="s">
        <v>2791</v>
      </c>
      <c r="C1057" s="1017" t="s">
        <v>2825</v>
      </c>
      <c r="D1057" s="1016">
        <v>0.74</v>
      </c>
      <c r="E1057" s="1015">
        <v>88.4</v>
      </c>
      <c r="F1057" s="1014">
        <v>4.2</v>
      </c>
      <c r="G1057" s="1013" t="s">
        <v>6080</v>
      </c>
      <c r="H1057" s="1012">
        <v>100.3</v>
      </c>
    </row>
    <row r="1058" spans="1:8" ht="12.65" customHeight="1">
      <c r="A1058" s="1017" t="s">
        <v>2821</v>
      </c>
      <c r="B1058" s="1017" t="s">
        <v>2791</v>
      </c>
      <c r="C1058" s="1017" t="s">
        <v>2822</v>
      </c>
      <c r="D1058" s="1016">
        <v>0.7</v>
      </c>
      <c r="E1058" s="1015">
        <v>87.8</v>
      </c>
      <c r="F1058" s="1014">
        <v>7.4</v>
      </c>
      <c r="G1058" s="1013">
        <v>2.6</v>
      </c>
      <c r="H1058" s="1012">
        <v>101.6</v>
      </c>
    </row>
    <row r="1059" spans="1:8" ht="12.65" customHeight="1">
      <c r="A1059" s="1017" t="s">
        <v>2818</v>
      </c>
      <c r="B1059" s="1017" t="s">
        <v>2791</v>
      </c>
      <c r="C1059" s="1017" t="s">
        <v>2819</v>
      </c>
      <c r="D1059" s="1016">
        <v>1.2</v>
      </c>
      <c r="E1059" s="1015">
        <v>76.3</v>
      </c>
      <c r="F1059" s="1014">
        <v>1.9</v>
      </c>
      <c r="G1059" s="1013" t="s">
        <v>6080</v>
      </c>
      <c r="H1059" s="1012">
        <v>101.5</v>
      </c>
    </row>
    <row r="1060" spans="1:8" ht="12.65" customHeight="1">
      <c r="A1060" s="1017" t="s">
        <v>2815</v>
      </c>
      <c r="B1060" s="1017" t="s">
        <v>2791</v>
      </c>
      <c r="C1060" s="1017" t="s">
        <v>2816</v>
      </c>
      <c r="D1060" s="1016">
        <v>0.49</v>
      </c>
      <c r="E1060" s="1015">
        <v>88.2</v>
      </c>
      <c r="F1060" s="1014">
        <v>3.6</v>
      </c>
      <c r="G1060" s="1013" t="s">
        <v>6080</v>
      </c>
      <c r="H1060" s="1012">
        <v>96.7</v>
      </c>
    </row>
    <row r="1061" spans="1:8" ht="12.65" customHeight="1">
      <c r="A1061" s="1017" t="s">
        <v>2812</v>
      </c>
      <c r="B1061" s="1017" t="s">
        <v>2791</v>
      </c>
      <c r="C1061" s="1017" t="s">
        <v>2813</v>
      </c>
      <c r="D1061" s="1016">
        <v>0.53</v>
      </c>
      <c r="E1061" s="1015">
        <v>101.4</v>
      </c>
      <c r="F1061" s="1014">
        <v>11.9</v>
      </c>
      <c r="G1061" s="1013">
        <v>79.099999999999994</v>
      </c>
      <c r="H1061" s="1012">
        <v>95.8</v>
      </c>
    </row>
    <row r="1062" spans="1:8" ht="12.65" customHeight="1">
      <c r="A1062" s="1017" t="s">
        <v>2809</v>
      </c>
      <c r="B1062" s="1017" t="s">
        <v>2791</v>
      </c>
      <c r="C1062" s="1017" t="s">
        <v>2810</v>
      </c>
      <c r="D1062" s="1016">
        <v>0.24</v>
      </c>
      <c r="E1062" s="1015">
        <v>88.9</v>
      </c>
      <c r="F1062" s="1014">
        <v>8.5</v>
      </c>
      <c r="G1062" s="1013">
        <v>2.2000000000000002</v>
      </c>
      <c r="H1062" s="1012">
        <v>95.6</v>
      </c>
    </row>
    <row r="1063" spans="1:8" ht="12.65" customHeight="1">
      <c r="A1063" s="1017" t="s">
        <v>2806</v>
      </c>
      <c r="B1063" s="1017" t="s">
        <v>2791</v>
      </c>
      <c r="C1063" s="1017" t="s">
        <v>2807</v>
      </c>
      <c r="D1063" s="1016">
        <v>0.54</v>
      </c>
      <c r="E1063" s="1015">
        <v>80.5</v>
      </c>
      <c r="F1063" s="1014">
        <v>6.4</v>
      </c>
      <c r="G1063" s="1013">
        <v>24.9</v>
      </c>
      <c r="H1063" s="1012">
        <v>95.5</v>
      </c>
    </row>
    <row r="1064" spans="1:8" ht="12.65" customHeight="1">
      <c r="A1064" s="1017" t="s">
        <v>2803</v>
      </c>
      <c r="B1064" s="1017" t="s">
        <v>2791</v>
      </c>
      <c r="C1064" s="1017" t="s">
        <v>2804</v>
      </c>
      <c r="D1064" s="1016">
        <v>0.34</v>
      </c>
      <c r="E1064" s="1015">
        <v>73.2</v>
      </c>
      <c r="F1064" s="1014">
        <v>4.7</v>
      </c>
      <c r="G1064" s="1013" t="s">
        <v>6080</v>
      </c>
      <c r="H1064" s="1012">
        <v>94.4</v>
      </c>
    </row>
    <row r="1065" spans="1:8" ht="12.65" customHeight="1">
      <c r="A1065" s="1017" t="s">
        <v>2800</v>
      </c>
      <c r="B1065" s="1017" t="s">
        <v>2791</v>
      </c>
      <c r="C1065" s="1017" t="s">
        <v>2801</v>
      </c>
      <c r="D1065" s="1016">
        <v>0.19</v>
      </c>
      <c r="E1065" s="1015">
        <v>87.1</v>
      </c>
      <c r="F1065" s="1014">
        <v>11</v>
      </c>
      <c r="G1065" s="1013" t="s">
        <v>6080</v>
      </c>
      <c r="H1065" s="1012">
        <v>93.5</v>
      </c>
    </row>
    <row r="1066" spans="1:8" ht="12.65" customHeight="1">
      <c r="A1066" s="1017" t="s">
        <v>2797</v>
      </c>
      <c r="B1066" s="1017" t="s">
        <v>2791</v>
      </c>
      <c r="C1066" s="1017" t="s">
        <v>2798</v>
      </c>
      <c r="D1066" s="1016">
        <v>0.2</v>
      </c>
      <c r="E1066" s="1015">
        <v>99.1</v>
      </c>
      <c r="F1066" s="1014">
        <v>11.3</v>
      </c>
      <c r="G1066" s="1013">
        <v>55.3</v>
      </c>
      <c r="H1066" s="1012">
        <v>92.4</v>
      </c>
    </row>
    <row r="1067" spans="1:8" ht="12.65" customHeight="1">
      <c r="A1067" s="1017" t="s">
        <v>2794</v>
      </c>
      <c r="B1067" s="1017" t="s">
        <v>2791</v>
      </c>
      <c r="C1067" s="1017" t="s">
        <v>2795</v>
      </c>
      <c r="D1067" s="1016">
        <v>0.27</v>
      </c>
      <c r="E1067" s="1015">
        <v>91.4</v>
      </c>
      <c r="F1067" s="1014">
        <v>7.5</v>
      </c>
      <c r="G1067" s="1013">
        <v>18.100000000000001</v>
      </c>
      <c r="H1067" s="1012">
        <v>97.2</v>
      </c>
    </row>
    <row r="1068" spans="1:8" ht="12.65" customHeight="1">
      <c r="A1068" s="1017" t="s">
        <v>2792</v>
      </c>
      <c r="B1068" s="1017" t="s">
        <v>2791</v>
      </c>
      <c r="C1068" s="1017" t="s">
        <v>2793</v>
      </c>
      <c r="D1068" s="1016">
        <v>0.27</v>
      </c>
      <c r="E1068" s="1015">
        <v>88.8</v>
      </c>
      <c r="F1068" s="1014">
        <v>8.6</v>
      </c>
      <c r="G1068" s="1013" t="s">
        <v>6080</v>
      </c>
      <c r="H1068" s="1012">
        <v>96.4</v>
      </c>
    </row>
    <row r="1069" spans="1:8" ht="12.65" customHeight="1">
      <c r="A1069" s="1017" t="s">
        <v>2789</v>
      </c>
      <c r="B1069" s="1017" t="s">
        <v>2791</v>
      </c>
      <c r="C1069" s="1017" t="s">
        <v>2790</v>
      </c>
      <c r="D1069" s="1016">
        <v>0.28000000000000003</v>
      </c>
      <c r="E1069" s="1015">
        <v>89.8</v>
      </c>
      <c r="F1069" s="1014">
        <v>11.2</v>
      </c>
      <c r="G1069" s="1013" t="s">
        <v>6080</v>
      </c>
      <c r="H1069" s="1012">
        <v>96.3</v>
      </c>
    </row>
    <row r="1070" spans="1:8" ht="12.65" customHeight="1">
      <c r="A1070" s="1017" t="s">
        <v>2782</v>
      </c>
      <c r="B1070" s="1017" t="s">
        <v>2731</v>
      </c>
      <c r="C1070" s="1017" t="s">
        <v>2783</v>
      </c>
      <c r="D1070" s="1016">
        <v>0.77</v>
      </c>
      <c r="E1070" s="1015">
        <v>92.4</v>
      </c>
      <c r="F1070" s="1014">
        <v>-0.4</v>
      </c>
      <c r="G1070" s="1013" t="s">
        <v>6080</v>
      </c>
      <c r="H1070" s="1012">
        <v>99.5</v>
      </c>
    </row>
    <row r="1071" spans="1:8" ht="12.65" customHeight="1">
      <c r="A1071" s="1017" t="s">
        <v>2779</v>
      </c>
      <c r="B1071" s="1017" t="s">
        <v>2731</v>
      </c>
      <c r="C1071" s="1017" t="s">
        <v>2780</v>
      </c>
      <c r="D1071" s="1016">
        <v>0.75</v>
      </c>
      <c r="E1071" s="1015">
        <v>97.1</v>
      </c>
      <c r="F1071" s="1014">
        <v>7.6</v>
      </c>
      <c r="G1071" s="1013">
        <v>59</v>
      </c>
      <c r="H1071" s="1012">
        <v>98.7</v>
      </c>
    </row>
    <row r="1072" spans="1:8" ht="12.65" customHeight="1">
      <c r="A1072" s="1017" t="s">
        <v>2776</v>
      </c>
      <c r="B1072" s="1017" t="s">
        <v>2731</v>
      </c>
      <c r="C1072" s="1017" t="s">
        <v>2777</v>
      </c>
      <c r="D1072" s="1016">
        <v>0.53</v>
      </c>
      <c r="E1072" s="1015">
        <v>91.8</v>
      </c>
      <c r="F1072" s="1014">
        <v>1</v>
      </c>
      <c r="G1072" s="1013" t="s">
        <v>6080</v>
      </c>
      <c r="H1072" s="1012">
        <v>97.3</v>
      </c>
    </row>
    <row r="1073" spans="1:8" ht="12.65" customHeight="1">
      <c r="A1073" s="1017" t="s">
        <v>2773</v>
      </c>
      <c r="B1073" s="1017" t="s">
        <v>2731</v>
      </c>
      <c r="C1073" s="1017" t="s">
        <v>2774</v>
      </c>
      <c r="D1073" s="1016">
        <v>0.64</v>
      </c>
      <c r="E1073" s="1015">
        <v>89.5</v>
      </c>
      <c r="F1073" s="1014">
        <v>0.4</v>
      </c>
      <c r="G1073" s="1013" t="s">
        <v>6080</v>
      </c>
      <c r="H1073" s="1012">
        <v>99.4</v>
      </c>
    </row>
    <row r="1074" spans="1:8" ht="12.65" customHeight="1">
      <c r="A1074" s="1017" t="s">
        <v>2770</v>
      </c>
      <c r="B1074" s="1017" t="s">
        <v>2731</v>
      </c>
      <c r="C1074" s="1017" t="s">
        <v>2771</v>
      </c>
      <c r="D1074" s="1016">
        <v>0.91</v>
      </c>
      <c r="E1074" s="1015">
        <v>89.4</v>
      </c>
      <c r="F1074" s="1014">
        <v>4.7</v>
      </c>
      <c r="G1074" s="1013" t="s">
        <v>6080</v>
      </c>
      <c r="H1074" s="1012">
        <v>101.2</v>
      </c>
    </row>
    <row r="1075" spans="1:8" ht="12.65" customHeight="1">
      <c r="A1075" s="1017" t="s">
        <v>2767</v>
      </c>
      <c r="B1075" s="1017" t="s">
        <v>2731</v>
      </c>
      <c r="C1075" s="1017" t="s">
        <v>2768</v>
      </c>
      <c r="D1075" s="1016">
        <v>0.8</v>
      </c>
      <c r="E1075" s="1015">
        <v>93.3</v>
      </c>
      <c r="F1075" s="1014">
        <v>3.7</v>
      </c>
      <c r="G1075" s="1013">
        <v>13.4</v>
      </c>
      <c r="H1075" s="1012">
        <v>101</v>
      </c>
    </row>
    <row r="1076" spans="1:8" ht="12.65" customHeight="1">
      <c r="A1076" s="1017" t="s">
        <v>2764</v>
      </c>
      <c r="B1076" s="1017" t="s">
        <v>2731</v>
      </c>
      <c r="C1076" s="1017" t="s">
        <v>2765</v>
      </c>
      <c r="D1076" s="1016">
        <v>0.96</v>
      </c>
      <c r="E1076" s="1015">
        <v>94.5</v>
      </c>
      <c r="F1076" s="1014">
        <v>11.8</v>
      </c>
      <c r="G1076" s="1013">
        <v>77.400000000000006</v>
      </c>
      <c r="H1076" s="1012">
        <v>98</v>
      </c>
    </row>
    <row r="1077" spans="1:8" ht="12.65" customHeight="1">
      <c r="A1077" s="1017" t="s">
        <v>2761</v>
      </c>
      <c r="B1077" s="1017" t="s">
        <v>2731</v>
      </c>
      <c r="C1077" s="1017" t="s">
        <v>2762</v>
      </c>
      <c r="D1077" s="1016">
        <v>0.63</v>
      </c>
      <c r="E1077" s="1015">
        <v>91.7</v>
      </c>
      <c r="F1077" s="1014">
        <v>6.1</v>
      </c>
      <c r="G1077" s="1013">
        <v>28.2</v>
      </c>
      <c r="H1077" s="1012">
        <v>97.3</v>
      </c>
    </row>
    <row r="1078" spans="1:8" ht="12.65" customHeight="1">
      <c r="A1078" s="1017" t="s">
        <v>2758</v>
      </c>
      <c r="B1078" s="1017" t="s">
        <v>2731</v>
      </c>
      <c r="C1078" s="1017" t="s">
        <v>2759</v>
      </c>
      <c r="D1078" s="1016">
        <v>0.79</v>
      </c>
      <c r="E1078" s="1015">
        <v>94.9</v>
      </c>
      <c r="F1078" s="1014">
        <v>7.6</v>
      </c>
      <c r="G1078" s="1013">
        <v>33.799999999999997</v>
      </c>
      <c r="H1078" s="1012">
        <v>101.3</v>
      </c>
    </row>
    <row r="1079" spans="1:8" ht="12.65" customHeight="1">
      <c r="A1079" s="1017" t="s">
        <v>2755</v>
      </c>
      <c r="B1079" s="1017" t="s">
        <v>2731</v>
      </c>
      <c r="C1079" s="1017" t="s">
        <v>2756</v>
      </c>
      <c r="D1079" s="1016">
        <v>0.73</v>
      </c>
      <c r="E1079" s="1015">
        <v>88.2</v>
      </c>
      <c r="F1079" s="1014">
        <v>7.8</v>
      </c>
      <c r="G1079" s="1013" t="s">
        <v>6080</v>
      </c>
      <c r="H1079" s="1012">
        <v>100.3</v>
      </c>
    </row>
    <row r="1080" spans="1:8" ht="12.65" customHeight="1">
      <c r="A1080" s="1017" t="s">
        <v>2752</v>
      </c>
      <c r="B1080" s="1017" t="s">
        <v>2731</v>
      </c>
      <c r="C1080" s="1017" t="s">
        <v>2753</v>
      </c>
      <c r="D1080" s="1016">
        <v>0.37</v>
      </c>
      <c r="E1080" s="1015">
        <v>96.2</v>
      </c>
      <c r="F1080" s="1014">
        <v>7.5</v>
      </c>
      <c r="G1080" s="1013" t="s">
        <v>6080</v>
      </c>
      <c r="H1080" s="1012">
        <v>98.3</v>
      </c>
    </row>
    <row r="1081" spans="1:8" ht="12.65" customHeight="1">
      <c r="A1081" s="1017" t="s">
        <v>2749</v>
      </c>
      <c r="B1081" s="1017" t="s">
        <v>2731</v>
      </c>
      <c r="C1081" s="1017" t="s">
        <v>2750</v>
      </c>
      <c r="D1081" s="1016">
        <v>0.6</v>
      </c>
      <c r="E1081" s="1015">
        <v>88.2</v>
      </c>
      <c r="F1081" s="1014">
        <v>6</v>
      </c>
      <c r="G1081" s="1013" t="s">
        <v>6080</v>
      </c>
      <c r="H1081" s="1012">
        <v>100.2</v>
      </c>
    </row>
    <row r="1082" spans="1:8" ht="12.65" customHeight="1">
      <c r="A1082" s="1017" t="s">
        <v>2746</v>
      </c>
      <c r="B1082" s="1017" t="s">
        <v>2731</v>
      </c>
      <c r="C1082" s="1017" t="s">
        <v>2747</v>
      </c>
      <c r="D1082" s="1016">
        <v>0.51</v>
      </c>
      <c r="E1082" s="1015">
        <v>87.7</v>
      </c>
      <c r="F1082" s="1014">
        <v>4.8</v>
      </c>
      <c r="G1082" s="1013" t="s">
        <v>6080</v>
      </c>
      <c r="H1082" s="1012">
        <v>98.8</v>
      </c>
    </row>
    <row r="1083" spans="1:8" ht="12.65" customHeight="1">
      <c r="A1083" s="1017" t="s">
        <v>2744</v>
      </c>
      <c r="B1083" s="1017" t="s">
        <v>2731</v>
      </c>
      <c r="C1083" s="1017" t="s">
        <v>2116</v>
      </c>
      <c r="D1083" s="1016">
        <v>0.65</v>
      </c>
      <c r="E1083" s="1015">
        <v>94.2</v>
      </c>
      <c r="F1083" s="1014">
        <v>6.5</v>
      </c>
      <c r="G1083" s="1013">
        <v>22.8</v>
      </c>
      <c r="H1083" s="1012">
        <v>97.3</v>
      </c>
    </row>
    <row r="1084" spans="1:8" ht="12.65" customHeight="1">
      <c r="A1084" s="1017" t="s">
        <v>2742</v>
      </c>
      <c r="B1084" s="1017" t="s">
        <v>2731</v>
      </c>
      <c r="C1084" s="1017" t="s">
        <v>2743</v>
      </c>
      <c r="D1084" s="1016">
        <v>0.98</v>
      </c>
      <c r="E1084" s="1015">
        <v>88</v>
      </c>
      <c r="F1084" s="1014">
        <v>4.5</v>
      </c>
      <c r="G1084" s="1013" t="s">
        <v>6080</v>
      </c>
      <c r="H1084" s="1012">
        <v>98.7</v>
      </c>
    </row>
    <row r="1085" spans="1:8" ht="12.65" customHeight="1">
      <c r="A1085" s="1017" t="s">
        <v>2739</v>
      </c>
      <c r="B1085" s="1017" t="s">
        <v>2731</v>
      </c>
      <c r="C1085" s="1017" t="s">
        <v>2740</v>
      </c>
      <c r="D1085" s="1016">
        <v>0.56000000000000005</v>
      </c>
      <c r="E1085" s="1015">
        <v>95.4</v>
      </c>
      <c r="F1085" s="1014">
        <v>5.4</v>
      </c>
      <c r="G1085" s="1013">
        <v>32.6</v>
      </c>
      <c r="H1085" s="1012">
        <v>97.3</v>
      </c>
    </row>
    <row r="1086" spans="1:8" ht="12.65" customHeight="1">
      <c r="A1086" s="1017" t="s">
        <v>2736</v>
      </c>
      <c r="B1086" s="1017" t="s">
        <v>2731</v>
      </c>
      <c r="C1086" s="1017" t="s">
        <v>2737</v>
      </c>
      <c r="D1086" s="1016">
        <v>0.42</v>
      </c>
      <c r="E1086" s="1015">
        <v>86.4</v>
      </c>
      <c r="F1086" s="1014">
        <v>0.3</v>
      </c>
      <c r="G1086" s="1013" t="s">
        <v>6080</v>
      </c>
      <c r="H1086" s="1012">
        <v>95.4</v>
      </c>
    </row>
    <row r="1087" spans="1:8" ht="12.65" customHeight="1">
      <c r="A1087" s="1017" t="s">
        <v>2733</v>
      </c>
      <c r="B1087" s="1017" t="s">
        <v>2731</v>
      </c>
      <c r="C1087" s="1017" t="s">
        <v>2734</v>
      </c>
      <c r="D1087" s="1016">
        <v>0.36</v>
      </c>
      <c r="E1087" s="1015">
        <v>87.2</v>
      </c>
      <c r="F1087" s="1014">
        <v>9.1999999999999993</v>
      </c>
      <c r="G1087" s="1013" t="s">
        <v>6080</v>
      </c>
      <c r="H1087" s="1012">
        <v>98.4</v>
      </c>
    </row>
    <row r="1088" spans="1:8" ht="12.65" customHeight="1">
      <c r="A1088" s="1017" t="s">
        <v>2729</v>
      </c>
      <c r="B1088" s="1017" t="s">
        <v>2731</v>
      </c>
      <c r="C1088" s="1017" t="s">
        <v>2730</v>
      </c>
      <c r="D1088" s="1016">
        <v>0.55000000000000004</v>
      </c>
      <c r="E1088" s="1015">
        <v>82.1</v>
      </c>
      <c r="F1088" s="1014">
        <v>6.8</v>
      </c>
      <c r="G1088" s="1013">
        <v>17.5</v>
      </c>
      <c r="H1088" s="1012">
        <v>99.3</v>
      </c>
    </row>
    <row r="1089" spans="1:8" ht="12.65" customHeight="1">
      <c r="A1089" s="1017" t="s">
        <v>2722</v>
      </c>
      <c r="B1089" s="1017" t="s">
        <v>2648</v>
      </c>
      <c r="C1089" s="1017" t="s">
        <v>2723</v>
      </c>
      <c r="D1089" s="1016">
        <v>0.8</v>
      </c>
      <c r="E1089" s="1015">
        <v>98.5</v>
      </c>
      <c r="F1089" s="1014">
        <v>11.8</v>
      </c>
      <c r="G1089" s="1013">
        <v>140.5</v>
      </c>
      <c r="H1089" s="1012">
        <v>101.4</v>
      </c>
    </row>
    <row r="1090" spans="1:8" ht="12.65" customHeight="1">
      <c r="A1090" s="1017" t="s">
        <v>2719</v>
      </c>
      <c r="B1090" s="1017" t="s">
        <v>2648</v>
      </c>
      <c r="C1090" s="1017" t="s">
        <v>2720</v>
      </c>
      <c r="D1090" s="1016">
        <v>0.51</v>
      </c>
      <c r="E1090" s="1015">
        <v>93.7</v>
      </c>
      <c r="F1090" s="1014">
        <v>9.8000000000000007</v>
      </c>
      <c r="G1090" s="1013">
        <v>28.2</v>
      </c>
      <c r="H1090" s="1012">
        <v>99.7</v>
      </c>
    </row>
    <row r="1091" spans="1:8" ht="12.65" customHeight="1">
      <c r="A1091" s="1017" t="s">
        <v>2716</v>
      </c>
      <c r="B1091" s="1017" t="s">
        <v>2648</v>
      </c>
      <c r="C1091" s="1017" t="s">
        <v>2717</v>
      </c>
      <c r="D1091" s="1016">
        <v>0.62</v>
      </c>
      <c r="E1091" s="1015">
        <v>93.9</v>
      </c>
      <c r="F1091" s="1014">
        <v>13.2</v>
      </c>
      <c r="G1091" s="1013">
        <v>70.3</v>
      </c>
      <c r="H1091" s="1012">
        <v>100.6</v>
      </c>
    </row>
    <row r="1092" spans="1:8" ht="12.65" customHeight="1">
      <c r="A1092" s="1017" t="s">
        <v>2713</v>
      </c>
      <c r="B1092" s="1017" t="s">
        <v>2648</v>
      </c>
      <c r="C1092" s="1017" t="s">
        <v>2714</v>
      </c>
      <c r="D1092" s="1016">
        <v>0.48</v>
      </c>
      <c r="E1092" s="1015">
        <v>91.7</v>
      </c>
      <c r="F1092" s="1014">
        <v>10.3</v>
      </c>
      <c r="G1092" s="1013">
        <v>95.7</v>
      </c>
      <c r="H1092" s="1012">
        <v>97.8</v>
      </c>
    </row>
    <row r="1093" spans="1:8" ht="12.65" customHeight="1">
      <c r="A1093" s="1017" t="s">
        <v>2710</v>
      </c>
      <c r="B1093" s="1017" t="s">
        <v>2648</v>
      </c>
      <c r="C1093" s="1017" t="s">
        <v>2711</v>
      </c>
      <c r="D1093" s="1016">
        <v>0.7</v>
      </c>
      <c r="E1093" s="1015">
        <v>93</v>
      </c>
      <c r="F1093" s="1014">
        <v>-1</v>
      </c>
      <c r="G1093" s="1013" t="s">
        <v>6080</v>
      </c>
      <c r="H1093" s="1012">
        <v>100.7</v>
      </c>
    </row>
    <row r="1094" spans="1:8" ht="12.65" customHeight="1">
      <c r="A1094" s="1017" t="s">
        <v>2707</v>
      </c>
      <c r="B1094" s="1017" t="s">
        <v>2648</v>
      </c>
      <c r="C1094" s="1017" t="s">
        <v>2708</v>
      </c>
      <c r="D1094" s="1016">
        <v>0.38</v>
      </c>
      <c r="E1094" s="1015">
        <v>97.8</v>
      </c>
      <c r="F1094" s="1014">
        <v>14.3</v>
      </c>
      <c r="G1094" s="1013">
        <v>128.5</v>
      </c>
      <c r="H1094" s="1012">
        <v>96.4</v>
      </c>
    </row>
    <row r="1095" spans="1:8" ht="12.65" customHeight="1">
      <c r="A1095" s="1017" t="s">
        <v>2704</v>
      </c>
      <c r="B1095" s="1017" t="s">
        <v>2648</v>
      </c>
      <c r="C1095" s="1017" t="s">
        <v>2705</v>
      </c>
      <c r="D1095" s="1016">
        <v>0.57999999999999996</v>
      </c>
      <c r="E1095" s="1015">
        <v>92.4</v>
      </c>
      <c r="F1095" s="1014">
        <v>13.2</v>
      </c>
      <c r="G1095" s="1013">
        <v>65.3</v>
      </c>
      <c r="H1095" s="1012">
        <v>99.2</v>
      </c>
    </row>
    <row r="1096" spans="1:8" ht="12.65" customHeight="1">
      <c r="A1096" s="1017" t="s">
        <v>2701</v>
      </c>
      <c r="B1096" s="1017" t="s">
        <v>2648</v>
      </c>
      <c r="C1096" s="1017" t="s">
        <v>2702</v>
      </c>
      <c r="D1096" s="1016">
        <v>0.59</v>
      </c>
      <c r="E1096" s="1015">
        <v>98.9</v>
      </c>
      <c r="F1096" s="1014">
        <v>10.8</v>
      </c>
      <c r="G1096" s="1013">
        <v>116.7</v>
      </c>
      <c r="H1096" s="1012">
        <v>99.1</v>
      </c>
    </row>
    <row r="1097" spans="1:8" ht="12.65" customHeight="1">
      <c r="A1097" s="1017" t="s">
        <v>2698</v>
      </c>
      <c r="B1097" s="1017" t="s">
        <v>2648</v>
      </c>
      <c r="C1097" s="1017" t="s">
        <v>2699</v>
      </c>
      <c r="D1097" s="1016">
        <v>0.68</v>
      </c>
      <c r="E1097" s="1015">
        <v>93.4</v>
      </c>
      <c r="F1097" s="1014">
        <v>2.1</v>
      </c>
      <c r="G1097" s="1013" t="s">
        <v>6080</v>
      </c>
      <c r="H1097" s="1012">
        <v>99.8</v>
      </c>
    </row>
    <row r="1098" spans="1:8" ht="12.65" customHeight="1">
      <c r="A1098" s="1017" t="s">
        <v>2695</v>
      </c>
      <c r="B1098" s="1017" t="s">
        <v>2648</v>
      </c>
      <c r="C1098" s="1017" t="s">
        <v>2696</v>
      </c>
      <c r="D1098" s="1016">
        <v>0.76</v>
      </c>
      <c r="E1098" s="1015">
        <v>96.7</v>
      </c>
      <c r="F1098" s="1014">
        <v>2.6</v>
      </c>
      <c r="G1098" s="1013">
        <v>17.399999999999999</v>
      </c>
      <c r="H1098" s="1012">
        <v>101</v>
      </c>
    </row>
    <row r="1099" spans="1:8" ht="12.65" customHeight="1">
      <c r="A1099" s="1017" t="s">
        <v>2692</v>
      </c>
      <c r="B1099" s="1017" t="s">
        <v>2648</v>
      </c>
      <c r="C1099" s="1017" t="s">
        <v>2693</v>
      </c>
      <c r="D1099" s="1016">
        <v>0.63</v>
      </c>
      <c r="E1099" s="1015">
        <v>96.8</v>
      </c>
      <c r="F1099" s="1014">
        <v>3.4</v>
      </c>
      <c r="G1099" s="1013">
        <v>22.9</v>
      </c>
      <c r="H1099" s="1012">
        <v>98.9</v>
      </c>
    </row>
    <row r="1100" spans="1:8" ht="12.65" customHeight="1">
      <c r="A1100" s="1017" t="s">
        <v>2689</v>
      </c>
      <c r="B1100" s="1017" t="s">
        <v>2648</v>
      </c>
      <c r="C1100" s="1017" t="s">
        <v>2690</v>
      </c>
      <c r="D1100" s="1016">
        <v>0.76</v>
      </c>
      <c r="E1100" s="1015">
        <v>95.9</v>
      </c>
      <c r="F1100" s="1014">
        <v>1.7</v>
      </c>
      <c r="G1100" s="1013" t="s">
        <v>6080</v>
      </c>
      <c r="H1100" s="1012">
        <v>100.4</v>
      </c>
    </row>
    <row r="1101" spans="1:8" ht="12.65" customHeight="1">
      <c r="A1101" s="1017" t="s">
        <v>2686</v>
      </c>
      <c r="B1101" s="1017" t="s">
        <v>2648</v>
      </c>
      <c r="C1101" s="1017" t="s">
        <v>2687</v>
      </c>
      <c r="D1101" s="1016">
        <v>0.28999999999999998</v>
      </c>
      <c r="E1101" s="1015">
        <v>95.2</v>
      </c>
      <c r="F1101" s="1014">
        <v>13</v>
      </c>
      <c r="G1101" s="1013">
        <v>113.4</v>
      </c>
      <c r="H1101" s="1012">
        <v>94.8</v>
      </c>
    </row>
    <row r="1102" spans="1:8" ht="12.65" customHeight="1">
      <c r="A1102" s="1017" t="s">
        <v>2683</v>
      </c>
      <c r="B1102" s="1017" t="s">
        <v>2648</v>
      </c>
      <c r="C1102" s="1017" t="s">
        <v>2684</v>
      </c>
      <c r="D1102" s="1016">
        <v>0.31</v>
      </c>
      <c r="E1102" s="1015">
        <v>97.3</v>
      </c>
      <c r="F1102" s="1014">
        <v>12.7</v>
      </c>
      <c r="G1102" s="1013">
        <v>54.7</v>
      </c>
      <c r="H1102" s="1012">
        <v>97</v>
      </c>
    </row>
    <row r="1103" spans="1:8" ht="12.65" customHeight="1">
      <c r="A1103" s="1017" t="s">
        <v>2680</v>
      </c>
      <c r="B1103" s="1017" t="s">
        <v>2648</v>
      </c>
      <c r="C1103" s="1017" t="s">
        <v>2681</v>
      </c>
      <c r="D1103" s="1016">
        <v>0.6</v>
      </c>
      <c r="E1103" s="1015">
        <v>94.2</v>
      </c>
      <c r="F1103" s="1014">
        <v>9.8000000000000007</v>
      </c>
      <c r="G1103" s="1013" t="s">
        <v>6080</v>
      </c>
      <c r="H1103" s="1012">
        <v>97.4</v>
      </c>
    </row>
    <row r="1104" spans="1:8" ht="12.65" customHeight="1">
      <c r="A1104" s="1017" t="s">
        <v>2677</v>
      </c>
      <c r="B1104" s="1017" t="s">
        <v>2648</v>
      </c>
      <c r="C1104" s="1017" t="s">
        <v>2678</v>
      </c>
      <c r="D1104" s="1016">
        <v>0.74</v>
      </c>
      <c r="E1104" s="1015">
        <v>89.5</v>
      </c>
      <c r="F1104" s="1014">
        <v>4.5</v>
      </c>
      <c r="G1104" s="1013" t="s">
        <v>6080</v>
      </c>
      <c r="H1104" s="1012">
        <v>101.9</v>
      </c>
    </row>
    <row r="1105" spans="1:8" ht="12.65" customHeight="1">
      <c r="A1105" s="1017" t="s">
        <v>2674</v>
      </c>
      <c r="B1105" s="1017" t="s">
        <v>2648</v>
      </c>
      <c r="C1105" s="1017" t="s">
        <v>2675</v>
      </c>
      <c r="D1105" s="1016">
        <v>1.1100000000000001</v>
      </c>
      <c r="E1105" s="1015">
        <v>82.4</v>
      </c>
      <c r="F1105" s="1014">
        <v>1.1000000000000001</v>
      </c>
      <c r="G1105" s="1013" t="s">
        <v>6080</v>
      </c>
      <c r="H1105" s="1012">
        <v>98.5</v>
      </c>
    </row>
    <row r="1106" spans="1:8" ht="12.65" customHeight="1">
      <c r="A1106" s="1017" t="s">
        <v>2671</v>
      </c>
      <c r="B1106" s="1017" t="s">
        <v>2648</v>
      </c>
      <c r="C1106" s="1017" t="s">
        <v>2672</v>
      </c>
      <c r="D1106" s="1016">
        <v>0.36</v>
      </c>
      <c r="E1106" s="1015">
        <v>73.900000000000006</v>
      </c>
      <c r="F1106" s="1014">
        <v>-0.5</v>
      </c>
      <c r="G1106" s="1013" t="s">
        <v>6080</v>
      </c>
      <c r="H1106" s="1012">
        <v>94.3</v>
      </c>
    </row>
    <row r="1107" spans="1:8" ht="12.65" customHeight="1">
      <c r="A1107" s="1017" t="s">
        <v>2668</v>
      </c>
      <c r="B1107" s="1017" t="s">
        <v>2648</v>
      </c>
      <c r="C1107" s="1017" t="s">
        <v>2669</v>
      </c>
      <c r="D1107" s="1016">
        <v>0.56000000000000005</v>
      </c>
      <c r="E1107" s="1015">
        <v>86.3</v>
      </c>
      <c r="F1107" s="1014">
        <v>9.9</v>
      </c>
      <c r="G1107" s="1013">
        <v>95.1</v>
      </c>
      <c r="H1107" s="1012">
        <v>96.7</v>
      </c>
    </row>
    <row r="1108" spans="1:8" ht="12.65" customHeight="1">
      <c r="A1108" s="1017" t="s">
        <v>2665</v>
      </c>
      <c r="B1108" s="1017" t="s">
        <v>2648</v>
      </c>
      <c r="C1108" s="1017" t="s">
        <v>2666</v>
      </c>
      <c r="D1108" s="1016">
        <v>0.19</v>
      </c>
      <c r="E1108" s="1015">
        <v>98.7</v>
      </c>
      <c r="F1108" s="1014">
        <v>6.3</v>
      </c>
      <c r="G1108" s="1013" t="s">
        <v>6080</v>
      </c>
      <c r="H1108" s="1012">
        <v>93</v>
      </c>
    </row>
    <row r="1109" spans="1:8" ht="12.65" customHeight="1">
      <c r="A1109" s="1017" t="s">
        <v>2662</v>
      </c>
      <c r="B1109" s="1017" t="s">
        <v>2648</v>
      </c>
      <c r="C1109" s="1017" t="s">
        <v>2663</v>
      </c>
      <c r="D1109" s="1016">
        <v>0.18</v>
      </c>
      <c r="E1109" s="1015">
        <v>85.4</v>
      </c>
      <c r="F1109" s="1014">
        <v>10.7</v>
      </c>
      <c r="G1109" s="1013" t="s">
        <v>6080</v>
      </c>
      <c r="H1109" s="1012">
        <v>97.1</v>
      </c>
    </row>
    <row r="1110" spans="1:8" ht="12.65" customHeight="1">
      <c r="A1110" s="1017" t="s">
        <v>2659</v>
      </c>
      <c r="B1110" s="1017" t="s">
        <v>2648</v>
      </c>
      <c r="C1110" s="1017" t="s">
        <v>2660</v>
      </c>
      <c r="D1110" s="1016">
        <v>0.7</v>
      </c>
      <c r="E1110" s="1015">
        <v>97.3</v>
      </c>
      <c r="F1110" s="1014">
        <v>10.199999999999999</v>
      </c>
      <c r="G1110" s="1013">
        <v>33.200000000000003</v>
      </c>
      <c r="H1110" s="1012">
        <v>98.8</v>
      </c>
    </row>
    <row r="1111" spans="1:8" ht="12.65" customHeight="1">
      <c r="A1111" s="1017" t="s">
        <v>2656</v>
      </c>
      <c r="B1111" s="1017" t="s">
        <v>2648</v>
      </c>
      <c r="C1111" s="1017" t="s">
        <v>2657</v>
      </c>
      <c r="D1111" s="1016">
        <v>0.2</v>
      </c>
      <c r="E1111" s="1015">
        <v>90.9</v>
      </c>
      <c r="F1111" s="1014">
        <v>9</v>
      </c>
      <c r="G1111" s="1013" t="s">
        <v>6080</v>
      </c>
      <c r="H1111" s="1012">
        <v>95</v>
      </c>
    </row>
    <row r="1112" spans="1:8" ht="12.65" customHeight="1">
      <c r="A1112" s="1017" t="s">
        <v>2653</v>
      </c>
      <c r="B1112" s="1017" t="s">
        <v>2648</v>
      </c>
      <c r="C1112" s="1017" t="s">
        <v>2654</v>
      </c>
      <c r="D1112" s="1016">
        <v>0.27</v>
      </c>
      <c r="E1112" s="1015">
        <v>92.5</v>
      </c>
      <c r="F1112" s="1014">
        <v>15.8</v>
      </c>
      <c r="G1112" s="1013">
        <v>66.599999999999994</v>
      </c>
      <c r="H1112" s="1012">
        <v>93.5</v>
      </c>
    </row>
    <row r="1113" spans="1:8" ht="12.65" customHeight="1">
      <c r="A1113" s="1017" t="s">
        <v>2650</v>
      </c>
      <c r="B1113" s="1017" t="s">
        <v>2648</v>
      </c>
      <c r="C1113" s="1017" t="s">
        <v>2651</v>
      </c>
      <c r="D1113" s="1016">
        <v>0.1</v>
      </c>
      <c r="E1113" s="1015">
        <v>86.4</v>
      </c>
      <c r="F1113" s="1014">
        <v>9.1</v>
      </c>
      <c r="G1113" s="1013" t="s">
        <v>6080</v>
      </c>
      <c r="H1113" s="1012">
        <v>96.3</v>
      </c>
    </row>
    <row r="1114" spans="1:8" ht="12.65" customHeight="1">
      <c r="A1114" s="1017" t="s">
        <v>2646</v>
      </c>
      <c r="B1114" s="1017" t="s">
        <v>2648</v>
      </c>
      <c r="C1114" s="1017" t="s">
        <v>2647</v>
      </c>
      <c r="D1114" s="1016">
        <v>0.27</v>
      </c>
      <c r="E1114" s="1015">
        <v>95.3</v>
      </c>
      <c r="F1114" s="1014">
        <v>17.600000000000001</v>
      </c>
      <c r="G1114" s="1013">
        <v>89.1</v>
      </c>
      <c r="H1114" s="1012">
        <v>94.3</v>
      </c>
    </row>
    <row r="1115" spans="1:8" ht="12.65" customHeight="1">
      <c r="A1115" s="1017" t="s">
        <v>2639</v>
      </c>
      <c r="B1115" s="1017" t="s">
        <v>2518</v>
      </c>
      <c r="C1115" s="1017" t="s">
        <v>2640</v>
      </c>
      <c r="D1115" s="1016">
        <v>0.92</v>
      </c>
      <c r="E1115" s="1015">
        <v>92</v>
      </c>
      <c r="F1115" s="1014">
        <v>0.9</v>
      </c>
      <c r="G1115" s="1013" t="s">
        <v>6080</v>
      </c>
      <c r="H1115" s="1012">
        <v>98.8</v>
      </c>
    </row>
    <row r="1116" spans="1:8" ht="12.65" customHeight="1">
      <c r="A1116" s="1017" t="s">
        <v>2636</v>
      </c>
      <c r="B1116" s="1017" t="s">
        <v>2518</v>
      </c>
      <c r="C1116" s="1017" t="s">
        <v>2637</v>
      </c>
      <c r="D1116" s="1016">
        <v>0.76</v>
      </c>
      <c r="E1116" s="1015">
        <v>100.9</v>
      </c>
      <c r="F1116" s="1014">
        <v>5.4</v>
      </c>
      <c r="G1116" s="1013" t="s">
        <v>6080</v>
      </c>
      <c r="H1116" s="1012">
        <v>100.3</v>
      </c>
    </row>
    <row r="1117" spans="1:8" ht="12.65" customHeight="1">
      <c r="A1117" s="1017" t="s">
        <v>2633</v>
      </c>
      <c r="B1117" s="1017" t="s">
        <v>2518</v>
      </c>
      <c r="C1117" s="1017" t="s">
        <v>2634</v>
      </c>
      <c r="D1117" s="1016">
        <v>0.61</v>
      </c>
      <c r="E1117" s="1015">
        <v>93.6</v>
      </c>
      <c r="F1117" s="1014">
        <v>4.8</v>
      </c>
      <c r="G1117" s="1013" t="s">
        <v>6080</v>
      </c>
      <c r="H1117" s="1012">
        <v>99.5</v>
      </c>
    </row>
    <row r="1118" spans="1:8" ht="12.65" customHeight="1">
      <c r="A1118" s="1017" t="s">
        <v>2630</v>
      </c>
      <c r="B1118" s="1017" t="s">
        <v>2518</v>
      </c>
      <c r="C1118" s="1017" t="s">
        <v>2631</v>
      </c>
      <c r="D1118" s="1016">
        <v>0.85</v>
      </c>
      <c r="E1118" s="1015">
        <v>92.1</v>
      </c>
      <c r="F1118" s="1014">
        <v>2.2000000000000002</v>
      </c>
      <c r="G1118" s="1013" t="s">
        <v>6080</v>
      </c>
      <c r="H1118" s="1012">
        <v>99.9</v>
      </c>
    </row>
    <row r="1119" spans="1:8" ht="12.65" customHeight="1">
      <c r="A1119" s="1017" t="s">
        <v>2627</v>
      </c>
      <c r="B1119" s="1017" t="s">
        <v>2518</v>
      </c>
      <c r="C1119" s="1017" t="s">
        <v>2628</v>
      </c>
      <c r="D1119" s="1016">
        <v>0.78</v>
      </c>
      <c r="E1119" s="1015">
        <v>97.4</v>
      </c>
      <c r="F1119" s="1014">
        <v>2</v>
      </c>
      <c r="G1119" s="1013" t="s">
        <v>6080</v>
      </c>
      <c r="H1119" s="1012">
        <v>101.2</v>
      </c>
    </row>
    <row r="1120" spans="1:8" ht="12.65" customHeight="1">
      <c r="A1120" s="1017" t="s">
        <v>2624</v>
      </c>
      <c r="B1120" s="1017" t="s">
        <v>2518</v>
      </c>
      <c r="C1120" s="1017" t="s">
        <v>2625</v>
      </c>
      <c r="D1120" s="1016">
        <v>0.95</v>
      </c>
      <c r="E1120" s="1015">
        <v>96.2</v>
      </c>
      <c r="F1120" s="1014">
        <v>0.2</v>
      </c>
      <c r="G1120" s="1013" t="s">
        <v>6080</v>
      </c>
      <c r="H1120" s="1012">
        <v>100</v>
      </c>
    </row>
    <row r="1121" spans="1:8" ht="12.65" customHeight="1">
      <c r="A1121" s="1017" t="s">
        <v>2621</v>
      </c>
      <c r="B1121" s="1017" t="s">
        <v>2518</v>
      </c>
      <c r="C1121" s="1017" t="s">
        <v>2622</v>
      </c>
      <c r="D1121" s="1016">
        <v>0.69</v>
      </c>
      <c r="E1121" s="1015">
        <v>96.7</v>
      </c>
      <c r="F1121" s="1014">
        <v>8.9</v>
      </c>
      <c r="G1121" s="1013">
        <v>9.5</v>
      </c>
      <c r="H1121" s="1012">
        <v>95.8</v>
      </c>
    </row>
    <row r="1122" spans="1:8" ht="12.65" customHeight="1">
      <c r="A1122" s="1017" t="s">
        <v>2618</v>
      </c>
      <c r="B1122" s="1017" t="s">
        <v>2518</v>
      </c>
      <c r="C1122" s="1017" t="s">
        <v>2619</v>
      </c>
      <c r="D1122" s="1016">
        <v>0.76</v>
      </c>
      <c r="E1122" s="1015">
        <v>91.7</v>
      </c>
      <c r="F1122" s="1014">
        <v>-2.2000000000000002</v>
      </c>
      <c r="G1122" s="1013" t="s">
        <v>6080</v>
      </c>
      <c r="H1122" s="1012">
        <v>97.3</v>
      </c>
    </row>
    <row r="1123" spans="1:8" ht="12.65" customHeight="1">
      <c r="A1123" s="1017" t="s">
        <v>2615</v>
      </c>
      <c r="B1123" s="1017" t="s">
        <v>2518</v>
      </c>
      <c r="C1123" s="1017" t="s">
        <v>2616</v>
      </c>
      <c r="D1123" s="1016">
        <v>0.63</v>
      </c>
      <c r="E1123" s="1015">
        <v>98.4</v>
      </c>
      <c r="F1123" s="1014">
        <v>5</v>
      </c>
      <c r="G1123" s="1013">
        <v>16.7</v>
      </c>
      <c r="H1123" s="1012">
        <v>99.9</v>
      </c>
    </row>
    <row r="1124" spans="1:8" ht="12.65" customHeight="1">
      <c r="A1124" s="1017" t="s">
        <v>2612</v>
      </c>
      <c r="B1124" s="1017" t="s">
        <v>2518</v>
      </c>
      <c r="C1124" s="1017" t="s">
        <v>2613</v>
      </c>
      <c r="D1124" s="1016">
        <v>0.68</v>
      </c>
      <c r="E1124" s="1015">
        <v>97.7</v>
      </c>
      <c r="F1124" s="1014">
        <v>5.5</v>
      </c>
      <c r="G1124" s="1013">
        <v>2.5</v>
      </c>
      <c r="H1124" s="1012">
        <v>98.7</v>
      </c>
    </row>
    <row r="1125" spans="1:8" ht="12.65" customHeight="1">
      <c r="A1125" s="1017" t="s">
        <v>2609</v>
      </c>
      <c r="B1125" s="1017" t="s">
        <v>2518</v>
      </c>
      <c r="C1125" s="1017" t="s">
        <v>2610</v>
      </c>
      <c r="D1125" s="1016">
        <v>0.76</v>
      </c>
      <c r="E1125" s="1015">
        <v>97.6</v>
      </c>
      <c r="F1125" s="1014">
        <v>1.5</v>
      </c>
      <c r="G1125" s="1013" t="s">
        <v>6080</v>
      </c>
      <c r="H1125" s="1012">
        <v>98.1</v>
      </c>
    </row>
    <row r="1126" spans="1:8" ht="12.65" customHeight="1">
      <c r="A1126" s="1017" t="s">
        <v>2606</v>
      </c>
      <c r="B1126" s="1017" t="s">
        <v>2518</v>
      </c>
      <c r="C1126" s="1017" t="s">
        <v>2607</v>
      </c>
      <c r="D1126" s="1016">
        <v>0.97</v>
      </c>
      <c r="E1126" s="1015">
        <v>92.6</v>
      </c>
      <c r="F1126" s="1014">
        <v>-0.6</v>
      </c>
      <c r="G1126" s="1013" t="s">
        <v>6080</v>
      </c>
      <c r="H1126" s="1012">
        <v>101.2</v>
      </c>
    </row>
    <row r="1127" spans="1:8" ht="12.65" customHeight="1">
      <c r="A1127" s="1017" t="s">
        <v>2603</v>
      </c>
      <c r="B1127" s="1017" t="s">
        <v>2518</v>
      </c>
      <c r="C1127" s="1017" t="s">
        <v>2604</v>
      </c>
      <c r="D1127" s="1016">
        <v>0.7</v>
      </c>
      <c r="E1127" s="1015">
        <v>100.6</v>
      </c>
      <c r="F1127" s="1014">
        <v>3.1</v>
      </c>
      <c r="G1127" s="1013" t="s">
        <v>6080</v>
      </c>
      <c r="H1127" s="1012">
        <v>97.9</v>
      </c>
    </row>
    <row r="1128" spans="1:8" ht="12.65" customHeight="1">
      <c r="A1128" s="1017" t="s">
        <v>2600</v>
      </c>
      <c r="B1128" s="1017" t="s">
        <v>2518</v>
      </c>
      <c r="C1128" s="1017" t="s">
        <v>2601</v>
      </c>
      <c r="D1128" s="1016">
        <v>0.86</v>
      </c>
      <c r="E1128" s="1015">
        <v>104.3</v>
      </c>
      <c r="F1128" s="1014">
        <v>7.6</v>
      </c>
      <c r="G1128" s="1013">
        <v>8.6999999999999993</v>
      </c>
      <c r="H1128" s="1012">
        <v>94.8</v>
      </c>
    </row>
    <row r="1129" spans="1:8" ht="12.65" customHeight="1">
      <c r="A1129" s="1017" t="s">
        <v>2597</v>
      </c>
      <c r="B1129" s="1017" t="s">
        <v>2518</v>
      </c>
      <c r="C1129" s="1017" t="s">
        <v>2598</v>
      </c>
      <c r="D1129" s="1016">
        <v>0.6</v>
      </c>
      <c r="E1129" s="1015">
        <v>95.3</v>
      </c>
      <c r="F1129" s="1014">
        <v>-0.7</v>
      </c>
      <c r="G1129" s="1013" t="s">
        <v>6080</v>
      </c>
      <c r="H1129" s="1012">
        <v>99.4</v>
      </c>
    </row>
    <row r="1130" spans="1:8" ht="12.65" customHeight="1">
      <c r="A1130" s="1017" t="s">
        <v>2594</v>
      </c>
      <c r="B1130" s="1017" t="s">
        <v>2518</v>
      </c>
      <c r="C1130" s="1017" t="s">
        <v>2595</v>
      </c>
      <c r="D1130" s="1016">
        <v>0.62</v>
      </c>
      <c r="E1130" s="1015">
        <v>88.8</v>
      </c>
      <c r="F1130" s="1014">
        <v>-1.4</v>
      </c>
      <c r="G1130" s="1013" t="s">
        <v>6080</v>
      </c>
      <c r="H1130" s="1012">
        <v>93.2</v>
      </c>
    </row>
    <row r="1131" spans="1:8" ht="12.65" customHeight="1">
      <c r="A1131" s="1017" t="s">
        <v>2591</v>
      </c>
      <c r="B1131" s="1017" t="s">
        <v>2518</v>
      </c>
      <c r="C1131" s="1017" t="s">
        <v>2592</v>
      </c>
      <c r="D1131" s="1016">
        <v>0.56999999999999995</v>
      </c>
      <c r="E1131" s="1015">
        <v>95.3</v>
      </c>
      <c r="F1131" s="1014">
        <v>2.2000000000000002</v>
      </c>
      <c r="G1131" s="1013" t="s">
        <v>6080</v>
      </c>
      <c r="H1131" s="1012">
        <v>95.5</v>
      </c>
    </row>
    <row r="1132" spans="1:8" ht="12.65" customHeight="1">
      <c r="A1132" s="1017" t="s">
        <v>2588</v>
      </c>
      <c r="B1132" s="1017" t="s">
        <v>2518</v>
      </c>
      <c r="C1132" s="1017" t="s">
        <v>2589</v>
      </c>
      <c r="D1132" s="1016">
        <v>0.57999999999999996</v>
      </c>
      <c r="E1132" s="1015">
        <v>97.6</v>
      </c>
      <c r="F1132" s="1014">
        <v>2.4</v>
      </c>
      <c r="G1132" s="1013" t="s">
        <v>6080</v>
      </c>
      <c r="H1132" s="1012">
        <v>99.2</v>
      </c>
    </row>
    <row r="1133" spans="1:8" ht="12.65" customHeight="1">
      <c r="A1133" s="1017" t="s">
        <v>2585</v>
      </c>
      <c r="B1133" s="1017" t="s">
        <v>2518</v>
      </c>
      <c r="C1133" s="1017" t="s">
        <v>2586</v>
      </c>
      <c r="D1133" s="1016">
        <v>0.7</v>
      </c>
      <c r="E1133" s="1015">
        <v>99.6</v>
      </c>
      <c r="F1133" s="1014">
        <v>4.0999999999999996</v>
      </c>
      <c r="G1133" s="1013" t="s">
        <v>6080</v>
      </c>
      <c r="H1133" s="1012">
        <v>96.2</v>
      </c>
    </row>
    <row r="1134" spans="1:8" ht="12.65" customHeight="1">
      <c r="A1134" s="1017" t="s">
        <v>2582</v>
      </c>
      <c r="B1134" s="1017" t="s">
        <v>2518</v>
      </c>
      <c r="C1134" s="1017" t="s">
        <v>2583</v>
      </c>
      <c r="D1134" s="1016">
        <v>0.7</v>
      </c>
      <c r="E1134" s="1015">
        <v>95.5</v>
      </c>
      <c r="F1134" s="1014">
        <v>5.8</v>
      </c>
      <c r="G1134" s="1013" t="s">
        <v>6080</v>
      </c>
      <c r="H1134" s="1012">
        <v>97.2</v>
      </c>
    </row>
    <row r="1135" spans="1:8" ht="12.65" customHeight="1">
      <c r="A1135" s="1017" t="s">
        <v>2580</v>
      </c>
      <c r="B1135" s="1017" t="s">
        <v>2518</v>
      </c>
      <c r="C1135" s="1017" t="s">
        <v>2581</v>
      </c>
      <c r="D1135" s="1016">
        <v>0.89</v>
      </c>
      <c r="E1135" s="1015">
        <v>91.7</v>
      </c>
      <c r="F1135" s="1014">
        <v>2.1</v>
      </c>
      <c r="G1135" s="1013" t="s">
        <v>6080</v>
      </c>
      <c r="H1135" s="1012">
        <v>95.3</v>
      </c>
    </row>
    <row r="1136" spans="1:8" ht="12.65" customHeight="1">
      <c r="A1136" s="1017" t="s">
        <v>2577</v>
      </c>
      <c r="B1136" s="1017" t="s">
        <v>2518</v>
      </c>
      <c r="C1136" s="1017" t="s">
        <v>2578</v>
      </c>
      <c r="D1136" s="1016">
        <v>0.59</v>
      </c>
      <c r="E1136" s="1015">
        <v>98.4</v>
      </c>
      <c r="F1136" s="1014">
        <v>5.0999999999999996</v>
      </c>
      <c r="G1136" s="1013">
        <v>7.5</v>
      </c>
      <c r="H1136" s="1012">
        <v>99.7</v>
      </c>
    </row>
    <row r="1137" spans="1:8" ht="12.65" customHeight="1">
      <c r="A1137" s="1017" t="s">
        <v>2574</v>
      </c>
      <c r="B1137" s="1017" t="s">
        <v>2518</v>
      </c>
      <c r="C1137" s="1017" t="s">
        <v>2575</v>
      </c>
      <c r="D1137" s="1016">
        <v>0.55000000000000004</v>
      </c>
      <c r="E1137" s="1015">
        <v>99.6</v>
      </c>
      <c r="F1137" s="1014">
        <v>3.9</v>
      </c>
      <c r="G1137" s="1013" t="s">
        <v>6080</v>
      </c>
      <c r="H1137" s="1012">
        <v>100.2</v>
      </c>
    </row>
    <row r="1138" spans="1:8" ht="12.65" customHeight="1">
      <c r="A1138" s="1017" t="s">
        <v>2571</v>
      </c>
      <c r="B1138" s="1017" t="s">
        <v>2518</v>
      </c>
      <c r="C1138" s="1017" t="s">
        <v>2572</v>
      </c>
      <c r="D1138" s="1016">
        <v>0.66</v>
      </c>
      <c r="E1138" s="1015">
        <v>97.3</v>
      </c>
      <c r="F1138" s="1014">
        <v>3.9</v>
      </c>
      <c r="G1138" s="1013">
        <v>4.3</v>
      </c>
      <c r="H1138" s="1012">
        <v>96.8</v>
      </c>
    </row>
    <row r="1139" spans="1:8" ht="12.65" customHeight="1">
      <c r="A1139" s="1017" t="s">
        <v>2568</v>
      </c>
      <c r="B1139" s="1017" t="s">
        <v>2518</v>
      </c>
      <c r="C1139" s="1017" t="s">
        <v>2569</v>
      </c>
      <c r="D1139" s="1016">
        <v>0.93</v>
      </c>
      <c r="E1139" s="1015">
        <v>98.5</v>
      </c>
      <c r="F1139" s="1014">
        <v>-0.4</v>
      </c>
      <c r="G1139" s="1013" t="s">
        <v>6080</v>
      </c>
      <c r="H1139" s="1012">
        <v>99.9</v>
      </c>
    </row>
    <row r="1140" spans="1:8" ht="12.65" customHeight="1">
      <c r="A1140" s="1017" t="s">
        <v>2565</v>
      </c>
      <c r="B1140" s="1017" t="s">
        <v>2518</v>
      </c>
      <c r="C1140" s="1017" t="s">
        <v>2566</v>
      </c>
      <c r="D1140" s="1016">
        <v>0.78</v>
      </c>
      <c r="E1140" s="1015">
        <v>98.5</v>
      </c>
      <c r="F1140" s="1014">
        <v>10.3</v>
      </c>
      <c r="G1140" s="1013">
        <v>75.2</v>
      </c>
      <c r="H1140" s="1012">
        <v>100</v>
      </c>
    </row>
    <row r="1141" spans="1:8" ht="12.65" customHeight="1">
      <c r="A1141" s="1017" t="s">
        <v>2562</v>
      </c>
      <c r="B1141" s="1017" t="s">
        <v>2518</v>
      </c>
      <c r="C1141" s="1017" t="s">
        <v>2563</v>
      </c>
      <c r="D1141" s="1016">
        <v>0.6</v>
      </c>
      <c r="E1141" s="1015">
        <v>100.2</v>
      </c>
      <c r="F1141" s="1014">
        <v>3.2</v>
      </c>
      <c r="G1141" s="1013">
        <v>43</v>
      </c>
      <c r="H1141" s="1012">
        <v>94.8</v>
      </c>
    </row>
    <row r="1142" spans="1:8" ht="12.65" customHeight="1">
      <c r="A1142" s="1017" t="s">
        <v>2559</v>
      </c>
      <c r="B1142" s="1017" t="s">
        <v>2518</v>
      </c>
      <c r="C1142" s="1017" t="s">
        <v>2560</v>
      </c>
      <c r="D1142" s="1016">
        <v>0.73</v>
      </c>
      <c r="E1142" s="1015">
        <v>94.7</v>
      </c>
      <c r="F1142" s="1014">
        <v>5.9</v>
      </c>
      <c r="G1142" s="1013" t="s">
        <v>6080</v>
      </c>
      <c r="H1142" s="1012">
        <v>100</v>
      </c>
    </row>
    <row r="1143" spans="1:8" ht="12.65" customHeight="1">
      <c r="A1143" s="1017" t="s">
        <v>2556</v>
      </c>
      <c r="B1143" s="1017" t="s">
        <v>2518</v>
      </c>
      <c r="C1143" s="1017" t="s">
        <v>2557</v>
      </c>
      <c r="D1143" s="1016">
        <v>0.68</v>
      </c>
      <c r="E1143" s="1015">
        <v>101.2</v>
      </c>
      <c r="F1143" s="1014">
        <v>8.6</v>
      </c>
      <c r="G1143" s="1013">
        <v>40.9</v>
      </c>
      <c r="H1143" s="1012">
        <v>98.1</v>
      </c>
    </row>
    <row r="1144" spans="1:8" ht="12.65" customHeight="1">
      <c r="A1144" s="1017" t="s">
        <v>2553</v>
      </c>
      <c r="B1144" s="1017" t="s">
        <v>2518</v>
      </c>
      <c r="C1144" s="1017" t="s">
        <v>2554</v>
      </c>
      <c r="D1144" s="1016">
        <v>0.56999999999999995</v>
      </c>
      <c r="E1144" s="1015">
        <v>99.3</v>
      </c>
      <c r="F1144" s="1014">
        <v>3.5</v>
      </c>
      <c r="G1144" s="1013" t="s">
        <v>6080</v>
      </c>
      <c r="H1144" s="1012">
        <v>96.7</v>
      </c>
    </row>
    <row r="1145" spans="1:8" ht="12.65" customHeight="1">
      <c r="A1145" s="1017" t="s">
        <v>2550</v>
      </c>
      <c r="B1145" s="1017" t="s">
        <v>2518</v>
      </c>
      <c r="C1145" s="1017" t="s">
        <v>2551</v>
      </c>
      <c r="D1145" s="1016">
        <v>0.67</v>
      </c>
      <c r="E1145" s="1015">
        <v>93.8</v>
      </c>
      <c r="F1145" s="1014">
        <v>6.1</v>
      </c>
      <c r="G1145" s="1013">
        <v>31</v>
      </c>
      <c r="H1145" s="1012">
        <v>97.9</v>
      </c>
    </row>
    <row r="1146" spans="1:8" ht="12.65" customHeight="1">
      <c r="A1146" s="1017" t="s">
        <v>2547</v>
      </c>
      <c r="B1146" s="1017" t="s">
        <v>2518</v>
      </c>
      <c r="C1146" s="1017" t="s">
        <v>2548</v>
      </c>
      <c r="D1146" s="1016">
        <v>0.64</v>
      </c>
      <c r="E1146" s="1015">
        <v>98.4</v>
      </c>
      <c r="F1146" s="1014">
        <v>4</v>
      </c>
      <c r="G1146" s="1013" t="s">
        <v>6080</v>
      </c>
      <c r="H1146" s="1012">
        <v>99.5</v>
      </c>
    </row>
    <row r="1147" spans="1:8" ht="12.65" customHeight="1">
      <c r="A1147" s="1017" t="s">
        <v>2544</v>
      </c>
      <c r="B1147" s="1017" t="s">
        <v>2518</v>
      </c>
      <c r="C1147" s="1017" t="s">
        <v>2545</v>
      </c>
      <c r="D1147" s="1016">
        <v>0.51</v>
      </c>
      <c r="E1147" s="1015">
        <v>94.9</v>
      </c>
      <c r="F1147" s="1014">
        <v>5.3</v>
      </c>
      <c r="G1147" s="1013">
        <v>20.2</v>
      </c>
      <c r="H1147" s="1012">
        <v>97.7</v>
      </c>
    </row>
    <row r="1148" spans="1:8" ht="12.65" customHeight="1">
      <c r="A1148" s="1017" t="s">
        <v>2541</v>
      </c>
      <c r="B1148" s="1017" t="s">
        <v>2518</v>
      </c>
      <c r="C1148" s="1017" t="s">
        <v>2542</v>
      </c>
      <c r="D1148" s="1016">
        <v>0.67</v>
      </c>
      <c r="E1148" s="1015">
        <v>94.5</v>
      </c>
      <c r="F1148" s="1014">
        <v>6.3</v>
      </c>
      <c r="G1148" s="1013" t="s">
        <v>6080</v>
      </c>
      <c r="H1148" s="1012">
        <v>97.3</v>
      </c>
    </row>
    <row r="1149" spans="1:8" ht="12.65" customHeight="1">
      <c r="A1149" s="1017" t="s">
        <v>2538</v>
      </c>
      <c r="B1149" s="1017" t="s">
        <v>2518</v>
      </c>
      <c r="C1149" s="1017" t="s">
        <v>2539</v>
      </c>
      <c r="D1149" s="1016">
        <v>0.4</v>
      </c>
      <c r="E1149" s="1015">
        <v>92</v>
      </c>
      <c r="F1149" s="1014">
        <v>5.5</v>
      </c>
      <c r="G1149" s="1013" t="s">
        <v>6080</v>
      </c>
      <c r="H1149" s="1012">
        <v>98.1</v>
      </c>
    </row>
    <row r="1150" spans="1:8" ht="12.65" customHeight="1">
      <c r="A1150" s="1017" t="s">
        <v>2535</v>
      </c>
      <c r="B1150" s="1017" t="s">
        <v>2518</v>
      </c>
      <c r="C1150" s="1017" t="s">
        <v>2536</v>
      </c>
      <c r="D1150" s="1016">
        <v>0.34</v>
      </c>
      <c r="E1150" s="1015">
        <v>92.6</v>
      </c>
      <c r="F1150" s="1014">
        <v>14.7</v>
      </c>
      <c r="G1150" s="1013">
        <v>84.2</v>
      </c>
      <c r="H1150" s="1012">
        <v>98.8</v>
      </c>
    </row>
    <row r="1151" spans="1:8" ht="12.65" customHeight="1">
      <c r="A1151" s="1017" t="s">
        <v>2532</v>
      </c>
      <c r="B1151" s="1017" t="s">
        <v>2518</v>
      </c>
      <c r="C1151" s="1017" t="s">
        <v>2533</v>
      </c>
      <c r="D1151" s="1016">
        <v>0.53</v>
      </c>
      <c r="E1151" s="1015">
        <v>99.9</v>
      </c>
      <c r="F1151" s="1014">
        <v>5.6</v>
      </c>
      <c r="G1151" s="1013">
        <v>18</v>
      </c>
      <c r="H1151" s="1012">
        <v>101.5</v>
      </c>
    </row>
    <row r="1152" spans="1:8" ht="12.65" customHeight="1">
      <c r="A1152" s="1017" t="s">
        <v>2529</v>
      </c>
      <c r="B1152" s="1017" t="s">
        <v>2518</v>
      </c>
      <c r="C1152" s="1017" t="s">
        <v>2530</v>
      </c>
      <c r="D1152" s="1016">
        <v>0.55000000000000004</v>
      </c>
      <c r="E1152" s="1015">
        <v>98</v>
      </c>
      <c r="F1152" s="1014">
        <v>1.3</v>
      </c>
      <c r="G1152" s="1013" t="s">
        <v>6080</v>
      </c>
      <c r="H1152" s="1012">
        <v>96.3</v>
      </c>
    </row>
    <row r="1153" spans="1:8" ht="12.65" customHeight="1">
      <c r="A1153" s="1017" t="s">
        <v>2526</v>
      </c>
      <c r="B1153" s="1017" t="s">
        <v>2518</v>
      </c>
      <c r="C1153" s="1017" t="s">
        <v>2527</v>
      </c>
      <c r="D1153" s="1016">
        <v>1.24</v>
      </c>
      <c r="E1153" s="1015">
        <v>72.2</v>
      </c>
      <c r="F1153" s="1014">
        <v>3.2</v>
      </c>
      <c r="G1153" s="1013" t="s">
        <v>6080</v>
      </c>
      <c r="H1153" s="1012">
        <v>99.5</v>
      </c>
    </row>
    <row r="1154" spans="1:8" ht="12.65" customHeight="1">
      <c r="A1154" s="1017" t="s">
        <v>2523</v>
      </c>
      <c r="B1154" s="1017" t="s">
        <v>2518</v>
      </c>
      <c r="C1154" s="1017" t="s">
        <v>2524</v>
      </c>
      <c r="D1154" s="1016">
        <v>0.45</v>
      </c>
      <c r="E1154" s="1015">
        <v>94.6</v>
      </c>
      <c r="F1154" s="1014">
        <v>11.6</v>
      </c>
      <c r="G1154" s="1013">
        <v>107</v>
      </c>
      <c r="H1154" s="1012">
        <v>99.5</v>
      </c>
    </row>
    <row r="1155" spans="1:8" ht="12.65" customHeight="1">
      <c r="A1155" s="1017" t="s">
        <v>2522</v>
      </c>
      <c r="B1155" s="1017" t="s">
        <v>2518</v>
      </c>
      <c r="C1155" s="1017" t="s">
        <v>2403</v>
      </c>
      <c r="D1155" s="1016">
        <v>0.45</v>
      </c>
      <c r="E1155" s="1015">
        <v>93.4</v>
      </c>
      <c r="F1155" s="1014">
        <v>4.2</v>
      </c>
      <c r="G1155" s="1013" t="s">
        <v>6080</v>
      </c>
      <c r="H1155" s="1012">
        <v>99.7</v>
      </c>
    </row>
    <row r="1156" spans="1:8" ht="12.65" customHeight="1">
      <c r="A1156" s="1017" t="s">
        <v>2520</v>
      </c>
      <c r="B1156" s="1017" t="s">
        <v>2518</v>
      </c>
      <c r="C1156" s="1017" t="s">
        <v>2521</v>
      </c>
      <c r="D1156" s="1016">
        <v>0.42</v>
      </c>
      <c r="E1156" s="1015">
        <v>89.5</v>
      </c>
      <c r="F1156" s="1014">
        <v>6.9</v>
      </c>
      <c r="G1156" s="1013" t="s">
        <v>6080</v>
      </c>
      <c r="H1156" s="1012">
        <v>100.5</v>
      </c>
    </row>
    <row r="1157" spans="1:8" ht="12.65" customHeight="1">
      <c r="A1157" s="1017" t="s">
        <v>2516</v>
      </c>
      <c r="B1157" s="1017" t="s">
        <v>2518</v>
      </c>
      <c r="C1157" s="1017" t="s">
        <v>2517</v>
      </c>
      <c r="D1157" s="1016">
        <v>0.25</v>
      </c>
      <c r="E1157" s="1015">
        <v>76.099999999999994</v>
      </c>
      <c r="F1157" s="1014">
        <v>7.2</v>
      </c>
      <c r="G1157" s="1013" t="s">
        <v>6080</v>
      </c>
      <c r="H1157" s="1012">
        <v>96.3</v>
      </c>
    </row>
    <row r="1158" spans="1:8" ht="12.65" customHeight="1">
      <c r="A1158" s="1017" t="s">
        <v>2509</v>
      </c>
      <c r="B1158" s="1017" t="s">
        <v>2391</v>
      </c>
      <c r="C1158" s="1017" t="s">
        <v>2510</v>
      </c>
      <c r="D1158" s="1016">
        <v>0.76</v>
      </c>
      <c r="E1158" s="1015">
        <v>97.6</v>
      </c>
      <c r="F1158" s="1014">
        <v>4.9000000000000004</v>
      </c>
      <c r="G1158" s="1013">
        <v>62.6</v>
      </c>
      <c r="H1158" s="1012">
        <v>100.1</v>
      </c>
    </row>
    <row r="1159" spans="1:8" ht="12.65" customHeight="1">
      <c r="A1159" s="1017" t="s">
        <v>2506</v>
      </c>
      <c r="B1159" s="1017" t="s">
        <v>2391</v>
      </c>
      <c r="C1159" s="1017" t="s">
        <v>2507</v>
      </c>
      <c r="D1159" s="1016">
        <v>0.85</v>
      </c>
      <c r="E1159" s="1015">
        <v>87.7</v>
      </c>
      <c r="F1159" s="1014">
        <v>3.5</v>
      </c>
      <c r="G1159" s="1013">
        <v>9.6</v>
      </c>
      <c r="H1159" s="1012">
        <v>101</v>
      </c>
    </row>
    <row r="1160" spans="1:8" ht="12.65" customHeight="1">
      <c r="A1160" s="1017" t="s">
        <v>2503</v>
      </c>
      <c r="B1160" s="1017" t="s">
        <v>2391</v>
      </c>
      <c r="C1160" s="1017" t="s">
        <v>2504</v>
      </c>
      <c r="D1160" s="1016">
        <v>0.81</v>
      </c>
      <c r="E1160" s="1015">
        <v>97.4</v>
      </c>
      <c r="F1160" s="1014">
        <v>8.1</v>
      </c>
      <c r="G1160" s="1013">
        <v>2.8</v>
      </c>
      <c r="H1160" s="1012">
        <v>97.8</v>
      </c>
    </row>
    <row r="1161" spans="1:8" ht="12.65" customHeight="1">
      <c r="A1161" s="1017" t="s">
        <v>2500</v>
      </c>
      <c r="B1161" s="1017" t="s">
        <v>2391</v>
      </c>
      <c r="C1161" s="1017" t="s">
        <v>2501</v>
      </c>
      <c r="D1161" s="1016">
        <v>0.72</v>
      </c>
      <c r="E1161" s="1015">
        <v>92.5</v>
      </c>
      <c r="F1161" s="1014">
        <v>4.3</v>
      </c>
      <c r="G1161" s="1013">
        <v>21.5</v>
      </c>
      <c r="H1161" s="1012">
        <v>100.3</v>
      </c>
    </row>
    <row r="1162" spans="1:8" ht="12.65" customHeight="1">
      <c r="A1162" s="1017" t="s">
        <v>2497</v>
      </c>
      <c r="B1162" s="1017" t="s">
        <v>2391</v>
      </c>
      <c r="C1162" s="1017" t="s">
        <v>2498</v>
      </c>
      <c r="D1162" s="1016">
        <v>0.93</v>
      </c>
      <c r="E1162" s="1015">
        <v>98.3</v>
      </c>
      <c r="F1162" s="1014">
        <v>4.7</v>
      </c>
      <c r="G1162" s="1013" t="s">
        <v>6080</v>
      </c>
      <c r="H1162" s="1012">
        <v>101.5</v>
      </c>
    </row>
    <row r="1163" spans="1:8" ht="12.65" customHeight="1">
      <c r="A1163" s="1017" t="s">
        <v>2494</v>
      </c>
      <c r="B1163" s="1017" t="s">
        <v>2391</v>
      </c>
      <c r="C1163" s="1017" t="s">
        <v>2495</v>
      </c>
      <c r="D1163" s="1016">
        <v>0.47</v>
      </c>
      <c r="E1163" s="1015">
        <v>96.1</v>
      </c>
      <c r="F1163" s="1014">
        <v>12.8</v>
      </c>
      <c r="G1163" s="1013">
        <v>41.3</v>
      </c>
      <c r="H1163" s="1012">
        <v>99.2</v>
      </c>
    </row>
    <row r="1164" spans="1:8" ht="12.65" customHeight="1">
      <c r="A1164" s="1017" t="s">
        <v>2491</v>
      </c>
      <c r="B1164" s="1017" t="s">
        <v>2391</v>
      </c>
      <c r="C1164" s="1017" t="s">
        <v>2492</v>
      </c>
      <c r="D1164" s="1016">
        <v>1.05</v>
      </c>
      <c r="E1164" s="1015">
        <v>94.6</v>
      </c>
      <c r="F1164" s="1014">
        <v>7.7</v>
      </c>
      <c r="G1164" s="1013">
        <v>48.6</v>
      </c>
      <c r="H1164" s="1012">
        <v>101.5</v>
      </c>
    </row>
    <row r="1165" spans="1:8" ht="12.65" customHeight="1">
      <c r="A1165" s="1017" t="s">
        <v>2488</v>
      </c>
      <c r="B1165" s="1017" t="s">
        <v>2391</v>
      </c>
      <c r="C1165" s="1017" t="s">
        <v>2489</v>
      </c>
      <c r="D1165" s="1016">
        <v>0.77</v>
      </c>
      <c r="E1165" s="1015">
        <v>92.5</v>
      </c>
      <c r="F1165" s="1014">
        <v>4.5999999999999996</v>
      </c>
      <c r="G1165" s="1013" t="s">
        <v>6080</v>
      </c>
      <c r="H1165" s="1012">
        <v>99.5</v>
      </c>
    </row>
    <row r="1166" spans="1:8" ht="12.65" customHeight="1">
      <c r="A1166" s="1017" t="s">
        <v>2485</v>
      </c>
      <c r="B1166" s="1017" t="s">
        <v>2391</v>
      </c>
      <c r="C1166" s="1017" t="s">
        <v>2486</v>
      </c>
      <c r="D1166" s="1016">
        <v>0.52</v>
      </c>
      <c r="E1166" s="1015">
        <v>98.9</v>
      </c>
      <c r="F1166" s="1014">
        <v>11.1</v>
      </c>
      <c r="G1166" s="1013">
        <v>62.2</v>
      </c>
      <c r="H1166" s="1012">
        <v>98.6</v>
      </c>
    </row>
    <row r="1167" spans="1:8" ht="12.65" customHeight="1">
      <c r="A1167" s="1017" t="s">
        <v>2482</v>
      </c>
      <c r="B1167" s="1017" t="s">
        <v>2391</v>
      </c>
      <c r="C1167" s="1017" t="s">
        <v>2483</v>
      </c>
      <c r="D1167" s="1016">
        <v>0.38</v>
      </c>
      <c r="E1167" s="1015">
        <v>93.8</v>
      </c>
      <c r="F1167" s="1014">
        <v>14.1</v>
      </c>
      <c r="G1167" s="1013">
        <v>27.2</v>
      </c>
      <c r="H1167" s="1012">
        <v>95.6</v>
      </c>
    </row>
    <row r="1168" spans="1:8" ht="12.65" customHeight="1">
      <c r="A1168" s="1017" t="s">
        <v>2479</v>
      </c>
      <c r="B1168" s="1017" t="s">
        <v>2391</v>
      </c>
      <c r="C1168" s="1017" t="s">
        <v>2480</v>
      </c>
      <c r="D1168" s="1016">
        <v>0.86</v>
      </c>
      <c r="E1168" s="1015">
        <v>93.2</v>
      </c>
      <c r="F1168" s="1014">
        <v>2</v>
      </c>
      <c r="G1168" s="1013" t="s">
        <v>6080</v>
      </c>
      <c r="H1168" s="1012">
        <v>100.6</v>
      </c>
    </row>
    <row r="1169" spans="1:8" ht="12.65" customHeight="1">
      <c r="A1169" s="1017" t="s">
        <v>2476</v>
      </c>
      <c r="B1169" s="1017" t="s">
        <v>2391</v>
      </c>
      <c r="C1169" s="1017" t="s">
        <v>2477</v>
      </c>
      <c r="D1169" s="1016">
        <v>0.64</v>
      </c>
      <c r="E1169" s="1015">
        <v>92.5</v>
      </c>
      <c r="F1169" s="1014">
        <v>9.5</v>
      </c>
      <c r="G1169" s="1013">
        <v>60</v>
      </c>
      <c r="H1169" s="1012">
        <v>97.7</v>
      </c>
    </row>
    <row r="1170" spans="1:8" ht="12.65" customHeight="1">
      <c r="A1170" s="1017" t="s">
        <v>2473</v>
      </c>
      <c r="B1170" s="1017" t="s">
        <v>2391</v>
      </c>
      <c r="C1170" s="1017" t="s">
        <v>2474</v>
      </c>
      <c r="D1170" s="1016">
        <v>0.44</v>
      </c>
      <c r="E1170" s="1015">
        <v>90.8</v>
      </c>
      <c r="F1170" s="1014">
        <v>10.4</v>
      </c>
      <c r="G1170" s="1013" t="s">
        <v>6080</v>
      </c>
      <c r="H1170" s="1012">
        <v>99.3</v>
      </c>
    </row>
    <row r="1171" spans="1:8" ht="12.65" customHeight="1">
      <c r="A1171" s="1017" t="s">
        <v>2470</v>
      </c>
      <c r="B1171" s="1017" t="s">
        <v>2391</v>
      </c>
      <c r="C1171" s="1017" t="s">
        <v>2471</v>
      </c>
      <c r="D1171" s="1016">
        <v>0.82</v>
      </c>
      <c r="E1171" s="1015">
        <v>95.8</v>
      </c>
      <c r="F1171" s="1014">
        <v>5</v>
      </c>
      <c r="G1171" s="1013">
        <v>1.9</v>
      </c>
      <c r="H1171" s="1012">
        <v>99.7</v>
      </c>
    </row>
    <row r="1172" spans="1:8" ht="12.65" customHeight="1">
      <c r="A1172" s="1017" t="s">
        <v>2467</v>
      </c>
      <c r="B1172" s="1017" t="s">
        <v>2391</v>
      </c>
      <c r="C1172" s="1017" t="s">
        <v>2468</v>
      </c>
      <c r="D1172" s="1016">
        <v>0.66</v>
      </c>
      <c r="E1172" s="1015">
        <v>93.5</v>
      </c>
      <c r="F1172" s="1014">
        <v>6.4</v>
      </c>
      <c r="G1172" s="1013">
        <v>17.100000000000001</v>
      </c>
      <c r="H1172" s="1012">
        <v>100.9</v>
      </c>
    </row>
    <row r="1173" spans="1:8" ht="12.65" customHeight="1">
      <c r="A1173" s="1017" t="s">
        <v>2464</v>
      </c>
      <c r="B1173" s="1017" t="s">
        <v>2391</v>
      </c>
      <c r="C1173" s="1017" t="s">
        <v>2465</v>
      </c>
      <c r="D1173" s="1016">
        <v>0.8</v>
      </c>
      <c r="E1173" s="1015">
        <v>91.3</v>
      </c>
      <c r="F1173" s="1014">
        <v>5.2</v>
      </c>
      <c r="G1173" s="1013">
        <v>51.6</v>
      </c>
      <c r="H1173" s="1012">
        <v>99.4</v>
      </c>
    </row>
    <row r="1174" spans="1:8" ht="12.65" customHeight="1">
      <c r="A1174" s="1017" t="s">
        <v>2461</v>
      </c>
      <c r="B1174" s="1017" t="s">
        <v>2391</v>
      </c>
      <c r="C1174" s="1017" t="s">
        <v>2462</v>
      </c>
      <c r="D1174" s="1016">
        <v>0.65</v>
      </c>
      <c r="E1174" s="1015">
        <v>100</v>
      </c>
      <c r="F1174" s="1014">
        <v>7.9</v>
      </c>
      <c r="G1174" s="1013">
        <v>73.400000000000006</v>
      </c>
      <c r="H1174" s="1012">
        <v>98.7</v>
      </c>
    </row>
    <row r="1175" spans="1:8" ht="12.65" customHeight="1">
      <c r="A1175" s="1017" t="s">
        <v>2458</v>
      </c>
      <c r="B1175" s="1017" t="s">
        <v>2391</v>
      </c>
      <c r="C1175" s="1017" t="s">
        <v>2459</v>
      </c>
      <c r="D1175" s="1016">
        <v>0.7</v>
      </c>
      <c r="E1175" s="1015">
        <v>90.6</v>
      </c>
      <c r="F1175" s="1014">
        <v>8.1</v>
      </c>
      <c r="G1175" s="1013" t="s">
        <v>6080</v>
      </c>
      <c r="H1175" s="1012">
        <v>100.1</v>
      </c>
    </row>
    <row r="1176" spans="1:8" ht="12.65" customHeight="1">
      <c r="A1176" s="1017" t="s">
        <v>2455</v>
      </c>
      <c r="B1176" s="1017" t="s">
        <v>2391</v>
      </c>
      <c r="C1176" s="1017" t="s">
        <v>2456</v>
      </c>
      <c r="D1176" s="1016">
        <v>0.83</v>
      </c>
      <c r="E1176" s="1015">
        <v>95.4</v>
      </c>
      <c r="F1176" s="1014">
        <v>5.0999999999999996</v>
      </c>
      <c r="G1176" s="1013" t="s">
        <v>6080</v>
      </c>
      <c r="H1176" s="1012">
        <v>97.9</v>
      </c>
    </row>
    <row r="1177" spans="1:8" ht="12.65" customHeight="1">
      <c r="A1177" s="1017" t="s">
        <v>2452</v>
      </c>
      <c r="B1177" s="1017" t="s">
        <v>2391</v>
      </c>
      <c r="C1177" s="1017" t="s">
        <v>2453</v>
      </c>
      <c r="D1177" s="1016">
        <v>0.63</v>
      </c>
      <c r="E1177" s="1015">
        <v>96.8</v>
      </c>
      <c r="F1177" s="1014">
        <v>10.1</v>
      </c>
      <c r="G1177" s="1013" t="s">
        <v>6080</v>
      </c>
      <c r="H1177" s="1012">
        <v>99.9</v>
      </c>
    </row>
    <row r="1178" spans="1:8" ht="12.65" customHeight="1">
      <c r="A1178" s="1017" t="s">
        <v>2449</v>
      </c>
      <c r="B1178" s="1017" t="s">
        <v>2391</v>
      </c>
      <c r="C1178" s="1017" t="s">
        <v>6084</v>
      </c>
      <c r="D1178" s="1016">
        <v>0.41</v>
      </c>
      <c r="E1178" s="1015">
        <v>93.1</v>
      </c>
      <c r="F1178" s="1014">
        <v>15.4</v>
      </c>
      <c r="G1178" s="1013">
        <v>76.099999999999994</v>
      </c>
      <c r="H1178" s="1012">
        <v>98.1</v>
      </c>
    </row>
    <row r="1179" spans="1:8" ht="12.65" customHeight="1">
      <c r="A1179" s="1017" t="s">
        <v>2446</v>
      </c>
      <c r="B1179" s="1017" t="s">
        <v>2391</v>
      </c>
      <c r="C1179" s="1017" t="s">
        <v>2447</v>
      </c>
      <c r="D1179" s="1016">
        <v>0.24</v>
      </c>
      <c r="E1179" s="1015">
        <v>97.4</v>
      </c>
      <c r="F1179" s="1014">
        <v>8.8000000000000007</v>
      </c>
      <c r="G1179" s="1013" t="s">
        <v>6080</v>
      </c>
      <c r="H1179" s="1012">
        <v>96.4</v>
      </c>
    </row>
    <row r="1180" spans="1:8" ht="12.65" customHeight="1">
      <c r="A1180" s="1017" t="s">
        <v>2443</v>
      </c>
      <c r="B1180" s="1017" t="s">
        <v>2391</v>
      </c>
      <c r="C1180" s="1017" t="s">
        <v>2444</v>
      </c>
      <c r="D1180" s="1016">
        <v>0.43</v>
      </c>
      <c r="E1180" s="1015">
        <v>90.9</v>
      </c>
      <c r="F1180" s="1014">
        <v>6.8</v>
      </c>
      <c r="G1180" s="1013" t="s">
        <v>6080</v>
      </c>
      <c r="H1180" s="1012">
        <v>96.4</v>
      </c>
    </row>
    <row r="1181" spans="1:8" ht="12.65" customHeight="1">
      <c r="A1181" s="1017" t="s">
        <v>2440</v>
      </c>
      <c r="B1181" s="1017" t="s">
        <v>2391</v>
      </c>
      <c r="C1181" s="1017" t="s">
        <v>2441</v>
      </c>
      <c r="D1181" s="1016">
        <v>0.39</v>
      </c>
      <c r="E1181" s="1015">
        <v>92.2</v>
      </c>
      <c r="F1181" s="1014">
        <v>13</v>
      </c>
      <c r="G1181" s="1013">
        <v>48.6</v>
      </c>
      <c r="H1181" s="1012">
        <v>98</v>
      </c>
    </row>
    <row r="1182" spans="1:8" ht="12.65" customHeight="1">
      <c r="A1182" s="1017" t="s">
        <v>2437</v>
      </c>
      <c r="B1182" s="1017" t="s">
        <v>2391</v>
      </c>
      <c r="C1182" s="1017" t="s">
        <v>2438</v>
      </c>
      <c r="D1182" s="1016">
        <v>0.39</v>
      </c>
      <c r="E1182" s="1015">
        <v>89.9</v>
      </c>
      <c r="F1182" s="1014">
        <v>10.7</v>
      </c>
      <c r="G1182" s="1013" t="s">
        <v>6080</v>
      </c>
      <c r="H1182" s="1012">
        <v>96.5</v>
      </c>
    </row>
    <row r="1183" spans="1:8" ht="12.65" customHeight="1">
      <c r="A1183" s="1017" t="s">
        <v>2434</v>
      </c>
      <c r="B1183" s="1017" t="s">
        <v>2391</v>
      </c>
      <c r="C1183" s="1017" t="s">
        <v>2435</v>
      </c>
      <c r="D1183" s="1016">
        <v>0.36</v>
      </c>
      <c r="E1183" s="1015">
        <v>93.8</v>
      </c>
      <c r="F1183" s="1014">
        <v>13.6</v>
      </c>
      <c r="G1183" s="1013">
        <v>55.6</v>
      </c>
      <c r="H1183" s="1012">
        <v>97.5</v>
      </c>
    </row>
    <row r="1184" spans="1:8" ht="12.65" customHeight="1">
      <c r="A1184" s="1017" t="s">
        <v>2431</v>
      </c>
      <c r="B1184" s="1017" t="s">
        <v>2391</v>
      </c>
      <c r="C1184" s="1017" t="s">
        <v>2432</v>
      </c>
      <c r="D1184" s="1016">
        <v>0.34</v>
      </c>
      <c r="E1184" s="1015">
        <v>94.1</v>
      </c>
      <c r="F1184" s="1014">
        <v>7</v>
      </c>
      <c r="G1184" s="1013">
        <v>54.8</v>
      </c>
      <c r="H1184" s="1012">
        <v>97.2</v>
      </c>
    </row>
    <row r="1185" spans="1:8" ht="12.65" customHeight="1">
      <c r="A1185" s="1017" t="s">
        <v>2428</v>
      </c>
      <c r="B1185" s="1017" t="s">
        <v>2391</v>
      </c>
      <c r="C1185" s="1017" t="s">
        <v>2429</v>
      </c>
      <c r="D1185" s="1016">
        <v>0.63</v>
      </c>
      <c r="E1185" s="1015">
        <v>91.1</v>
      </c>
      <c r="F1185" s="1014">
        <v>6.6</v>
      </c>
      <c r="G1185" s="1013" t="s">
        <v>6080</v>
      </c>
      <c r="H1185" s="1012">
        <v>98.2</v>
      </c>
    </row>
    <row r="1186" spans="1:8" ht="12.65" customHeight="1">
      <c r="A1186" s="1017" t="s">
        <v>2425</v>
      </c>
      <c r="B1186" s="1017" t="s">
        <v>2391</v>
      </c>
      <c r="C1186" s="1017" t="s">
        <v>2426</v>
      </c>
      <c r="D1186" s="1016">
        <v>0.52</v>
      </c>
      <c r="E1186" s="1015">
        <v>87.2</v>
      </c>
      <c r="F1186" s="1014">
        <v>7.2</v>
      </c>
      <c r="G1186" s="1013" t="s">
        <v>6080</v>
      </c>
      <c r="H1186" s="1012">
        <v>99</v>
      </c>
    </row>
    <row r="1187" spans="1:8" ht="12.65" customHeight="1">
      <c r="A1187" s="1017" t="s">
        <v>2422</v>
      </c>
      <c r="B1187" s="1017" t="s">
        <v>2391</v>
      </c>
      <c r="C1187" s="1017" t="s">
        <v>2423</v>
      </c>
      <c r="D1187" s="1016">
        <v>0.6</v>
      </c>
      <c r="E1187" s="1015">
        <v>89.1</v>
      </c>
      <c r="F1187" s="1014">
        <v>2.8</v>
      </c>
      <c r="G1187" s="1013" t="s">
        <v>6080</v>
      </c>
      <c r="H1187" s="1012">
        <v>99.2</v>
      </c>
    </row>
    <row r="1188" spans="1:8" ht="12.65" customHeight="1">
      <c r="A1188" s="1017" t="s">
        <v>2419</v>
      </c>
      <c r="B1188" s="1017" t="s">
        <v>2391</v>
      </c>
      <c r="C1188" s="1017" t="s">
        <v>2420</v>
      </c>
      <c r="D1188" s="1016">
        <v>0.34</v>
      </c>
      <c r="E1188" s="1015">
        <v>90.2</v>
      </c>
      <c r="F1188" s="1014">
        <v>11.9</v>
      </c>
      <c r="G1188" s="1013" t="s">
        <v>6080</v>
      </c>
      <c r="H1188" s="1012">
        <v>97.6</v>
      </c>
    </row>
    <row r="1189" spans="1:8" ht="12.65" customHeight="1">
      <c r="A1189" s="1017" t="s">
        <v>2416</v>
      </c>
      <c r="B1189" s="1017" t="s">
        <v>2391</v>
      </c>
      <c r="C1189" s="1017" t="s">
        <v>2417</v>
      </c>
      <c r="D1189" s="1016">
        <v>0.7</v>
      </c>
      <c r="E1189" s="1015">
        <v>85.5</v>
      </c>
      <c r="F1189" s="1014">
        <v>5.7</v>
      </c>
      <c r="G1189" s="1013" t="s">
        <v>6080</v>
      </c>
      <c r="H1189" s="1012">
        <v>97.6</v>
      </c>
    </row>
    <row r="1190" spans="1:8" ht="12.65" customHeight="1">
      <c r="A1190" s="1017" t="s">
        <v>2414</v>
      </c>
      <c r="B1190" s="1017" t="s">
        <v>2391</v>
      </c>
      <c r="C1190" s="1017" t="s">
        <v>2415</v>
      </c>
      <c r="D1190" s="1016">
        <v>0.82</v>
      </c>
      <c r="E1190" s="1015">
        <v>93.9</v>
      </c>
      <c r="F1190" s="1014">
        <v>2.2000000000000002</v>
      </c>
      <c r="G1190" s="1013" t="s">
        <v>6080</v>
      </c>
      <c r="H1190" s="1012">
        <v>97.1</v>
      </c>
    </row>
    <row r="1191" spans="1:8" ht="12.65" customHeight="1">
      <c r="A1191" s="1017" t="s">
        <v>2411</v>
      </c>
      <c r="B1191" s="1017" t="s">
        <v>2391</v>
      </c>
      <c r="C1191" s="1017" t="s">
        <v>2412</v>
      </c>
      <c r="D1191" s="1016">
        <v>0.36</v>
      </c>
      <c r="E1191" s="1015">
        <v>87.5</v>
      </c>
      <c r="F1191" s="1014">
        <v>9.5</v>
      </c>
      <c r="G1191" s="1013">
        <v>69.5</v>
      </c>
      <c r="H1191" s="1012">
        <v>96.4</v>
      </c>
    </row>
    <row r="1192" spans="1:8" ht="12.65" customHeight="1">
      <c r="A1192" s="1017" t="s">
        <v>2408</v>
      </c>
      <c r="B1192" s="1017" t="s">
        <v>2391</v>
      </c>
      <c r="C1192" s="1017" t="s">
        <v>2409</v>
      </c>
      <c r="D1192" s="1016">
        <v>0.68</v>
      </c>
      <c r="E1192" s="1015">
        <v>96.3</v>
      </c>
      <c r="F1192" s="1014">
        <v>12.3</v>
      </c>
      <c r="G1192" s="1013">
        <v>67.400000000000006</v>
      </c>
      <c r="H1192" s="1012">
        <v>98.6</v>
      </c>
    </row>
    <row r="1193" spans="1:8" ht="12.65" customHeight="1">
      <c r="A1193" s="1017" t="s">
        <v>2405</v>
      </c>
      <c r="B1193" s="1017" t="s">
        <v>2391</v>
      </c>
      <c r="C1193" s="1017" t="s">
        <v>2406</v>
      </c>
      <c r="D1193" s="1016">
        <v>0.35</v>
      </c>
      <c r="E1193" s="1015">
        <v>93.1</v>
      </c>
      <c r="F1193" s="1014">
        <v>11.9</v>
      </c>
      <c r="G1193" s="1013">
        <v>51.7</v>
      </c>
      <c r="H1193" s="1012">
        <v>97.8</v>
      </c>
    </row>
    <row r="1194" spans="1:8" ht="12.65" customHeight="1">
      <c r="A1194" s="1017" t="s">
        <v>2402</v>
      </c>
      <c r="B1194" s="1017" t="s">
        <v>2391</v>
      </c>
      <c r="C1194" s="1017" t="s">
        <v>2403</v>
      </c>
      <c r="D1194" s="1016">
        <v>0.62</v>
      </c>
      <c r="E1194" s="1015">
        <v>89.8</v>
      </c>
      <c r="F1194" s="1014">
        <v>11.3</v>
      </c>
      <c r="G1194" s="1013">
        <v>20.100000000000001</v>
      </c>
      <c r="H1194" s="1012">
        <v>97.2</v>
      </c>
    </row>
    <row r="1195" spans="1:8" ht="12.65" customHeight="1">
      <c r="A1195" s="1017" t="s">
        <v>2399</v>
      </c>
      <c r="B1195" s="1017" t="s">
        <v>2391</v>
      </c>
      <c r="C1195" s="1017" t="s">
        <v>2400</v>
      </c>
      <c r="D1195" s="1016">
        <v>0.5</v>
      </c>
      <c r="E1195" s="1015">
        <v>91.4</v>
      </c>
      <c r="F1195" s="1014">
        <v>14.2</v>
      </c>
      <c r="G1195" s="1013">
        <v>108.2</v>
      </c>
      <c r="H1195" s="1012">
        <v>96.1</v>
      </c>
    </row>
    <row r="1196" spans="1:8" ht="12.65" customHeight="1">
      <c r="A1196" s="1017" t="s">
        <v>2396</v>
      </c>
      <c r="B1196" s="1017" t="s">
        <v>2391</v>
      </c>
      <c r="C1196" s="1017" t="s">
        <v>2397</v>
      </c>
      <c r="D1196" s="1016">
        <v>0.28000000000000003</v>
      </c>
      <c r="E1196" s="1015">
        <v>83.4</v>
      </c>
      <c r="F1196" s="1014">
        <v>1.7</v>
      </c>
      <c r="G1196" s="1013" t="s">
        <v>6080</v>
      </c>
      <c r="H1196" s="1012">
        <v>95.8</v>
      </c>
    </row>
    <row r="1197" spans="1:8" ht="12.65" customHeight="1">
      <c r="A1197" s="1017" t="s">
        <v>2393</v>
      </c>
      <c r="B1197" s="1017" t="s">
        <v>2391</v>
      </c>
      <c r="C1197" s="1017" t="s">
        <v>2394</v>
      </c>
      <c r="D1197" s="1016">
        <v>0.23</v>
      </c>
      <c r="E1197" s="1015">
        <v>92.7</v>
      </c>
      <c r="F1197" s="1014">
        <v>10.199999999999999</v>
      </c>
      <c r="G1197" s="1013">
        <v>24.1</v>
      </c>
      <c r="H1197" s="1012">
        <v>94.1</v>
      </c>
    </row>
    <row r="1198" spans="1:8" ht="12.65" customHeight="1">
      <c r="A1198" s="1017" t="s">
        <v>2389</v>
      </c>
      <c r="B1198" s="1017" t="s">
        <v>2391</v>
      </c>
      <c r="C1198" s="1017" t="s">
        <v>2390</v>
      </c>
      <c r="D1198" s="1016">
        <v>0.24</v>
      </c>
      <c r="E1198" s="1015">
        <v>90.3</v>
      </c>
      <c r="F1198" s="1014">
        <v>11.2</v>
      </c>
      <c r="G1198" s="1013">
        <v>22.6</v>
      </c>
      <c r="H1198" s="1012">
        <v>96.4</v>
      </c>
    </row>
    <row r="1199" spans="1:8" ht="12.65" customHeight="1">
      <c r="A1199" s="1017" t="s">
        <v>2382</v>
      </c>
      <c r="B1199" s="1017" t="s">
        <v>2269</v>
      </c>
      <c r="C1199" s="1017" t="s">
        <v>2383</v>
      </c>
      <c r="D1199" s="1016">
        <v>0.7</v>
      </c>
      <c r="E1199" s="1015">
        <v>96.9</v>
      </c>
      <c r="F1199" s="1014">
        <v>9.8000000000000007</v>
      </c>
      <c r="G1199" s="1013">
        <v>81.7</v>
      </c>
      <c r="H1199" s="1012">
        <v>98.9</v>
      </c>
    </row>
    <row r="1200" spans="1:8" ht="12.65" customHeight="1">
      <c r="A1200" s="1017" t="s">
        <v>2379</v>
      </c>
      <c r="B1200" s="1017" t="s">
        <v>2269</v>
      </c>
      <c r="C1200" s="1017" t="s">
        <v>2380</v>
      </c>
      <c r="D1200" s="1016">
        <v>0.46</v>
      </c>
      <c r="E1200" s="1015">
        <v>98.2</v>
      </c>
      <c r="F1200" s="1014">
        <v>5.7</v>
      </c>
      <c r="G1200" s="1013">
        <v>25.4</v>
      </c>
      <c r="H1200" s="1012">
        <v>97.1</v>
      </c>
    </row>
    <row r="1201" spans="1:8" ht="12.65" customHeight="1">
      <c r="A1201" s="1017" t="s">
        <v>2376</v>
      </c>
      <c r="B1201" s="1017" t="s">
        <v>2269</v>
      </c>
      <c r="C1201" s="1017" t="s">
        <v>2377</v>
      </c>
      <c r="D1201" s="1016">
        <v>0.64</v>
      </c>
      <c r="E1201" s="1015">
        <v>92</v>
      </c>
      <c r="F1201" s="1014">
        <v>6.1</v>
      </c>
      <c r="G1201" s="1013">
        <v>2.6</v>
      </c>
      <c r="H1201" s="1012">
        <v>98.5</v>
      </c>
    </row>
    <row r="1202" spans="1:8" ht="12.65" customHeight="1">
      <c r="A1202" s="1017" t="s">
        <v>2373</v>
      </c>
      <c r="B1202" s="1017" t="s">
        <v>2269</v>
      </c>
      <c r="C1202" s="1017" t="s">
        <v>2374</v>
      </c>
      <c r="D1202" s="1016">
        <v>0.56999999999999995</v>
      </c>
      <c r="E1202" s="1015">
        <v>96.8</v>
      </c>
      <c r="F1202" s="1014">
        <v>9.1999999999999993</v>
      </c>
      <c r="G1202" s="1013">
        <v>24.8</v>
      </c>
      <c r="H1202" s="1012">
        <v>101.8</v>
      </c>
    </row>
    <row r="1203" spans="1:8" ht="12.65" customHeight="1">
      <c r="A1203" s="1017" t="s">
        <v>2370</v>
      </c>
      <c r="B1203" s="1017" t="s">
        <v>2269</v>
      </c>
      <c r="C1203" s="1017" t="s">
        <v>2371</v>
      </c>
      <c r="D1203" s="1016">
        <v>0.7</v>
      </c>
      <c r="E1203" s="1015">
        <v>92.1</v>
      </c>
      <c r="F1203" s="1014">
        <v>3.8</v>
      </c>
      <c r="G1203" s="1013">
        <v>22.9</v>
      </c>
      <c r="H1203" s="1012">
        <v>98.1</v>
      </c>
    </row>
    <row r="1204" spans="1:8" ht="12.65" customHeight="1">
      <c r="A1204" s="1017" t="s">
        <v>2367</v>
      </c>
      <c r="B1204" s="1017" t="s">
        <v>2269</v>
      </c>
      <c r="C1204" s="1017" t="s">
        <v>2368</v>
      </c>
      <c r="D1204" s="1016">
        <v>0.51</v>
      </c>
      <c r="E1204" s="1015">
        <v>97.4</v>
      </c>
      <c r="F1204" s="1014">
        <v>6.8</v>
      </c>
      <c r="G1204" s="1013">
        <v>58.1</v>
      </c>
      <c r="H1204" s="1012">
        <v>100</v>
      </c>
    </row>
    <row r="1205" spans="1:8" ht="12.65" customHeight="1">
      <c r="A1205" s="1017" t="s">
        <v>2364</v>
      </c>
      <c r="B1205" s="1017" t="s">
        <v>2269</v>
      </c>
      <c r="C1205" s="1017" t="s">
        <v>2365</v>
      </c>
      <c r="D1205" s="1016">
        <v>0.33</v>
      </c>
      <c r="E1205" s="1015">
        <v>93.8</v>
      </c>
      <c r="F1205" s="1014">
        <v>8.8000000000000007</v>
      </c>
      <c r="G1205" s="1013">
        <v>84.8</v>
      </c>
      <c r="H1205" s="1012">
        <v>96.7</v>
      </c>
    </row>
    <row r="1206" spans="1:8" ht="12.65" customHeight="1">
      <c r="A1206" s="1017" t="s">
        <v>2361</v>
      </c>
      <c r="B1206" s="1017" t="s">
        <v>2269</v>
      </c>
      <c r="C1206" s="1017" t="s">
        <v>2362</v>
      </c>
      <c r="D1206" s="1016">
        <v>0.38</v>
      </c>
      <c r="E1206" s="1015">
        <v>98.8</v>
      </c>
      <c r="F1206" s="1014">
        <v>11.1</v>
      </c>
      <c r="G1206" s="1013">
        <v>74.2</v>
      </c>
      <c r="H1206" s="1012">
        <v>98.9</v>
      </c>
    </row>
    <row r="1207" spans="1:8" ht="12.65" customHeight="1">
      <c r="A1207" s="1017" t="s">
        <v>2358</v>
      </c>
      <c r="B1207" s="1017" t="s">
        <v>2269</v>
      </c>
      <c r="C1207" s="1017" t="s">
        <v>2359</v>
      </c>
      <c r="D1207" s="1016">
        <v>0.74</v>
      </c>
      <c r="E1207" s="1015">
        <v>90.2</v>
      </c>
      <c r="F1207" s="1014">
        <v>1.9</v>
      </c>
      <c r="G1207" s="1013" t="s">
        <v>6080</v>
      </c>
      <c r="H1207" s="1012">
        <v>100.5</v>
      </c>
    </row>
    <row r="1208" spans="1:8" ht="12.65" customHeight="1">
      <c r="A1208" s="1017" t="s">
        <v>2355</v>
      </c>
      <c r="B1208" s="1017" t="s">
        <v>2269</v>
      </c>
      <c r="C1208" s="1017" t="s">
        <v>2356</v>
      </c>
      <c r="D1208" s="1016">
        <v>0.65</v>
      </c>
      <c r="E1208" s="1015">
        <v>92.4</v>
      </c>
      <c r="F1208" s="1014">
        <v>11.1</v>
      </c>
      <c r="G1208" s="1013">
        <v>51.5</v>
      </c>
      <c r="H1208" s="1012">
        <v>99.7</v>
      </c>
    </row>
    <row r="1209" spans="1:8" ht="12.65" customHeight="1">
      <c r="A1209" s="1017" t="s">
        <v>2352</v>
      </c>
      <c r="B1209" s="1017" t="s">
        <v>2269</v>
      </c>
      <c r="C1209" s="1017" t="s">
        <v>2353</v>
      </c>
      <c r="D1209" s="1016">
        <v>0.49</v>
      </c>
      <c r="E1209" s="1015">
        <v>92.3</v>
      </c>
      <c r="F1209" s="1014">
        <v>8.1999999999999993</v>
      </c>
      <c r="G1209" s="1013">
        <v>11.7</v>
      </c>
      <c r="H1209" s="1012">
        <v>94.6</v>
      </c>
    </row>
    <row r="1210" spans="1:8" ht="12.65" customHeight="1">
      <c r="A1210" s="1017" t="s">
        <v>2349</v>
      </c>
      <c r="B1210" s="1017" t="s">
        <v>2269</v>
      </c>
      <c r="C1210" s="1017" t="s">
        <v>2350</v>
      </c>
      <c r="D1210" s="1016">
        <v>0.28000000000000003</v>
      </c>
      <c r="E1210" s="1015">
        <v>95.4</v>
      </c>
      <c r="F1210" s="1014">
        <v>11</v>
      </c>
      <c r="G1210" s="1013">
        <v>79.900000000000006</v>
      </c>
      <c r="H1210" s="1012">
        <v>99.1</v>
      </c>
    </row>
    <row r="1211" spans="1:8" ht="12.65" customHeight="1">
      <c r="A1211" s="1017" t="s">
        <v>2346</v>
      </c>
      <c r="B1211" s="1017" t="s">
        <v>2269</v>
      </c>
      <c r="C1211" s="1017" t="s">
        <v>2347</v>
      </c>
      <c r="D1211" s="1016">
        <v>0.25</v>
      </c>
      <c r="E1211" s="1015">
        <v>82.3</v>
      </c>
      <c r="F1211" s="1014">
        <v>3.6</v>
      </c>
      <c r="G1211" s="1013" t="s">
        <v>6080</v>
      </c>
      <c r="H1211" s="1012">
        <v>98.9</v>
      </c>
    </row>
    <row r="1212" spans="1:8" ht="12.65" customHeight="1">
      <c r="A1212" s="1017" t="s">
        <v>2343</v>
      </c>
      <c r="B1212" s="1017" t="s">
        <v>2269</v>
      </c>
      <c r="C1212" s="1017" t="s">
        <v>2344</v>
      </c>
      <c r="D1212" s="1016">
        <v>0.41</v>
      </c>
      <c r="E1212" s="1015">
        <v>88.4</v>
      </c>
      <c r="F1212" s="1014">
        <v>12.7</v>
      </c>
      <c r="G1212" s="1013">
        <v>140.69999999999999</v>
      </c>
      <c r="H1212" s="1012">
        <v>92.1</v>
      </c>
    </row>
    <row r="1213" spans="1:8" ht="12.65" customHeight="1">
      <c r="A1213" s="1017" t="s">
        <v>2340</v>
      </c>
      <c r="B1213" s="1017" t="s">
        <v>2269</v>
      </c>
      <c r="C1213" s="1017" t="s">
        <v>2341</v>
      </c>
      <c r="D1213" s="1016">
        <v>0.44</v>
      </c>
      <c r="E1213" s="1015">
        <v>89.4</v>
      </c>
      <c r="F1213" s="1014">
        <v>3.9</v>
      </c>
      <c r="G1213" s="1013">
        <v>45.3</v>
      </c>
      <c r="H1213" s="1012">
        <v>97.1</v>
      </c>
    </row>
    <row r="1214" spans="1:8" ht="12.65" customHeight="1">
      <c r="A1214" s="1017" t="s">
        <v>2337</v>
      </c>
      <c r="B1214" s="1017" t="s">
        <v>2269</v>
      </c>
      <c r="C1214" s="1017" t="s">
        <v>2338</v>
      </c>
      <c r="D1214" s="1016">
        <v>0.5</v>
      </c>
      <c r="E1214" s="1015">
        <v>93.8</v>
      </c>
      <c r="F1214" s="1014">
        <v>8.1</v>
      </c>
      <c r="G1214" s="1013">
        <v>9.6</v>
      </c>
      <c r="H1214" s="1012">
        <v>98.4</v>
      </c>
    </row>
    <row r="1215" spans="1:8" ht="12.65" customHeight="1">
      <c r="A1215" s="1017" t="s">
        <v>2334</v>
      </c>
      <c r="B1215" s="1017" t="s">
        <v>2269</v>
      </c>
      <c r="C1215" s="1017" t="s">
        <v>2335</v>
      </c>
      <c r="D1215" s="1016">
        <v>0.34</v>
      </c>
      <c r="E1215" s="1015">
        <v>89.6</v>
      </c>
      <c r="F1215" s="1014">
        <v>6.2</v>
      </c>
      <c r="G1215" s="1013">
        <v>6</v>
      </c>
      <c r="H1215" s="1012">
        <v>96.9</v>
      </c>
    </row>
    <row r="1216" spans="1:8" ht="12.65" customHeight="1">
      <c r="A1216" s="1017" t="s">
        <v>2331</v>
      </c>
      <c r="B1216" s="1017" t="s">
        <v>2269</v>
      </c>
      <c r="C1216" s="1017" t="s">
        <v>2332</v>
      </c>
      <c r="D1216" s="1016">
        <v>0.43</v>
      </c>
      <c r="E1216" s="1015">
        <v>86.7</v>
      </c>
      <c r="F1216" s="1014">
        <v>7.2</v>
      </c>
      <c r="G1216" s="1013" t="s">
        <v>6080</v>
      </c>
      <c r="H1216" s="1012">
        <v>94.4</v>
      </c>
    </row>
    <row r="1217" spans="1:8" ht="12.65" customHeight="1">
      <c r="A1217" s="1017" t="s">
        <v>2328</v>
      </c>
      <c r="B1217" s="1017" t="s">
        <v>2269</v>
      </c>
      <c r="C1217" s="1017" t="s">
        <v>2329</v>
      </c>
      <c r="D1217" s="1016">
        <v>0.26</v>
      </c>
      <c r="E1217" s="1015">
        <v>88.8</v>
      </c>
      <c r="F1217" s="1014">
        <v>10</v>
      </c>
      <c r="G1217" s="1013" t="s">
        <v>6080</v>
      </c>
      <c r="H1217" s="1012">
        <v>91.5</v>
      </c>
    </row>
    <row r="1218" spans="1:8" ht="12.65" customHeight="1">
      <c r="A1218" s="1017" t="s">
        <v>2325</v>
      </c>
      <c r="B1218" s="1017" t="s">
        <v>2269</v>
      </c>
      <c r="C1218" s="1017" t="s">
        <v>2326</v>
      </c>
      <c r="D1218" s="1016">
        <v>0.55000000000000004</v>
      </c>
      <c r="E1218" s="1015">
        <v>98.6</v>
      </c>
      <c r="F1218" s="1014">
        <v>12</v>
      </c>
      <c r="G1218" s="1013">
        <v>27.7</v>
      </c>
      <c r="H1218" s="1012">
        <v>95.6</v>
      </c>
    </row>
    <row r="1219" spans="1:8" ht="12.65" customHeight="1">
      <c r="A1219" s="1017" t="s">
        <v>2322</v>
      </c>
      <c r="B1219" s="1017" t="s">
        <v>2269</v>
      </c>
      <c r="C1219" s="1017" t="s">
        <v>2323</v>
      </c>
      <c r="D1219" s="1016">
        <v>0.12</v>
      </c>
      <c r="E1219" s="1015">
        <v>83.6</v>
      </c>
      <c r="F1219" s="1014">
        <v>7.5</v>
      </c>
      <c r="G1219" s="1013" t="s">
        <v>6080</v>
      </c>
      <c r="H1219" s="1012">
        <v>95.2</v>
      </c>
    </row>
    <row r="1220" spans="1:8" ht="12.65" customHeight="1">
      <c r="A1220" s="1017" t="s">
        <v>2319</v>
      </c>
      <c r="B1220" s="1017" t="s">
        <v>2269</v>
      </c>
      <c r="C1220" s="1017" t="s">
        <v>2320</v>
      </c>
      <c r="D1220" s="1016">
        <v>0.13</v>
      </c>
      <c r="E1220" s="1015">
        <v>78.5</v>
      </c>
      <c r="F1220" s="1014">
        <v>4.3</v>
      </c>
      <c r="G1220" s="1013" t="s">
        <v>6080</v>
      </c>
      <c r="H1220" s="1012">
        <v>95.8</v>
      </c>
    </row>
    <row r="1221" spans="1:8" ht="12.65" customHeight="1">
      <c r="A1221" s="1017" t="s">
        <v>2316</v>
      </c>
      <c r="B1221" s="1017" t="s">
        <v>2269</v>
      </c>
      <c r="C1221" s="1017" t="s">
        <v>2317</v>
      </c>
      <c r="D1221" s="1016">
        <v>0.28999999999999998</v>
      </c>
      <c r="E1221" s="1015">
        <v>86.7</v>
      </c>
      <c r="F1221" s="1014">
        <v>8.3000000000000007</v>
      </c>
      <c r="G1221" s="1013">
        <v>30.6</v>
      </c>
      <c r="H1221" s="1012">
        <v>98.3</v>
      </c>
    </row>
    <row r="1222" spans="1:8" ht="12.65" customHeight="1">
      <c r="A1222" s="1017" t="s">
        <v>2313</v>
      </c>
      <c r="B1222" s="1017" t="s">
        <v>2269</v>
      </c>
      <c r="C1222" s="1017" t="s">
        <v>2314</v>
      </c>
      <c r="D1222" s="1016">
        <v>0.22</v>
      </c>
      <c r="E1222" s="1015">
        <v>94.6</v>
      </c>
      <c r="F1222" s="1014">
        <v>5.3</v>
      </c>
      <c r="G1222" s="1013">
        <v>55</v>
      </c>
      <c r="H1222" s="1012">
        <v>97.5</v>
      </c>
    </row>
    <row r="1223" spans="1:8" ht="12.65" customHeight="1">
      <c r="A1223" s="1017" t="s">
        <v>2310</v>
      </c>
      <c r="B1223" s="1017" t="s">
        <v>2269</v>
      </c>
      <c r="C1223" s="1017" t="s">
        <v>2311</v>
      </c>
      <c r="D1223" s="1016">
        <v>0.46</v>
      </c>
      <c r="E1223" s="1015">
        <v>96.6</v>
      </c>
      <c r="F1223" s="1014">
        <v>12.7</v>
      </c>
      <c r="G1223" s="1013">
        <v>80.900000000000006</v>
      </c>
      <c r="H1223" s="1012">
        <v>93.8</v>
      </c>
    </row>
    <row r="1224" spans="1:8" ht="12.65" customHeight="1">
      <c r="A1224" s="1017" t="s">
        <v>2307</v>
      </c>
      <c r="B1224" s="1017" t="s">
        <v>2269</v>
      </c>
      <c r="C1224" s="1017" t="s">
        <v>2308</v>
      </c>
      <c r="D1224" s="1016">
        <v>0.57999999999999996</v>
      </c>
      <c r="E1224" s="1015">
        <v>94.5</v>
      </c>
      <c r="F1224" s="1014">
        <v>6.7</v>
      </c>
      <c r="G1224" s="1013" t="s">
        <v>6080</v>
      </c>
      <c r="H1224" s="1012">
        <v>91.2</v>
      </c>
    </row>
    <row r="1225" spans="1:8" ht="12.65" customHeight="1">
      <c r="A1225" s="1017" t="s">
        <v>2304</v>
      </c>
      <c r="B1225" s="1017" t="s">
        <v>2269</v>
      </c>
      <c r="C1225" s="1017" t="s">
        <v>2305</v>
      </c>
      <c r="D1225" s="1016">
        <v>0.57999999999999996</v>
      </c>
      <c r="E1225" s="1015">
        <v>92.7</v>
      </c>
      <c r="F1225" s="1014">
        <v>6.5</v>
      </c>
      <c r="G1225" s="1013">
        <v>16.399999999999999</v>
      </c>
      <c r="H1225" s="1012">
        <v>97.4</v>
      </c>
    </row>
    <row r="1226" spans="1:8" ht="12.65" customHeight="1">
      <c r="A1226" s="1017" t="s">
        <v>2301</v>
      </c>
      <c r="B1226" s="1017" t="s">
        <v>2269</v>
      </c>
      <c r="C1226" s="1017" t="s">
        <v>2302</v>
      </c>
      <c r="D1226" s="1016">
        <v>0.47</v>
      </c>
      <c r="E1226" s="1015">
        <v>99.6</v>
      </c>
      <c r="F1226" s="1014">
        <v>14.8</v>
      </c>
      <c r="G1226" s="1013">
        <v>140.80000000000001</v>
      </c>
      <c r="H1226" s="1012">
        <v>92.2</v>
      </c>
    </row>
    <row r="1227" spans="1:8" ht="12.65" customHeight="1">
      <c r="A1227" s="1017" t="s">
        <v>2298</v>
      </c>
      <c r="B1227" s="1017" t="s">
        <v>2269</v>
      </c>
      <c r="C1227" s="1017" t="s">
        <v>2299</v>
      </c>
      <c r="D1227" s="1016">
        <v>0.25</v>
      </c>
      <c r="E1227" s="1015">
        <v>89.5</v>
      </c>
      <c r="F1227" s="1014">
        <v>7.4</v>
      </c>
      <c r="G1227" s="1013">
        <v>72.400000000000006</v>
      </c>
      <c r="H1227" s="1012">
        <v>93</v>
      </c>
    </row>
    <row r="1228" spans="1:8" ht="12.65" customHeight="1">
      <c r="A1228" s="1017" t="s">
        <v>2295</v>
      </c>
      <c r="B1228" s="1017" t="s">
        <v>2269</v>
      </c>
      <c r="C1228" s="1017" t="s">
        <v>2296</v>
      </c>
      <c r="D1228" s="1016">
        <v>0.41</v>
      </c>
      <c r="E1228" s="1015">
        <v>90.2</v>
      </c>
      <c r="F1228" s="1014">
        <v>7.7</v>
      </c>
      <c r="G1228" s="1013">
        <v>13.6</v>
      </c>
      <c r="H1228" s="1012">
        <v>96</v>
      </c>
    </row>
    <row r="1229" spans="1:8" ht="12.65" customHeight="1">
      <c r="A1229" s="1017" t="s">
        <v>2292</v>
      </c>
      <c r="B1229" s="1017" t="s">
        <v>2269</v>
      </c>
      <c r="C1229" s="1017" t="s">
        <v>2293</v>
      </c>
      <c r="D1229" s="1016">
        <v>0.2</v>
      </c>
      <c r="E1229" s="1015">
        <v>83.6</v>
      </c>
      <c r="F1229" s="1014">
        <v>8.9</v>
      </c>
      <c r="G1229" s="1013" t="s">
        <v>6080</v>
      </c>
      <c r="H1229" s="1012">
        <v>92.5</v>
      </c>
    </row>
    <row r="1230" spans="1:8" ht="12.65" customHeight="1">
      <c r="A1230" s="1017" t="s">
        <v>2289</v>
      </c>
      <c r="B1230" s="1017" t="s">
        <v>2269</v>
      </c>
      <c r="C1230" s="1017" t="s">
        <v>2290</v>
      </c>
      <c r="D1230" s="1016">
        <v>0.11</v>
      </c>
      <c r="E1230" s="1015">
        <v>92.5</v>
      </c>
      <c r="F1230" s="1014">
        <v>5.0999999999999996</v>
      </c>
      <c r="G1230" s="1013" t="s">
        <v>6080</v>
      </c>
      <c r="H1230" s="1012">
        <v>91.7</v>
      </c>
    </row>
    <row r="1231" spans="1:8" ht="12.65" customHeight="1">
      <c r="A1231" s="1017" t="s">
        <v>2286</v>
      </c>
      <c r="B1231" s="1017" t="s">
        <v>2269</v>
      </c>
      <c r="C1231" s="1017" t="s">
        <v>2287</v>
      </c>
      <c r="D1231" s="1016">
        <v>0.14000000000000001</v>
      </c>
      <c r="E1231" s="1015">
        <v>88.4</v>
      </c>
      <c r="F1231" s="1014">
        <v>10.199999999999999</v>
      </c>
      <c r="G1231" s="1013" t="s">
        <v>6080</v>
      </c>
      <c r="H1231" s="1012">
        <v>90</v>
      </c>
    </row>
    <row r="1232" spans="1:8" ht="12.65" customHeight="1">
      <c r="A1232" s="1017" t="s">
        <v>2283</v>
      </c>
      <c r="B1232" s="1017" t="s">
        <v>2269</v>
      </c>
      <c r="C1232" s="1017" t="s">
        <v>2284</v>
      </c>
      <c r="D1232" s="1016">
        <v>0.12</v>
      </c>
      <c r="E1232" s="1015">
        <v>83.8</v>
      </c>
      <c r="F1232" s="1014">
        <v>10.5</v>
      </c>
      <c r="G1232" s="1013" t="s">
        <v>6080</v>
      </c>
      <c r="H1232" s="1012">
        <v>92.2</v>
      </c>
    </row>
    <row r="1233" spans="1:8" ht="12.65" customHeight="1">
      <c r="A1233" s="1017" t="s">
        <v>2280</v>
      </c>
      <c r="B1233" s="1017" t="s">
        <v>2269</v>
      </c>
      <c r="C1233" s="1017" t="s">
        <v>2281</v>
      </c>
      <c r="D1233" s="1016">
        <v>0.23</v>
      </c>
      <c r="E1233" s="1015">
        <v>86</v>
      </c>
      <c r="F1233" s="1014">
        <v>8.5</v>
      </c>
      <c r="G1233" s="1013" t="s">
        <v>6080</v>
      </c>
      <c r="H1233" s="1012">
        <v>93.6</v>
      </c>
    </row>
    <row r="1234" spans="1:8" ht="12.65" customHeight="1">
      <c r="A1234" s="1017" t="s">
        <v>2277</v>
      </c>
      <c r="B1234" s="1017" t="s">
        <v>2269</v>
      </c>
      <c r="C1234" s="1017" t="s">
        <v>2278</v>
      </c>
      <c r="D1234" s="1016">
        <v>0.21</v>
      </c>
      <c r="E1234" s="1015">
        <v>85.6</v>
      </c>
      <c r="F1234" s="1014">
        <v>7.9</v>
      </c>
      <c r="G1234" s="1013" t="s">
        <v>6080</v>
      </c>
      <c r="H1234" s="1012">
        <v>90.7</v>
      </c>
    </row>
    <row r="1235" spans="1:8" ht="12.65" customHeight="1">
      <c r="A1235" s="1017" t="s">
        <v>2274</v>
      </c>
      <c r="B1235" s="1017" t="s">
        <v>2269</v>
      </c>
      <c r="C1235" s="1017" t="s">
        <v>2275</v>
      </c>
      <c r="D1235" s="1016">
        <v>0.12</v>
      </c>
      <c r="E1235" s="1015">
        <v>91.1</v>
      </c>
      <c r="F1235" s="1014">
        <v>4.9000000000000004</v>
      </c>
      <c r="G1235" s="1013" t="s">
        <v>6080</v>
      </c>
      <c r="H1235" s="1012">
        <v>90.4</v>
      </c>
    </row>
    <row r="1236" spans="1:8" ht="12.65" customHeight="1">
      <c r="A1236" s="1017" t="s">
        <v>2271</v>
      </c>
      <c r="B1236" s="1017" t="s">
        <v>2269</v>
      </c>
      <c r="C1236" s="1017" t="s">
        <v>2272</v>
      </c>
      <c r="D1236" s="1016">
        <v>0.28000000000000003</v>
      </c>
      <c r="E1236" s="1015">
        <v>89</v>
      </c>
      <c r="F1236" s="1014">
        <v>8.6</v>
      </c>
      <c r="G1236" s="1013" t="s">
        <v>6080</v>
      </c>
      <c r="H1236" s="1012">
        <v>93.5</v>
      </c>
    </row>
    <row r="1237" spans="1:8" ht="12.65" customHeight="1">
      <c r="A1237" s="1017" t="s">
        <v>2267</v>
      </c>
      <c r="B1237" s="1017" t="s">
        <v>2269</v>
      </c>
      <c r="C1237" s="1017" t="s">
        <v>2268</v>
      </c>
      <c r="D1237" s="1016">
        <v>0.13</v>
      </c>
      <c r="E1237" s="1015">
        <v>81</v>
      </c>
      <c r="F1237" s="1014">
        <v>8.9</v>
      </c>
      <c r="G1237" s="1013" t="s">
        <v>6080</v>
      </c>
      <c r="H1237" s="1012">
        <v>93</v>
      </c>
    </row>
    <row r="1238" spans="1:8" ht="12.65" customHeight="1">
      <c r="A1238" s="1017" t="s">
        <v>2260</v>
      </c>
      <c r="B1238" s="1017" t="s">
        <v>2175</v>
      </c>
      <c r="C1238" s="1017" t="s">
        <v>2261</v>
      </c>
      <c r="D1238" s="1016">
        <v>0.77</v>
      </c>
      <c r="E1238" s="1015">
        <v>95.9</v>
      </c>
      <c r="F1238" s="1014">
        <v>9.5</v>
      </c>
      <c r="G1238" s="1013">
        <v>84.9</v>
      </c>
      <c r="H1238" s="1012">
        <v>99.3</v>
      </c>
    </row>
    <row r="1239" spans="1:8" ht="12.65" customHeight="1">
      <c r="A1239" s="1017" t="s">
        <v>2257</v>
      </c>
      <c r="B1239" s="1017" t="s">
        <v>2175</v>
      </c>
      <c r="C1239" s="1017" t="s">
        <v>2258</v>
      </c>
      <c r="D1239" s="1016">
        <v>0.51</v>
      </c>
      <c r="E1239" s="1015">
        <v>99.3</v>
      </c>
      <c r="F1239" s="1014">
        <v>9.1</v>
      </c>
      <c r="G1239" s="1013">
        <v>69.7</v>
      </c>
      <c r="H1239" s="1012">
        <v>92.4</v>
      </c>
    </row>
    <row r="1240" spans="1:8" ht="12.65" customHeight="1">
      <c r="A1240" s="1017" t="s">
        <v>2254</v>
      </c>
      <c r="B1240" s="1017" t="s">
        <v>2175</v>
      </c>
      <c r="C1240" s="1017" t="s">
        <v>2255</v>
      </c>
      <c r="D1240" s="1016">
        <v>0.45</v>
      </c>
      <c r="E1240" s="1015">
        <v>102.3</v>
      </c>
      <c r="F1240" s="1014">
        <v>12.2</v>
      </c>
      <c r="G1240" s="1013">
        <v>34.200000000000003</v>
      </c>
      <c r="H1240" s="1012">
        <v>97</v>
      </c>
    </row>
    <row r="1241" spans="1:8" ht="12.65" customHeight="1">
      <c r="A1241" s="1017" t="s">
        <v>2251</v>
      </c>
      <c r="B1241" s="1017" t="s">
        <v>2175</v>
      </c>
      <c r="C1241" s="1017" t="s">
        <v>2252</v>
      </c>
      <c r="D1241" s="1016">
        <v>0.51</v>
      </c>
      <c r="E1241" s="1015">
        <v>105.9</v>
      </c>
      <c r="F1241" s="1014">
        <v>7.9</v>
      </c>
      <c r="G1241" s="1013" t="s">
        <v>6080</v>
      </c>
      <c r="H1241" s="1012">
        <v>96.4</v>
      </c>
    </row>
    <row r="1242" spans="1:8" ht="12.65" customHeight="1">
      <c r="A1242" s="1017" t="s">
        <v>2248</v>
      </c>
      <c r="B1242" s="1017" t="s">
        <v>2175</v>
      </c>
      <c r="C1242" s="1017" t="s">
        <v>2249</v>
      </c>
      <c r="D1242" s="1016">
        <v>0.5</v>
      </c>
      <c r="E1242" s="1015">
        <v>101.8</v>
      </c>
      <c r="F1242" s="1014">
        <v>13.1</v>
      </c>
      <c r="G1242" s="1013">
        <v>86.1</v>
      </c>
      <c r="H1242" s="1012">
        <v>96.9</v>
      </c>
    </row>
    <row r="1243" spans="1:8" ht="12.65" customHeight="1">
      <c r="A1243" s="1017" t="s">
        <v>2245</v>
      </c>
      <c r="B1243" s="1017" t="s">
        <v>2175</v>
      </c>
      <c r="C1243" s="1017" t="s">
        <v>2246</v>
      </c>
      <c r="D1243" s="1016">
        <v>0.38</v>
      </c>
      <c r="E1243" s="1015">
        <v>98.7</v>
      </c>
      <c r="F1243" s="1014">
        <v>8.1999999999999993</v>
      </c>
      <c r="G1243" s="1013" t="s">
        <v>6080</v>
      </c>
      <c r="H1243" s="1012">
        <v>99.6</v>
      </c>
    </row>
    <row r="1244" spans="1:8" ht="12.65" customHeight="1">
      <c r="A1244" s="1017" t="s">
        <v>2242</v>
      </c>
      <c r="B1244" s="1017" t="s">
        <v>2175</v>
      </c>
      <c r="C1244" s="1017" t="s">
        <v>2243</v>
      </c>
      <c r="D1244" s="1016">
        <v>0.36</v>
      </c>
      <c r="E1244" s="1015">
        <v>97.4</v>
      </c>
      <c r="F1244" s="1014">
        <v>11.8</v>
      </c>
      <c r="G1244" s="1013" t="s">
        <v>6080</v>
      </c>
      <c r="H1244" s="1012">
        <v>97.2</v>
      </c>
    </row>
    <row r="1245" spans="1:8" ht="12.65" customHeight="1">
      <c r="A1245" s="1017" t="s">
        <v>2239</v>
      </c>
      <c r="B1245" s="1017" t="s">
        <v>2175</v>
      </c>
      <c r="C1245" s="1017" t="s">
        <v>2240</v>
      </c>
      <c r="D1245" s="1016">
        <v>0.41</v>
      </c>
      <c r="E1245" s="1015">
        <v>94.6</v>
      </c>
      <c r="F1245" s="1014">
        <v>4</v>
      </c>
      <c r="G1245" s="1013" t="s">
        <v>6080</v>
      </c>
      <c r="H1245" s="1012">
        <v>97.5</v>
      </c>
    </row>
    <row r="1246" spans="1:8" ht="12.65" customHeight="1">
      <c r="A1246" s="1017" t="s">
        <v>2236</v>
      </c>
      <c r="B1246" s="1017" t="s">
        <v>2175</v>
      </c>
      <c r="C1246" s="1017" t="s">
        <v>2237</v>
      </c>
      <c r="D1246" s="1016">
        <v>0.61</v>
      </c>
      <c r="E1246" s="1015">
        <v>81.599999999999994</v>
      </c>
      <c r="F1246" s="1014">
        <v>3.3</v>
      </c>
      <c r="G1246" s="1013" t="s">
        <v>6080</v>
      </c>
      <c r="H1246" s="1012">
        <v>93.4</v>
      </c>
    </row>
    <row r="1247" spans="1:8" ht="12.65" customHeight="1">
      <c r="A1247" s="1017" t="s">
        <v>2233</v>
      </c>
      <c r="B1247" s="1017" t="s">
        <v>2175</v>
      </c>
      <c r="C1247" s="1017" t="s">
        <v>2234</v>
      </c>
      <c r="D1247" s="1016">
        <v>0.21</v>
      </c>
      <c r="E1247" s="1015">
        <v>98.3</v>
      </c>
      <c r="F1247" s="1014">
        <v>9.9</v>
      </c>
      <c r="G1247" s="1013">
        <v>45.2</v>
      </c>
      <c r="H1247" s="1012">
        <v>94.3</v>
      </c>
    </row>
    <row r="1248" spans="1:8" ht="12.65" customHeight="1">
      <c r="A1248" s="1017" t="s">
        <v>2230</v>
      </c>
      <c r="B1248" s="1017" t="s">
        <v>2175</v>
      </c>
      <c r="C1248" s="1017" t="s">
        <v>2231</v>
      </c>
      <c r="D1248" s="1016">
        <v>0.34</v>
      </c>
      <c r="E1248" s="1015">
        <v>98.3</v>
      </c>
      <c r="F1248" s="1014">
        <v>9.4</v>
      </c>
      <c r="G1248" s="1013">
        <v>24.1</v>
      </c>
      <c r="H1248" s="1012">
        <v>97</v>
      </c>
    </row>
    <row r="1249" spans="1:8" ht="12.65" customHeight="1">
      <c r="A1249" s="1017" t="s">
        <v>2227</v>
      </c>
      <c r="B1249" s="1017" t="s">
        <v>2175</v>
      </c>
      <c r="C1249" s="1017" t="s">
        <v>2228</v>
      </c>
      <c r="D1249" s="1016">
        <v>0.19</v>
      </c>
      <c r="E1249" s="1015">
        <v>93.1</v>
      </c>
      <c r="F1249" s="1014">
        <v>10.6</v>
      </c>
      <c r="G1249" s="1013" t="s">
        <v>6080</v>
      </c>
      <c r="H1249" s="1012">
        <v>96.6</v>
      </c>
    </row>
    <row r="1250" spans="1:8" ht="12.65" customHeight="1">
      <c r="A1250" s="1017" t="s">
        <v>2224</v>
      </c>
      <c r="B1250" s="1017" t="s">
        <v>2175</v>
      </c>
      <c r="C1250" s="1017" t="s">
        <v>2225</v>
      </c>
      <c r="D1250" s="1016">
        <v>0.19</v>
      </c>
      <c r="E1250" s="1015">
        <v>86.7</v>
      </c>
      <c r="F1250" s="1014">
        <v>4.2</v>
      </c>
      <c r="G1250" s="1013" t="s">
        <v>6080</v>
      </c>
      <c r="H1250" s="1012">
        <v>90.2</v>
      </c>
    </row>
    <row r="1251" spans="1:8" ht="12.65" customHeight="1">
      <c r="A1251" s="1017" t="s">
        <v>2221</v>
      </c>
      <c r="B1251" s="1017" t="s">
        <v>2175</v>
      </c>
      <c r="C1251" s="1017" t="s">
        <v>2222</v>
      </c>
      <c r="D1251" s="1016">
        <v>0.32</v>
      </c>
      <c r="E1251" s="1015">
        <v>92.4</v>
      </c>
      <c r="F1251" s="1014">
        <v>8.3000000000000007</v>
      </c>
      <c r="G1251" s="1013" t="s">
        <v>6080</v>
      </c>
      <c r="H1251" s="1012">
        <v>96.8</v>
      </c>
    </row>
    <row r="1252" spans="1:8" ht="12.65" customHeight="1">
      <c r="A1252" s="1017" t="s">
        <v>2219</v>
      </c>
      <c r="B1252" s="1017" t="s">
        <v>2175</v>
      </c>
      <c r="C1252" s="1017" t="s">
        <v>1378</v>
      </c>
      <c r="D1252" s="1016">
        <v>0.28999999999999998</v>
      </c>
      <c r="E1252" s="1015">
        <v>92.2</v>
      </c>
      <c r="F1252" s="1014">
        <v>7.6</v>
      </c>
      <c r="G1252" s="1013" t="s">
        <v>6080</v>
      </c>
      <c r="H1252" s="1012">
        <v>95.1</v>
      </c>
    </row>
    <row r="1253" spans="1:8" ht="12.65" customHeight="1">
      <c r="A1253" s="1017" t="s">
        <v>2216</v>
      </c>
      <c r="B1253" s="1017" t="s">
        <v>2175</v>
      </c>
      <c r="C1253" s="1017" t="s">
        <v>2217</v>
      </c>
      <c r="D1253" s="1016">
        <v>0.35</v>
      </c>
      <c r="E1253" s="1015">
        <v>87.7</v>
      </c>
      <c r="F1253" s="1014">
        <v>13.1</v>
      </c>
      <c r="G1253" s="1013" t="s">
        <v>6080</v>
      </c>
      <c r="H1253" s="1012">
        <v>96.2</v>
      </c>
    </row>
    <row r="1254" spans="1:8" ht="12.65" customHeight="1">
      <c r="A1254" s="1017" t="s">
        <v>2213</v>
      </c>
      <c r="B1254" s="1017" t="s">
        <v>2175</v>
      </c>
      <c r="C1254" s="1017" t="s">
        <v>2214</v>
      </c>
      <c r="D1254" s="1016">
        <v>0.27</v>
      </c>
      <c r="E1254" s="1015">
        <v>93.8</v>
      </c>
      <c r="F1254" s="1014">
        <v>6.5</v>
      </c>
      <c r="G1254" s="1013" t="s">
        <v>6080</v>
      </c>
      <c r="H1254" s="1012">
        <v>98.1</v>
      </c>
    </row>
    <row r="1255" spans="1:8" ht="12.65" customHeight="1">
      <c r="A1255" s="1017" t="s">
        <v>2210</v>
      </c>
      <c r="B1255" s="1017" t="s">
        <v>2175</v>
      </c>
      <c r="C1255" s="1017" t="s">
        <v>2211</v>
      </c>
      <c r="D1255" s="1016">
        <v>0.28999999999999998</v>
      </c>
      <c r="E1255" s="1015">
        <v>96.2</v>
      </c>
      <c r="F1255" s="1014">
        <v>11.3</v>
      </c>
      <c r="G1255" s="1013">
        <v>61.5</v>
      </c>
      <c r="H1255" s="1012">
        <v>96</v>
      </c>
    </row>
    <row r="1256" spans="1:8" ht="12.65" customHeight="1">
      <c r="A1256" s="1017" t="s">
        <v>2207</v>
      </c>
      <c r="B1256" s="1017" t="s">
        <v>2175</v>
      </c>
      <c r="C1256" s="1017" t="s">
        <v>2208</v>
      </c>
      <c r="D1256" s="1016">
        <v>0.26</v>
      </c>
      <c r="E1256" s="1015">
        <v>87.4</v>
      </c>
      <c r="F1256" s="1014">
        <v>13.2</v>
      </c>
      <c r="G1256" s="1013">
        <v>132.30000000000001</v>
      </c>
      <c r="H1256" s="1012">
        <v>95</v>
      </c>
    </row>
    <row r="1257" spans="1:8" ht="12.65" customHeight="1">
      <c r="A1257" s="1017" t="s">
        <v>2204</v>
      </c>
      <c r="B1257" s="1017" t="s">
        <v>2175</v>
      </c>
      <c r="C1257" s="1017" t="s">
        <v>2205</v>
      </c>
      <c r="D1257" s="1016">
        <v>0.32</v>
      </c>
      <c r="E1257" s="1015">
        <v>78</v>
      </c>
      <c r="F1257" s="1014">
        <v>6.5</v>
      </c>
      <c r="G1257" s="1013" t="s">
        <v>6080</v>
      </c>
      <c r="H1257" s="1012">
        <v>98.4</v>
      </c>
    </row>
    <row r="1258" spans="1:8" ht="12.65" customHeight="1">
      <c r="A1258" s="1017" t="s">
        <v>2201</v>
      </c>
      <c r="B1258" s="1017" t="s">
        <v>2175</v>
      </c>
      <c r="C1258" s="1017" t="s">
        <v>2202</v>
      </c>
      <c r="D1258" s="1016">
        <v>0.33</v>
      </c>
      <c r="E1258" s="1015">
        <v>91.7</v>
      </c>
      <c r="F1258" s="1014">
        <v>10.199999999999999</v>
      </c>
      <c r="G1258" s="1013" t="s">
        <v>6080</v>
      </c>
      <c r="H1258" s="1012">
        <v>93.4</v>
      </c>
    </row>
    <row r="1259" spans="1:8" ht="12.65" customHeight="1">
      <c r="A1259" s="1017" t="s">
        <v>2198</v>
      </c>
      <c r="B1259" s="1017" t="s">
        <v>2175</v>
      </c>
      <c r="C1259" s="1017" t="s">
        <v>2199</v>
      </c>
      <c r="D1259" s="1016">
        <v>0.24</v>
      </c>
      <c r="E1259" s="1015">
        <v>87.1</v>
      </c>
      <c r="F1259" s="1014">
        <v>10.6</v>
      </c>
      <c r="G1259" s="1013" t="s">
        <v>6080</v>
      </c>
      <c r="H1259" s="1012">
        <v>94.5</v>
      </c>
    </row>
    <row r="1260" spans="1:8" ht="12.65" customHeight="1">
      <c r="A1260" s="1017" t="s">
        <v>2195</v>
      </c>
      <c r="B1260" s="1017" t="s">
        <v>2175</v>
      </c>
      <c r="C1260" s="1017" t="s">
        <v>2196</v>
      </c>
      <c r="D1260" s="1016">
        <v>0.43</v>
      </c>
      <c r="E1260" s="1015">
        <v>93.3</v>
      </c>
      <c r="F1260" s="1014">
        <v>7.8</v>
      </c>
      <c r="G1260" s="1013">
        <v>25.4</v>
      </c>
      <c r="H1260" s="1012">
        <v>97</v>
      </c>
    </row>
    <row r="1261" spans="1:8" ht="12.65" customHeight="1">
      <c r="A1261" s="1017" t="s">
        <v>2192</v>
      </c>
      <c r="B1261" s="1017" t="s">
        <v>2175</v>
      </c>
      <c r="C1261" s="1017" t="s">
        <v>2193</v>
      </c>
      <c r="D1261" s="1016">
        <v>0.48</v>
      </c>
      <c r="E1261" s="1015">
        <v>88.3</v>
      </c>
      <c r="F1261" s="1014">
        <v>11.2</v>
      </c>
      <c r="G1261" s="1013" t="s">
        <v>6080</v>
      </c>
      <c r="H1261" s="1012">
        <v>97.5</v>
      </c>
    </row>
    <row r="1262" spans="1:8" ht="12.65" customHeight="1">
      <c r="A1262" s="1017" t="s">
        <v>2189</v>
      </c>
      <c r="B1262" s="1017" t="s">
        <v>2175</v>
      </c>
      <c r="C1262" s="1017" t="s">
        <v>2190</v>
      </c>
      <c r="D1262" s="1016">
        <v>0.2</v>
      </c>
      <c r="E1262" s="1015">
        <v>91.7</v>
      </c>
      <c r="F1262" s="1014">
        <v>8.9</v>
      </c>
      <c r="G1262" s="1013" t="s">
        <v>6080</v>
      </c>
      <c r="H1262" s="1012">
        <v>97.7</v>
      </c>
    </row>
    <row r="1263" spans="1:8" ht="12.65" customHeight="1">
      <c r="A1263" s="1017" t="s">
        <v>2186</v>
      </c>
      <c r="B1263" s="1017" t="s">
        <v>2175</v>
      </c>
      <c r="C1263" s="1017" t="s">
        <v>2187</v>
      </c>
      <c r="D1263" s="1016">
        <v>0.3</v>
      </c>
      <c r="E1263" s="1015">
        <v>96.6</v>
      </c>
      <c r="F1263" s="1014">
        <v>7.9</v>
      </c>
      <c r="G1263" s="1013">
        <v>13.5</v>
      </c>
      <c r="H1263" s="1012">
        <v>97</v>
      </c>
    </row>
    <row r="1264" spans="1:8" ht="12.65" customHeight="1">
      <c r="A1264" s="1017" t="s">
        <v>2183</v>
      </c>
      <c r="B1264" s="1017" t="s">
        <v>2175</v>
      </c>
      <c r="C1264" s="1017" t="s">
        <v>2184</v>
      </c>
      <c r="D1264" s="1016">
        <v>0.15</v>
      </c>
      <c r="E1264" s="1015">
        <v>99</v>
      </c>
      <c r="F1264" s="1014">
        <v>9.4</v>
      </c>
      <c r="G1264" s="1013">
        <v>27.6</v>
      </c>
      <c r="H1264" s="1012">
        <v>96</v>
      </c>
    </row>
    <row r="1265" spans="1:8" ht="12.65" customHeight="1">
      <c r="A1265" s="1017" t="s">
        <v>2180</v>
      </c>
      <c r="B1265" s="1017" t="s">
        <v>2175</v>
      </c>
      <c r="C1265" s="1017" t="s">
        <v>2181</v>
      </c>
      <c r="D1265" s="1016">
        <v>0.15</v>
      </c>
      <c r="E1265" s="1015">
        <v>81.5</v>
      </c>
      <c r="F1265" s="1014">
        <v>5.3</v>
      </c>
      <c r="G1265" s="1013" t="s">
        <v>6080</v>
      </c>
      <c r="H1265" s="1012">
        <v>99.4</v>
      </c>
    </row>
    <row r="1266" spans="1:8" ht="12.65" customHeight="1">
      <c r="A1266" s="1017" t="s">
        <v>2177</v>
      </c>
      <c r="B1266" s="1017" t="s">
        <v>2175</v>
      </c>
      <c r="C1266" s="1017" t="s">
        <v>2178</v>
      </c>
      <c r="D1266" s="1016">
        <v>0.13</v>
      </c>
      <c r="E1266" s="1015">
        <v>88.5</v>
      </c>
      <c r="F1266" s="1014">
        <v>8.9</v>
      </c>
      <c r="G1266" s="1013" t="s">
        <v>6080</v>
      </c>
      <c r="H1266" s="1012">
        <v>97</v>
      </c>
    </row>
    <row r="1267" spans="1:8" ht="12.65" customHeight="1">
      <c r="A1267" s="1017" t="s">
        <v>2173</v>
      </c>
      <c r="B1267" s="1017" t="s">
        <v>2175</v>
      </c>
      <c r="C1267" s="1017" t="s">
        <v>2174</v>
      </c>
      <c r="D1267" s="1016">
        <v>0.26</v>
      </c>
      <c r="E1267" s="1015">
        <v>91.4</v>
      </c>
      <c r="F1267" s="1014">
        <v>10</v>
      </c>
      <c r="G1267" s="1013">
        <v>46.2</v>
      </c>
      <c r="H1267" s="1012">
        <v>94.1</v>
      </c>
    </row>
    <row r="1268" spans="1:8" ht="12.65" customHeight="1">
      <c r="A1268" s="1017" t="s">
        <v>2166</v>
      </c>
      <c r="B1268" s="1017" t="s">
        <v>2113</v>
      </c>
      <c r="C1268" s="1017" t="s">
        <v>2167</v>
      </c>
      <c r="D1268" s="1016">
        <v>0.5</v>
      </c>
      <c r="E1268" s="1015">
        <v>88.7</v>
      </c>
      <c r="F1268" s="1014">
        <v>8.8000000000000007</v>
      </c>
      <c r="G1268" s="1013">
        <v>65</v>
      </c>
      <c r="H1268" s="1012">
        <v>96.9</v>
      </c>
    </row>
    <row r="1269" spans="1:8" ht="12.65" customHeight="1">
      <c r="A1269" s="1017" t="s">
        <v>2163</v>
      </c>
      <c r="B1269" s="1017" t="s">
        <v>2113</v>
      </c>
      <c r="C1269" s="1017" t="s">
        <v>2164</v>
      </c>
      <c r="D1269" s="1016">
        <v>0.65</v>
      </c>
      <c r="E1269" s="1015">
        <v>91.4</v>
      </c>
      <c r="F1269" s="1014">
        <v>8.6999999999999993</v>
      </c>
      <c r="G1269" s="1013">
        <v>45.4</v>
      </c>
      <c r="H1269" s="1012">
        <v>95</v>
      </c>
    </row>
    <row r="1270" spans="1:8" ht="12.65" customHeight="1">
      <c r="A1270" s="1017" t="s">
        <v>2160</v>
      </c>
      <c r="B1270" s="1017" t="s">
        <v>2113</v>
      </c>
      <c r="C1270" s="1017" t="s">
        <v>2161</v>
      </c>
      <c r="D1270" s="1016">
        <v>0.43</v>
      </c>
      <c r="E1270" s="1015">
        <v>90.4</v>
      </c>
      <c r="F1270" s="1014">
        <v>7.7</v>
      </c>
      <c r="G1270" s="1013">
        <v>42.4</v>
      </c>
      <c r="H1270" s="1012">
        <v>95.5</v>
      </c>
    </row>
    <row r="1271" spans="1:8" ht="12.65" customHeight="1">
      <c r="A1271" s="1017" t="s">
        <v>2157</v>
      </c>
      <c r="B1271" s="1017" t="s">
        <v>2113</v>
      </c>
      <c r="C1271" s="1017" t="s">
        <v>2158</v>
      </c>
      <c r="D1271" s="1016">
        <v>0.54</v>
      </c>
      <c r="E1271" s="1015">
        <v>90.3</v>
      </c>
      <c r="F1271" s="1014">
        <v>10.199999999999999</v>
      </c>
      <c r="G1271" s="1013">
        <v>92.2</v>
      </c>
      <c r="H1271" s="1012">
        <v>94.3</v>
      </c>
    </row>
    <row r="1272" spans="1:8" ht="12.65" customHeight="1">
      <c r="A1272" s="1017" t="s">
        <v>2154</v>
      </c>
      <c r="B1272" s="1017" t="s">
        <v>2113</v>
      </c>
      <c r="C1272" s="1017" t="s">
        <v>2155</v>
      </c>
      <c r="D1272" s="1016">
        <v>0.26</v>
      </c>
      <c r="E1272" s="1015">
        <v>88.8</v>
      </c>
      <c r="F1272" s="1014">
        <v>9</v>
      </c>
      <c r="G1272" s="1013" t="s">
        <v>6080</v>
      </c>
      <c r="H1272" s="1012">
        <v>94.1</v>
      </c>
    </row>
    <row r="1273" spans="1:8" ht="12.65" customHeight="1">
      <c r="A1273" s="1017" t="s">
        <v>2151</v>
      </c>
      <c r="B1273" s="1017" t="s">
        <v>2113</v>
      </c>
      <c r="C1273" s="1017" t="s">
        <v>2152</v>
      </c>
      <c r="D1273" s="1016">
        <v>0.13</v>
      </c>
      <c r="E1273" s="1015">
        <v>91.9</v>
      </c>
      <c r="F1273" s="1014">
        <v>8.9</v>
      </c>
      <c r="G1273" s="1013" t="s">
        <v>6080</v>
      </c>
      <c r="H1273" s="1012">
        <v>93.4</v>
      </c>
    </row>
    <row r="1274" spans="1:8" ht="12.65" customHeight="1">
      <c r="A1274" s="1017" t="s">
        <v>2148</v>
      </c>
      <c r="B1274" s="1017" t="s">
        <v>2113</v>
      </c>
      <c r="C1274" s="1017" t="s">
        <v>2149</v>
      </c>
      <c r="D1274" s="1016">
        <v>0.19</v>
      </c>
      <c r="E1274" s="1015">
        <v>96</v>
      </c>
      <c r="F1274" s="1014">
        <v>13.5</v>
      </c>
      <c r="G1274" s="1013">
        <v>43.1</v>
      </c>
      <c r="H1274" s="1012">
        <v>95.7</v>
      </c>
    </row>
    <row r="1275" spans="1:8" ht="12.65" customHeight="1">
      <c r="A1275" s="1017" t="s">
        <v>2145</v>
      </c>
      <c r="B1275" s="1017" t="s">
        <v>2113</v>
      </c>
      <c r="C1275" s="1017" t="s">
        <v>2146</v>
      </c>
      <c r="D1275" s="1016">
        <v>0.23</v>
      </c>
      <c r="E1275" s="1015">
        <v>91.9</v>
      </c>
      <c r="F1275" s="1014">
        <v>9.3000000000000007</v>
      </c>
      <c r="G1275" s="1013">
        <v>20.7</v>
      </c>
      <c r="H1275" s="1012">
        <v>93</v>
      </c>
    </row>
    <row r="1276" spans="1:8" ht="12.65" customHeight="1">
      <c r="A1276" s="1017" t="s">
        <v>2142</v>
      </c>
      <c r="B1276" s="1017" t="s">
        <v>2113</v>
      </c>
      <c r="C1276" s="1017" t="s">
        <v>2143</v>
      </c>
      <c r="D1276" s="1016">
        <v>0.22</v>
      </c>
      <c r="E1276" s="1015">
        <v>85</v>
      </c>
      <c r="F1276" s="1014">
        <v>8.6</v>
      </c>
      <c r="G1276" s="1013" t="s">
        <v>6080</v>
      </c>
      <c r="H1276" s="1012">
        <v>92.8</v>
      </c>
    </row>
    <row r="1277" spans="1:8" ht="12.65" customHeight="1">
      <c r="A1277" s="1017" t="s">
        <v>2139</v>
      </c>
      <c r="B1277" s="1017" t="s">
        <v>2113</v>
      </c>
      <c r="C1277" s="1017" t="s">
        <v>2140</v>
      </c>
      <c r="D1277" s="1016">
        <v>0.27</v>
      </c>
      <c r="E1277" s="1015">
        <v>89</v>
      </c>
      <c r="F1277" s="1014">
        <v>6.5</v>
      </c>
      <c r="G1277" s="1013">
        <v>2.1</v>
      </c>
      <c r="H1277" s="1012">
        <v>92.2</v>
      </c>
    </row>
    <row r="1278" spans="1:8" ht="12.65" customHeight="1">
      <c r="A1278" s="1017" t="s">
        <v>2136</v>
      </c>
      <c r="B1278" s="1017" t="s">
        <v>2113</v>
      </c>
      <c r="C1278" s="1017" t="s">
        <v>2137</v>
      </c>
      <c r="D1278" s="1016">
        <v>0.3</v>
      </c>
      <c r="E1278" s="1015">
        <v>92.2</v>
      </c>
      <c r="F1278" s="1014">
        <v>12.3</v>
      </c>
      <c r="G1278" s="1013">
        <v>50.4</v>
      </c>
      <c r="H1278" s="1012">
        <v>93.9</v>
      </c>
    </row>
    <row r="1279" spans="1:8" ht="12.65" customHeight="1">
      <c r="A1279" s="1017" t="s">
        <v>2133</v>
      </c>
      <c r="B1279" s="1017" t="s">
        <v>2113</v>
      </c>
      <c r="C1279" s="1017" t="s">
        <v>2134</v>
      </c>
      <c r="D1279" s="1016">
        <v>0.28999999999999998</v>
      </c>
      <c r="E1279" s="1015">
        <v>86.9</v>
      </c>
      <c r="F1279" s="1014">
        <v>9.5</v>
      </c>
      <c r="G1279" s="1013">
        <v>38.9</v>
      </c>
      <c r="H1279" s="1012">
        <v>94.3</v>
      </c>
    </row>
    <row r="1280" spans="1:8" ht="12.65" customHeight="1">
      <c r="A1280" s="1017" t="s">
        <v>2130</v>
      </c>
      <c r="B1280" s="1017" t="s">
        <v>2113</v>
      </c>
      <c r="C1280" s="1017" t="s">
        <v>2131</v>
      </c>
      <c r="D1280" s="1016">
        <v>0.5</v>
      </c>
      <c r="E1280" s="1015">
        <v>79.3</v>
      </c>
      <c r="F1280" s="1014">
        <v>10.3</v>
      </c>
      <c r="G1280" s="1013" t="s">
        <v>6080</v>
      </c>
      <c r="H1280" s="1012">
        <v>95.1</v>
      </c>
    </row>
    <row r="1281" spans="1:8" ht="12.65" customHeight="1">
      <c r="A1281" s="1017" t="s">
        <v>2127</v>
      </c>
      <c r="B1281" s="1017" t="s">
        <v>2113</v>
      </c>
      <c r="C1281" s="1017" t="s">
        <v>2128</v>
      </c>
      <c r="D1281" s="1016">
        <v>0.26</v>
      </c>
      <c r="E1281" s="1015">
        <v>93.9</v>
      </c>
      <c r="F1281" s="1014">
        <v>10.199999999999999</v>
      </c>
      <c r="G1281" s="1013" t="s">
        <v>6080</v>
      </c>
      <c r="H1281" s="1012">
        <v>93</v>
      </c>
    </row>
    <row r="1282" spans="1:8" ht="12.65" customHeight="1">
      <c r="A1282" s="1017" t="s">
        <v>2124</v>
      </c>
      <c r="B1282" s="1017" t="s">
        <v>2113</v>
      </c>
      <c r="C1282" s="1017" t="s">
        <v>2125</v>
      </c>
      <c r="D1282" s="1016">
        <v>0.25</v>
      </c>
      <c r="E1282" s="1015">
        <v>88.7</v>
      </c>
      <c r="F1282" s="1014">
        <v>9</v>
      </c>
      <c r="G1282" s="1013">
        <v>12.2</v>
      </c>
      <c r="H1282" s="1012">
        <v>90</v>
      </c>
    </row>
    <row r="1283" spans="1:8" ht="12.65" customHeight="1">
      <c r="A1283" s="1017" t="s">
        <v>2121</v>
      </c>
      <c r="B1283" s="1017" t="s">
        <v>2113</v>
      </c>
      <c r="C1283" s="1017" t="s">
        <v>2122</v>
      </c>
      <c r="D1283" s="1016">
        <v>0.27</v>
      </c>
      <c r="E1283" s="1015">
        <v>87.4</v>
      </c>
      <c r="F1283" s="1014">
        <v>7.9</v>
      </c>
      <c r="G1283" s="1013" t="s">
        <v>6080</v>
      </c>
      <c r="H1283" s="1012">
        <v>94</v>
      </c>
    </row>
    <row r="1284" spans="1:8" ht="12.65" customHeight="1">
      <c r="A1284" s="1017" t="s">
        <v>2118</v>
      </c>
      <c r="B1284" s="1017" t="s">
        <v>2113</v>
      </c>
      <c r="C1284" s="1017" t="s">
        <v>2119</v>
      </c>
      <c r="D1284" s="1016">
        <v>0.16</v>
      </c>
      <c r="E1284" s="1015">
        <v>94.4</v>
      </c>
      <c r="F1284" s="1014">
        <v>7.5</v>
      </c>
      <c r="G1284" s="1013" t="s">
        <v>6080</v>
      </c>
      <c r="H1284" s="1012">
        <v>94.2</v>
      </c>
    </row>
    <row r="1285" spans="1:8" ht="12.65" customHeight="1">
      <c r="A1285" s="1017" t="s">
        <v>2115</v>
      </c>
      <c r="B1285" s="1017" t="s">
        <v>2113</v>
      </c>
      <c r="C1285" s="1017" t="s">
        <v>2116</v>
      </c>
      <c r="D1285" s="1016">
        <v>0.16</v>
      </c>
      <c r="E1285" s="1015">
        <v>85</v>
      </c>
      <c r="F1285" s="1014">
        <v>8.4</v>
      </c>
      <c r="G1285" s="1013" t="s">
        <v>6080</v>
      </c>
      <c r="H1285" s="1012">
        <v>91.7</v>
      </c>
    </row>
    <row r="1286" spans="1:8" ht="12.65" customHeight="1">
      <c r="A1286" s="1017" t="s">
        <v>2111</v>
      </c>
      <c r="B1286" s="1017" t="s">
        <v>2113</v>
      </c>
      <c r="C1286" s="1017" t="s">
        <v>2112</v>
      </c>
      <c r="D1286" s="1016">
        <v>0.27</v>
      </c>
      <c r="E1286" s="1015">
        <v>90.3</v>
      </c>
      <c r="F1286" s="1014">
        <v>15.3</v>
      </c>
      <c r="G1286" s="1013">
        <v>90.3</v>
      </c>
      <c r="H1286" s="1012">
        <v>92.8</v>
      </c>
    </row>
    <row r="1287" spans="1:8" ht="12.65" customHeight="1">
      <c r="A1287" s="1017" t="s">
        <v>2104</v>
      </c>
      <c r="B1287" s="1017" t="s">
        <v>2053</v>
      </c>
      <c r="C1287" s="1017" t="s">
        <v>2105</v>
      </c>
      <c r="D1287" s="1016">
        <v>0.56000000000000005</v>
      </c>
      <c r="E1287" s="1015">
        <v>93.1</v>
      </c>
      <c r="F1287" s="1014">
        <v>9.5</v>
      </c>
      <c r="G1287" s="1013">
        <v>63.3</v>
      </c>
      <c r="H1287" s="1012">
        <v>98.4</v>
      </c>
    </row>
    <row r="1288" spans="1:8" ht="12.65" customHeight="1">
      <c r="A1288" s="1017" t="s">
        <v>2101</v>
      </c>
      <c r="B1288" s="1017" t="s">
        <v>2053</v>
      </c>
      <c r="C1288" s="1017" t="s">
        <v>2102</v>
      </c>
      <c r="D1288" s="1016">
        <v>0.41</v>
      </c>
      <c r="E1288" s="1015">
        <v>91.6</v>
      </c>
      <c r="F1288" s="1014">
        <v>10.5</v>
      </c>
      <c r="G1288" s="1013">
        <v>6.3</v>
      </c>
      <c r="H1288" s="1012">
        <v>97.6</v>
      </c>
    </row>
    <row r="1289" spans="1:8" ht="12.65" customHeight="1">
      <c r="A1289" s="1017" t="s">
        <v>2098</v>
      </c>
      <c r="B1289" s="1017" t="s">
        <v>2053</v>
      </c>
      <c r="C1289" s="1017" t="s">
        <v>2099</v>
      </c>
      <c r="D1289" s="1016">
        <v>0.56000000000000005</v>
      </c>
      <c r="E1289" s="1015">
        <v>84.3</v>
      </c>
      <c r="F1289" s="1014">
        <v>12.3</v>
      </c>
      <c r="G1289" s="1013">
        <v>160.1</v>
      </c>
      <c r="H1289" s="1012">
        <v>98.6</v>
      </c>
    </row>
    <row r="1290" spans="1:8" ht="12.65" customHeight="1">
      <c r="A1290" s="1017" t="s">
        <v>2095</v>
      </c>
      <c r="B1290" s="1017" t="s">
        <v>2053</v>
      </c>
      <c r="C1290" s="1017" t="s">
        <v>2096</v>
      </c>
      <c r="D1290" s="1016">
        <v>0.39</v>
      </c>
      <c r="E1290" s="1015">
        <v>92.8</v>
      </c>
      <c r="F1290" s="1014">
        <v>10.1</v>
      </c>
      <c r="G1290" s="1013">
        <v>66.7</v>
      </c>
      <c r="H1290" s="1012">
        <v>99.1</v>
      </c>
    </row>
    <row r="1291" spans="1:8" ht="12.65" customHeight="1">
      <c r="A1291" s="1017" t="s">
        <v>2092</v>
      </c>
      <c r="B1291" s="1017" t="s">
        <v>2053</v>
      </c>
      <c r="C1291" s="1017" t="s">
        <v>2093</v>
      </c>
      <c r="D1291" s="1016">
        <v>0.3</v>
      </c>
      <c r="E1291" s="1015">
        <v>96.2</v>
      </c>
      <c r="F1291" s="1014">
        <v>10.8</v>
      </c>
      <c r="G1291" s="1013">
        <v>65.5</v>
      </c>
      <c r="H1291" s="1012">
        <v>99</v>
      </c>
    </row>
    <row r="1292" spans="1:8" ht="12.65" customHeight="1">
      <c r="A1292" s="1017" t="s">
        <v>2089</v>
      </c>
      <c r="B1292" s="1017" t="s">
        <v>2053</v>
      </c>
      <c r="C1292" s="1017" t="s">
        <v>2090</v>
      </c>
      <c r="D1292" s="1016">
        <v>0.35</v>
      </c>
      <c r="E1292" s="1015">
        <v>90.8</v>
      </c>
      <c r="F1292" s="1014">
        <v>12.4</v>
      </c>
      <c r="G1292" s="1013">
        <v>78.3</v>
      </c>
      <c r="H1292" s="1012">
        <v>99.5</v>
      </c>
    </row>
    <row r="1293" spans="1:8" ht="12.65" customHeight="1">
      <c r="A1293" s="1017" t="s">
        <v>2086</v>
      </c>
      <c r="B1293" s="1017" t="s">
        <v>2053</v>
      </c>
      <c r="C1293" s="1017" t="s">
        <v>2087</v>
      </c>
      <c r="D1293" s="1016">
        <v>0.34</v>
      </c>
      <c r="E1293" s="1015">
        <v>96.2</v>
      </c>
      <c r="F1293" s="1014">
        <v>10.8</v>
      </c>
      <c r="G1293" s="1013">
        <v>53.6</v>
      </c>
      <c r="H1293" s="1012">
        <v>98.4</v>
      </c>
    </row>
    <row r="1294" spans="1:8" ht="12.65" customHeight="1">
      <c r="A1294" s="1017" t="s">
        <v>2083</v>
      </c>
      <c r="B1294" s="1017" t="s">
        <v>2053</v>
      </c>
      <c r="C1294" s="1017" t="s">
        <v>2084</v>
      </c>
      <c r="D1294" s="1016">
        <v>0.25</v>
      </c>
      <c r="E1294" s="1015">
        <v>97.1</v>
      </c>
      <c r="F1294" s="1014">
        <v>11.2</v>
      </c>
      <c r="G1294" s="1013">
        <v>92.1</v>
      </c>
      <c r="H1294" s="1012">
        <v>98.7</v>
      </c>
    </row>
    <row r="1295" spans="1:8" ht="12.65" customHeight="1">
      <c r="A1295" s="1017" t="s">
        <v>2080</v>
      </c>
      <c r="B1295" s="1017" t="s">
        <v>2053</v>
      </c>
      <c r="C1295" s="1017" t="s">
        <v>2081</v>
      </c>
      <c r="D1295" s="1016">
        <v>0.18</v>
      </c>
      <c r="E1295" s="1015">
        <v>89</v>
      </c>
      <c r="F1295" s="1014">
        <v>15.6</v>
      </c>
      <c r="G1295" s="1013">
        <v>139.80000000000001</v>
      </c>
      <c r="H1295" s="1012">
        <v>92</v>
      </c>
    </row>
    <row r="1296" spans="1:8" ht="12.65" customHeight="1">
      <c r="A1296" s="1017" t="s">
        <v>2077</v>
      </c>
      <c r="B1296" s="1017" t="s">
        <v>2053</v>
      </c>
      <c r="C1296" s="1017" t="s">
        <v>2078</v>
      </c>
      <c r="D1296" s="1016">
        <v>0.13</v>
      </c>
      <c r="E1296" s="1015">
        <v>97.6</v>
      </c>
      <c r="F1296" s="1014">
        <v>9.6999999999999993</v>
      </c>
      <c r="G1296" s="1013">
        <v>26.7</v>
      </c>
      <c r="H1296" s="1012">
        <v>98.6</v>
      </c>
    </row>
    <row r="1297" spans="1:8" ht="12.65" customHeight="1">
      <c r="A1297" s="1017" t="s">
        <v>2074</v>
      </c>
      <c r="B1297" s="1017" t="s">
        <v>2053</v>
      </c>
      <c r="C1297" s="1017" t="s">
        <v>2075</v>
      </c>
      <c r="D1297" s="1016">
        <v>0.15</v>
      </c>
      <c r="E1297" s="1015">
        <v>92.2</v>
      </c>
      <c r="F1297" s="1014">
        <v>8.1</v>
      </c>
      <c r="G1297" s="1013" t="s">
        <v>6080</v>
      </c>
      <c r="H1297" s="1012">
        <v>97.4</v>
      </c>
    </row>
    <row r="1298" spans="1:8" ht="12.65" customHeight="1">
      <c r="A1298" s="1017" t="s">
        <v>2072</v>
      </c>
      <c r="B1298" s="1017" t="s">
        <v>2053</v>
      </c>
      <c r="C1298" s="1017" t="s">
        <v>936</v>
      </c>
      <c r="D1298" s="1016">
        <v>0.13</v>
      </c>
      <c r="E1298" s="1015">
        <v>89.5</v>
      </c>
      <c r="F1298" s="1014">
        <v>12.7</v>
      </c>
      <c r="G1298" s="1013">
        <v>73.3</v>
      </c>
      <c r="H1298" s="1012">
        <v>96.5</v>
      </c>
    </row>
    <row r="1299" spans="1:8" ht="12.65" customHeight="1">
      <c r="A1299" s="1017" t="s">
        <v>2070</v>
      </c>
      <c r="B1299" s="1017" t="s">
        <v>2053</v>
      </c>
      <c r="C1299" s="1017" t="s">
        <v>2071</v>
      </c>
      <c r="D1299" s="1016">
        <v>0.18</v>
      </c>
      <c r="E1299" s="1015">
        <v>93.6</v>
      </c>
      <c r="F1299" s="1014">
        <v>12.5</v>
      </c>
      <c r="G1299" s="1013">
        <v>89.4</v>
      </c>
      <c r="H1299" s="1012">
        <v>98.1</v>
      </c>
    </row>
    <row r="1300" spans="1:8" ht="12.65" customHeight="1">
      <c r="A1300" s="1017" t="s">
        <v>2067</v>
      </c>
      <c r="B1300" s="1017" t="s">
        <v>2053</v>
      </c>
      <c r="C1300" s="1017" t="s">
        <v>2068</v>
      </c>
      <c r="D1300" s="1016">
        <v>0.16</v>
      </c>
      <c r="E1300" s="1015">
        <v>88</v>
      </c>
      <c r="F1300" s="1014">
        <v>11.1</v>
      </c>
      <c r="G1300" s="1013">
        <v>89.5</v>
      </c>
      <c r="H1300" s="1012">
        <v>97.6</v>
      </c>
    </row>
    <row r="1301" spans="1:8" ht="12.65" customHeight="1">
      <c r="A1301" s="1017" t="s">
        <v>2064</v>
      </c>
      <c r="B1301" s="1017" t="s">
        <v>2053</v>
      </c>
      <c r="C1301" s="1017" t="s">
        <v>2065</v>
      </c>
      <c r="D1301" s="1016">
        <v>0.16</v>
      </c>
      <c r="E1301" s="1015">
        <v>88.6</v>
      </c>
      <c r="F1301" s="1014">
        <v>8.4</v>
      </c>
      <c r="G1301" s="1013">
        <v>50.6</v>
      </c>
      <c r="H1301" s="1012">
        <v>99.2</v>
      </c>
    </row>
    <row r="1302" spans="1:8" ht="12.65" customHeight="1">
      <c r="A1302" s="1017" t="s">
        <v>2061</v>
      </c>
      <c r="B1302" s="1017" t="s">
        <v>2053</v>
      </c>
      <c r="C1302" s="1017" t="s">
        <v>2062</v>
      </c>
      <c r="D1302" s="1016">
        <v>0.1</v>
      </c>
      <c r="E1302" s="1015">
        <v>83.1</v>
      </c>
      <c r="F1302" s="1014">
        <v>3.2</v>
      </c>
      <c r="G1302" s="1013" t="s">
        <v>6080</v>
      </c>
      <c r="H1302" s="1012">
        <v>97.7</v>
      </c>
    </row>
    <row r="1303" spans="1:8" ht="12.65" customHeight="1">
      <c r="A1303" s="1017" t="s">
        <v>2058</v>
      </c>
      <c r="B1303" s="1017" t="s">
        <v>2053</v>
      </c>
      <c r="C1303" s="1017" t="s">
        <v>2059</v>
      </c>
      <c r="D1303" s="1016">
        <v>0.1</v>
      </c>
      <c r="E1303" s="1015">
        <v>91.8</v>
      </c>
      <c r="F1303" s="1014">
        <v>12.4</v>
      </c>
      <c r="G1303" s="1013">
        <v>59</v>
      </c>
      <c r="H1303" s="1012">
        <v>98.7</v>
      </c>
    </row>
    <row r="1304" spans="1:8" ht="12.65" customHeight="1">
      <c r="A1304" s="1017" t="s">
        <v>2055</v>
      </c>
      <c r="B1304" s="1017" t="s">
        <v>2053</v>
      </c>
      <c r="C1304" s="1017" t="s">
        <v>2056</v>
      </c>
      <c r="D1304" s="1016">
        <v>0.06</v>
      </c>
      <c r="E1304" s="1015">
        <v>88.9</v>
      </c>
      <c r="F1304" s="1014">
        <v>12.6</v>
      </c>
      <c r="G1304" s="1013">
        <v>60.6</v>
      </c>
      <c r="H1304" s="1012">
        <v>97.6</v>
      </c>
    </row>
    <row r="1305" spans="1:8" ht="12.65" customHeight="1">
      <c r="A1305" s="1017" t="s">
        <v>2051</v>
      </c>
      <c r="B1305" s="1017" t="s">
        <v>2053</v>
      </c>
      <c r="C1305" s="1017" t="s">
        <v>2052</v>
      </c>
      <c r="D1305" s="1016">
        <v>0.19</v>
      </c>
      <c r="E1305" s="1015">
        <v>89.4</v>
      </c>
      <c r="F1305" s="1014">
        <v>12.1</v>
      </c>
      <c r="G1305" s="1013">
        <v>135.4</v>
      </c>
      <c r="H1305" s="1012">
        <v>98.9</v>
      </c>
    </row>
    <row r="1306" spans="1:8" ht="12.65" customHeight="1">
      <c r="A1306" s="1017" t="s">
        <v>2044</v>
      </c>
      <c r="B1306" s="1017" t="s">
        <v>1967</v>
      </c>
      <c r="C1306" s="1017" t="s">
        <v>2045</v>
      </c>
      <c r="D1306" s="1016">
        <v>0.74</v>
      </c>
      <c r="E1306" s="1015">
        <v>90</v>
      </c>
      <c r="F1306" s="1014">
        <v>5.6</v>
      </c>
      <c r="G1306" s="1013" t="s">
        <v>6080</v>
      </c>
      <c r="H1306" s="1012">
        <v>101.1</v>
      </c>
    </row>
    <row r="1307" spans="1:8" ht="12.65" customHeight="1">
      <c r="A1307" s="1017" t="s">
        <v>2041</v>
      </c>
      <c r="B1307" s="1017" t="s">
        <v>1967</v>
      </c>
      <c r="C1307" s="1017" t="s">
        <v>2042</v>
      </c>
      <c r="D1307" s="1016">
        <v>0.83</v>
      </c>
      <c r="E1307" s="1015">
        <v>91.2</v>
      </c>
      <c r="F1307" s="1014">
        <v>3</v>
      </c>
      <c r="G1307" s="1013" t="s">
        <v>6080</v>
      </c>
      <c r="H1307" s="1012">
        <v>100.5</v>
      </c>
    </row>
    <row r="1308" spans="1:8" ht="12.65" customHeight="1">
      <c r="A1308" s="1017" t="s">
        <v>2038</v>
      </c>
      <c r="B1308" s="1017" t="s">
        <v>1967</v>
      </c>
      <c r="C1308" s="1017" t="s">
        <v>2039</v>
      </c>
      <c r="D1308" s="1016">
        <v>0.51</v>
      </c>
      <c r="E1308" s="1015">
        <v>92.9</v>
      </c>
      <c r="F1308" s="1014">
        <v>12.7</v>
      </c>
      <c r="G1308" s="1013">
        <v>86.3</v>
      </c>
      <c r="H1308" s="1012">
        <v>100</v>
      </c>
    </row>
    <row r="1309" spans="1:8" ht="12.65" customHeight="1">
      <c r="A1309" s="1017" t="s">
        <v>2035</v>
      </c>
      <c r="B1309" s="1017" t="s">
        <v>1967</v>
      </c>
      <c r="C1309" s="1017" t="s">
        <v>2036</v>
      </c>
      <c r="D1309" s="1016">
        <v>0.52</v>
      </c>
      <c r="E1309" s="1015">
        <v>95.1</v>
      </c>
      <c r="F1309" s="1014">
        <v>4.3</v>
      </c>
      <c r="G1309" s="1013" t="s">
        <v>6080</v>
      </c>
      <c r="H1309" s="1012">
        <v>98.2</v>
      </c>
    </row>
    <row r="1310" spans="1:8" ht="12.65" customHeight="1">
      <c r="A1310" s="1017" t="s">
        <v>2032</v>
      </c>
      <c r="B1310" s="1017" t="s">
        <v>1967</v>
      </c>
      <c r="C1310" s="1017" t="s">
        <v>2033</v>
      </c>
      <c r="D1310" s="1016">
        <v>0.56000000000000005</v>
      </c>
      <c r="E1310" s="1015">
        <v>97.3</v>
      </c>
      <c r="F1310" s="1014">
        <v>7.8</v>
      </c>
      <c r="G1310" s="1013">
        <v>48.2</v>
      </c>
      <c r="H1310" s="1012">
        <v>99.6</v>
      </c>
    </row>
    <row r="1311" spans="1:8" ht="12.65" customHeight="1">
      <c r="A1311" s="1017" t="s">
        <v>2029</v>
      </c>
      <c r="B1311" s="1017" t="s">
        <v>1967</v>
      </c>
      <c r="C1311" s="1017" t="s">
        <v>2030</v>
      </c>
      <c r="D1311" s="1016">
        <v>0.39</v>
      </c>
      <c r="E1311" s="1015">
        <v>87.6</v>
      </c>
      <c r="F1311" s="1014">
        <v>9.5</v>
      </c>
      <c r="G1311" s="1013" t="s">
        <v>6080</v>
      </c>
      <c r="H1311" s="1012">
        <v>99.4</v>
      </c>
    </row>
    <row r="1312" spans="1:8" ht="12.65" customHeight="1">
      <c r="A1312" s="1017" t="s">
        <v>2026</v>
      </c>
      <c r="B1312" s="1017" t="s">
        <v>1967</v>
      </c>
      <c r="C1312" s="1017" t="s">
        <v>2027</v>
      </c>
      <c r="D1312" s="1016">
        <v>0.56000000000000005</v>
      </c>
      <c r="E1312" s="1015">
        <v>94.6</v>
      </c>
      <c r="F1312" s="1014">
        <v>6.5</v>
      </c>
      <c r="G1312" s="1013" t="s">
        <v>6080</v>
      </c>
      <c r="H1312" s="1012">
        <v>97.6</v>
      </c>
    </row>
    <row r="1313" spans="1:8" ht="12.65" customHeight="1">
      <c r="A1313" s="1017" t="s">
        <v>2023</v>
      </c>
      <c r="B1313" s="1017" t="s">
        <v>1967</v>
      </c>
      <c r="C1313" s="1017" t="s">
        <v>2024</v>
      </c>
      <c r="D1313" s="1016">
        <v>0.3</v>
      </c>
      <c r="E1313" s="1015">
        <v>96</v>
      </c>
      <c r="F1313" s="1014">
        <v>11.3</v>
      </c>
      <c r="G1313" s="1013">
        <v>48.1</v>
      </c>
      <c r="H1313" s="1012">
        <v>98.1</v>
      </c>
    </row>
    <row r="1314" spans="1:8" ht="12.65" customHeight="1">
      <c r="A1314" s="1017" t="s">
        <v>2020</v>
      </c>
      <c r="B1314" s="1017" t="s">
        <v>1967</v>
      </c>
      <c r="C1314" s="1017" t="s">
        <v>2021</v>
      </c>
      <c r="D1314" s="1016">
        <v>0.26</v>
      </c>
      <c r="E1314" s="1015">
        <v>85.2</v>
      </c>
      <c r="F1314" s="1014">
        <v>7.6</v>
      </c>
      <c r="G1314" s="1013">
        <v>0.5</v>
      </c>
      <c r="H1314" s="1012">
        <v>97.6</v>
      </c>
    </row>
    <row r="1315" spans="1:8" ht="12.65" customHeight="1">
      <c r="A1315" s="1017" t="s">
        <v>2017</v>
      </c>
      <c r="B1315" s="1017" t="s">
        <v>1967</v>
      </c>
      <c r="C1315" s="1017" t="s">
        <v>2018</v>
      </c>
      <c r="D1315" s="1016">
        <v>0.41</v>
      </c>
      <c r="E1315" s="1015">
        <v>88.9</v>
      </c>
      <c r="F1315" s="1014">
        <v>9.1</v>
      </c>
      <c r="G1315" s="1013" t="s">
        <v>6080</v>
      </c>
      <c r="H1315" s="1012">
        <v>98</v>
      </c>
    </row>
    <row r="1316" spans="1:8" ht="12.65" customHeight="1">
      <c r="A1316" s="1017" t="s">
        <v>2014</v>
      </c>
      <c r="B1316" s="1017" t="s">
        <v>1967</v>
      </c>
      <c r="C1316" s="1017" t="s">
        <v>2015</v>
      </c>
      <c r="D1316" s="1016">
        <v>0.55000000000000004</v>
      </c>
      <c r="E1316" s="1015">
        <v>88.9</v>
      </c>
      <c r="F1316" s="1014">
        <v>8.6999999999999993</v>
      </c>
      <c r="G1316" s="1013">
        <v>41.4</v>
      </c>
      <c r="H1316" s="1012">
        <v>96.6</v>
      </c>
    </row>
    <row r="1317" spans="1:8" ht="12.65" customHeight="1">
      <c r="A1317" s="1017" t="s">
        <v>2011</v>
      </c>
      <c r="B1317" s="1017" t="s">
        <v>1967</v>
      </c>
      <c r="C1317" s="1017" t="s">
        <v>2012</v>
      </c>
      <c r="D1317" s="1016">
        <v>0.43</v>
      </c>
      <c r="E1317" s="1015">
        <v>91.2</v>
      </c>
      <c r="F1317" s="1014">
        <v>7.9</v>
      </c>
      <c r="G1317" s="1013" t="s">
        <v>6080</v>
      </c>
      <c r="H1317" s="1012">
        <v>96.3</v>
      </c>
    </row>
    <row r="1318" spans="1:8" ht="12.65" customHeight="1">
      <c r="A1318" s="1017" t="s">
        <v>2008</v>
      </c>
      <c r="B1318" s="1017" t="s">
        <v>1967</v>
      </c>
      <c r="C1318" s="1017" t="s">
        <v>2009</v>
      </c>
      <c r="D1318" s="1016">
        <v>0.28999999999999998</v>
      </c>
      <c r="E1318" s="1015">
        <v>93.4</v>
      </c>
      <c r="F1318" s="1014">
        <v>10.9</v>
      </c>
      <c r="G1318" s="1013" t="s">
        <v>6080</v>
      </c>
      <c r="H1318" s="1012">
        <v>97.8</v>
      </c>
    </row>
    <row r="1319" spans="1:8" ht="12.65" customHeight="1">
      <c r="A1319" s="1017" t="s">
        <v>2005</v>
      </c>
      <c r="B1319" s="1017" t="s">
        <v>1967</v>
      </c>
      <c r="C1319" s="1017" t="s">
        <v>2006</v>
      </c>
      <c r="D1319" s="1016">
        <v>0.28000000000000003</v>
      </c>
      <c r="E1319" s="1015">
        <v>89.8</v>
      </c>
      <c r="F1319" s="1014">
        <v>10.8</v>
      </c>
      <c r="G1319" s="1013" t="s">
        <v>6080</v>
      </c>
      <c r="H1319" s="1012">
        <v>97.1</v>
      </c>
    </row>
    <row r="1320" spans="1:8" ht="12.65" customHeight="1">
      <c r="A1320" s="1017" t="s">
        <v>2002</v>
      </c>
      <c r="B1320" s="1017" t="s">
        <v>1967</v>
      </c>
      <c r="C1320" s="1017" t="s">
        <v>2003</v>
      </c>
      <c r="D1320" s="1016">
        <v>0.42</v>
      </c>
      <c r="E1320" s="1015">
        <v>92.5</v>
      </c>
      <c r="F1320" s="1014">
        <v>7.1</v>
      </c>
      <c r="G1320" s="1013" t="s">
        <v>6080</v>
      </c>
      <c r="H1320" s="1012">
        <v>97.8</v>
      </c>
    </row>
    <row r="1321" spans="1:8" ht="12.65" customHeight="1">
      <c r="A1321" s="1017" t="s">
        <v>1999</v>
      </c>
      <c r="B1321" s="1017" t="s">
        <v>1967</v>
      </c>
      <c r="C1321" s="1017" t="s">
        <v>2000</v>
      </c>
      <c r="D1321" s="1016">
        <v>0.32</v>
      </c>
      <c r="E1321" s="1015">
        <v>88.3</v>
      </c>
      <c r="F1321" s="1014">
        <v>8</v>
      </c>
      <c r="G1321" s="1013">
        <v>18.899999999999999</v>
      </c>
      <c r="H1321" s="1012">
        <v>94.1</v>
      </c>
    </row>
    <row r="1322" spans="1:8" ht="12.65" customHeight="1">
      <c r="A1322" s="1017" t="s">
        <v>1996</v>
      </c>
      <c r="B1322" s="1017" t="s">
        <v>1967</v>
      </c>
      <c r="C1322" s="1017" t="s">
        <v>1997</v>
      </c>
      <c r="D1322" s="1016">
        <v>0.66</v>
      </c>
      <c r="E1322" s="1015">
        <v>90.7</v>
      </c>
      <c r="F1322" s="1014">
        <v>5.2</v>
      </c>
      <c r="G1322" s="1013" t="s">
        <v>6080</v>
      </c>
      <c r="H1322" s="1012">
        <v>97.7</v>
      </c>
    </row>
    <row r="1323" spans="1:8" ht="12.65" customHeight="1">
      <c r="A1323" s="1017" t="s">
        <v>1993</v>
      </c>
      <c r="B1323" s="1017" t="s">
        <v>1967</v>
      </c>
      <c r="C1323" s="1017" t="s">
        <v>1994</v>
      </c>
      <c r="D1323" s="1016">
        <v>0.51</v>
      </c>
      <c r="E1323" s="1015">
        <v>88.3</v>
      </c>
      <c r="F1323" s="1014">
        <v>7.6</v>
      </c>
      <c r="G1323" s="1013" t="s">
        <v>6080</v>
      </c>
      <c r="H1323" s="1012">
        <v>94.7</v>
      </c>
    </row>
    <row r="1324" spans="1:8" ht="12.65" customHeight="1">
      <c r="A1324" s="1017" t="s">
        <v>1990</v>
      </c>
      <c r="B1324" s="1017" t="s">
        <v>1967</v>
      </c>
      <c r="C1324" s="1017" t="s">
        <v>1991</v>
      </c>
      <c r="D1324" s="1016">
        <v>0.32</v>
      </c>
      <c r="E1324" s="1015">
        <v>88.8</v>
      </c>
      <c r="F1324" s="1014">
        <v>8.4</v>
      </c>
      <c r="G1324" s="1013" t="s">
        <v>6080</v>
      </c>
      <c r="H1324" s="1012">
        <v>98</v>
      </c>
    </row>
    <row r="1325" spans="1:8" ht="12.65" customHeight="1">
      <c r="A1325" s="1017" t="s">
        <v>1987</v>
      </c>
      <c r="B1325" s="1017" t="s">
        <v>1967</v>
      </c>
      <c r="C1325" s="1017" t="s">
        <v>1988</v>
      </c>
      <c r="D1325" s="1016">
        <v>0.18</v>
      </c>
      <c r="E1325" s="1015">
        <v>89.4</v>
      </c>
      <c r="F1325" s="1014">
        <v>6.7</v>
      </c>
      <c r="G1325" s="1013" t="s">
        <v>6080</v>
      </c>
      <c r="H1325" s="1012">
        <v>94.4</v>
      </c>
    </row>
    <row r="1326" spans="1:8" ht="12.65" customHeight="1">
      <c r="A1326" s="1017" t="s">
        <v>1984</v>
      </c>
      <c r="B1326" s="1017" t="s">
        <v>1967</v>
      </c>
      <c r="C1326" s="1017" t="s">
        <v>1985</v>
      </c>
      <c r="D1326" s="1016">
        <v>0.28999999999999998</v>
      </c>
      <c r="E1326" s="1015">
        <v>86.4</v>
      </c>
      <c r="F1326" s="1014">
        <v>12.1</v>
      </c>
      <c r="G1326" s="1013">
        <v>43.3</v>
      </c>
      <c r="H1326" s="1012">
        <v>95.6</v>
      </c>
    </row>
    <row r="1327" spans="1:8" ht="12.65" customHeight="1">
      <c r="A1327" s="1017" t="s">
        <v>1981</v>
      </c>
      <c r="B1327" s="1017" t="s">
        <v>1967</v>
      </c>
      <c r="C1327" s="1017" t="s">
        <v>1982</v>
      </c>
      <c r="D1327" s="1016">
        <v>0.48</v>
      </c>
      <c r="E1327" s="1015">
        <v>85.2</v>
      </c>
      <c r="F1327" s="1014">
        <v>12.8</v>
      </c>
      <c r="G1327" s="1013" t="s">
        <v>6080</v>
      </c>
      <c r="H1327" s="1012">
        <v>97</v>
      </c>
    </row>
    <row r="1328" spans="1:8" ht="12.65" customHeight="1">
      <c r="A1328" s="1017" t="s">
        <v>1978</v>
      </c>
      <c r="B1328" s="1017" t="s">
        <v>1967</v>
      </c>
      <c r="C1328" s="1017" t="s">
        <v>1979</v>
      </c>
      <c r="D1328" s="1016">
        <v>0.3</v>
      </c>
      <c r="E1328" s="1015">
        <v>83.4</v>
      </c>
      <c r="F1328" s="1014">
        <v>7.7</v>
      </c>
      <c r="G1328" s="1013" t="s">
        <v>6080</v>
      </c>
      <c r="H1328" s="1012">
        <v>95</v>
      </c>
    </row>
    <row r="1329" spans="1:8" ht="12.65" customHeight="1">
      <c r="A1329" s="1017" t="s">
        <v>1975</v>
      </c>
      <c r="B1329" s="1017" t="s">
        <v>1967</v>
      </c>
      <c r="C1329" s="1017" t="s">
        <v>1976</v>
      </c>
      <c r="D1329" s="1016">
        <v>0.12</v>
      </c>
      <c r="E1329" s="1015">
        <v>94.4</v>
      </c>
      <c r="F1329" s="1014">
        <v>13.8</v>
      </c>
      <c r="G1329" s="1013">
        <v>25.2</v>
      </c>
      <c r="H1329" s="1012">
        <v>95.4</v>
      </c>
    </row>
    <row r="1330" spans="1:8" ht="12.65" customHeight="1">
      <c r="A1330" s="1017" t="s">
        <v>1972</v>
      </c>
      <c r="B1330" s="1017" t="s">
        <v>1967</v>
      </c>
      <c r="C1330" s="1017" t="s">
        <v>1973</v>
      </c>
      <c r="D1330" s="1016">
        <v>0.22</v>
      </c>
      <c r="E1330" s="1015">
        <v>84.7</v>
      </c>
      <c r="F1330" s="1014">
        <v>10.3</v>
      </c>
      <c r="G1330" s="1013" t="s">
        <v>6080</v>
      </c>
      <c r="H1330" s="1012">
        <v>95.4</v>
      </c>
    </row>
    <row r="1331" spans="1:8" ht="12.65" customHeight="1">
      <c r="A1331" s="1017" t="s">
        <v>1969</v>
      </c>
      <c r="B1331" s="1017" t="s">
        <v>1967</v>
      </c>
      <c r="C1331" s="1017" t="s">
        <v>1970</v>
      </c>
      <c r="D1331" s="1016">
        <v>0.26</v>
      </c>
      <c r="E1331" s="1015">
        <v>82.3</v>
      </c>
      <c r="F1331" s="1014">
        <v>9.3000000000000007</v>
      </c>
      <c r="G1331" s="1013" t="s">
        <v>6080</v>
      </c>
      <c r="H1331" s="1012">
        <v>95.6</v>
      </c>
    </row>
    <row r="1332" spans="1:8" ht="12.65" customHeight="1">
      <c r="A1332" s="1017" t="s">
        <v>1965</v>
      </c>
      <c r="B1332" s="1017" t="s">
        <v>1967</v>
      </c>
      <c r="C1332" s="1017" t="s">
        <v>1966</v>
      </c>
      <c r="D1332" s="1016">
        <v>0.28000000000000003</v>
      </c>
      <c r="E1332" s="1015">
        <v>88.6</v>
      </c>
      <c r="F1332" s="1014">
        <v>8.8000000000000007</v>
      </c>
      <c r="G1332" s="1013" t="s">
        <v>6080</v>
      </c>
      <c r="H1332" s="1012">
        <v>95.5</v>
      </c>
    </row>
    <row r="1333" spans="1:8" ht="12.65" customHeight="1">
      <c r="A1333" s="1017" t="s">
        <v>1958</v>
      </c>
      <c r="B1333" s="1017" t="s">
        <v>1894</v>
      </c>
      <c r="C1333" s="1017" t="s">
        <v>1959</v>
      </c>
      <c r="D1333" s="1016">
        <v>0.78</v>
      </c>
      <c r="E1333" s="1015">
        <v>98.7</v>
      </c>
      <c r="F1333" s="1014">
        <v>9.6</v>
      </c>
      <c r="G1333" s="1013">
        <v>165.4</v>
      </c>
      <c r="H1333" s="1012">
        <v>99.9</v>
      </c>
    </row>
    <row r="1334" spans="1:8" ht="12.65" customHeight="1">
      <c r="A1334" s="1017" t="s">
        <v>1955</v>
      </c>
      <c r="B1334" s="1017" t="s">
        <v>1894</v>
      </c>
      <c r="C1334" s="1017" t="s">
        <v>1956</v>
      </c>
      <c r="D1334" s="1016">
        <v>0.57999999999999996</v>
      </c>
      <c r="E1334" s="1015">
        <v>95.1</v>
      </c>
      <c r="F1334" s="1014">
        <v>5.4</v>
      </c>
      <c r="G1334" s="1013">
        <v>34.9</v>
      </c>
      <c r="H1334" s="1012">
        <v>98.1</v>
      </c>
    </row>
    <row r="1335" spans="1:8" ht="12.65" customHeight="1">
      <c r="A1335" s="1017" t="s">
        <v>1952</v>
      </c>
      <c r="B1335" s="1017" t="s">
        <v>1894</v>
      </c>
      <c r="C1335" s="1017" t="s">
        <v>1953</v>
      </c>
      <c r="D1335" s="1016">
        <v>0.71</v>
      </c>
      <c r="E1335" s="1015">
        <v>93.4</v>
      </c>
      <c r="F1335" s="1014">
        <v>8.6</v>
      </c>
      <c r="G1335" s="1013">
        <v>32.299999999999997</v>
      </c>
      <c r="H1335" s="1012">
        <v>100.6</v>
      </c>
    </row>
    <row r="1336" spans="1:8" ht="12.65" customHeight="1">
      <c r="A1336" s="1017" t="s">
        <v>1949</v>
      </c>
      <c r="B1336" s="1017" t="s">
        <v>1894</v>
      </c>
      <c r="C1336" s="1017" t="s">
        <v>1950</v>
      </c>
      <c r="D1336" s="1016">
        <v>0.53</v>
      </c>
      <c r="E1336" s="1015">
        <v>95.4</v>
      </c>
      <c r="F1336" s="1014">
        <v>9.6</v>
      </c>
      <c r="G1336" s="1013">
        <v>11.4</v>
      </c>
      <c r="H1336" s="1012">
        <v>96.4</v>
      </c>
    </row>
    <row r="1337" spans="1:8" ht="12.65" customHeight="1">
      <c r="A1337" s="1017" t="s">
        <v>1946</v>
      </c>
      <c r="B1337" s="1017" t="s">
        <v>1894</v>
      </c>
      <c r="C1337" s="1017" t="s">
        <v>1947</v>
      </c>
      <c r="D1337" s="1016">
        <v>0.51</v>
      </c>
      <c r="E1337" s="1015">
        <v>94.9</v>
      </c>
      <c r="F1337" s="1014">
        <v>7.8</v>
      </c>
      <c r="G1337" s="1013">
        <v>5.5</v>
      </c>
      <c r="H1337" s="1012">
        <v>100.3</v>
      </c>
    </row>
    <row r="1338" spans="1:8" ht="12.65" customHeight="1">
      <c r="A1338" s="1017" t="s">
        <v>1943</v>
      </c>
      <c r="B1338" s="1017" t="s">
        <v>1894</v>
      </c>
      <c r="C1338" s="1017" t="s">
        <v>1944</v>
      </c>
      <c r="D1338" s="1016">
        <v>0.78</v>
      </c>
      <c r="E1338" s="1015">
        <v>82.6</v>
      </c>
      <c r="F1338" s="1014">
        <v>1.1000000000000001</v>
      </c>
      <c r="G1338" s="1013" t="s">
        <v>6080</v>
      </c>
      <c r="H1338" s="1012">
        <v>100.3</v>
      </c>
    </row>
    <row r="1339" spans="1:8" ht="12.65" customHeight="1">
      <c r="A1339" s="1017" t="s">
        <v>1940</v>
      </c>
      <c r="B1339" s="1017" t="s">
        <v>1894</v>
      </c>
      <c r="C1339" s="1017" t="s">
        <v>1941</v>
      </c>
      <c r="D1339" s="1016">
        <v>0.43</v>
      </c>
      <c r="E1339" s="1015">
        <v>96.1</v>
      </c>
      <c r="F1339" s="1014">
        <v>8</v>
      </c>
      <c r="G1339" s="1013">
        <v>47.4</v>
      </c>
      <c r="H1339" s="1012">
        <v>99.4</v>
      </c>
    </row>
    <row r="1340" spans="1:8" ht="12.65" customHeight="1">
      <c r="A1340" s="1017" t="s">
        <v>1937</v>
      </c>
      <c r="B1340" s="1017" t="s">
        <v>1894</v>
      </c>
      <c r="C1340" s="1017" t="s">
        <v>1938</v>
      </c>
      <c r="D1340" s="1016">
        <v>0.34</v>
      </c>
      <c r="E1340" s="1015">
        <v>98</v>
      </c>
      <c r="F1340" s="1014">
        <v>7.3</v>
      </c>
      <c r="G1340" s="1013">
        <v>31.8</v>
      </c>
      <c r="H1340" s="1012">
        <v>97.1</v>
      </c>
    </row>
    <row r="1341" spans="1:8" ht="12.65" customHeight="1">
      <c r="A1341" s="1017" t="s">
        <v>1935</v>
      </c>
      <c r="B1341" s="1017" t="s">
        <v>1894</v>
      </c>
      <c r="C1341" s="1017" t="s">
        <v>1936</v>
      </c>
      <c r="D1341" s="1016">
        <v>0.26</v>
      </c>
      <c r="E1341" s="1015">
        <v>97.9</v>
      </c>
      <c r="F1341" s="1014">
        <v>11.4</v>
      </c>
      <c r="G1341" s="1013">
        <v>72.7</v>
      </c>
      <c r="H1341" s="1012">
        <v>96.5</v>
      </c>
    </row>
    <row r="1342" spans="1:8" ht="12.65" customHeight="1">
      <c r="A1342" s="1017" t="s">
        <v>1932</v>
      </c>
      <c r="B1342" s="1017" t="s">
        <v>1894</v>
      </c>
      <c r="C1342" s="1017" t="s">
        <v>1933</v>
      </c>
      <c r="D1342" s="1016">
        <v>0.73</v>
      </c>
      <c r="E1342" s="1015">
        <v>96.9</v>
      </c>
      <c r="F1342" s="1014">
        <v>13</v>
      </c>
      <c r="G1342" s="1013">
        <v>91.4</v>
      </c>
      <c r="H1342" s="1012">
        <v>98.5</v>
      </c>
    </row>
    <row r="1343" spans="1:8" ht="12.65" customHeight="1">
      <c r="A1343" s="1017" t="s">
        <v>1929</v>
      </c>
      <c r="B1343" s="1017" t="s">
        <v>1894</v>
      </c>
      <c r="C1343" s="1017" t="s">
        <v>1930</v>
      </c>
      <c r="D1343" s="1016">
        <v>0.85</v>
      </c>
      <c r="E1343" s="1015">
        <v>92.7</v>
      </c>
      <c r="F1343" s="1014">
        <v>2.9</v>
      </c>
      <c r="G1343" s="1013" t="s">
        <v>6080</v>
      </c>
      <c r="H1343" s="1012">
        <v>100.2</v>
      </c>
    </row>
    <row r="1344" spans="1:8" ht="12.65" customHeight="1">
      <c r="A1344" s="1017" t="s">
        <v>1926</v>
      </c>
      <c r="B1344" s="1017" t="s">
        <v>1894</v>
      </c>
      <c r="C1344" s="1017" t="s">
        <v>1927</v>
      </c>
      <c r="D1344" s="1016">
        <v>0.57999999999999996</v>
      </c>
      <c r="E1344" s="1015">
        <v>95.4</v>
      </c>
      <c r="F1344" s="1014">
        <v>6.8</v>
      </c>
      <c r="G1344" s="1013">
        <v>64.7</v>
      </c>
      <c r="H1344" s="1012">
        <v>98.5</v>
      </c>
    </row>
    <row r="1345" spans="1:8" ht="12.65" customHeight="1">
      <c r="A1345" s="1017" t="s">
        <v>1923</v>
      </c>
      <c r="B1345" s="1017" t="s">
        <v>1894</v>
      </c>
      <c r="C1345" s="1017" t="s">
        <v>1924</v>
      </c>
      <c r="D1345" s="1016">
        <v>0.33</v>
      </c>
      <c r="E1345" s="1015">
        <v>92.1</v>
      </c>
      <c r="F1345" s="1014">
        <v>10.9</v>
      </c>
      <c r="G1345" s="1013">
        <v>62.9</v>
      </c>
      <c r="H1345" s="1012">
        <v>99.2</v>
      </c>
    </row>
    <row r="1346" spans="1:8" ht="12.65" customHeight="1">
      <c r="A1346" s="1017" t="s">
        <v>1920</v>
      </c>
      <c r="B1346" s="1017" t="s">
        <v>1894</v>
      </c>
      <c r="C1346" s="1017" t="s">
        <v>1921</v>
      </c>
      <c r="D1346" s="1016">
        <v>0.3</v>
      </c>
      <c r="E1346" s="1015">
        <v>97.9</v>
      </c>
      <c r="F1346" s="1014">
        <v>7.8</v>
      </c>
      <c r="G1346" s="1013" t="s">
        <v>6080</v>
      </c>
      <c r="H1346" s="1012">
        <v>98</v>
      </c>
    </row>
    <row r="1347" spans="1:8" ht="12.65" customHeight="1">
      <c r="A1347" s="1017" t="s">
        <v>1917</v>
      </c>
      <c r="B1347" s="1017" t="s">
        <v>1894</v>
      </c>
      <c r="C1347" s="1017" t="s">
        <v>1918</v>
      </c>
      <c r="D1347" s="1016">
        <v>0.78</v>
      </c>
      <c r="E1347" s="1015">
        <v>96.1</v>
      </c>
      <c r="F1347" s="1014">
        <v>8.5</v>
      </c>
      <c r="G1347" s="1013">
        <v>83</v>
      </c>
      <c r="H1347" s="1012">
        <v>98.6</v>
      </c>
    </row>
    <row r="1348" spans="1:8" ht="12.65" customHeight="1">
      <c r="A1348" s="1017" t="s">
        <v>1914</v>
      </c>
      <c r="B1348" s="1017" t="s">
        <v>1894</v>
      </c>
      <c r="C1348" s="1017" t="s">
        <v>1915</v>
      </c>
      <c r="D1348" s="1016">
        <v>0.78</v>
      </c>
      <c r="E1348" s="1015">
        <v>88</v>
      </c>
      <c r="F1348" s="1014">
        <v>7</v>
      </c>
      <c r="G1348" s="1013">
        <v>0.9</v>
      </c>
      <c r="H1348" s="1012">
        <v>96.9</v>
      </c>
    </row>
    <row r="1349" spans="1:8" ht="12.65" customHeight="1">
      <c r="A1349" s="1017" t="s">
        <v>1911</v>
      </c>
      <c r="B1349" s="1017" t="s">
        <v>1894</v>
      </c>
      <c r="C1349" s="1017" t="s">
        <v>1912</v>
      </c>
      <c r="D1349" s="1016">
        <v>0.49</v>
      </c>
      <c r="E1349" s="1015">
        <v>91.7</v>
      </c>
      <c r="F1349" s="1014">
        <v>6.5</v>
      </c>
      <c r="G1349" s="1013" t="s">
        <v>6080</v>
      </c>
      <c r="H1349" s="1012">
        <v>93.8</v>
      </c>
    </row>
    <row r="1350" spans="1:8" ht="12.65" customHeight="1">
      <c r="A1350" s="1017" t="s">
        <v>1908</v>
      </c>
      <c r="B1350" s="1017" t="s">
        <v>1894</v>
      </c>
      <c r="C1350" s="1017" t="s">
        <v>1909</v>
      </c>
      <c r="D1350" s="1016">
        <v>0.6</v>
      </c>
      <c r="E1350" s="1015">
        <v>88.5</v>
      </c>
      <c r="F1350" s="1014">
        <v>5.5</v>
      </c>
      <c r="G1350" s="1013" t="s">
        <v>6080</v>
      </c>
      <c r="H1350" s="1012">
        <v>94.3</v>
      </c>
    </row>
    <row r="1351" spans="1:8" ht="12.65" customHeight="1">
      <c r="A1351" s="1017" t="s">
        <v>1905</v>
      </c>
      <c r="B1351" s="1017" t="s">
        <v>1894</v>
      </c>
      <c r="C1351" s="1017" t="s">
        <v>1906</v>
      </c>
      <c r="D1351" s="1016">
        <v>0.19</v>
      </c>
      <c r="E1351" s="1015">
        <v>97.9</v>
      </c>
      <c r="F1351" s="1014">
        <v>12.6</v>
      </c>
      <c r="G1351" s="1013">
        <v>1.1000000000000001</v>
      </c>
      <c r="H1351" s="1012">
        <v>96.1</v>
      </c>
    </row>
    <row r="1352" spans="1:8" ht="12.65" customHeight="1">
      <c r="A1352" s="1017" t="s">
        <v>1902</v>
      </c>
      <c r="B1352" s="1017" t="s">
        <v>1894</v>
      </c>
      <c r="C1352" s="1017" t="s">
        <v>1903</v>
      </c>
      <c r="D1352" s="1016">
        <v>0.35</v>
      </c>
      <c r="E1352" s="1015">
        <v>89.3</v>
      </c>
      <c r="F1352" s="1014">
        <v>12.2</v>
      </c>
      <c r="G1352" s="1013">
        <v>37</v>
      </c>
      <c r="H1352" s="1012">
        <v>97.4</v>
      </c>
    </row>
    <row r="1353" spans="1:8" ht="12.65" customHeight="1">
      <c r="A1353" s="1017" t="s">
        <v>1899</v>
      </c>
      <c r="B1353" s="1017" t="s">
        <v>1894</v>
      </c>
      <c r="C1353" s="1017" t="s">
        <v>1900</v>
      </c>
      <c r="D1353" s="1016">
        <v>0.28999999999999998</v>
      </c>
      <c r="E1353" s="1015">
        <v>93.8</v>
      </c>
      <c r="F1353" s="1014">
        <v>10.7</v>
      </c>
      <c r="G1353" s="1013" t="s">
        <v>6080</v>
      </c>
      <c r="H1353" s="1012">
        <v>95.9</v>
      </c>
    </row>
    <row r="1354" spans="1:8" ht="12.65" customHeight="1">
      <c r="A1354" s="1017" t="s">
        <v>1896</v>
      </c>
      <c r="B1354" s="1017" t="s">
        <v>1894</v>
      </c>
      <c r="C1354" s="1017" t="s">
        <v>1897</v>
      </c>
      <c r="D1354" s="1016">
        <v>0.32</v>
      </c>
      <c r="E1354" s="1015">
        <v>94.5</v>
      </c>
      <c r="F1354" s="1014">
        <v>9.3000000000000007</v>
      </c>
      <c r="G1354" s="1013">
        <v>1.5</v>
      </c>
      <c r="H1354" s="1012">
        <v>96</v>
      </c>
    </row>
    <row r="1355" spans="1:8" ht="12.65" customHeight="1">
      <c r="A1355" s="1017" t="s">
        <v>1892</v>
      </c>
      <c r="B1355" s="1017" t="s">
        <v>1894</v>
      </c>
      <c r="C1355" s="1017" t="s">
        <v>1893</v>
      </c>
      <c r="D1355" s="1016">
        <v>0.2</v>
      </c>
      <c r="E1355" s="1015">
        <v>81.2</v>
      </c>
      <c r="F1355" s="1014">
        <v>6.2</v>
      </c>
      <c r="G1355" s="1013" t="s">
        <v>6080</v>
      </c>
      <c r="H1355" s="1012">
        <v>95.8</v>
      </c>
    </row>
    <row r="1356" spans="1:8" ht="12.65" customHeight="1">
      <c r="A1356" s="1017" t="s">
        <v>1885</v>
      </c>
      <c r="B1356" s="1017" t="s">
        <v>1832</v>
      </c>
      <c r="C1356" s="1017" t="s">
        <v>1886</v>
      </c>
      <c r="D1356" s="1016">
        <v>0.54</v>
      </c>
      <c r="E1356" s="1015">
        <v>94.4</v>
      </c>
      <c r="F1356" s="1014">
        <v>9.9</v>
      </c>
      <c r="G1356" s="1013">
        <v>45.3</v>
      </c>
      <c r="H1356" s="1012">
        <v>98.7</v>
      </c>
    </row>
    <row r="1357" spans="1:8" ht="12.65" customHeight="1">
      <c r="A1357" s="1017" t="s">
        <v>1882</v>
      </c>
      <c r="B1357" s="1017" t="s">
        <v>1832</v>
      </c>
      <c r="C1357" s="1017" t="s">
        <v>1883</v>
      </c>
      <c r="D1357" s="1016">
        <v>0.7</v>
      </c>
      <c r="E1357" s="1015">
        <v>93.9</v>
      </c>
      <c r="F1357" s="1014">
        <v>2.5</v>
      </c>
      <c r="G1357" s="1013">
        <v>34.799999999999997</v>
      </c>
      <c r="H1357" s="1012">
        <v>100.3</v>
      </c>
    </row>
    <row r="1358" spans="1:8" ht="12.65" customHeight="1">
      <c r="A1358" s="1017" t="s">
        <v>1879</v>
      </c>
      <c r="B1358" s="1017" t="s">
        <v>1832</v>
      </c>
      <c r="C1358" s="1017" t="s">
        <v>1880</v>
      </c>
      <c r="D1358" s="1016">
        <v>0.62</v>
      </c>
      <c r="E1358" s="1015">
        <v>95.4</v>
      </c>
      <c r="F1358" s="1014">
        <v>6.1</v>
      </c>
      <c r="G1358" s="1013">
        <v>72.099999999999994</v>
      </c>
      <c r="H1358" s="1012">
        <v>99.9</v>
      </c>
    </row>
    <row r="1359" spans="1:8" ht="12.65" customHeight="1">
      <c r="A1359" s="1017" t="s">
        <v>1876</v>
      </c>
      <c r="B1359" s="1017" t="s">
        <v>1832</v>
      </c>
      <c r="C1359" s="1017" t="s">
        <v>1877</v>
      </c>
      <c r="D1359" s="1016">
        <v>0.32</v>
      </c>
      <c r="E1359" s="1015">
        <v>92.4</v>
      </c>
      <c r="F1359" s="1014">
        <v>5.8</v>
      </c>
      <c r="G1359" s="1013" t="s">
        <v>6080</v>
      </c>
      <c r="H1359" s="1012">
        <v>98.4</v>
      </c>
    </row>
    <row r="1360" spans="1:8" ht="12.65" customHeight="1">
      <c r="A1360" s="1017" t="s">
        <v>1873</v>
      </c>
      <c r="B1360" s="1017" t="s">
        <v>1832</v>
      </c>
      <c r="C1360" s="1017" t="s">
        <v>1874</v>
      </c>
      <c r="D1360" s="1016">
        <v>0.75</v>
      </c>
      <c r="E1360" s="1015">
        <v>92.4</v>
      </c>
      <c r="F1360" s="1014">
        <v>3.5</v>
      </c>
      <c r="G1360" s="1013" t="s">
        <v>6080</v>
      </c>
      <c r="H1360" s="1012">
        <v>100.1</v>
      </c>
    </row>
    <row r="1361" spans="1:8" ht="12.65" customHeight="1">
      <c r="A1361" s="1017" t="s">
        <v>1870</v>
      </c>
      <c r="B1361" s="1017" t="s">
        <v>1832</v>
      </c>
      <c r="C1361" s="1017" t="s">
        <v>1871</v>
      </c>
      <c r="D1361" s="1016">
        <v>0.83</v>
      </c>
      <c r="E1361" s="1015">
        <v>97.3</v>
      </c>
      <c r="F1361" s="1014">
        <v>4.5</v>
      </c>
      <c r="G1361" s="1013">
        <v>14.6</v>
      </c>
      <c r="H1361" s="1012">
        <v>98.9</v>
      </c>
    </row>
    <row r="1362" spans="1:8" ht="12.65" customHeight="1">
      <c r="A1362" s="1017" t="s">
        <v>1867</v>
      </c>
      <c r="B1362" s="1017" t="s">
        <v>1832</v>
      </c>
      <c r="C1362" s="1017" t="s">
        <v>1868</v>
      </c>
      <c r="D1362" s="1016">
        <v>0.54</v>
      </c>
      <c r="E1362" s="1015">
        <v>92.1</v>
      </c>
      <c r="F1362" s="1014">
        <v>4.5</v>
      </c>
      <c r="G1362" s="1013" t="s">
        <v>6080</v>
      </c>
      <c r="H1362" s="1012">
        <v>97.7</v>
      </c>
    </row>
    <row r="1363" spans="1:8" ht="12.65" customHeight="1">
      <c r="A1363" s="1017" t="s">
        <v>1864</v>
      </c>
      <c r="B1363" s="1017" t="s">
        <v>1832</v>
      </c>
      <c r="C1363" s="1017" t="s">
        <v>1865</v>
      </c>
      <c r="D1363" s="1016">
        <v>0.61</v>
      </c>
      <c r="E1363" s="1015">
        <v>95.7</v>
      </c>
      <c r="F1363" s="1014">
        <v>5.9</v>
      </c>
      <c r="G1363" s="1013" t="s">
        <v>6080</v>
      </c>
      <c r="H1363" s="1012">
        <v>98.3</v>
      </c>
    </row>
    <row r="1364" spans="1:8" ht="12.65" customHeight="1">
      <c r="A1364" s="1017" t="s">
        <v>1861</v>
      </c>
      <c r="B1364" s="1017" t="s">
        <v>1832</v>
      </c>
      <c r="C1364" s="1017" t="s">
        <v>1862</v>
      </c>
      <c r="D1364" s="1016">
        <v>0.32</v>
      </c>
      <c r="E1364" s="1015">
        <v>94.7</v>
      </c>
      <c r="F1364" s="1014">
        <v>6</v>
      </c>
      <c r="G1364" s="1013" t="s">
        <v>6080</v>
      </c>
      <c r="H1364" s="1012">
        <v>96.7</v>
      </c>
    </row>
    <row r="1365" spans="1:8" ht="12.65" customHeight="1">
      <c r="A1365" s="1017" t="s">
        <v>1858</v>
      </c>
      <c r="B1365" s="1017" t="s">
        <v>1832</v>
      </c>
      <c r="C1365" s="1017" t="s">
        <v>1859</v>
      </c>
      <c r="D1365" s="1016">
        <v>0.5</v>
      </c>
      <c r="E1365" s="1015">
        <v>92.3</v>
      </c>
      <c r="F1365" s="1014">
        <v>8.5</v>
      </c>
      <c r="G1365" s="1013">
        <v>39.299999999999997</v>
      </c>
      <c r="H1365" s="1012">
        <v>97.2</v>
      </c>
    </row>
    <row r="1366" spans="1:8" ht="12.65" customHeight="1">
      <c r="A1366" s="1017" t="s">
        <v>1855</v>
      </c>
      <c r="B1366" s="1017" t="s">
        <v>1832</v>
      </c>
      <c r="C1366" s="1017" t="s">
        <v>1856</v>
      </c>
      <c r="D1366" s="1016">
        <v>0.39</v>
      </c>
      <c r="E1366" s="1015">
        <v>98</v>
      </c>
      <c r="F1366" s="1014">
        <v>8.4</v>
      </c>
      <c r="G1366" s="1013">
        <v>103.8</v>
      </c>
      <c r="H1366" s="1012">
        <v>98.4</v>
      </c>
    </row>
    <row r="1367" spans="1:8" ht="12.65" customHeight="1">
      <c r="A1367" s="1017" t="s">
        <v>1852</v>
      </c>
      <c r="B1367" s="1017" t="s">
        <v>1832</v>
      </c>
      <c r="C1367" s="1017" t="s">
        <v>1853</v>
      </c>
      <c r="D1367" s="1016">
        <v>0.76</v>
      </c>
      <c r="E1367" s="1015">
        <v>94.7</v>
      </c>
      <c r="F1367" s="1014">
        <v>9.1999999999999993</v>
      </c>
      <c r="G1367" s="1013">
        <v>66</v>
      </c>
      <c r="H1367" s="1012">
        <v>100.6</v>
      </c>
    </row>
    <row r="1368" spans="1:8" ht="12.65" customHeight="1">
      <c r="A1368" s="1017" t="s">
        <v>1849</v>
      </c>
      <c r="B1368" s="1017" t="s">
        <v>1832</v>
      </c>
      <c r="C1368" s="1017" t="s">
        <v>1850</v>
      </c>
      <c r="D1368" s="1016">
        <v>0.55000000000000004</v>
      </c>
      <c r="E1368" s="1015">
        <v>95.6</v>
      </c>
      <c r="F1368" s="1014">
        <v>9.5</v>
      </c>
      <c r="G1368" s="1013">
        <v>37.6</v>
      </c>
      <c r="H1368" s="1012">
        <v>100</v>
      </c>
    </row>
    <row r="1369" spans="1:8" ht="12.65" customHeight="1">
      <c r="A1369" s="1017" t="s">
        <v>1846</v>
      </c>
      <c r="B1369" s="1017" t="s">
        <v>1832</v>
      </c>
      <c r="C1369" s="1017" t="s">
        <v>1847</v>
      </c>
      <c r="D1369" s="1016">
        <v>0.23</v>
      </c>
      <c r="E1369" s="1015">
        <v>115.5</v>
      </c>
      <c r="F1369" s="1014">
        <v>11.9</v>
      </c>
      <c r="G1369" s="1013" t="s">
        <v>6080</v>
      </c>
      <c r="H1369" s="1012">
        <v>94.1</v>
      </c>
    </row>
    <row r="1370" spans="1:8" ht="12.65" customHeight="1">
      <c r="A1370" s="1017" t="s">
        <v>1843</v>
      </c>
      <c r="B1370" s="1017" t="s">
        <v>1832</v>
      </c>
      <c r="C1370" s="1017" t="s">
        <v>1844</v>
      </c>
      <c r="D1370" s="1016">
        <v>0.62</v>
      </c>
      <c r="E1370" s="1015">
        <v>106.2</v>
      </c>
      <c r="F1370" s="1014">
        <v>7.7</v>
      </c>
      <c r="G1370" s="1013">
        <v>13.7</v>
      </c>
      <c r="H1370" s="1012">
        <v>96.3</v>
      </c>
    </row>
    <row r="1371" spans="1:8" ht="12.65" customHeight="1">
      <c r="A1371" s="1017" t="s">
        <v>1840</v>
      </c>
      <c r="B1371" s="1017" t="s">
        <v>1832</v>
      </c>
      <c r="C1371" s="1017" t="s">
        <v>1841</v>
      </c>
      <c r="D1371" s="1016">
        <v>0.11</v>
      </c>
      <c r="E1371" s="1015">
        <v>93.2</v>
      </c>
      <c r="F1371" s="1014">
        <v>9.5</v>
      </c>
      <c r="G1371" s="1013" t="s">
        <v>6080</v>
      </c>
      <c r="H1371" s="1012">
        <v>95.3</v>
      </c>
    </row>
    <row r="1372" spans="1:8" ht="12.65" customHeight="1">
      <c r="A1372" s="1017" t="s">
        <v>1837</v>
      </c>
      <c r="B1372" s="1017" t="s">
        <v>1832</v>
      </c>
      <c r="C1372" s="1017" t="s">
        <v>1838</v>
      </c>
      <c r="D1372" s="1016">
        <v>0.44</v>
      </c>
      <c r="E1372" s="1015">
        <v>90.6</v>
      </c>
      <c r="F1372" s="1014">
        <v>9.6999999999999993</v>
      </c>
      <c r="G1372" s="1013">
        <v>21.9</v>
      </c>
      <c r="H1372" s="1012">
        <v>97.3</v>
      </c>
    </row>
    <row r="1373" spans="1:8" ht="12.65" customHeight="1">
      <c r="A1373" s="1017" t="s">
        <v>1834</v>
      </c>
      <c r="B1373" s="1017" t="s">
        <v>1832</v>
      </c>
      <c r="C1373" s="1017" t="s">
        <v>1835</v>
      </c>
      <c r="D1373" s="1016">
        <v>0.39</v>
      </c>
      <c r="E1373" s="1015">
        <v>90.6</v>
      </c>
      <c r="F1373" s="1014">
        <v>12.2</v>
      </c>
      <c r="G1373" s="1013">
        <v>116.5</v>
      </c>
      <c r="H1373" s="1012">
        <v>95.5</v>
      </c>
    </row>
    <row r="1374" spans="1:8" ht="12.65" customHeight="1">
      <c r="A1374" s="1017" t="s">
        <v>1830</v>
      </c>
      <c r="B1374" s="1017" t="s">
        <v>1832</v>
      </c>
      <c r="C1374" s="1017" t="s">
        <v>1831</v>
      </c>
      <c r="D1374" s="1016">
        <v>0.15</v>
      </c>
      <c r="E1374" s="1015">
        <v>78.900000000000006</v>
      </c>
      <c r="F1374" s="1014">
        <v>-0.5</v>
      </c>
      <c r="G1374" s="1013" t="s">
        <v>6080</v>
      </c>
      <c r="H1374" s="1012">
        <v>97.2</v>
      </c>
    </row>
    <row r="1375" spans="1:8" ht="12.65" customHeight="1">
      <c r="A1375" s="1017" t="s">
        <v>1823</v>
      </c>
      <c r="B1375" s="1017" t="s">
        <v>1755</v>
      </c>
      <c r="C1375" s="1017" t="s">
        <v>1824</v>
      </c>
      <c r="D1375" s="1016">
        <v>0.77</v>
      </c>
      <c r="E1375" s="1015">
        <v>96.6</v>
      </c>
      <c r="F1375" s="1014">
        <v>5.7</v>
      </c>
      <c r="G1375" s="1013">
        <v>31.9</v>
      </c>
      <c r="H1375" s="1012">
        <v>99.1</v>
      </c>
    </row>
    <row r="1376" spans="1:8" ht="12.65" customHeight="1">
      <c r="A1376" s="1017" t="s">
        <v>1820</v>
      </c>
      <c r="B1376" s="1017" t="s">
        <v>1755</v>
      </c>
      <c r="C1376" s="1017" t="s">
        <v>1821</v>
      </c>
      <c r="D1376" s="1016">
        <v>0.61</v>
      </c>
      <c r="E1376" s="1015">
        <v>92</v>
      </c>
      <c r="F1376" s="1014">
        <v>11.9</v>
      </c>
      <c r="G1376" s="1013">
        <v>95.2</v>
      </c>
      <c r="H1376" s="1012">
        <v>96.8</v>
      </c>
    </row>
    <row r="1377" spans="1:8" ht="12.65" customHeight="1">
      <c r="A1377" s="1017" t="s">
        <v>1817</v>
      </c>
      <c r="B1377" s="1017" t="s">
        <v>1755</v>
      </c>
      <c r="C1377" s="1017" t="s">
        <v>1818</v>
      </c>
      <c r="D1377" s="1016">
        <v>0.55000000000000004</v>
      </c>
      <c r="E1377" s="1015">
        <v>97.5</v>
      </c>
      <c r="F1377" s="1014">
        <v>12.2</v>
      </c>
      <c r="G1377" s="1013">
        <v>62.5</v>
      </c>
      <c r="H1377" s="1012">
        <v>98.7</v>
      </c>
    </row>
    <row r="1378" spans="1:8" ht="12.65" customHeight="1">
      <c r="A1378" s="1017" t="s">
        <v>1814</v>
      </c>
      <c r="B1378" s="1017" t="s">
        <v>1755</v>
      </c>
      <c r="C1378" s="1017" t="s">
        <v>1815</v>
      </c>
      <c r="D1378" s="1016">
        <v>0.75</v>
      </c>
      <c r="E1378" s="1015">
        <v>95.8</v>
      </c>
      <c r="F1378" s="1014">
        <v>6.1</v>
      </c>
      <c r="G1378" s="1013">
        <v>0</v>
      </c>
      <c r="H1378" s="1012">
        <v>97.7</v>
      </c>
    </row>
    <row r="1379" spans="1:8" ht="12.65" customHeight="1">
      <c r="A1379" s="1017" t="s">
        <v>1811</v>
      </c>
      <c r="B1379" s="1017" t="s">
        <v>1755</v>
      </c>
      <c r="C1379" s="1017" t="s">
        <v>1812</v>
      </c>
      <c r="D1379" s="1016">
        <v>0.36</v>
      </c>
      <c r="E1379" s="1015">
        <v>93.7</v>
      </c>
      <c r="F1379" s="1014">
        <v>6.3</v>
      </c>
      <c r="G1379" s="1013" t="s">
        <v>6080</v>
      </c>
      <c r="H1379" s="1012">
        <v>99.2</v>
      </c>
    </row>
    <row r="1380" spans="1:8" ht="12.65" customHeight="1">
      <c r="A1380" s="1017" t="s">
        <v>1808</v>
      </c>
      <c r="B1380" s="1017" t="s">
        <v>1755</v>
      </c>
      <c r="C1380" s="1017" t="s">
        <v>1809</v>
      </c>
      <c r="D1380" s="1016">
        <v>0.35</v>
      </c>
      <c r="E1380" s="1015">
        <v>97.5</v>
      </c>
      <c r="F1380" s="1014">
        <v>7.9</v>
      </c>
      <c r="G1380" s="1013" t="s">
        <v>6080</v>
      </c>
      <c r="H1380" s="1012">
        <v>99.3</v>
      </c>
    </row>
    <row r="1381" spans="1:8" ht="12.65" customHeight="1">
      <c r="A1381" s="1017" t="s">
        <v>1805</v>
      </c>
      <c r="B1381" s="1017" t="s">
        <v>1755</v>
      </c>
      <c r="C1381" s="1017" t="s">
        <v>1806</v>
      </c>
      <c r="D1381" s="1016">
        <v>0.3</v>
      </c>
      <c r="E1381" s="1015">
        <v>98.4</v>
      </c>
      <c r="F1381" s="1014">
        <v>9.3000000000000007</v>
      </c>
      <c r="G1381" s="1013">
        <v>34.9</v>
      </c>
      <c r="H1381" s="1012">
        <v>98.3</v>
      </c>
    </row>
    <row r="1382" spans="1:8" ht="12.65" customHeight="1">
      <c r="A1382" s="1017" t="s">
        <v>1802</v>
      </c>
      <c r="B1382" s="1017" t="s">
        <v>1755</v>
      </c>
      <c r="C1382" s="1017" t="s">
        <v>1803</v>
      </c>
      <c r="D1382" s="1016">
        <v>0.23</v>
      </c>
      <c r="E1382" s="1015">
        <v>93.5</v>
      </c>
      <c r="F1382" s="1014">
        <v>6.7</v>
      </c>
      <c r="G1382" s="1013" t="s">
        <v>6080</v>
      </c>
      <c r="H1382" s="1012">
        <v>97.7</v>
      </c>
    </row>
    <row r="1383" spans="1:8" ht="12.65" customHeight="1">
      <c r="A1383" s="1017" t="s">
        <v>1799</v>
      </c>
      <c r="B1383" s="1017" t="s">
        <v>1755</v>
      </c>
      <c r="C1383" s="1017" t="s">
        <v>1800</v>
      </c>
      <c r="D1383" s="1016">
        <v>0.23</v>
      </c>
      <c r="E1383" s="1015">
        <v>86.8</v>
      </c>
      <c r="F1383" s="1014">
        <v>5.2</v>
      </c>
      <c r="G1383" s="1013" t="s">
        <v>6080</v>
      </c>
      <c r="H1383" s="1012">
        <v>95.9</v>
      </c>
    </row>
    <row r="1384" spans="1:8" ht="12.65" customHeight="1">
      <c r="A1384" s="1017" t="s">
        <v>1796</v>
      </c>
      <c r="B1384" s="1017" t="s">
        <v>1755</v>
      </c>
      <c r="C1384" s="1017" t="s">
        <v>1797</v>
      </c>
      <c r="D1384" s="1016">
        <v>0.13</v>
      </c>
      <c r="E1384" s="1015">
        <v>89.4</v>
      </c>
      <c r="F1384" s="1014">
        <v>5.3</v>
      </c>
      <c r="G1384" s="1013" t="s">
        <v>6080</v>
      </c>
      <c r="H1384" s="1012">
        <v>95.1</v>
      </c>
    </row>
    <row r="1385" spans="1:8" ht="12.65" customHeight="1">
      <c r="A1385" s="1017" t="s">
        <v>1793</v>
      </c>
      <c r="B1385" s="1017" t="s">
        <v>1755</v>
      </c>
      <c r="C1385" s="1017" t="s">
        <v>1794</v>
      </c>
      <c r="D1385" s="1016">
        <v>0.15</v>
      </c>
      <c r="E1385" s="1015">
        <v>79.8</v>
      </c>
      <c r="F1385" s="1014">
        <v>1.5</v>
      </c>
      <c r="G1385" s="1013" t="s">
        <v>6080</v>
      </c>
      <c r="H1385" s="1012">
        <v>98.2</v>
      </c>
    </row>
    <row r="1386" spans="1:8" ht="12.65" customHeight="1">
      <c r="A1386" s="1017" t="s">
        <v>1790</v>
      </c>
      <c r="B1386" s="1017" t="s">
        <v>1755</v>
      </c>
      <c r="C1386" s="1017" t="s">
        <v>1791</v>
      </c>
      <c r="D1386" s="1016">
        <v>0.49</v>
      </c>
      <c r="E1386" s="1015">
        <v>91</v>
      </c>
      <c r="F1386" s="1014">
        <v>4.5</v>
      </c>
      <c r="G1386" s="1013" t="s">
        <v>6080</v>
      </c>
      <c r="H1386" s="1012">
        <v>99.2</v>
      </c>
    </row>
    <row r="1387" spans="1:8" ht="12.65" customHeight="1">
      <c r="A1387" s="1017" t="s">
        <v>1787</v>
      </c>
      <c r="B1387" s="1017" t="s">
        <v>1755</v>
      </c>
      <c r="C1387" s="1017" t="s">
        <v>1788</v>
      </c>
      <c r="D1387" s="1016">
        <v>0.19</v>
      </c>
      <c r="E1387" s="1015">
        <v>78.7</v>
      </c>
      <c r="F1387" s="1014">
        <v>2.7</v>
      </c>
      <c r="G1387" s="1013" t="s">
        <v>6080</v>
      </c>
      <c r="H1387" s="1012">
        <v>96.8</v>
      </c>
    </row>
    <row r="1388" spans="1:8" ht="12.65" customHeight="1">
      <c r="A1388" s="1017" t="s">
        <v>1784</v>
      </c>
      <c r="B1388" s="1017" t="s">
        <v>1755</v>
      </c>
      <c r="C1388" s="1017" t="s">
        <v>1785</v>
      </c>
      <c r="D1388" s="1016">
        <v>0.2</v>
      </c>
      <c r="E1388" s="1015">
        <v>89</v>
      </c>
      <c r="F1388" s="1014">
        <v>8.6</v>
      </c>
      <c r="G1388" s="1013" t="s">
        <v>6080</v>
      </c>
      <c r="H1388" s="1012">
        <v>95.4</v>
      </c>
    </row>
    <row r="1389" spans="1:8" ht="12.65" customHeight="1">
      <c r="A1389" s="1017" t="s">
        <v>1781</v>
      </c>
      <c r="B1389" s="1017" t="s">
        <v>1755</v>
      </c>
      <c r="C1389" s="1017" t="s">
        <v>1782</v>
      </c>
      <c r="D1389" s="1016">
        <v>0.16</v>
      </c>
      <c r="E1389" s="1015">
        <v>93.9</v>
      </c>
      <c r="F1389" s="1014">
        <v>7.8</v>
      </c>
      <c r="G1389" s="1013" t="s">
        <v>6080</v>
      </c>
      <c r="H1389" s="1012">
        <v>96.4</v>
      </c>
    </row>
    <row r="1390" spans="1:8" ht="12.65" customHeight="1">
      <c r="A1390" s="1017" t="s">
        <v>1778</v>
      </c>
      <c r="B1390" s="1017" t="s">
        <v>1755</v>
      </c>
      <c r="C1390" s="1017" t="s">
        <v>1779</v>
      </c>
      <c r="D1390" s="1016">
        <v>0.16</v>
      </c>
      <c r="E1390" s="1015">
        <v>98.8</v>
      </c>
      <c r="F1390" s="1014">
        <v>9</v>
      </c>
      <c r="G1390" s="1013">
        <v>29.6</v>
      </c>
      <c r="H1390" s="1012">
        <v>92.6</v>
      </c>
    </row>
    <row r="1391" spans="1:8" ht="12.65" customHeight="1">
      <c r="A1391" s="1017" t="s">
        <v>1775</v>
      </c>
      <c r="B1391" s="1017" t="s">
        <v>1755</v>
      </c>
      <c r="C1391" s="1017" t="s">
        <v>1776</v>
      </c>
      <c r="D1391" s="1016">
        <v>0.19</v>
      </c>
      <c r="E1391" s="1015">
        <v>87.9</v>
      </c>
      <c r="F1391" s="1014">
        <v>1.2</v>
      </c>
      <c r="G1391" s="1013" t="s">
        <v>6080</v>
      </c>
      <c r="H1391" s="1012">
        <v>90.5</v>
      </c>
    </row>
    <row r="1392" spans="1:8" ht="12.65" customHeight="1">
      <c r="A1392" s="1017" t="s">
        <v>1772</v>
      </c>
      <c r="B1392" s="1017" t="s">
        <v>1755</v>
      </c>
      <c r="C1392" s="1017" t="s">
        <v>1773</v>
      </c>
      <c r="D1392" s="1016">
        <v>0.82</v>
      </c>
      <c r="E1392" s="1015">
        <v>83.4</v>
      </c>
      <c r="F1392" s="1014">
        <v>-1.2</v>
      </c>
      <c r="G1392" s="1013" t="s">
        <v>6080</v>
      </c>
      <c r="H1392" s="1012">
        <v>92.8</v>
      </c>
    </row>
    <row r="1393" spans="1:8" ht="12.65" customHeight="1">
      <c r="A1393" s="1017" t="s">
        <v>1769</v>
      </c>
      <c r="B1393" s="1017" t="s">
        <v>1755</v>
      </c>
      <c r="C1393" s="1017" t="s">
        <v>1770</v>
      </c>
      <c r="D1393" s="1016">
        <v>0.72</v>
      </c>
      <c r="E1393" s="1015">
        <v>91.5</v>
      </c>
      <c r="F1393" s="1014">
        <v>5.7</v>
      </c>
      <c r="G1393" s="1013" t="s">
        <v>6080</v>
      </c>
      <c r="H1393" s="1012">
        <v>94.7</v>
      </c>
    </row>
    <row r="1394" spans="1:8" ht="12.65" customHeight="1">
      <c r="A1394" s="1017" t="s">
        <v>1766</v>
      </c>
      <c r="B1394" s="1017" t="s">
        <v>1755</v>
      </c>
      <c r="C1394" s="1017" t="s">
        <v>1767</v>
      </c>
      <c r="D1394" s="1016">
        <v>0.67</v>
      </c>
      <c r="E1394" s="1015">
        <v>87.2</v>
      </c>
      <c r="F1394" s="1014">
        <v>6.9</v>
      </c>
      <c r="G1394" s="1013" t="s">
        <v>6080</v>
      </c>
      <c r="H1394" s="1012">
        <v>96</v>
      </c>
    </row>
    <row r="1395" spans="1:8" ht="12.65" customHeight="1">
      <c r="A1395" s="1017" t="s">
        <v>1763</v>
      </c>
      <c r="B1395" s="1017" t="s">
        <v>1755</v>
      </c>
      <c r="C1395" s="1017" t="s">
        <v>1764</v>
      </c>
      <c r="D1395" s="1016">
        <v>0.45</v>
      </c>
      <c r="E1395" s="1015">
        <v>92.1</v>
      </c>
      <c r="F1395" s="1014">
        <v>5</v>
      </c>
      <c r="G1395" s="1013" t="s">
        <v>6080</v>
      </c>
      <c r="H1395" s="1012">
        <v>96.5</v>
      </c>
    </row>
    <row r="1396" spans="1:8" ht="12.65" customHeight="1">
      <c r="A1396" s="1017" t="s">
        <v>1760</v>
      </c>
      <c r="B1396" s="1017" t="s">
        <v>1755</v>
      </c>
      <c r="C1396" s="1017" t="s">
        <v>1761</v>
      </c>
      <c r="D1396" s="1016">
        <v>0.38</v>
      </c>
      <c r="E1396" s="1015">
        <v>85.8</v>
      </c>
      <c r="F1396" s="1014">
        <v>4.5</v>
      </c>
      <c r="G1396" s="1013" t="s">
        <v>6080</v>
      </c>
      <c r="H1396" s="1012">
        <v>95.6</v>
      </c>
    </row>
    <row r="1397" spans="1:8" ht="12.65" customHeight="1">
      <c r="A1397" s="1017" t="s">
        <v>1757</v>
      </c>
      <c r="B1397" s="1017" t="s">
        <v>1755</v>
      </c>
      <c r="C1397" s="1017" t="s">
        <v>1758</v>
      </c>
      <c r="D1397" s="1016">
        <v>0.18</v>
      </c>
      <c r="E1397" s="1015">
        <v>97.3</v>
      </c>
      <c r="F1397" s="1014">
        <v>11.1</v>
      </c>
      <c r="G1397" s="1013" t="s">
        <v>6080</v>
      </c>
      <c r="H1397" s="1012">
        <v>93.2</v>
      </c>
    </row>
    <row r="1398" spans="1:8" ht="12.65" customHeight="1">
      <c r="A1398" s="1017" t="s">
        <v>1753</v>
      </c>
      <c r="B1398" s="1017" t="s">
        <v>1755</v>
      </c>
      <c r="C1398" s="1017" t="s">
        <v>1754</v>
      </c>
      <c r="D1398" s="1016">
        <v>0.28999999999999998</v>
      </c>
      <c r="E1398" s="1015">
        <v>96.3</v>
      </c>
      <c r="F1398" s="1014">
        <v>9.5</v>
      </c>
      <c r="G1398" s="1013" t="s">
        <v>6080</v>
      </c>
      <c r="H1398" s="1012">
        <v>98.4</v>
      </c>
    </row>
    <row r="1399" spans="1:8" ht="12.65" customHeight="1">
      <c r="A1399" s="1017" t="s">
        <v>1746</v>
      </c>
      <c r="B1399" s="1017" t="s">
        <v>1699</v>
      </c>
      <c r="C1399" s="1017" t="s">
        <v>1747</v>
      </c>
      <c r="D1399" s="1016">
        <v>0.77</v>
      </c>
      <c r="E1399" s="1015">
        <v>93.3</v>
      </c>
      <c r="F1399" s="1014">
        <v>6.4</v>
      </c>
      <c r="G1399" s="1013">
        <v>68.099999999999994</v>
      </c>
      <c r="H1399" s="1012">
        <v>100.2</v>
      </c>
    </row>
    <row r="1400" spans="1:8" ht="12.65" customHeight="1">
      <c r="A1400" s="1017" t="s">
        <v>1743</v>
      </c>
      <c r="B1400" s="1017" t="s">
        <v>1699</v>
      </c>
      <c r="C1400" s="1017" t="s">
        <v>1744</v>
      </c>
      <c r="D1400" s="1016">
        <v>0.6</v>
      </c>
      <c r="E1400" s="1015">
        <v>93.6</v>
      </c>
      <c r="F1400" s="1014">
        <v>10.199999999999999</v>
      </c>
      <c r="G1400" s="1013" t="s">
        <v>6080</v>
      </c>
      <c r="H1400" s="1012">
        <v>98.8</v>
      </c>
    </row>
    <row r="1401" spans="1:8" ht="12.65" customHeight="1">
      <c r="A1401" s="1017" t="s">
        <v>1740</v>
      </c>
      <c r="B1401" s="1017" t="s">
        <v>1699</v>
      </c>
      <c r="C1401" s="1017" t="s">
        <v>1741</v>
      </c>
      <c r="D1401" s="1016">
        <v>0.78</v>
      </c>
      <c r="E1401" s="1015">
        <v>87.8</v>
      </c>
      <c r="F1401" s="1014">
        <v>7.8</v>
      </c>
      <c r="G1401" s="1013">
        <v>73.3</v>
      </c>
      <c r="H1401" s="1012">
        <v>99.8</v>
      </c>
    </row>
    <row r="1402" spans="1:8" ht="12.65" customHeight="1">
      <c r="A1402" s="1017" t="s">
        <v>1737</v>
      </c>
      <c r="B1402" s="1017" t="s">
        <v>1699</v>
      </c>
      <c r="C1402" s="1017" t="s">
        <v>1738</v>
      </c>
      <c r="D1402" s="1016">
        <v>0.51</v>
      </c>
      <c r="E1402" s="1015">
        <v>95.4</v>
      </c>
      <c r="F1402" s="1014">
        <v>5.7</v>
      </c>
      <c r="G1402" s="1013">
        <v>24.2</v>
      </c>
      <c r="H1402" s="1012">
        <v>98.4</v>
      </c>
    </row>
    <row r="1403" spans="1:8" ht="12.65" customHeight="1">
      <c r="A1403" s="1017" t="s">
        <v>1734</v>
      </c>
      <c r="B1403" s="1017" t="s">
        <v>1699</v>
      </c>
      <c r="C1403" s="1017" t="s">
        <v>1735</v>
      </c>
      <c r="D1403" s="1016">
        <v>0.59</v>
      </c>
      <c r="E1403" s="1015">
        <v>92.4</v>
      </c>
      <c r="F1403" s="1014">
        <v>9.9</v>
      </c>
      <c r="G1403" s="1013">
        <v>32</v>
      </c>
      <c r="H1403" s="1012">
        <v>99.5</v>
      </c>
    </row>
    <row r="1404" spans="1:8" ht="12.65" customHeight="1">
      <c r="A1404" s="1017" t="s">
        <v>1731</v>
      </c>
      <c r="B1404" s="1017" t="s">
        <v>1699</v>
      </c>
      <c r="C1404" s="1017" t="s">
        <v>1732</v>
      </c>
      <c r="D1404" s="1016">
        <v>0.38</v>
      </c>
      <c r="E1404" s="1015">
        <v>97.6</v>
      </c>
      <c r="F1404" s="1014">
        <v>11.7</v>
      </c>
      <c r="G1404" s="1013" t="s">
        <v>6080</v>
      </c>
      <c r="H1404" s="1012">
        <v>99.8</v>
      </c>
    </row>
    <row r="1405" spans="1:8" ht="12.65" customHeight="1">
      <c r="A1405" s="1017" t="s">
        <v>1728</v>
      </c>
      <c r="B1405" s="1017" t="s">
        <v>1699</v>
      </c>
      <c r="C1405" s="1017" t="s">
        <v>1729</v>
      </c>
      <c r="D1405" s="1016">
        <v>0.35</v>
      </c>
      <c r="E1405" s="1015">
        <v>93.8</v>
      </c>
      <c r="F1405" s="1014">
        <v>3.8</v>
      </c>
      <c r="G1405" s="1013" t="s">
        <v>6080</v>
      </c>
      <c r="H1405" s="1012">
        <v>97</v>
      </c>
    </row>
    <row r="1406" spans="1:8" ht="12.65" customHeight="1">
      <c r="A1406" s="1017" t="s">
        <v>1725</v>
      </c>
      <c r="B1406" s="1017" t="s">
        <v>1699</v>
      </c>
      <c r="C1406" s="1017" t="s">
        <v>1726</v>
      </c>
      <c r="D1406" s="1016">
        <v>0.42</v>
      </c>
      <c r="E1406" s="1015">
        <v>98.2</v>
      </c>
      <c r="F1406" s="1014">
        <v>7.9</v>
      </c>
      <c r="G1406" s="1013" t="s">
        <v>6080</v>
      </c>
      <c r="H1406" s="1012">
        <v>98.7</v>
      </c>
    </row>
    <row r="1407" spans="1:8" ht="12.65" customHeight="1">
      <c r="A1407" s="1017" t="s">
        <v>1722</v>
      </c>
      <c r="B1407" s="1017" t="s">
        <v>1699</v>
      </c>
      <c r="C1407" s="1017" t="s">
        <v>1723</v>
      </c>
      <c r="D1407" s="1016">
        <v>0.31</v>
      </c>
      <c r="E1407" s="1015">
        <v>93.1</v>
      </c>
      <c r="F1407" s="1014">
        <v>11.5</v>
      </c>
      <c r="G1407" s="1013">
        <v>3.5</v>
      </c>
      <c r="H1407" s="1012">
        <v>94.2</v>
      </c>
    </row>
    <row r="1408" spans="1:8" ht="12.65" customHeight="1">
      <c r="A1408" s="1017" t="s">
        <v>1719</v>
      </c>
      <c r="B1408" s="1017" t="s">
        <v>1699</v>
      </c>
      <c r="C1408" s="1017" t="s">
        <v>1720</v>
      </c>
      <c r="D1408" s="1016">
        <v>0.28999999999999998</v>
      </c>
      <c r="E1408" s="1015">
        <v>90.6</v>
      </c>
      <c r="F1408" s="1014">
        <v>5.8</v>
      </c>
      <c r="G1408" s="1013" t="s">
        <v>6080</v>
      </c>
      <c r="H1408" s="1012">
        <v>95.9</v>
      </c>
    </row>
    <row r="1409" spans="1:8" ht="12.65" customHeight="1">
      <c r="A1409" s="1017" t="s">
        <v>1716</v>
      </c>
      <c r="B1409" s="1017" t="s">
        <v>1699</v>
      </c>
      <c r="C1409" s="1017" t="s">
        <v>1717</v>
      </c>
      <c r="D1409" s="1016">
        <v>0.53</v>
      </c>
      <c r="E1409" s="1015">
        <v>88.5</v>
      </c>
      <c r="F1409" s="1014">
        <v>6.4</v>
      </c>
      <c r="G1409" s="1013" t="s">
        <v>6080</v>
      </c>
      <c r="H1409" s="1012">
        <v>96.7</v>
      </c>
    </row>
    <row r="1410" spans="1:8" ht="12.65" customHeight="1">
      <c r="A1410" s="1017" t="s">
        <v>1713</v>
      </c>
      <c r="B1410" s="1017" t="s">
        <v>1699</v>
      </c>
      <c r="C1410" s="1017" t="s">
        <v>1714</v>
      </c>
      <c r="D1410" s="1016">
        <v>0.42</v>
      </c>
      <c r="E1410" s="1015">
        <v>87.1</v>
      </c>
      <c r="F1410" s="1014">
        <v>10.9</v>
      </c>
      <c r="G1410" s="1013" t="s">
        <v>6080</v>
      </c>
      <c r="H1410" s="1012">
        <v>99.7</v>
      </c>
    </row>
    <row r="1411" spans="1:8" ht="12.65" customHeight="1">
      <c r="A1411" s="1017" t="s">
        <v>1710</v>
      </c>
      <c r="B1411" s="1017" t="s">
        <v>1699</v>
      </c>
      <c r="C1411" s="1017" t="s">
        <v>1711</v>
      </c>
      <c r="D1411" s="1016">
        <v>0.8</v>
      </c>
      <c r="E1411" s="1015">
        <v>88</v>
      </c>
      <c r="F1411" s="1014">
        <v>5.7</v>
      </c>
      <c r="G1411" s="1013" t="s">
        <v>6080</v>
      </c>
      <c r="H1411" s="1012">
        <v>95.2</v>
      </c>
    </row>
    <row r="1412" spans="1:8" ht="12.65" customHeight="1">
      <c r="A1412" s="1017" t="s">
        <v>1707</v>
      </c>
      <c r="B1412" s="1017" t="s">
        <v>1699</v>
      </c>
      <c r="C1412" s="1017" t="s">
        <v>1708</v>
      </c>
      <c r="D1412" s="1016">
        <v>0.48</v>
      </c>
      <c r="E1412" s="1015">
        <v>81.2</v>
      </c>
      <c r="F1412" s="1014">
        <v>-2.1</v>
      </c>
      <c r="G1412" s="1013" t="s">
        <v>6080</v>
      </c>
      <c r="H1412" s="1012">
        <v>97.5</v>
      </c>
    </row>
    <row r="1413" spans="1:8" ht="12.65" customHeight="1">
      <c r="A1413" s="1017" t="s">
        <v>1704</v>
      </c>
      <c r="B1413" s="1017" t="s">
        <v>1699</v>
      </c>
      <c r="C1413" s="1017" t="s">
        <v>1705</v>
      </c>
      <c r="D1413" s="1016">
        <v>0.35</v>
      </c>
      <c r="E1413" s="1015">
        <v>90.3</v>
      </c>
      <c r="F1413" s="1014">
        <v>8</v>
      </c>
      <c r="G1413" s="1013">
        <v>13.5</v>
      </c>
      <c r="H1413" s="1012">
        <v>96.4</v>
      </c>
    </row>
    <row r="1414" spans="1:8" ht="12.65" customHeight="1">
      <c r="A1414" s="1017" t="s">
        <v>1701</v>
      </c>
      <c r="B1414" s="1017" t="s">
        <v>1699</v>
      </c>
      <c r="C1414" s="1017" t="s">
        <v>1702</v>
      </c>
      <c r="D1414" s="1016">
        <v>0.57999999999999996</v>
      </c>
      <c r="E1414" s="1015">
        <v>91.8</v>
      </c>
      <c r="F1414" s="1014">
        <v>12</v>
      </c>
      <c r="G1414" s="1013">
        <v>169</v>
      </c>
      <c r="H1414" s="1012">
        <v>99</v>
      </c>
    </row>
    <row r="1415" spans="1:8" ht="12.65" customHeight="1">
      <c r="A1415" s="1017" t="s">
        <v>1697</v>
      </c>
      <c r="B1415" s="1017" t="s">
        <v>1699</v>
      </c>
      <c r="C1415" s="1017" t="s">
        <v>1698</v>
      </c>
      <c r="D1415" s="1016">
        <v>0.34</v>
      </c>
      <c r="E1415" s="1015">
        <v>85.8</v>
      </c>
      <c r="F1415" s="1014">
        <v>8.4</v>
      </c>
      <c r="G1415" s="1013" t="s">
        <v>6080</v>
      </c>
      <c r="H1415" s="1012">
        <v>97.3</v>
      </c>
    </row>
    <row r="1416" spans="1:8" ht="12.65" customHeight="1">
      <c r="A1416" s="1017" t="s">
        <v>1690</v>
      </c>
      <c r="B1416" s="1017" t="s">
        <v>1634</v>
      </c>
      <c r="C1416" s="1017" t="s">
        <v>1691</v>
      </c>
      <c r="D1416" s="1016">
        <v>0.74</v>
      </c>
      <c r="E1416" s="1015">
        <v>89.6</v>
      </c>
      <c r="F1416" s="1014">
        <v>7.8</v>
      </c>
      <c r="G1416" s="1013">
        <v>20.3</v>
      </c>
      <c r="H1416" s="1012">
        <v>98.8</v>
      </c>
    </row>
    <row r="1417" spans="1:8" ht="12.65" customHeight="1">
      <c r="A1417" s="1017" t="s">
        <v>1687</v>
      </c>
      <c r="B1417" s="1017" t="s">
        <v>1634</v>
      </c>
      <c r="C1417" s="1017" t="s">
        <v>1688</v>
      </c>
      <c r="D1417" s="1016">
        <v>0.51</v>
      </c>
      <c r="E1417" s="1015">
        <v>95.3</v>
      </c>
      <c r="F1417" s="1014">
        <v>9.3000000000000007</v>
      </c>
      <c r="G1417" s="1013" t="s">
        <v>6080</v>
      </c>
      <c r="H1417" s="1012">
        <v>95.9</v>
      </c>
    </row>
    <row r="1418" spans="1:8" ht="12.65" customHeight="1">
      <c r="A1418" s="1017" t="s">
        <v>1684</v>
      </c>
      <c r="B1418" s="1017" t="s">
        <v>1634</v>
      </c>
      <c r="C1418" s="1017" t="s">
        <v>1685</v>
      </c>
      <c r="D1418" s="1016">
        <v>0.33</v>
      </c>
      <c r="E1418" s="1015">
        <v>90.9</v>
      </c>
      <c r="F1418" s="1014">
        <v>6.2</v>
      </c>
      <c r="G1418" s="1013" t="s">
        <v>6080</v>
      </c>
      <c r="H1418" s="1012">
        <v>94.9</v>
      </c>
    </row>
    <row r="1419" spans="1:8" ht="12.65" customHeight="1">
      <c r="A1419" s="1017" t="s">
        <v>1681</v>
      </c>
      <c r="B1419" s="1017" t="s">
        <v>1634</v>
      </c>
      <c r="C1419" s="1017" t="s">
        <v>1682</v>
      </c>
      <c r="D1419" s="1016">
        <v>0.32</v>
      </c>
      <c r="E1419" s="1015">
        <v>88.4</v>
      </c>
      <c r="F1419" s="1014">
        <v>10</v>
      </c>
      <c r="G1419" s="1013">
        <v>33.200000000000003</v>
      </c>
      <c r="H1419" s="1012">
        <v>97.1</v>
      </c>
    </row>
    <row r="1420" spans="1:8" ht="12.65" customHeight="1">
      <c r="A1420" s="1017" t="s">
        <v>1678</v>
      </c>
      <c r="B1420" s="1017" t="s">
        <v>1634</v>
      </c>
      <c r="C1420" s="1017" t="s">
        <v>1679</v>
      </c>
      <c r="D1420" s="1016">
        <v>0.76</v>
      </c>
      <c r="E1420" s="1015">
        <v>85.2</v>
      </c>
      <c r="F1420" s="1014">
        <v>2.7</v>
      </c>
      <c r="G1420" s="1013" t="s">
        <v>6080</v>
      </c>
      <c r="H1420" s="1012">
        <v>98.9</v>
      </c>
    </row>
    <row r="1421" spans="1:8" ht="12.65" customHeight="1">
      <c r="A1421" s="1017" t="s">
        <v>1675</v>
      </c>
      <c r="B1421" s="1017" t="s">
        <v>1634</v>
      </c>
      <c r="C1421" s="1017" t="s">
        <v>1676</v>
      </c>
      <c r="D1421" s="1016">
        <v>0.61</v>
      </c>
      <c r="E1421" s="1015">
        <v>87.3</v>
      </c>
      <c r="F1421" s="1014">
        <v>7.6</v>
      </c>
      <c r="G1421" s="1013">
        <v>49.8</v>
      </c>
      <c r="H1421" s="1012">
        <v>94.4</v>
      </c>
    </row>
    <row r="1422" spans="1:8" ht="12.65" customHeight="1">
      <c r="A1422" s="1017" t="s">
        <v>1672</v>
      </c>
      <c r="B1422" s="1017" t="s">
        <v>1634</v>
      </c>
      <c r="C1422" s="1017" t="s">
        <v>1673</v>
      </c>
      <c r="D1422" s="1016">
        <v>0.34</v>
      </c>
      <c r="E1422" s="1015">
        <v>98.3</v>
      </c>
      <c r="F1422" s="1014">
        <v>8.1999999999999993</v>
      </c>
      <c r="G1422" s="1013">
        <v>34</v>
      </c>
      <c r="H1422" s="1012">
        <v>94.1</v>
      </c>
    </row>
    <row r="1423" spans="1:8" ht="12.65" customHeight="1">
      <c r="A1423" s="1017" t="s">
        <v>1669</v>
      </c>
      <c r="B1423" s="1017" t="s">
        <v>1634</v>
      </c>
      <c r="C1423" s="1017" t="s">
        <v>1670</v>
      </c>
      <c r="D1423" s="1016">
        <v>0.4</v>
      </c>
      <c r="E1423" s="1015">
        <v>89.4</v>
      </c>
      <c r="F1423" s="1014">
        <v>5.0999999999999996</v>
      </c>
      <c r="G1423" s="1013">
        <v>15.9</v>
      </c>
      <c r="H1423" s="1012">
        <v>95.5</v>
      </c>
    </row>
    <row r="1424" spans="1:8" ht="12.65" customHeight="1">
      <c r="A1424" s="1017" t="s">
        <v>1666</v>
      </c>
      <c r="B1424" s="1017" t="s">
        <v>1634</v>
      </c>
      <c r="C1424" s="1017" t="s">
        <v>1667</v>
      </c>
      <c r="D1424" s="1016">
        <v>0.72</v>
      </c>
      <c r="E1424" s="1015">
        <v>87</v>
      </c>
      <c r="F1424" s="1014">
        <v>8</v>
      </c>
      <c r="G1424" s="1013">
        <v>54.3</v>
      </c>
      <c r="H1424" s="1012">
        <v>98.1</v>
      </c>
    </row>
    <row r="1425" spans="1:8" ht="12.65" customHeight="1">
      <c r="A1425" s="1017" t="s">
        <v>1663</v>
      </c>
      <c r="B1425" s="1017" t="s">
        <v>1634</v>
      </c>
      <c r="C1425" s="1017" t="s">
        <v>1664</v>
      </c>
      <c r="D1425" s="1016">
        <v>0.24</v>
      </c>
      <c r="E1425" s="1015">
        <v>97.5</v>
      </c>
      <c r="F1425" s="1014">
        <v>12.9</v>
      </c>
      <c r="G1425" s="1013">
        <v>68.400000000000006</v>
      </c>
      <c r="H1425" s="1012">
        <v>93</v>
      </c>
    </row>
    <row r="1426" spans="1:8" ht="12.65" customHeight="1">
      <c r="A1426" s="1017" t="s">
        <v>1660</v>
      </c>
      <c r="B1426" s="1017" t="s">
        <v>1634</v>
      </c>
      <c r="C1426" s="1017" t="s">
        <v>1661</v>
      </c>
      <c r="D1426" s="1016">
        <v>0.48</v>
      </c>
      <c r="E1426" s="1015">
        <v>96.3</v>
      </c>
      <c r="F1426" s="1014">
        <v>10.4</v>
      </c>
      <c r="G1426" s="1013">
        <v>8.1</v>
      </c>
      <c r="H1426" s="1012">
        <v>97.1</v>
      </c>
    </row>
    <row r="1427" spans="1:8" ht="12.65" customHeight="1">
      <c r="A1427" s="1017" t="s">
        <v>1657</v>
      </c>
      <c r="B1427" s="1017" t="s">
        <v>1634</v>
      </c>
      <c r="C1427" s="1017" t="s">
        <v>1658</v>
      </c>
      <c r="D1427" s="1016">
        <v>0.15</v>
      </c>
      <c r="E1427" s="1015">
        <v>94.9</v>
      </c>
      <c r="F1427" s="1014">
        <v>13.7</v>
      </c>
      <c r="G1427" s="1013">
        <v>35.700000000000003</v>
      </c>
      <c r="H1427" s="1012">
        <v>91.2</v>
      </c>
    </row>
    <row r="1428" spans="1:8" ht="12.65" customHeight="1">
      <c r="A1428" s="1017" t="s">
        <v>1654</v>
      </c>
      <c r="B1428" s="1017" t="s">
        <v>1634</v>
      </c>
      <c r="C1428" s="1017" t="s">
        <v>1655</v>
      </c>
      <c r="D1428" s="1016">
        <v>0.2</v>
      </c>
      <c r="E1428" s="1015">
        <v>87.8</v>
      </c>
      <c r="F1428" s="1014">
        <v>10.4</v>
      </c>
      <c r="G1428" s="1013" t="s">
        <v>6080</v>
      </c>
      <c r="H1428" s="1012">
        <v>91.9</v>
      </c>
    </row>
    <row r="1429" spans="1:8" ht="12.65" customHeight="1">
      <c r="A1429" s="1017" t="s">
        <v>1651</v>
      </c>
      <c r="B1429" s="1017" t="s">
        <v>1634</v>
      </c>
      <c r="C1429" s="1017" t="s">
        <v>1652</v>
      </c>
      <c r="D1429" s="1016">
        <v>0.69</v>
      </c>
      <c r="E1429" s="1015">
        <v>86.9</v>
      </c>
      <c r="F1429" s="1014">
        <v>9.6</v>
      </c>
      <c r="G1429" s="1013">
        <v>71.5</v>
      </c>
      <c r="H1429" s="1012">
        <v>94.1</v>
      </c>
    </row>
    <row r="1430" spans="1:8" ht="12.65" customHeight="1">
      <c r="A1430" s="1017" t="s">
        <v>1648</v>
      </c>
      <c r="B1430" s="1017" t="s">
        <v>1634</v>
      </c>
      <c r="C1430" s="1017" t="s">
        <v>1649</v>
      </c>
      <c r="D1430" s="1016">
        <v>0.42</v>
      </c>
      <c r="E1430" s="1015">
        <v>90.2</v>
      </c>
      <c r="F1430" s="1014">
        <v>4.0999999999999996</v>
      </c>
      <c r="G1430" s="1013">
        <v>46.5</v>
      </c>
      <c r="H1430" s="1012">
        <v>95.4</v>
      </c>
    </row>
    <row r="1431" spans="1:8" ht="12.65" customHeight="1">
      <c r="A1431" s="1017" t="s">
        <v>1645</v>
      </c>
      <c r="B1431" s="1017" t="s">
        <v>1634</v>
      </c>
      <c r="C1431" s="1017" t="s">
        <v>1646</v>
      </c>
      <c r="D1431" s="1016">
        <v>0.27</v>
      </c>
      <c r="E1431" s="1015">
        <v>82.6</v>
      </c>
      <c r="F1431" s="1014">
        <v>2.5</v>
      </c>
      <c r="G1431" s="1013" t="s">
        <v>6080</v>
      </c>
      <c r="H1431" s="1012">
        <v>92.7</v>
      </c>
    </row>
    <row r="1432" spans="1:8" ht="12.65" customHeight="1">
      <c r="A1432" s="1017" t="s">
        <v>1642</v>
      </c>
      <c r="B1432" s="1017" t="s">
        <v>1634</v>
      </c>
      <c r="C1432" s="1017" t="s">
        <v>1643</v>
      </c>
      <c r="D1432" s="1016">
        <v>0.56000000000000005</v>
      </c>
      <c r="E1432" s="1015">
        <v>88.3</v>
      </c>
      <c r="F1432" s="1014">
        <v>6.5</v>
      </c>
      <c r="G1432" s="1013" t="s">
        <v>6080</v>
      </c>
      <c r="H1432" s="1012">
        <v>95</v>
      </c>
    </row>
    <row r="1433" spans="1:8" ht="12.65" customHeight="1">
      <c r="A1433" s="1017" t="s">
        <v>1639</v>
      </c>
      <c r="B1433" s="1017" t="s">
        <v>1634</v>
      </c>
      <c r="C1433" s="1017" t="s">
        <v>1640</v>
      </c>
      <c r="D1433" s="1016">
        <v>0.15</v>
      </c>
      <c r="E1433" s="1015">
        <v>88.3</v>
      </c>
      <c r="F1433" s="1014">
        <v>6.9</v>
      </c>
      <c r="G1433" s="1013">
        <v>30.1</v>
      </c>
      <c r="H1433" s="1012">
        <v>93.5</v>
      </c>
    </row>
    <row r="1434" spans="1:8" ht="12.65" customHeight="1">
      <c r="A1434" s="1017" t="s">
        <v>1636</v>
      </c>
      <c r="B1434" s="1017" t="s">
        <v>1634</v>
      </c>
      <c r="C1434" s="1017" t="s">
        <v>1637</v>
      </c>
      <c r="D1434" s="1016">
        <v>0.22</v>
      </c>
      <c r="E1434" s="1015">
        <v>90.6</v>
      </c>
      <c r="F1434" s="1014">
        <v>7</v>
      </c>
      <c r="G1434" s="1013" t="s">
        <v>6080</v>
      </c>
      <c r="H1434" s="1012">
        <v>93.9</v>
      </c>
    </row>
    <row r="1435" spans="1:8" ht="12.65" customHeight="1">
      <c r="A1435" s="1017" t="s">
        <v>1632</v>
      </c>
      <c r="B1435" s="1017" t="s">
        <v>1634</v>
      </c>
      <c r="C1435" s="1017" t="s">
        <v>1633</v>
      </c>
      <c r="D1435" s="1016">
        <v>0.22</v>
      </c>
      <c r="E1435" s="1015">
        <v>92.6</v>
      </c>
      <c r="F1435" s="1014">
        <v>10</v>
      </c>
      <c r="G1435" s="1013" t="s">
        <v>6080</v>
      </c>
      <c r="H1435" s="1012">
        <v>92.5</v>
      </c>
    </row>
    <row r="1436" spans="1:8" ht="12.65" customHeight="1">
      <c r="A1436" s="1017" t="s">
        <v>1625</v>
      </c>
      <c r="B1436" s="1017" t="s">
        <v>1528</v>
      </c>
      <c r="C1436" s="1017" t="s">
        <v>1626</v>
      </c>
      <c r="D1436" s="1016">
        <v>0.63</v>
      </c>
      <c r="E1436" s="1015">
        <v>97.9</v>
      </c>
      <c r="F1436" s="1014">
        <v>12.9</v>
      </c>
      <c r="G1436" s="1013">
        <v>153.1</v>
      </c>
      <c r="H1436" s="1012">
        <v>98.9</v>
      </c>
    </row>
    <row r="1437" spans="1:8" ht="12.65" customHeight="1">
      <c r="A1437" s="1017" t="s">
        <v>1622</v>
      </c>
      <c r="B1437" s="1017" t="s">
        <v>1528</v>
      </c>
      <c r="C1437" s="1017" t="s">
        <v>1623</v>
      </c>
      <c r="D1437" s="1016">
        <v>0.22</v>
      </c>
      <c r="E1437" s="1015">
        <v>93.9</v>
      </c>
      <c r="F1437" s="1014">
        <v>8.8000000000000007</v>
      </c>
      <c r="G1437" s="1013" t="s">
        <v>6080</v>
      </c>
      <c r="H1437" s="1012">
        <v>96.9</v>
      </c>
    </row>
    <row r="1438" spans="1:8" ht="12.65" customHeight="1">
      <c r="A1438" s="1017" t="s">
        <v>1619</v>
      </c>
      <c r="B1438" s="1017" t="s">
        <v>1528</v>
      </c>
      <c r="C1438" s="1017" t="s">
        <v>1620</v>
      </c>
      <c r="D1438" s="1016">
        <v>0.3</v>
      </c>
      <c r="E1438" s="1015">
        <v>89.3</v>
      </c>
      <c r="F1438" s="1014">
        <v>5.3</v>
      </c>
      <c r="G1438" s="1013">
        <v>22</v>
      </c>
      <c r="H1438" s="1012">
        <v>95.2</v>
      </c>
    </row>
    <row r="1439" spans="1:8" ht="12.65" customHeight="1">
      <c r="A1439" s="1017" t="s">
        <v>1616</v>
      </c>
      <c r="B1439" s="1017" t="s">
        <v>1528</v>
      </c>
      <c r="C1439" s="1017" t="s">
        <v>1617</v>
      </c>
      <c r="D1439" s="1016">
        <v>0.59</v>
      </c>
      <c r="E1439" s="1015">
        <v>90.5</v>
      </c>
      <c r="F1439" s="1014">
        <v>9.1999999999999993</v>
      </c>
      <c r="G1439" s="1013">
        <v>79.5</v>
      </c>
      <c r="H1439" s="1012">
        <v>95.9</v>
      </c>
    </row>
    <row r="1440" spans="1:8" ht="12.65" customHeight="1">
      <c r="A1440" s="1017" t="s">
        <v>1613</v>
      </c>
      <c r="B1440" s="1017" t="s">
        <v>1528</v>
      </c>
      <c r="C1440" s="1017" t="s">
        <v>1614</v>
      </c>
      <c r="D1440" s="1016">
        <v>0.38</v>
      </c>
      <c r="E1440" s="1015">
        <v>91.3</v>
      </c>
      <c r="F1440" s="1014">
        <v>12.3</v>
      </c>
      <c r="G1440" s="1013">
        <v>65.3</v>
      </c>
      <c r="H1440" s="1012">
        <v>96.9</v>
      </c>
    </row>
    <row r="1441" spans="1:8" ht="12.65" customHeight="1">
      <c r="A1441" s="1017" t="s">
        <v>1610</v>
      </c>
      <c r="B1441" s="1017" t="s">
        <v>1528</v>
      </c>
      <c r="C1441" s="1017" t="s">
        <v>1611</v>
      </c>
      <c r="D1441" s="1016">
        <v>0.41</v>
      </c>
      <c r="E1441" s="1015">
        <v>94.3</v>
      </c>
      <c r="F1441" s="1014">
        <v>12.5</v>
      </c>
      <c r="G1441" s="1013" t="s">
        <v>6080</v>
      </c>
      <c r="H1441" s="1012">
        <v>97</v>
      </c>
    </row>
    <row r="1442" spans="1:8" ht="12.65" customHeight="1">
      <c r="A1442" s="1017" t="s">
        <v>1607</v>
      </c>
      <c r="B1442" s="1017" t="s">
        <v>1528</v>
      </c>
      <c r="C1442" s="1017" t="s">
        <v>1608</v>
      </c>
      <c r="D1442" s="1016">
        <v>0.36</v>
      </c>
      <c r="E1442" s="1015">
        <v>90.7</v>
      </c>
      <c r="F1442" s="1014">
        <v>10.9</v>
      </c>
      <c r="G1442" s="1013">
        <v>44.7</v>
      </c>
      <c r="H1442" s="1012">
        <v>96.7</v>
      </c>
    </row>
    <row r="1443" spans="1:8" ht="12.65" customHeight="1">
      <c r="A1443" s="1017" t="s">
        <v>1604</v>
      </c>
      <c r="B1443" s="1017" t="s">
        <v>1528</v>
      </c>
      <c r="C1443" s="1017" t="s">
        <v>1605</v>
      </c>
      <c r="D1443" s="1016">
        <v>0.24</v>
      </c>
      <c r="E1443" s="1015">
        <v>90.6</v>
      </c>
      <c r="F1443" s="1014">
        <v>16.100000000000001</v>
      </c>
      <c r="G1443" s="1013">
        <v>55.9</v>
      </c>
      <c r="H1443" s="1012">
        <v>95.8</v>
      </c>
    </row>
    <row r="1444" spans="1:8" ht="12.65" customHeight="1">
      <c r="A1444" s="1017" t="s">
        <v>1601</v>
      </c>
      <c r="B1444" s="1017" t="s">
        <v>1528</v>
      </c>
      <c r="C1444" s="1017" t="s">
        <v>1602</v>
      </c>
      <c r="D1444" s="1016">
        <v>0.34</v>
      </c>
      <c r="E1444" s="1015">
        <v>86.6</v>
      </c>
      <c r="F1444" s="1014">
        <v>10.5</v>
      </c>
      <c r="G1444" s="1013">
        <v>97.2</v>
      </c>
      <c r="H1444" s="1012">
        <v>94.9</v>
      </c>
    </row>
    <row r="1445" spans="1:8" ht="12.65" customHeight="1">
      <c r="A1445" s="1017" t="s">
        <v>1598</v>
      </c>
      <c r="B1445" s="1017" t="s">
        <v>1528</v>
      </c>
      <c r="C1445" s="1017" t="s">
        <v>1599</v>
      </c>
      <c r="D1445" s="1016">
        <v>0.33</v>
      </c>
      <c r="E1445" s="1015">
        <v>90.8</v>
      </c>
      <c r="F1445" s="1014">
        <v>4.9000000000000004</v>
      </c>
      <c r="G1445" s="1013" t="s">
        <v>6080</v>
      </c>
      <c r="H1445" s="1012">
        <v>95.4</v>
      </c>
    </row>
    <row r="1446" spans="1:8" ht="12.65" customHeight="1">
      <c r="A1446" s="1017" t="s">
        <v>1595</v>
      </c>
      <c r="B1446" s="1017" t="s">
        <v>1528</v>
      </c>
      <c r="C1446" s="1017" t="s">
        <v>1596</v>
      </c>
      <c r="D1446" s="1016">
        <v>0.31</v>
      </c>
      <c r="E1446" s="1015">
        <v>97.7</v>
      </c>
      <c r="F1446" s="1014">
        <v>8.4</v>
      </c>
      <c r="G1446" s="1013" t="s">
        <v>6080</v>
      </c>
      <c r="H1446" s="1012">
        <v>94.2</v>
      </c>
    </row>
    <row r="1447" spans="1:8" ht="12.65" customHeight="1">
      <c r="A1447" s="1017" t="s">
        <v>1592</v>
      </c>
      <c r="B1447" s="1017" t="s">
        <v>1528</v>
      </c>
      <c r="C1447" s="1017" t="s">
        <v>1593</v>
      </c>
      <c r="D1447" s="1016">
        <v>0.11</v>
      </c>
      <c r="E1447" s="1015">
        <v>95.1</v>
      </c>
      <c r="F1447" s="1014">
        <v>12.1</v>
      </c>
      <c r="G1447" s="1013">
        <v>40</v>
      </c>
      <c r="H1447" s="1012">
        <v>96</v>
      </c>
    </row>
    <row r="1448" spans="1:8" ht="12.65" customHeight="1">
      <c r="A1448" s="1017" t="s">
        <v>1589</v>
      </c>
      <c r="B1448" s="1017" t="s">
        <v>1528</v>
      </c>
      <c r="C1448" s="1017" t="s">
        <v>1590</v>
      </c>
      <c r="D1448" s="1016">
        <v>0.17</v>
      </c>
      <c r="E1448" s="1015">
        <v>92.5</v>
      </c>
      <c r="F1448" s="1014">
        <v>3.5</v>
      </c>
      <c r="G1448" s="1013" t="s">
        <v>6080</v>
      </c>
      <c r="H1448" s="1012">
        <v>97</v>
      </c>
    </row>
    <row r="1449" spans="1:8" ht="12.65" customHeight="1">
      <c r="A1449" s="1017" t="s">
        <v>1586</v>
      </c>
      <c r="B1449" s="1017" t="s">
        <v>1528</v>
      </c>
      <c r="C1449" s="1017" t="s">
        <v>1587</v>
      </c>
      <c r="D1449" s="1016">
        <v>0.18</v>
      </c>
      <c r="E1449" s="1015">
        <v>93.2</v>
      </c>
      <c r="F1449" s="1014">
        <v>4.9000000000000004</v>
      </c>
      <c r="G1449" s="1013" t="s">
        <v>6080</v>
      </c>
      <c r="H1449" s="1012">
        <v>97.5</v>
      </c>
    </row>
    <row r="1450" spans="1:8" ht="12.65" customHeight="1">
      <c r="A1450" s="1017" t="s">
        <v>1583</v>
      </c>
      <c r="B1450" s="1017" t="s">
        <v>1528</v>
      </c>
      <c r="C1450" s="1017" t="s">
        <v>1584</v>
      </c>
      <c r="D1450" s="1016">
        <v>0.15</v>
      </c>
      <c r="E1450" s="1015">
        <v>96</v>
      </c>
      <c r="F1450" s="1014">
        <v>8.1</v>
      </c>
      <c r="G1450" s="1013" t="s">
        <v>6080</v>
      </c>
      <c r="H1450" s="1012">
        <v>94.6</v>
      </c>
    </row>
    <row r="1451" spans="1:8" ht="12.65" customHeight="1">
      <c r="A1451" s="1017" t="s">
        <v>1580</v>
      </c>
      <c r="B1451" s="1017" t="s">
        <v>1528</v>
      </c>
      <c r="C1451" s="1017" t="s">
        <v>1581</v>
      </c>
      <c r="D1451" s="1016">
        <v>0.19</v>
      </c>
      <c r="E1451" s="1015">
        <v>83.9</v>
      </c>
      <c r="F1451" s="1014">
        <v>-1.9</v>
      </c>
      <c r="G1451" s="1013" t="s">
        <v>6080</v>
      </c>
      <c r="H1451" s="1012">
        <v>96.7</v>
      </c>
    </row>
    <row r="1452" spans="1:8" ht="12.65" customHeight="1">
      <c r="A1452" s="1017" t="s">
        <v>1577</v>
      </c>
      <c r="B1452" s="1017" t="s">
        <v>1528</v>
      </c>
      <c r="C1452" s="1017" t="s">
        <v>1578</v>
      </c>
      <c r="D1452" s="1016">
        <v>0.16</v>
      </c>
      <c r="E1452" s="1015">
        <v>90.1</v>
      </c>
      <c r="F1452" s="1014">
        <v>9</v>
      </c>
      <c r="G1452" s="1013" t="s">
        <v>6080</v>
      </c>
      <c r="H1452" s="1012">
        <v>96</v>
      </c>
    </row>
    <row r="1453" spans="1:8" ht="12.65" customHeight="1">
      <c r="A1453" s="1017" t="s">
        <v>1574</v>
      </c>
      <c r="B1453" s="1017" t="s">
        <v>1528</v>
      </c>
      <c r="C1453" s="1017" t="s">
        <v>1575</v>
      </c>
      <c r="D1453" s="1016">
        <v>0.23</v>
      </c>
      <c r="E1453" s="1015">
        <v>93</v>
      </c>
      <c r="F1453" s="1014">
        <v>8.6</v>
      </c>
      <c r="G1453" s="1013" t="s">
        <v>6080</v>
      </c>
      <c r="H1453" s="1012">
        <v>95.1</v>
      </c>
    </row>
    <row r="1454" spans="1:8" ht="12.65" customHeight="1">
      <c r="A1454" s="1017" t="s">
        <v>1571</v>
      </c>
      <c r="B1454" s="1017" t="s">
        <v>1528</v>
      </c>
      <c r="C1454" s="1017" t="s">
        <v>1572</v>
      </c>
      <c r="D1454" s="1016">
        <v>0.15</v>
      </c>
      <c r="E1454" s="1015">
        <v>89.5</v>
      </c>
      <c r="F1454" s="1014">
        <v>10</v>
      </c>
      <c r="G1454" s="1013">
        <v>24.4</v>
      </c>
      <c r="H1454" s="1012">
        <v>95.3</v>
      </c>
    </row>
    <row r="1455" spans="1:8" ht="12.65" customHeight="1">
      <c r="A1455" s="1017" t="s">
        <v>1568</v>
      </c>
      <c r="B1455" s="1017" t="s">
        <v>1528</v>
      </c>
      <c r="C1455" s="1017" t="s">
        <v>1569</v>
      </c>
      <c r="D1455" s="1016">
        <v>0.17</v>
      </c>
      <c r="E1455" s="1015">
        <v>67.400000000000006</v>
      </c>
      <c r="F1455" s="1014">
        <v>4.0999999999999996</v>
      </c>
      <c r="G1455" s="1013" t="s">
        <v>6080</v>
      </c>
      <c r="H1455" s="1012">
        <v>91.9</v>
      </c>
    </row>
    <row r="1456" spans="1:8" ht="12.65" customHeight="1">
      <c r="A1456" s="1017" t="s">
        <v>1565</v>
      </c>
      <c r="B1456" s="1017" t="s">
        <v>1528</v>
      </c>
      <c r="C1456" s="1017" t="s">
        <v>1566</v>
      </c>
      <c r="D1456" s="1016">
        <v>0.2</v>
      </c>
      <c r="E1456" s="1015">
        <v>83.2</v>
      </c>
      <c r="F1456" s="1014">
        <v>7.8</v>
      </c>
      <c r="G1456" s="1013" t="s">
        <v>6080</v>
      </c>
      <c r="H1456" s="1012">
        <v>97.3</v>
      </c>
    </row>
    <row r="1457" spans="1:8" ht="12.65" customHeight="1">
      <c r="A1457" s="1017" t="s">
        <v>1562</v>
      </c>
      <c r="B1457" s="1017" t="s">
        <v>1528</v>
      </c>
      <c r="C1457" s="1017" t="s">
        <v>1563</v>
      </c>
      <c r="D1457" s="1016">
        <v>0.12</v>
      </c>
      <c r="E1457" s="1015">
        <v>89.2</v>
      </c>
      <c r="F1457" s="1014">
        <v>13</v>
      </c>
      <c r="G1457" s="1013" t="s">
        <v>6080</v>
      </c>
      <c r="H1457" s="1012">
        <v>92</v>
      </c>
    </row>
    <row r="1458" spans="1:8" ht="12.65" customHeight="1">
      <c r="A1458" s="1017" t="s">
        <v>1559</v>
      </c>
      <c r="B1458" s="1017" t="s">
        <v>1528</v>
      </c>
      <c r="C1458" s="1017" t="s">
        <v>1560</v>
      </c>
      <c r="D1458" s="1016">
        <v>0.35</v>
      </c>
      <c r="E1458" s="1015">
        <v>89.7</v>
      </c>
      <c r="F1458" s="1014">
        <v>8.9</v>
      </c>
      <c r="G1458" s="1013" t="s">
        <v>6080</v>
      </c>
      <c r="H1458" s="1012">
        <v>96.5</v>
      </c>
    </row>
    <row r="1459" spans="1:8" ht="12.65" customHeight="1">
      <c r="A1459" s="1017" t="s">
        <v>1556</v>
      </c>
      <c r="B1459" s="1017" t="s">
        <v>1528</v>
      </c>
      <c r="C1459" s="1017" t="s">
        <v>1557</v>
      </c>
      <c r="D1459" s="1016">
        <v>0.17</v>
      </c>
      <c r="E1459" s="1015">
        <v>82.1</v>
      </c>
      <c r="F1459" s="1014">
        <v>-1.7</v>
      </c>
      <c r="G1459" s="1013" t="s">
        <v>6080</v>
      </c>
      <c r="H1459" s="1012">
        <v>94.1</v>
      </c>
    </row>
    <row r="1460" spans="1:8" ht="12.65" customHeight="1">
      <c r="A1460" s="1017" t="s">
        <v>1553</v>
      </c>
      <c r="B1460" s="1017" t="s">
        <v>1528</v>
      </c>
      <c r="C1460" s="1017" t="s">
        <v>1554</v>
      </c>
      <c r="D1460" s="1016">
        <v>0.17</v>
      </c>
      <c r="E1460" s="1015">
        <v>91.5</v>
      </c>
      <c r="F1460" s="1014">
        <v>13.5</v>
      </c>
      <c r="G1460" s="1013" t="s">
        <v>6080</v>
      </c>
      <c r="H1460" s="1012">
        <v>96.8</v>
      </c>
    </row>
    <row r="1461" spans="1:8" ht="12.65" customHeight="1">
      <c r="A1461" s="1017" t="s">
        <v>1550</v>
      </c>
      <c r="B1461" s="1017" t="s">
        <v>1528</v>
      </c>
      <c r="C1461" s="1017" t="s">
        <v>1551</v>
      </c>
      <c r="D1461" s="1016">
        <v>0.32</v>
      </c>
      <c r="E1461" s="1015">
        <v>90.6</v>
      </c>
      <c r="F1461" s="1014">
        <v>5.4</v>
      </c>
      <c r="G1461" s="1013" t="s">
        <v>6080</v>
      </c>
      <c r="H1461" s="1012">
        <v>90.6</v>
      </c>
    </row>
    <row r="1462" spans="1:8" ht="12.65" customHeight="1">
      <c r="A1462" s="1017" t="s">
        <v>1547</v>
      </c>
      <c r="B1462" s="1017" t="s">
        <v>1528</v>
      </c>
      <c r="C1462" s="1017" t="s">
        <v>1548</v>
      </c>
      <c r="D1462" s="1016">
        <v>0.19</v>
      </c>
      <c r="E1462" s="1015">
        <v>97.9</v>
      </c>
      <c r="F1462" s="1014">
        <v>10</v>
      </c>
      <c r="G1462" s="1013">
        <v>0.7</v>
      </c>
      <c r="H1462" s="1012">
        <v>95.6</v>
      </c>
    </row>
    <row r="1463" spans="1:8" ht="12.65" customHeight="1">
      <c r="A1463" s="1017" t="s">
        <v>1544</v>
      </c>
      <c r="B1463" s="1017" t="s">
        <v>1528</v>
      </c>
      <c r="C1463" s="1017" t="s">
        <v>1545</v>
      </c>
      <c r="D1463" s="1016">
        <v>0.14000000000000001</v>
      </c>
      <c r="E1463" s="1015">
        <v>91.7</v>
      </c>
      <c r="F1463" s="1014">
        <v>5.5</v>
      </c>
      <c r="G1463" s="1013" t="s">
        <v>6080</v>
      </c>
      <c r="H1463" s="1012">
        <v>91.8</v>
      </c>
    </row>
    <row r="1464" spans="1:8" ht="12.65" customHeight="1">
      <c r="A1464" s="1017" t="s">
        <v>1541</v>
      </c>
      <c r="B1464" s="1017" t="s">
        <v>1528</v>
      </c>
      <c r="C1464" s="1017" t="s">
        <v>1542</v>
      </c>
      <c r="D1464" s="1016">
        <v>0.27</v>
      </c>
      <c r="E1464" s="1015">
        <v>82.6</v>
      </c>
      <c r="F1464" s="1014">
        <v>7.9</v>
      </c>
      <c r="G1464" s="1013">
        <v>29.4</v>
      </c>
      <c r="H1464" s="1012">
        <v>95.9</v>
      </c>
    </row>
    <row r="1465" spans="1:8" ht="12.65" customHeight="1">
      <c r="A1465" s="1017" t="s">
        <v>1538</v>
      </c>
      <c r="B1465" s="1017" t="s">
        <v>1528</v>
      </c>
      <c r="C1465" s="1017" t="s">
        <v>1539</v>
      </c>
      <c r="D1465" s="1016">
        <v>0.16</v>
      </c>
      <c r="E1465" s="1015">
        <v>73.2</v>
      </c>
      <c r="F1465" s="1014">
        <v>-6.9</v>
      </c>
      <c r="G1465" s="1013" t="s">
        <v>6080</v>
      </c>
      <c r="H1465" s="1012">
        <v>94</v>
      </c>
    </row>
    <row r="1466" spans="1:8" ht="12.65" customHeight="1">
      <c r="A1466" s="1017" t="s">
        <v>1536</v>
      </c>
      <c r="B1466" s="1017" t="s">
        <v>1528</v>
      </c>
      <c r="C1466" s="1017" t="s">
        <v>1537</v>
      </c>
      <c r="D1466" s="1016">
        <v>0.22</v>
      </c>
      <c r="E1466" s="1015">
        <v>93.9</v>
      </c>
      <c r="F1466" s="1014">
        <v>6.6</v>
      </c>
      <c r="G1466" s="1013" t="s">
        <v>6080</v>
      </c>
      <c r="H1466" s="1012">
        <v>94.8</v>
      </c>
    </row>
    <row r="1467" spans="1:8" ht="12.65" customHeight="1">
      <c r="A1467" s="1017" t="s">
        <v>1533</v>
      </c>
      <c r="B1467" s="1017" t="s">
        <v>1528</v>
      </c>
      <c r="C1467" s="1017" t="s">
        <v>1534</v>
      </c>
      <c r="D1467" s="1016">
        <v>0.18</v>
      </c>
      <c r="E1467" s="1015">
        <v>90.7</v>
      </c>
      <c r="F1467" s="1014">
        <v>8.6999999999999993</v>
      </c>
      <c r="G1467" s="1013">
        <v>5.0999999999999996</v>
      </c>
      <c r="H1467" s="1012">
        <v>96.2</v>
      </c>
    </row>
    <row r="1468" spans="1:8" ht="12.65" customHeight="1">
      <c r="A1468" s="1017" t="s">
        <v>1530</v>
      </c>
      <c r="B1468" s="1017" t="s">
        <v>1528</v>
      </c>
      <c r="C1468" s="1017" t="s">
        <v>1531</v>
      </c>
      <c r="D1468" s="1016">
        <v>0.12</v>
      </c>
      <c r="E1468" s="1015">
        <v>94.2</v>
      </c>
      <c r="F1468" s="1014">
        <v>12.9</v>
      </c>
      <c r="G1468" s="1013" t="s">
        <v>6080</v>
      </c>
      <c r="H1468" s="1012">
        <v>95</v>
      </c>
    </row>
    <row r="1469" spans="1:8" ht="12.65" customHeight="1">
      <c r="A1469" s="1017" t="s">
        <v>1526</v>
      </c>
      <c r="B1469" s="1017" t="s">
        <v>1528</v>
      </c>
      <c r="C1469" s="1017" t="s">
        <v>1527</v>
      </c>
      <c r="D1469" s="1016">
        <v>0.19</v>
      </c>
      <c r="E1469" s="1015">
        <v>95.8</v>
      </c>
      <c r="F1469" s="1014">
        <v>12.2</v>
      </c>
      <c r="G1469" s="1013" t="s">
        <v>6080</v>
      </c>
      <c r="H1469" s="1012">
        <v>94.9</v>
      </c>
    </row>
    <row r="1470" spans="1:8" ht="12.65" customHeight="1">
      <c r="A1470" s="1017" t="s">
        <v>1520</v>
      </c>
      <c r="B1470" s="1017" t="s">
        <v>1342</v>
      </c>
      <c r="C1470" s="1017" t="s">
        <v>1521</v>
      </c>
      <c r="D1470" s="1016">
        <v>0.69</v>
      </c>
      <c r="E1470" s="1015">
        <v>97.1</v>
      </c>
      <c r="F1470" s="1014">
        <v>10.1</v>
      </c>
      <c r="G1470" s="1013">
        <v>143.19999999999999</v>
      </c>
      <c r="H1470" s="1012">
        <v>101.7</v>
      </c>
    </row>
    <row r="1471" spans="1:8" ht="12.65" customHeight="1">
      <c r="A1471" s="1017" t="s">
        <v>1517</v>
      </c>
      <c r="B1471" s="1017" t="s">
        <v>1342</v>
      </c>
      <c r="C1471" s="1017" t="s">
        <v>1518</v>
      </c>
      <c r="D1471" s="1016">
        <v>0.87</v>
      </c>
      <c r="E1471" s="1015">
        <v>94.1</v>
      </c>
      <c r="F1471" s="1014">
        <v>8</v>
      </c>
      <c r="G1471" s="1013">
        <v>66.900000000000006</v>
      </c>
      <c r="H1471" s="1012">
        <v>101.7</v>
      </c>
    </row>
    <row r="1472" spans="1:8" ht="12.65" customHeight="1">
      <c r="A1472" s="1017" t="s">
        <v>1514</v>
      </c>
      <c r="B1472" s="1017" t="s">
        <v>1342</v>
      </c>
      <c r="C1472" s="1017" t="s">
        <v>1515</v>
      </c>
      <c r="D1472" s="1016">
        <v>0.52</v>
      </c>
      <c r="E1472" s="1015">
        <v>96</v>
      </c>
      <c r="F1472" s="1014">
        <v>6.3</v>
      </c>
      <c r="G1472" s="1013">
        <v>12.5</v>
      </c>
      <c r="H1472" s="1012">
        <v>98.6</v>
      </c>
    </row>
    <row r="1473" spans="1:8" ht="12.65" customHeight="1">
      <c r="A1473" s="1017" t="s">
        <v>1511</v>
      </c>
      <c r="B1473" s="1017" t="s">
        <v>1342</v>
      </c>
      <c r="C1473" s="1017" t="s">
        <v>1512</v>
      </c>
      <c r="D1473" s="1016">
        <v>0.64</v>
      </c>
      <c r="E1473" s="1015">
        <v>95.6</v>
      </c>
      <c r="F1473" s="1014">
        <v>3.5</v>
      </c>
      <c r="G1473" s="1013">
        <v>3.8</v>
      </c>
      <c r="H1473" s="1012">
        <v>99.7</v>
      </c>
    </row>
    <row r="1474" spans="1:8" ht="12.65" customHeight="1">
      <c r="A1474" s="1017" t="s">
        <v>1508</v>
      </c>
      <c r="B1474" s="1017" t="s">
        <v>1342</v>
      </c>
      <c r="C1474" s="1017" t="s">
        <v>1509</v>
      </c>
      <c r="D1474" s="1016">
        <v>0.55000000000000004</v>
      </c>
      <c r="E1474" s="1015">
        <v>98.9</v>
      </c>
      <c r="F1474" s="1014">
        <v>6.8</v>
      </c>
      <c r="G1474" s="1013">
        <v>35.200000000000003</v>
      </c>
      <c r="H1474" s="1012">
        <v>99.2</v>
      </c>
    </row>
    <row r="1475" spans="1:8" ht="12.65" customHeight="1">
      <c r="A1475" s="1017" t="s">
        <v>1505</v>
      </c>
      <c r="B1475" s="1017" t="s">
        <v>1342</v>
      </c>
      <c r="C1475" s="1017" t="s">
        <v>1506</v>
      </c>
      <c r="D1475" s="1016">
        <v>0.49</v>
      </c>
      <c r="E1475" s="1015">
        <v>97.8</v>
      </c>
      <c r="F1475" s="1014">
        <v>7.1</v>
      </c>
      <c r="G1475" s="1013" t="s">
        <v>6080</v>
      </c>
      <c r="H1475" s="1012">
        <v>99</v>
      </c>
    </row>
    <row r="1476" spans="1:8" ht="12.65" customHeight="1">
      <c r="A1476" s="1017" t="s">
        <v>1502</v>
      </c>
      <c r="B1476" s="1017" t="s">
        <v>1342</v>
      </c>
      <c r="C1476" s="1017" t="s">
        <v>1503</v>
      </c>
      <c r="D1476" s="1016">
        <v>0.43</v>
      </c>
      <c r="E1476" s="1015">
        <v>98.4</v>
      </c>
      <c r="F1476" s="1014">
        <v>8.5</v>
      </c>
      <c r="G1476" s="1013" t="s">
        <v>6080</v>
      </c>
      <c r="H1476" s="1012">
        <v>95.4</v>
      </c>
    </row>
    <row r="1477" spans="1:8" ht="12.65" customHeight="1">
      <c r="A1477" s="1017" t="s">
        <v>1499</v>
      </c>
      <c r="B1477" s="1017" t="s">
        <v>1342</v>
      </c>
      <c r="C1477" s="1017" t="s">
        <v>1500</v>
      </c>
      <c r="D1477" s="1016">
        <v>0.46</v>
      </c>
      <c r="E1477" s="1015">
        <v>96.4</v>
      </c>
      <c r="F1477" s="1014">
        <v>7</v>
      </c>
      <c r="G1477" s="1013">
        <v>23.6</v>
      </c>
      <c r="H1477" s="1012">
        <v>99</v>
      </c>
    </row>
    <row r="1478" spans="1:8" ht="12.65" customHeight="1">
      <c r="A1478" s="1017" t="s">
        <v>1496</v>
      </c>
      <c r="B1478" s="1017" t="s">
        <v>1342</v>
      </c>
      <c r="C1478" s="1017" t="s">
        <v>1497</v>
      </c>
      <c r="D1478" s="1016">
        <v>0.38</v>
      </c>
      <c r="E1478" s="1015">
        <v>93.1</v>
      </c>
      <c r="F1478" s="1014">
        <v>7.9</v>
      </c>
      <c r="G1478" s="1013" t="s">
        <v>6080</v>
      </c>
      <c r="H1478" s="1012">
        <v>100</v>
      </c>
    </row>
    <row r="1479" spans="1:8" ht="12.65" customHeight="1">
      <c r="A1479" s="1017" t="s">
        <v>1493</v>
      </c>
      <c r="B1479" s="1017" t="s">
        <v>1342</v>
      </c>
      <c r="C1479" s="1017" t="s">
        <v>1494</v>
      </c>
      <c r="D1479" s="1016">
        <v>0.66</v>
      </c>
      <c r="E1479" s="1015">
        <v>91.1</v>
      </c>
      <c r="F1479" s="1014">
        <v>8.5</v>
      </c>
      <c r="G1479" s="1013">
        <v>7.3</v>
      </c>
      <c r="H1479" s="1012">
        <v>98.9</v>
      </c>
    </row>
    <row r="1480" spans="1:8" ht="12.65" customHeight="1">
      <c r="A1480" s="1017" t="s">
        <v>1490</v>
      </c>
      <c r="B1480" s="1017" t="s">
        <v>1342</v>
      </c>
      <c r="C1480" s="1017" t="s">
        <v>1491</v>
      </c>
      <c r="D1480" s="1016">
        <v>0.5</v>
      </c>
      <c r="E1480" s="1015">
        <v>93.3</v>
      </c>
      <c r="F1480" s="1014">
        <v>10</v>
      </c>
      <c r="G1480" s="1013">
        <v>39.299999999999997</v>
      </c>
      <c r="H1480" s="1012">
        <v>99.7</v>
      </c>
    </row>
    <row r="1481" spans="1:8" ht="12.65" customHeight="1">
      <c r="A1481" s="1017" t="s">
        <v>1487</v>
      </c>
      <c r="B1481" s="1017" t="s">
        <v>1342</v>
      </c>
      <c r="C1481" s="1017" t="s">
        <v>1488</v>
      </c>
      <c r="D1481" s="1016">
        <v>0.63</v>
      </c>
      <c r="E1481" s="1015">
        <v>89.5</v>
      </c>
      <c r="F1481" s="1014">
        <v>7</v>
      </c>
      <c r="G1481" s="1013" t="s">
        <v>6080</v>
      </c>
      <c r="H1481" s="1012">
        <v>100.5</v>
      </c>
    </row>
    <row r="1482" spans="1:8" ht="12.65" customHeight="1">
      <c r="A1482" s="1017" t="s">
        <v>1484</v>
      </c>
      <c r="B1482" s="1017" t="s">
        <v>1342</v>
      </c>
      <c r="C1482" s="1017" t="s">
        <v>1485</v>
      </c>
      <c r="D1482" s="1016">
        <v>0.53</v>
      </c>
      <c r="E1482" s="1015">
        <v>92.8</v>
      </c>
      <c r="F1482" s="1014">
        <v>8.6</v>
      </c>
      <c r="G1482" s="1013" t="s">
        <v>6080</v>
      </c>
      <c r="H1482" s="1012">
        <v>97</v>
      </c>
    </row>
    <row r="1483" spans="1:8" ht="12.65" customHeight="1">
      <c r="A1483" s="1017" t="s">
        <v>1481</v>
      </c>
      <c r="B1483" s="1017" t="s">
        <v>1342</v>
      </c>
      <c r="C1483" s="1017" t="s">
        <v>1482</v>
      </c>
      <c r="D1483" s="1016">
        <v>0.45</v>
      </c>
      <c r="E1483" s="1015">
        <v>93.7</v>
      </c>
      <c r="F1483" s="1014">
        <v>4</v>
      </c>
      <c r="G1483" s="1013" t="s">
        <v>6080</v>
      </c>
      <c r="H1483" s="1012">
        <v>99.8</v>
      </c>
    </row>
    <row r="1484" spans="1:8" ht="12.65" customHeight="1">
      <c r="A1484" s="1017" t="s">
        <v>1478</v>
      </c>
      <c r="B1484" s="1017" t="s">
        <v>1342</v>
      </c>
      <c r="C1484" s="1017" t="s">
        <v>1479</v>
      </c>
      <c r="D1484" s="1016">
        <v>0.63</v>
      </c>
      <c r="E1484" s="1015">
        <v>94.9</v>
      </c>
      <c r="F1484" s="1014">
        <v>6.8</v>
      </c>
      <c r="G1484" s="1013" t="s">
        <v>6080</v>
      </c>
      <c r="H1484" s="1012">
        <v>100.1</v>
      </c>
    </row>
    <row r="1485" spans="1:8" ht="12.65" customHeight="1">
      <c r="A1485" s="1017" t="s">
        <v>1475</v>
      </c>
      <c r="B1485" s="1017" t="s">
        <v>1342</v>
      </c>
      <c r="C1485" s="1017" t="s">
        <v>1476</v>
      </c>
      <c r="D1485" s="1016">
        <v>0.75</v>
      </c>
      <c r="E1485" s="1015">
        <v>87.7</v>
      </c>
      <c r="F1485" s="1014">
        <v>2.7</v>
      </c>
      <c r="G1485" s="1013" t="s">
        <v>6080</v>
      </c>
      <c r="H1485" s="1012">
        <v>99.4</v>
      </c>
    </row>
    <row r="1486" spans="1:8" ht="12.65" customHeight="1">
      <c r="A1486" s="1017" t="s">
        <v>1472</v>
      </c>
      <c r="B1486" s="1017" t="s">
        <v>1342</v>
      </c>
      <c r="C1486" s="1017" t="s">
        <v>1473</v>
      </c>
      <c r="D1486" s="1016">
        <v>0.73</v>
      </c>
      <c r="E1486" s="1015">
        <v>88.1</v>
      </c>
      <c r="F1486" s="1014">
        <v>2.7</v>
      </c>
      <c r="G1486" s="1013" t="s">
        <v>6080</v>
      </c>
      <c r="H1486" s="1012">
        <v>99.8</v>
      </c>
    </row>
    <row r="1487" spans="1:8" ht="12.65" customHeight="1">
      <c r="A1487" s="1017" t="s">
        <v>1469</v>
      </c>
      <c r="B1487" s="1017" t="s">
        <v>1342</v>
      </c>
      <c r="C1487" s="1017" t="s">
        <v>1470</v>
      </c>
      <c r="D1487" s="1016">
        <v>0.78</v>
      </c>
      <c r="E1487" s="1015">
        <v>86.6</v>
      </c>
      <c r="F1487" s="1014">
        <v>2.7</v>
      </c>
      <c r="G1487" s="1013" t="s">
        <v>6080</v>
      </c>
      <c r="H1487" s="1012">
        <v>100.2</v>
      </c>
    </row>
    <row r="1488" spans="1:8" ht="12.65" customHeight="1">
      <c r="A1488" s="1017" t="s">
        <v>1466</v>
      </c>
      <c r="B1488" s="1017" t="s">
        <v>1342</v>
      </c>
      <c r="C1488" s="1017" t="s">
        <v>1467</v>
      </c>
      <c r="D1488" s="1016">
        <v>0.57999999999999996</v>
      </c>
      <c r="E1488" s="1015">
        <v>93.6</v>
      </c>
      <c r="F1488" s="1014">
        <v>-0.6</v>
      </c>
      <c r="G1488" s="1013" t="s">
        <v>6080</v>
      </c>
      <c r="H1488" s="1012">
        <v>93.7</v>
      </c>
    </row>
    <row r="1489" spans="1:8" ht="12.65" customHeight="1">
      <c r="A1489" s="1017" t="s">
        <v>1463</v>
      </c>
      <c r="B1489" s="1017" t="s">
        <v>1342</v>
      </c>
      <c r="C1489" s="1017" t="s">
        <v>1464</v>
      </c>
      <c r="D1489" s="1016">
        <v>0.63</v>
      </c>
      <c r="E1489" s="1015">
        <v>94.5</v>
      </c>
      <c r="F1489" s="1014">
        <v>2.7</v>
      </c>
      <c r="G1489" s="1013" t="s">
        <v>6080</v>
      </c>
      <c r="H1489" s="1012">
        <v>100.6</v>
      </c>
    </row>
    <row r="1490" spans="1:8" ht="12.65" customHeight="1">
      <c r="A1490" s="1017" t="s">
        <v>1460</v>
      </c>
      <c r="B1490" s="1017" t="s">
        <v>1342</v>
      </c>
      <c r="C1490" s="1017" t="s">
        <v>1461</v>
      </c>
      <c r="D1490" s="1016">
        <v>0.67</v>
      </c>
      <c r="E1490" s="1015">
        <v>93.4</v>
      </c>
      <c r="F1490" s="1014">
        <v>5.0999999999999996</v>
      </c>
      <c r="G1490" s="1013" t="s">
        <v>6080</v>
      </c>
      <c r="H1490" s="1012">
        <v>93.4</v>
      </c>
    </row>
    <row r="1491" spans="1:8" ht="12.65" customHeight="1">
      <c r="A1491" s="1017" t="s">
        <v>1457</v>
      </c>
      <c r="B1491" s="1017" t="s">
        <v>1342</v>
      </c>
      <c r="C1491" s="1017" t="s">
        <v>1458</v>
      </c>
      <c r="D1491" s="1016">
        <v>0.55000000000000004</v>
      </c>
      <c r="E1491" s="1015">
        <v>89.8</v>
      </c>
      <c r="F1491" s="1014">
        <v>5.8</v>
      </c>
      <c r="G1491" s="1013" t="s">
        <v>6080</v>
      </c>
      <c r="H1491" s="1012">
        <v>95.2</v>
      </c>
    </row>
    <row r="1492" spans="1:8" ht="12.65" customHeight="1">
      <c r="A1492" s="1017" t="s">
        <v>1454</v>
      </c>
      <c r="B1492" s="1017" t="s">
        <v>1342</v>
      </c>
      <c r="C1492" s="1017" t="s">
        <v>1455</v>
      </c>
      <c r="D1492" s="1016">
        <v>0.38</v>
      </c>
      <c r="E1492" s="1015">
        <v>85.3</v>
      </c>
      <c r="F1492" s="1014">
        <v>6.5</v>
      </c>
      <c r="G1492" s="1013" t="s">
        <v>6080</v>
      </c>
      <c r="H1492" s="1012">
        <v>97.1</v>
      </c>
    </row>
    <row r="1493" spans="1:8" ht="12.65" customHeight="1">
      <c r="A1493" s="1017" t="s">
        <v>1451</v>
      </c>
      <c r="B1493" s="1017" t="s">
        <v>1342</v>
      </c>
      <c r="C1493" s="1017" t="s">
        <v>1452</v>
      </c>
      <c r="D1493" s="1016">
        <v>0.63</v>
      </c>
      <c r="E1493" s="1015">
        <v>93.7</v>
      </c>
      <c r="F1493" s="1014">
        <v>7.9</v>
      </c>
      <c r="G1493" s="1013" t="s">
        <v>6080</v>
      </c>
      <c r="H1493" s="1012">
        <v>98.2</v>
      </c>
    </row>
    <row r="1494" spans="1:8" ht="12.65" customHeight="1">
      <c r="A1494" s="1017" t="s">
        <v>1448</v>
      </c>
      <c r="B1494" s="1017" t="s">
        <v>1342</v>
      </c>
      <c r="C1494" s="1017" t="s">
        <v>1449</v>
      </c>
      <c r="D1494" s="1016">
        <v>0.28000000000000003</v>
      </c>
      <c r="E1494" s="1015">
        <v>108</v>
      </c>
      <c r="F1494" s="1014">
        <v>7.1</v>
      </c>
      <c r="G1494" s="1013">
        <v>11.5</v>
      </c>
      <c r="H1494" s="1012">
        <v>97.7</v>
      </c>
    </row>
    <row r="1495" spans="1:8" ht="12.65" customHeight="1">
      <c r="A1495" s="1017" t="s">
        <v>1445</v>
      </c>
      <c r="B1495" s="1017" t="s">
        <v>1342</v>
      </c>
      <c r="C1495" s="1017" t="s">
        <v>1446</v>
      </c>
      <c r="D1495" s="1016">
        <v>0.5</v>
      </c>
      <c r="E1495" s="1015">
        <v>92.5</v>
      </c>
      <c r="F1495" s="1014">
        <v>8.1</v>
      </c>
      <c r="G1495" s="1013" t="s">
        <v>6080</v>
      </c>
      <c r="H1495" s="1012">
        <v>98.9</v>
      </c>
    </row>
    <row r="1496" spans="1:8" ht="12.65" customHeight="1">
      <c r="A1496" s="1017" t="s">
        <v>1442</v>
      </c>
      <c r="B1496" s="1017" t="s">
        <v>1342</v>
      </c>
      <c r="C1496" s="1017" t="s">
        <v>1443</v>
      </c>
      <c r="D1496" s="1016">
        <v>0.41</v>
      </c>
      <c r="E1496" s="1015">
        <v>92.7</v>
      </c>
      <c r="F1496" s="1014">
        <v>6</v>
      </c>
      <c r="G1496" s="1013">
        <v>5.6</v>
      </c>
      <c r="H1496" s="1012">
        <v>99.3</v>
      </c>
    </row>
    <row r="1497" spans="1:8" ht="12.65" customHeight="1">
      <c r="A1497" s="1017" t="s">
        <v>1439</v>
      </c>
      <c r="B1497" s="1017" t="s">
        <v>1342</v>
      </c>
      <c r="C1497" s="1017" t="s">
        <v>1440</v>
      </c>
      <c r="D1497" s="1016">
        <v>0.56000000000000005</v>
      </c>
      <c r="E1497" s="1015">
        <v>85.7</v>
      </c>
      <c r="F1497" s="1014">
        <v>6.3</v>
      </c>
      <c r="G1497" s="1013" t="s">
        <v>6080</v>
      </c>
      <c r="H1497" s="1012">
        <v>98.8</v>
      </c>
    </row>
    <row r="1498" spans="1:8" ht="12.65" customHeight="1">
      <c r="A1498" s="1017" t="s">
        <v>6083</v>
      </c>
      <c r="B1498" s="1017" t="s">
        <v>1342</v>
      </c>
      <c r="C1498" s="1017" t="s">
        <v>6082</v>
      </c>
      <c r="D1498" s="1016">
        <v>0.69</v>
      </c>
      <c r="E1498" s="1015">
        <v>93.1</v>
      </c>
      <c r="F1498" s="1014">
        <v>7.3</v>
      </c>
      <c r="G1498" s="1013" t="s">
        <v>6080</v>
      </c>
      <c r="H1498" s="1012">
        <v>99.7</v>
      </c>
    </row>
    <row r="1499" spans="1:8" ht="12.65" customHeight="1">
      <c r="A1499" s="1017" t="s">
        <v>1431</v>
      </c>
      <c r="B1499" s="1017" t="s">
        <v>1342</v>
      </c>
      <c r="C1499" s="1017" t="s">
        <v>1432</v>
      </c>
      <c r="D1499" s="1016">
        <v>0.57999999999999996</v>
      </c>
      <c r="E1499" s="1015">
        <v>93.1</v>
      </c>
      <c r="F1499" s="1014">
        <v>6.6</v>
      </c>
      <c r="G1499" s="1013" t="s">
        <v>6080</v>
      </c>
      <c r="H1499" s="1012">
        <v>95.8</v>
      </c>
    </row>
    <row r="1500" spans="1:8" ht="12.65" customHeight="1">
      <c r="A1500" s="1017" t="s">
        <v>1428</v>
      </c>
      <c r="B1500" s="1017" t="s">
        <v>1342</v>
      </c>
      <c r="C1500" s="1017" t="s">
        <v>1429</v>
      </c>
      <c r="D1500" s="1016">
        <v>0.6</v>
      </c>
      <c r="E1500" s="1015">
        <v>97.1</v>
      </c>
      <c r="F1500" s="1014">
        <v>6.7</v>
      </c>
      <c r="G1500" s="1013" t="s">
        <v>6080</v>
      </c>
      <c r="H1500" s="1012">
        <v>98.3</v>
      </c>
    </row>
    <row r="1501" spans="1:8" ht="12.65" customHeight="1">
      <c r="A1501" s="1017" t="s">
        <v>1425</v>
      </c>
      <c r="B1501" s="1017" t="s">
        <v>1342</v>
      </c>
      <c r="C1501" s="1017" t="s">
        <v>1426</v>
      </c>
      <c r="D1501" s="1016">
        <v>0.72</v>
      </c>
      <c r="E1501" s="1015">
        <v>89.9</v>
      </c>
      <c r="F1501" s="1014">
        <v>4.8</v>
      </c>
      <c r="G1501" s="1013" t="s">
        <v>6080</v>
      </c>
      <c r="H1501" s="1012">
        <v>99</v>
      </c>
    </row>
    <row r="1502" spans="1:8" ht="12.65" customHeight="1">
      <c r="A1502" s="1017" t="s">
        <v>1422</v>
      </c>
      <c r="B1502" s="1017" t="s">
        <v>1342</v>
      </c>
      <c r="C1502" s="1017" t="s">
        <v>1423</v>
      </c>
      <c r="D1502" s="1016">
        <v>0.62</v>
      </c>
      <c r="E1502" s="1015">
        <v>91.6</v>
      </c>
      <c r="F1502" s="1014">
        <v>6.5</v>
      </c>
      <c r="G1502" s="1013">
        <v>25.3</v>
      </c>
      <c r="H1502" s="1012">
        <v>97.3</v>
      </c>
    </row>
    <row r="1503" spans="1:8" ht="12.65" customHeight="1">
      <c r="A1503" s="1017" t="s">
        <v>1419</v>
      </c>
      <c r="B1503" s="1017" t="s">
        <v>1342</v>
      </c>
      <c r="C1503" s="1017" t="s">
        <v>1420</v>
      </c>
      <c r="D1503" s="1016">
        <v>0.83</v>
      </c>
      <c r="E1503" s="1015">
        <v>88.6</v>
      </c>
      <c r="F1503" s="1014">
        <v>8.6</v>
      </c>
      <c r="G1503" s="1013" t="s">
        <v>6080</v>
      </c>
      <c r="H1503" s="1012">
        <v>96.3</v>
      </c>
    </row>
    <row r="1504" spans="1:8" ht="12.65" customHeight="1">
      <c r="A1504" s="1017" t="s">
        <v>1416</v>
      </c>
      <c r="B1504" s="1017" t="s">
        <v>1342</v>
      </c>
      <c r="C1504" s="1017" t="s">
        <v>1417</v>
      </c>
      <c r="D1504" s="1016">
        <v>0.76</v>
      </c>
      <c r="E1504" s="1015">
        <v>90</v>
      </c>
      <c r="F1504" s="1014">
        <v>11.8</v>
      </c>
      <c r="G1504" s="1013" t="s">
        <v>6080</v>
      </c>
      <c r="H1504" s="1012">
        <v>94.4</v>
      </c>
    </row>
    <row r="1505" spans="1:8" ht="12.65" customHeight="1">
      <c r="A1505" s="1017" t="s">
        <v>1413</v>
      </c>
      <c r="B1505" s="1017" t="s">
        <v>1342</v>
      </c>
      <c r="C1505" s="1017" t="s">
        <v>1414</v>
      </c>
      <c r="D1505" s="1016">
        <v>0.85</v>
      </c>
      <c r="E1505" s="1015">
        <v>89.2</v>
      </c>
      <c r="F1505" s="1014">
        <v>7.9</v>
      </c>
      <c r="G1505" s="1013" t="s">
        <v>6080</v>
      </c>
      <c r="H1505" s="1012">
        <v>98.5</v>
      </c>
    </row>
    <row r="1506" spans="1:8" ht="12.65" customHeight="1">
      <c r="A1506" s="1017" t="s">
        <v>1410</v>
      </c>
      <c r="B1506" s="1017" t="s">
        <v>1342</v>
      </c>
      <c r="C1506" s="1017" t="s">
        <v>1411</v>
      </c>
      <c r="D1506" s="1016">
        <v>0.34</v>
      </c>
      <c r="E1506" s="1015">
        <v>99.7</v>
      </c>
      <c r="F1506" s="1014">
        <v>5.7</v>
      </c>
      <c r="G1506" s="1013" t="s">
        <v>6080</v>
      </c>
      <c r="H1506" s="1012">
        <v>94.8</v>
      </c>
    </row>
    <row r="1507" spans="1:8" ht="12.65" customHeight="1">
      <c r="A1507" s="1017" t="s">
        <v>1407</v>
      </c>
      <c r="B1507" s="1017" t="s">
        <v>1342</v>
      </c>
      <c r="C1507" s="1017" t="s">
        <v>1408</v>
      </c>
      <c r="D1507" s="1016">
        <v>0.5</v>
      </c>
      <c r="E1507" s="1015">
        <v>88.4</v>
      </c>
      <c r="F1507" s="1014">
        <v>5.4</v>
      </c>
      <c r="G1507" s="1013">
        <v>11.4</v>
      </c>
      <c r="H1507" s="1012">
        <v>95.4</v>
      </c>
    </row>
    <row r="1508" spans="1:8" ht="12.65" customHeight="1">
      <c r="A1508" s="1017" t="s">
        <v>1404</v>
      </c>
      <c r="B1508" s="1017" t="s">
        <v>1342</v>
      </c>
      <c r="C1508" s="1017" t="s">
        <v>1405</v>
      </c>
      <c r="D1508" s="1016">
        <v>0.53</v>
      </c>
      <c r="E1508" s="1015">
        <v>91.7</v>
      </c>
      <c r="F1508" s="1014">
        <v>3.8</v>
      </c>
      <c r="G1508" s="1013" t="s">
        <v>6080</v>
      </c>
      <c r="H1508" s="1012">
        <v>98.1</v>
      </c>
    </row>
    <row r="1509" spans="1:8" ht="12.65" customHeight="1">
      <c r="A1509" s="1017" t="s">
        <v>1401</v>
      </c>
      <c r="B1509" s="1017" t="s">
        <v>1342</v>
      </c>
      <c r="C1509" s="1017" t="s">
        <v>1402</v>
      </c>
      <c r="D1509" s="1016">
        <v>0.54</v>
      </c>
      <c r="E1509" s="1015">
        <v>87.5</v>
      </c>
      <c r="F1509" s="1014">
        <v>7</v>
      </c>
      <c r="G1509" s="1013" t="s">
        <v>6080</v>
      </c>
      <c r="H1509" s="1012">
        <v>94.6</v>
      </c>
    </row>
    <row r="1510" spans="1:8" ht="12.65" customHeight="1">
      <c r="A1510" s="1017" t="s">
        <v>1398</v>
      </c>
      <c r="B1510" s="1017" t="s">
        <v>1342</v>
      </c>
      <c r="C1510" s="1017" t="s">
        <v>1399</v>
      </c>
      <c r="D1510" s="1016">
        <v>0.32</v>
      </c>
      <c r="E1510" s="1015">
        <v>90.7</v>
      </c>
      <c r="F1510" s="1014">
        <v>7</v>
      </c>
      <c r="G1510" s="1013">
        <v>88</v>
      </c>
      <c r="H1510" s="1012">
        <v>95.7</v>
      </c>
    </row>
    <row r="1511" spans="1:8" ht="12.65" customHeight="1">
      <c r="A1511" s="1017" t="s">
        <v>1395</v>
      </c>
      <c r="B1511" s="1017" t="s">
        <v>1342</v>
      </c>
      <c r="C1511" s="1017" t="s">
        <v>1396</v>
      </c>
      <c r="D1511" s="1016">
        <v>0.42</v>
      </c>
      <c r="E1511" s="1015">
        <v>94.3</v>
      </c>
      <c r="F1511" s="1014">
        <v>7.7</v>
      </c>
      <c r="G1511" s="1013" t="s">
        <v>6080</v>
      </c>
      <c r="H1511" s="1012">
        <v>94.1</v>
      </c>
    </row>
    <row r="1512" spans="1:8" ht="12.65" customHeight="1">
      <c r="A1512" s="1017" t="s">
        <v>1392</v>
      </c>
      <c r="B1512" s="1017" t="s">
        <v>1342</v>
      </c>
      <c r="C1512" s="1017" t="s">
        <v>1393</v>
      </c>
      <c r="D1512" s="1016">
        <v>0.39</v>
      </c>
      <c r="E1512" s="1015">
        <v>96.2</v>
      </c>
      <c r="F1512" s="1014">
        <v>3.6</v>
      </c>
      <c r="G1512" s="1013" t="s">
        <v>6080</v>
      </c>
      <c r="H1512" s="1012">
        <v>96.7</v>
      </c>
    </row>
    <row r="1513" spans="1:8" ht="12.65" customHeight="1">
      <c r="A1513" s="1017" t="s">
        <v>1389</v>
      </c>
      <c r="B1513" s="1017" t="s">
        <v>1342</v>
      </c>
      <c r="C1513" s="1017" t="s">
        <v>1390</v>
      </c>
      <c r="D1513" s="1016">
        <v>0.48</v>
      </c>
      <c r="E1513" s="1015">
        <v>90.3</v>
      </c>
      <c r="F1513" s="1014">
        <v>10.7</v>
      </c>
      <c r="G1513" s="1013">
        <v>31.1</v>
      </c>
      <c r="H1513" s="1012">
        <v>99.1</v>
      </c>
    </row>
    <row r="1514" spans="1:8" ht="12.65" customHeight="1">
      <c r="A1514" s="1017" t="s">
        <v>1386</v>
      </c>
      <c r="B1514" s="1017" t="s">
        <v>1342</v>
      </c>
      <c r="C1514" s="1017" t="s">
        <v>1387</v>
      </c>
      <c r="D1514" s="1016">
        <v>0.12</v>
      </c>
      <c r="E1514" s="1015">
        <v>80.900000000000006</v>
      </c>
      <c r="F1514" s="1014">
        <v>7</v>
      </c>
      <c r="G1514" s="1013" t="s">
        <v>6080</v>
      </c>
      <c r="H1514" s="1012">
        <v>96.8</v>
      </c>
    </row>
    <row r="1515" spans="1:8" ht="12.65" customHeight="1">
      <c r="A1515" s="1017" t="s">
        <v>1383</v>
      </c>
      <c r="B1515" s="1017" t="s">
        <v>1342</v>
      </c>
      <c r="C1515" s="1017" t="s">
        <v>1384</v>
      </c>
      <c r="D1515" s="1016">
        <v>0.46</v>
      </c>
      <c r="E1515" s="1015">
        <v>82.9</v>
      </c>
      <c r="F1515" s="1014">
        <v>9.1</v>
      </c>
      <c r="G1515" s="1013" t="s">
        <v>6080</v>
      </c>
      <c r="H1515" s="1012">
        <v>98.1</v>
      </c>
    </row>
    <row r="1516" spans="1:8" ht="12.65" customHeight="1">
      <c r="A1516" s="1017" t="s">
        <v>1380</v>
      </c>
      <c r="B1516" s="1017" t="s">
        <v>1342</v>
      </c>
      <c r="C1516" s="1017" t="s">
        <v>1381</v>
      </c>
      <c r="D1516" s="1016">
        <v>0.48</v>
      </c>
      <c r="E1516" s="1015">
        <v>83.6</v>
      </c>
      <c r="F1516" s="1014">
        <v>5.9</v>
      </c>
      <c r="G1516" s="1013" t="s">
        <v>6080</v>
      </c>
      <c r="H1516" s="1012">
        <v>98.1</v>
      </c>
    </row>
    <row r="1517" spans="1:8" ht="12.65" customHeight="1">
      <c r="A1517" s="1017" t="s">
        <v>1377</v>
      </c>
      <c r="B1517" s="1017" t="s">
        <v>1342</v>
      </c>
      <c r="C1517" s="1017" t="s">
        <v>1378</v>
      </c>
      <c r="D1517" s="1016">
        <v>0.6</v>
      </c>
      <c r="E1517" s="1015">
        <v>91.3</v>
      </c>
      <c r="F1517" s="1014">
        <v>8.4</v>
      </c>
      <c r="G1517" s="1013">
        <v>24.1</v>
      </c>
      <c r="H1517" s="1012">
        <v>97.9</v>
      </c>
    </row>
    <row r="1518" spans="1:8" ht="12.65" customHeight="1">
      <c r="A1518" s="1017" t="s">
        <v>1374</v>
      </c>
      <c r="B1518" s="1017" t="s">
        <v>1342</v>
      </c>
      <c r="C1518" s="1017" t="s">
        <v>1375</v>
      </c>
      <c r="D1518" s="1016">
        <v>0.3</v>
      </c>
      <c r="E1518" s="1015">
        <v>91.6</v>
      </c>
      <c r="F1518" s="1014">
        <v>3.7</v>
      </c>
      <c r="G1518" s="1013" t="s">
        <v>6080</v>
      </c>
      <c r="H1518" s="1012">
        <v>97.2</v>
      </c>
    </row>
    <row r="1519" spans="1:8" ht="12.65" customHeight="1">
      <c r="A1519" s="1017" t="s">
        <v>1371</v>
      </c>
      <c r="B1519" s="1017" t="s">
        <v>1342</v>
      </c>
      <c r="C1519" s="1017" t="s">
        <v>1372</v>
      </c>
      <c r="D1519" s="1016">
        <v>0.23</v>
      </c>
      <c r="E1519" s="1015">
        <v>96</v>
      </c>
      <c r="F1519" s="1014">
        <v>5.9</v>
      </c>
      <c r="G1519" s="1013" t="s">
        <v>6080</v>
      </c>
      <c r="H1519" s="1012">
        <v>96.3</v>
      </c>
    </row>
    <row r="1520" spans="1:8" ht="12.65" customHeight="1">
      <c r="A1520" s="1017" t="s">
        <v>1368</v>
      </c>
      <c r="B1520" s="1017" t="s">
        <v>1342</v>
      </c>
      <c r="C1520" s="1017" t="s">
        <v>1369</v>
      </c>
      <c r="D1520" s="1016">
        <v>0.22</v>
      </c>
      <c r="E1520" s="1015">
        <v>97.7</v>
      </c>
      <c r="F1520" s="1014">
        <v>5.8</v>
      </c>
      <c r="G1520" s="1013" t="s">
        <v>6080</v>
      </c>
      <c r="H1520" s="1012">
        <v>98.6</v>
      </c>
    </row>
    <row r="1521" spans="1:8" ht="12.65" customHeight="1">
      <c r="A1521" s="1017" t="s">
        <v>1365</v>
      </c>
      <c r="B1521" s="1017" t="s">
        <v>1342</v>
      </c>
      <c r="C1521" s="1017" t="s">
        <v>1366</v>
      </c>
      <c r="D1521" s="1016">
        <v>0.28999999999999998</v>
      </c>
      <c r="E1521" s="1015">
        <v>91.7</v>
      </c>
      <c r="F1521" s="1014">
        <v>8.1999999999999993</v>
      </c>
      <c r="G1521" s="1013">
        <v>26.6</v>
      </c>
      <c r="H1521" s="1012">
        <v>93.5</v>
      </c>
    </row>
    <row r="1522" spans="1:8" ht="12.65" customHeight="1">
      <c r="A1522" s="1017" t="s">
        <v>1362</v>
      </c>
      <c r="B1522" s="1017" t="s">
        <v>1342</v>
      </c>
      <c r="C1522" s="1017" t="s">
        <v>1363</v>
      </c>
      <c r="D1522" s="1016">
        <v>0.17</v>
      </c>
      <c r="E1522" s="1015">
        <v>89.1</v>
      </c>
      <c r="F1522" s="1014">
        <v>9.5</v>
      </c>
      <c r="G1522" s="1013">
        <v>33.799999999999997</v>
      </c>
      <c r="H1522" s="1012">
        <v>91.9</v>
      </c>
    </row>
    <row r="1523" spans="1:8" ht="12.65" customHeight="1">
      <c r="A1523" s="1017" t="s">
        <v>1359</v>
      </c>
      <c r="B1523" s="1017" t="s">
        <v>1342</v>
      </c>
      <c r="C1523" s="1017" t="s">
        <v>1360</v>
      </c>
      <c r="D1523" s="1016">
        <v>0.15</v>
      </c>
      <c r="E1523" s="1015">
        <v>86.2</v>
      </c>
      <c r="F1523" s="1014">
        <v>-0.9</v>
      </c>
      <c r="G1523" s="1013" t="s">
        <v>6080</v>
      </c>
      <c r="H1523" s="1012">
        <v>96.3</v>
      </c>
    </row>
    <row r="1524" spans="1:8" ht="12.65" customHeight="1">
      <c r="A1524" s="1017" t="s">
        <v>1356</v>
      </c>
      <c r="B1524" s="1017" t="s">
        <v>1342</v>
      </c>
      <c r="C1524" s="1017" t="s">
        <v>1357</v>
      </c>
      <c r="D1524" s="1016">
        <v>0.27</v>
      </c>
      <c r="E1524" s="1015">
        <v>95.9</v>
      </c>
      <c r="F1524" s="1014">
        <v>6.7</v>
      </c>
      <c r="G1524" s="1013" t="s">
        <v>6080</v>
      </c>
      <c r="H1524" s="1012">
        <v>97.6</v>
      </c>
    </row>
    <row r="1525" spans="1:8" ht="12.65" customHeight="1">
      <c r="A1525" s="1017" t="s">
        <v>1353</v>
      </c>
      <c r="B1525" s="1017" t="s">
        <v>1342</v>
      </c>
      <c r="C1525" s="1017" t="s">
        <v>1354</v>
      </c>
      <c r="D1525" s="1016">
        <v>1.25</v>
      </c>
      <c r="E1525" s="1015">
        <v>80.5</v>
      </c>
      <c r="F1525" s="1014">
        <v>9.5</v>
      </c>
      <c r="G1525" s="1013">
        <v>16.399999999999999</v>
      </c>
      <c r="H1525" s="1012">
        <v>99.5</v>
      </c>
    </row>
    <row r="1526" spans="1:8" ht="12.65" customHeight="1">
      <c r="A1526" s="1017" t="s">
        <v>1350</v>
      </c>
      <c r="B1526" s="1017" t="s">
        <v>1342</v>
      </c>
      <c r="C1526" s="1017" t="s">
        <v>1351</v>
      </c>
      <c r="D1526" s="1016">
        <v>0.34</v>
      </c>
      <c r="E1526" s="1015">
        <v>89.3</v>
      </c>
      <c r="F1526" s="1014">
        <v>6.3</v>
      </c>
      <c r="G1526" s="1013" t="s">
        <v>6080</v>
      </c>
      <c r="H1526" s="1012">
        <v>96.7</v>
      </c>
    </row>
    <row r="1527" spans="1:8" ht="12.65" customHeight="1">
      <c r="A1527" s="1017" t="s">
        <v>1347</v>
      </c>
      <c r="B1527" s="1017" t="s">
        <v>1342</v>
      </c>
      <c r="C1527" s="1017" t="s">
        <v>1348</v>
      </c>
      <c r="D1527" s="1016">
        <v>0.37</v>
      </c>
      <c r="E1527" s="1015">
        <v>86.1</v>
      </c>
      <c r="F1527" s="1014">
        <v>8.9</v>
      </c>
      <c r="G1527" s="1013" t="s">
        <v>6080</v>
      </c>
      <c r="H1527" s="1012">
        <v>94.4</v>
      </c>
    </row>
    <row r="1528" spans="1:8" ht="12.65" customHeight="1">
      <c r="A1528" s="1017" t="s">
        <v>1344</v>
      </c>
      <c r="B1528" s="1017" t="s">
        <v>1342</v>
      </c>
      <c r="C1528" s="1017" t="s">
        <v>1345</v>
      </c>
      <c r="D1528" s="1016">
        <v>0.28000000000000003</v>
      </c>
      <c r="E1528" s="1015">
        <v>88.5</v>
      </c>
      <c r="F1528" s="1014">
        <v>0.1</v>
      </c>
      <c r="G1528" s="1013" t="s">
        <v>6080</v>
      </c>
      <c r="H1528" s="1012">
        <v>94.6</v>
      </c>
    </row>
    <row r="1529" spans="1:8" ht="12.65" customHeight="1">
      <c r="A1529" s="1017" t="s">
        <v>1340</v>
      </c>
      <c r="B1529" s="1017" t="s">
        <v>1342</v>
      </c>
      <c r="C1529" s="1017" t="s">
        <v>1341</v>
      </c>
      <c r="D1529" s="1016">
        <v>0.32</v>
      </c>
      <c r="E1529" s="1015">
        <v>99.8</v>
      </c>
      <c r="F1529" s="1014">
        <v>10.6</v>
      </c>
      <c r="G1529" s="1013">
        <v>25.9</v>
      </c>
      <c r="H1529" s="1012">
        <v>98.8</v>
      </c>
    </row>
    <row r="1530" spans="1:8" ht="12.65" customHeight="1">
      <c r="A1530" s="1017" t="s">
        <v>1333</v>
      </c>
      <c r="B1530" s="1017" t="s">
        <v>1277</v>
      </c>
      <c r="C1530" s="1017" t="s">
        <v>1334</v>
      </c>
      <c r="D1530" s="1016">
        <v>0.63</v>
      </c>
      <c r="E1530" s="1015">
        <v>95.1</v>
      </c>
      <c r="F1530" s="1014">
        <v>2.4</v>
      </c>
      <c r="G1530" s="1013" t="s">
        <v>6080</v>
      </c>
      <c r="H1530" s="1012">
        <v>98.4</v>
      </c>
    </row>
    <row r="1531" spans="1:8" ht="12.65" customHeight="1">
      <c r="A1531" s="1017" t="s">
        <v>1330</v>
      </c>
      <c r="B1531" s="1017" t="s">
        <v>1277</v>
      </c>
      <c r="C1531" s="1017" t="s">
        <v>1331</v>
      </c>
      <c r="D1531" s="1016">
        <v>0.43</v>
      </c>
      <c r="E1531" s="1015">
        <v>89.3</v>
      </c>
      <c r="F1531" s="1014">
        <v>13.5</v>
      </c>
      <c r="G1531" s="1013">
        <v>111.1</v>
      </c>
      <c r="H1531" s="1012">
        <v>97.7</v>
      </c>
    </row>
    <row r="1532" spans="1:8" ht="12.65" customHeight="1">
      <c r="A1532" s="1017" t="s">
        <v>1327</v>
      </c>
      <c r="B1532" s="1017" t="s">
        <v>1277</v>
      </c>
      <c r="C1532" s="1017" t="s">
        <v>1328</v>
      </c>
      <c r="D1532" s="1016">
        <v>0.91</v>
      </c>
      <c r="E1532" s="1015">
        <v>84.9</v>
      </c>
      <c r="F1532" s="1014">
        <v>0.6</v>
      </c>
      <c r="G1532" s="1013" t="s">
        <v>6080</v>
      </c>
      <c r="H1532" s="1012">
        <v>99.1</v>
      </c>
    </row>
    <row r="1533" spans="1:8" ht="12.65" customHeight="1">
      <c r="A1533" s="1017" t="s">
        <v>1324</v>
      </c>
      <c r="B1533" s="1017" t="s">
        <v>1277</v>
      </c>
      <c r="C1533" s="1017" t="s">
        <v>1325</v>
      </c>
      <c r="D1533" s="1016">
        <v>0.35</v>
      </c>
      <c r="E1533" s="1015">
        <v>93.7</v>
      </c>
      <c r="F1533" s="1014">
        <v>12.4</v>
      </c>
      <c r="G1533" s="1013" t="s">
        <v>6080</v>
      </c>
      <c r="H1533" s="1012">
        <v>98.3</v>
      </c>
    </row>
    <row r="1534" spans="1:8" ht="12.65" customHeight="1">
      <c r="A1534" s="1017" t="s">
        <v>1321</v>
      </c>
      <c r="B1534" s="1017" t="s">
        <v>1277</v>
      </c>
      <c r="C1534" s="1017" t="s">
        <v>1322</v>
      </c>
      <c r="D1534" s="1016">
        <v>0.56999999999999995</v>
      </c>
      <c r="E1534" s="1015">
        <v>85.9</v>
      </c>
      <c r="F1534" s="1014">
        <v>8</v>
      </c>
      <c r="G1534" s="1013">
        <v>29.5</v>
      </c>
      <c r="H1534" s="1012">
        <v>98.2</v>
      </c>
    </row>
    <row r="1535" spans="1:8" ht="12.65" customHeight="1">
      <c r="A1535" s="1017" t="s">
        <v>1318</v>
      </c>
      <c r="B1535" s="1017" t="s">
        <v>1277</v>
      </c>
      <c r="C1535" s="1017" t="s">
        <v>1319</v>
      </c>
      <c r="D1535" s="1016">
        <v>0.48</v>
      </c>
      <c r="E1535" s="1015">
        <v>95.6</v>
      </c>
      <c r="F1535" s="1014">
        <v>10.5</v>
      </c>
      <c r="G1535" s="1013">
        <v>10.5</v>
      </c>
      <c r="H1535" s="1012">
        <v>99.6</v>
      </c>
    </row>
    <row r="1536" spans="1:8" ht="12.65" customHeight="1">
      <c r="A1536" s="1017" t="s">
        <v>1315</v>
      </c>
      <c r="B1536" s="1017" t="s">
        <v>1277</v>
      </c>
      <c r="C1536" s="1017" t="s">
        <v>1316</v>
      </c>
      <c r="D1536" s="1016">
        <v>0.47</v>
      </c>
      <c r="E1536" s="1015">
        <v>93.4</v>
      </c>
      <c r="F1536" s="1014">
        <v>9.3000000000000007</v>
      </c>
      <c r="G1536" s="1013">
        <v>101.2</v>
      </c>
      <c r="H1536" s="1012">
        <v>97.3</v>
      </c>
    </row>
    <row r="1537" spans="1:8" ht="12.65" customHeight="1">
      <c r="A1537" s="1017" t="s">
        <v>1312</v>
      </c>
      <c r="B1537" s="1017" t="s">
        <v>1277</v>
      </c>
      <c r="C1537" s="1017" t="s">
        <v>1313</v>
      </c>
      <c r="D1537" s="1016">
        <v>0.41</v>
      </c>
      <c r="E1537" s="1015">
        <v>95.7</v>
      </c>
      <c r="F1537" s="1014">
        <v>9.3000000000000007</v>
      </c>
      <c r="G1537" s="1013" t="s">
        <v>6080</v>
      </c>
      <c r="H1537" s="1012">
        <v>96.4</v>
      </c>
    </row>
    <row r="1538" spans="1:8" ht="12.65" customHeight="1">
      <c r="A1538" s="1017" t="s">
        <v>1309</v>
      </c>
      <c r="B1538" s="1017" t="s">
        <v>1277</v>
      </c>
      <c r="C1538" s="1017" t="s">
        <v>1310</v>
      </c>
      <c r="D1538" s="1016">
        <v>0.38</v>
      </c>
      <c r="E1538" s="1015">
        <v>93.1</v>
      </c>
      <c r="F1538" s="1014">
        <v>8.6999999999999993</v>
      </c>
      <c r="G1538" s="1013" t="s">
        <v>6080</v>
      </c>
      <c r="H1538" s="1012">
        <v>94.5</v>
      </c>
    </row>
    <row r="1539" spans="1:8" ht="12.65" customHeight="1">
      <c r="A1539" s="1017" t="s">
        <v>1306</v>
      </c>
      <c r="B1539" s="1017" t="s">
        <v>1277</v>
      </c>
      <c r="C1539" s="1017" t="s">
        <v>1307</v>
      </c>
      <c r="D1539" s="1016">
        <v>0.43</v>
      </c>
      <c r="E1539" s="1015">
        <v>94</v>
      </c>
      <c r="F1539" s="1014">
        <v>9.3000000000000007</v>
      </c>
      <c r="G1539" s="1013">
        <v>37.1</v>
      </c>
      <c r="H1539" s="1012">
        <v>97.5</v>
      </c>
    </row>
    <row r="1540" spans="1:8" ht="12.65" customHeight="1">
      <c r="A1540" s="1017" t="s">
        <v>1303</v>
      </c>
      <c r="B1540" s="1017" t="s">
        <v>1277</v>
      </c>
      <c r="C1540" s="1017" t="s">
        <v>1304</v>
      </c>
      <c r="D1540" s="1016">
        <v>0.51</v>
      </c>
      <c r="E1540" s="1015">
        <v>92.4</v>
      </c>
      <c r="F1540" s="1014">
        <v>8.9</v>
      </c>
      <c r="G1540" s="1013" t="s">
        <v>6080</v>
      </c>
      <c r="H1540" s="1012">
        <v>96.8</v>
      </c>
    </row>
    <row r="1541" spans="1:8" ht="12.65" customHeight="1">
      <c r="A1541" s="1017" t="s">
        <v>1300</v>
      </c>
      <c r="B1541" s="1017" t="s">
        <v>1277</v>
      </c>
      <c r="C1541" s="1017" t="s">
        <v>1301</v>
      </c>
      <c r="D1541" s="1016">
        <v>0.63</v>
      </c>
      <c r="E1541" s="1015">
        <v>91.5</v>
      </c>
      <c r="F1541" s="1014">
        <v>6.6</v>
      </c>
      <c r="G1541" s="1013" t="s">
        <v>6080</v>
      </c>
      <c r="H1541" s="1012">
        <v>99.1</v>
      </c>
    </row>
    <row r="1542" spans="1:8" ht="12.65" customHeight="1">
      <c r="A1542" s="1017" t="s">
        <v>1297</v>
      </c>
      <c r="B1542" s="1017" t="s">
        <v>1277</v>
      </c>
      <c r="C1542" s="1017" t="s">
        <v>1298</v>
      </c>
      <c r="D1542" s="1016">
        <v>0.52</v>
      </c>
      <c r="E1542" s="1015">
        <v>91</v>
      </c>
      <c r="F1542" s="1014">
        <v>7.5</v>
      </c>
      <c r="G1542" s="1013" t="s">
        <v>6080</v>
      </c>
      <c r="H1542" s="1012">
        <v>95.7</v>
      </c>
    </row>
    <row r="1543" spans="1:8" ht="12.65" customHeight="1">
      <c r="A1543" s="1017" t="s">
        <v>1294</v>
      </c>
      <c r="B1543" s="1017" t="s">
        <v>1277</v>
      </c>
      <c r="C1543" s="1017" t="s">
        <v>1295</v>
      </c>
      <c r="D1543" s="1016">
        <v>0.41</v>
      </c>
      <c r="E1543" s="1015">
        <v>100.6</v>
      </c>
      <c r="F1543" s="1014">
        <v>10</v>
      </c>
      <c r="G1543" s="1013">
        <v>15.8</v>
      </c>
      <c r="H1543" s="1012">
        <v>95.6</v>
      </c>
    </row>
    <row r="1544" spans="1:8" ht="12.65" customHeight="1">
      <c r="A1544" s="1017" t="s">
        <v>1291</v>
      </c>
      <c r="B1544" s="1017" t="s">
        <v>1277</v>
      </c>
      <c r="C1544" s="1017" t="s">
        <v>1292</v>
      </c>
      <c r="D1544" s="1016">
        <v>1.26</v>
      </c>
      <c r="E1544" s="1015">
        <v>67.8</v>
      </c>
      <c r="F1544" s="1014">
        <v>1</v>
      </c>
      <c r="G1544" s="1013" t="s">
        <v>6080</v>
      </c>
      <c r="H1544" s="1012">
        <v>96.3</v>
      </c>
    </row>
    <row r="1545" spans="1:8" ht="12.65" customHeight="1">
      <c r="A1545" s="1017" t="s">
        <v>1288</v>
      </c>
      <c r="B1545" s="1017" t="s">
        <v>1277</v>
      </c>
      <c r="C1545" s="1017" t="s">
        <v>1289</v>
      </c>
      <c r="D1545" s="1016">
        <v>0.35</v>
      </c>
      <c r="E1545" s="1015">
        <v>92.6</v>
      </c>
      <c r="F1545" s="1014">
        <v>8.5</v>
      </c>
      <c r="G1545" s="1013" t="s">
        <v>6080</v>
      </c>
      <c r="H1545" s="1012">
        <v>97.6</v>
      </c>
    </row>
    <row r="1546" spans="1:8" ht="12.65" customHeight="1">
      <c r="A1546" s="1017" t="s">
        <v>1285</v>
      </c>
      <c r="B1546" s="1017" t="s">
        <v>1277</v>
      </c>
      <c r="C1546" s="1017" t="s">
        <v>1286</v>
      </c>
      <c r="D1546" s="1016">
        <v>0.28999999999999998</v>
      </c>
      <c r="E1546" s="1015">
        <v>92.2</v>
      </c>
      <c r="F1546" s="1014">
        <v>7.6</v>
      </c>
      <c r="G1546" s="1013" t="s">
        <v>6080</v>
      </c>
      <c r="H1546" s="1012">
        <v>95.4</v>
      </c>
    </row>
    <row r="1547" spans="1:8" ht="12.65" customHeight="1">
      <c r="A1547" s="1017" t="s">
        <v>1282</v>
      </c>
      <c r="B1547" s="1017" t="s">
        <v>1277</v>
      </c>
      <c r="C1547" s="1017" t="s">
        <v>1283</v>
      </c>
      <c r="D1547" s="1016">
        <v>0.37</v>
      </c>
      <c r="E1547" s="1015">
        <v>90.1</v>
      </c>
      <c r="F1547" s="1014">
        <v>12.1</v>
      </c>
      <c r="G1547" s="1013" t="s">
        <v>6080</v>
      </c>
      <c r="H1547" s="1012">
        <v>97.8</v>
      </c>
    </row>
    <row r="1548" spans="1:8" ht="12.65" customHeight="1">
      <c r="A1548" s="1017" t="s">
        <v>1279</v>
      </c>
      <c r="B1548" s="1017" t="s">
        <v>1277</v>
      </c>
      <c r="C1548" s="1017" t="s">
        <v>1280</v>
      </c>
      <c r="D1548" s="1016">
        <v>0.33</v>
      </c>
      <c r="E1548" s="1015">
        <v>91.6</v>
      </c>
      <c r="F1548" s="1014">
        <v>10.199999999999999</v>
      </c>
      <c r="G1548" s="1013" t="s">
        <v>6080</v>
      </c>
      <c r="H1548" s="1012">
        <v>96.6</v>
      </c>
    </row>
    <row r="1549" spans="1:8" ht="12.65" customHeight="1">
      <c r="A1549" s="1017" t="s">
        <v>1275</v>
      </c>
      <c r="B1549" s="1017" t="s">
        <v>1277</v>
      </c>
      <c r="C1549" s="1017" t="s">
        <v>1276</v>
      </c>
      <c r="D1549" s="1016">
        <v>0.26</v>
      </c>
      <c r="E1549" s="1015">
        <v>91</v>
      </c>
      <c r="F1549" s="1014">
        <v>6</v>
      </c>
      <c r="G1549" s="1013" t="s">
        <v>6080</v>
      </c>
      <c r="H1549" s="1012">
        <v>95.6</v>
      </c>
    </row>
    <row r="1550" spans="1:8" ht="12.65" customHeight="1">
      <c r="A1550" s="1017" t="s">
        <v>1268</v>
      </c>
      <c r="B1550" s="1017" t="s">
        <v>1209</v>
      </c>
      <c r="C1550" s="1017" t="s">
        <v>1269</v>
      </c>
      <c r="D1550" s="1016">
        <v>0.56999999999999995</v>
      </c>
      <c r="E1550" s="1015">
        <v>97.9</v>
      </c>
      <c r="F1550" s="1014">
        <v>10.4</v>
      </c>
      <c r="G1550" s="1013">
        <v>96</v>
      </c>
      <c r="H1550" s="1012">
        <v>97.5</v>
      </c>
    </row>
    <row r="1551" spans="1:8" ht="12.65" customHeight="1">
      <c r="A1551" s="1017" t="s">
        <v>1265</v>
      </c>
      <c r="B1551" s="1017" t="s">
        <v>1209</v>
      </c>
      <c r="C1551" s="1017" t="s">
        <v>1266</v>
      </c>
      <c r="D1551" s="1016">
        <v>0.53</v>
      </c>
      <c r="E1551" s="1015">
        <v>94.2</v>
      </c>
      <c r="F1551" s="1014">
        <v>5.5</v>
      </c>
      <c r="G1551" s="1013" t="s">
        <v>6080</v>
      </c>
      <c r="H1551" s="1012">
        <v>98.5</v>
      </c>
    </row>
    <row r="1552" spans="1:8" ht="12.65" customHeight="1">
      <c r="A1552" s="1017" t="s">
        <v>1262</v>
      </c>
      <c r="B1552" s="1017" t="s">
        <v>1209</v>
      </c>
      <c r="C1552" s="1017" t="s">
        <v>1263</v>
      </c>
      <c r="D1552" s="1016">
        <v>0.42</v>
      </c>
      <c r="E1552" s="1015">
        <v>95.5</v>
      </c>
      <c r="F1552" s="1014">
        <v>5.5</v>
      </c>
      <c r="G1552" s="1013" t="s">
        <v>6080</v>
      </c>
      <c r="H1552" s="1012">
        <v>97.6</v>
      </c>
    </row>
    <row r="1553" spans="1:8" ht="12.65" customHeight="1">
      <c r="A1553" s="1017" t="s">
        <v>1259</v>
      </c>
      <c r="B1553" s="1017" t="s">
        <v>1209</v>
      </c>
      <c r="C1553" s="1017" t="s">
        <v>1260</v>
      </c>
      <c r="D1553" s="1016">
        <v>0.59</v>
      </c>
      <c r="E1553" s="1015">
        <v>96.5</v>
      </c>
      <c r="F1553" s="1014">
        <v>7.3</v>
      </c>
      <c r="G1553" s="1013" t="s">
        <v>6080</v>
      </c>
      <c r="H1553" s="1012">
        <v>97.8</v>
      </c>
    </row>
    <row r="1554" spans="1:8" ht="12.65" customHeight="1">
      <c r="A1554" s="1017" t="s">
        <v>1256</v>
      </c>
      <c r="B1554" s="1017" t="s">
        <v>1209</v>
      </c>
      <c r="C1554" s="1017" t="s">
        <v>1257</v>
      </c>
      <c r="D1554" s="1016">
        <v>0.62</v>
      </c>
      <c r="E1554" s="1015">
        <v>98.2</v>
      </c>
      <c r="F1554" s="1014">
        <v>8.9</v>
      </c>
      <c r="G1554" s="1013" t="s">
        <v>6080</v>
      </c>
      <c r="H1554" s="1012">
        <v>97.8</v>
      </c>
    </row>
    <row r="1555" spans="1:8" ht="12.65" customHeight="1">
      <c r="A1555" s="1017" t="s">
        <v>1253</v>
      </c>
      <c r="B1555" s="1017" t="s">
        <v>1209</v>
      </c>
      <c r="C1555" s="1017" t="s">
        <v>1254</v>
      </c>
      <c r="D1555" s="1016">
        <v>0.24</v>
      </c>
      <c r="E1555" s="1015">
        <v>91.3</v>
      </c>
      <c r="F1555" s="1014">
        <v>3.3</v>
      </c>
      <c r="G1555" s="1013" t="s">
        <v>6080</v>
      </c>
      <c r="H1555" s="1012">
        <v>96.7</v>
      </c>
    </row>
    <row r="1556" spans="1:8" ht="12.65" customHeight="1">
      <c r="A1556" s="1017" t="s">
        <v>1250</v>
      </c>
      <c r="B1556" s="1017" t="s">
        <v>1209</v>
      </c>
      <c r="C1556" s="1017" t="s">
        <v>1251</v>
      </c>
      <c r="D1556" s="1016">
        <v>0.53</v>
      </c>
      <c r="E1556" s="1015">
        <v>92</v>
      </c>
      <c r="F1556" s="1014">
        <v>10.7</v>
      </c>
      <c r="G1556" s="1013">
        <v>31</v>
      </c>
      <c r="H1556" s="1012">
        <v>99</v>
      </c>
    </row>
    <row r="1557" spans="1:8" ht="12.65" customHeight="1">
      <c r="A1557" s="1017" t="s">
        <v>1247</v>
      </c>
      <c r="B1557" s="1017" t="s">
        <v>1209</v>
      </c>
      <c r="C1557" s="1017" t="s">
        <v>1248</v>
      </c>
      <c r="D1557" s="1016">
        <v>0.2</v>
      </c>
      <c r="E1557" s="1015">
        <v>90.4</v>
      </c>
      <c r="F1557" s="1014">
        <v>8.8000000000000007</v>
      </c>
      <c r="G1557" s="1013">
        <v>18.8</v>
      </c>
      <c r="H1557" s="1012">
        <v>98.1</v>
      </c>
    </row>
    <row r="1558" spans="1:8" ht="12.65" customHeight="1">
      <c r="A1558" s="1017" t="s">
        <v>1244</v>
      </c>
      <c r="B1558" s="1017" t="s">
        <v>1209</v>
      </c>
      <c r="C1558" s="1017" t="s">
        <v>1245</v>
      </c>
      <c r="D1558" s="1016">
        <v>0.22</v>
      </c>
      <c r="E1558" s="1015">
        <v>95.1</v>
      </c>
      <c r="F1558" s="1014">
        <v>7.6</v>
      </c>
      <c r="G1558" s="1013">
        <v>18.5</v>
      </c>
      <c r="H1558" s="1012">
        <v>95.9</v>
      </c>
    </row>
    <row r="1559" spans="1:8" ht="12.65" customHeight="1">
      <c r="A1559" s="1017" t="s">
        <v>1241</v>
      </c>
      <c r="B1559" s="1017" t="s">
        <v>1209</v>
      </c>
      <c r="C1559" s="1017" t="s">
        <v>1242</v>
      </c>
      <c r="D1559" s="1016">
        <v>0.24</v>
      </c>
      <c r="E1559" s="1015">
        <v>93.9</v>
      </c>
      <c r="F1559" s="1014">
        <v>8.4</v>
      </c>
      <c r="G1559" s="1013" t="s">
        <v>6080</v>
      </c>
      <c r="H1559" s="1012">
        <v>96.6</v>
      </c>
    </row>
    <row r="1560" spans="1:8" ht="12.65" customHeight="1">
      <c r="A1560" s="1017" t="s">
        <v>1238</v>
      </c>
      <c r="B1560" s="1017" t="s">
        <v>1209</v>
      </c>
      <c r="C1560" s="1017" t="s">
        <v>1239</v>
      </c>
      <c r="D1560" s="1016">
        <v>0.28999999999999998</v>
      </c>
      <c r="E1560" s="1015">
        <v>87.8</v>
      </c>
      <c r="F1560" s="1014">
        <v>0.7</v>
      </c>
      <c r="G1560" s="1013" t="s">
        <v>6080</v>
      </c>
      <c r="H1560" s="1012">
        <v>98.9</v>
      </c>
    </row>
    <row r="1561" spans="1:8" ht="12.65" customHeight="1">
      <c r="A1561" s="1017" t="s">
        <v>1235</v>
      </c>
      <c r="B1561" s="1017" t="s">
        <v>1209</v>
      </c>
      <c r="C1561" s="1017" t="s">
        <v>1236</v>
      </c>
      <c r="D1561" s="1016">
        <v>0.28000000000000003</v>
      </c>
      <c r="E1561" s="1015">
        <v>89.4</v>
      </c>
      <c r="F1561" s="1014">
        <v>4.3</v>
      </c>
      <c r="G1561" s="1013" t="s">
        <v>6080</v>
      </c>
      <c r="H1561" s="1012">
        <v>98.3</v>
      </c>
    </row>
    <row r="1562" spans="1:8" ht="12.65" customHeight="1">
      <c r="A1562" s="1017" t="s">
        <v>1232</v>
      </c>
      <c r="B1562" s="1017" t="s">
        <v>1209</v>
      </c>
      <c r="C1562" s="1017" t="s">
        <v>1233</v>
      </c>
      <c r="D1562" s="1016">
        <v>0.25</v>
      </c>
      <c r="E1562" s="1015">
        <v>88.1</v>
      </c>
      <c r="F1562" s="1014">
        <v>-5.2</v>
      </c>
      <c r="G1562" s="1013" t="s">
        <v>6080</v>
      </c>
      <c r="H1562" s="1012">
        <v>97.3</v>
      </c>
    </row>
    <row r="1563" spans="1:8" ht="12.65" customHeight="1">
      <c r="A1563" s="1017" t="s">
        <v>1229</v>
      </c>
      <c r="B1563" s="1017" t="s">
        <v>1209</v>
      </c>
      <c r="C1563" s="1017" t="s">
        <v>1230</v>
      </c>
      <c r="D1563" s="1016">
        <v>0.62</v>
      </c>
      <c r="E1563" s="1015">
        <v>93.7</v>
      </c>
      <c r="F1563" s="1014">
        <v>7.1</v>
      </c>
      <c r="G1563" s="1013" t="s">
        <v>6080</v>
      </c>
      <c r="H1563" s="1012">
        <v>99.1</v>
      </c>
    </row>
    <row r="1564" spans="1:8" ht="12.65" customHeight="1">
      <c r="A1564" s="1017" t="s">
        <v>1226</v>
      </c>
      <c r="B1564" s="1017" t="s">
        <v>1209</v>
      </c>
      <c r="C1564" s="1017" t="s">
        <v>1227</v>
      </c>
      <c r="D1564" s="1016">
        <v>0.66</v>
      </c>
      <c r="E1564" s="1015">
        <v>92.9</v>
      </c>
      <c r="F1564" s="1014">
        <v>5.3</v>
      </c>
      <c r="G1564" s="1013" t="s">
        <v>6080</v>
      </c>
      <c r="H1564" s="1012">
        <v>98.5</v>
      </c>
    </row>
    <row r="1565" spans="1:8" ht="12.65" customHeight="1">
      <c r="A1565" s="1017" t="s">
        <v>1223</v>
      </c>
      <c r="B1565" s="1017" t="s">
        <v>1209</v>
      </c>
      <c r="C1565" s="1017" t="s">
        <v>1224</v>
      </c>
      <c r="D1565" s="1016">
        <v>0.3</v>
      </c>
      <c r="E1565" s="1015">
        <v>90.5</v>
      </c>
      <c r="F1565" s="1014">
        <v>8.9</v>
      </c>
      <c r="G1565" s="1013">
        <v>21.4</v>
      </c>
      <c r="H1565" s="1012">
        <v>96</v>
      </c>
    </row>
    <row r="1566" spans="1:8" ht="12.65" customHeight="1">
      <c r="A1566" s="1017" t="s">
        <v>1220</v>
      </c>
      <c r="B1566" s="1017" t="s">
        <v>1209</v>
      </c>
      <c r="C1566" s="1017" t="s">
        <v>1221</v>
      </c>
      <c r="D1566" s="1016">
        <v>0.36</v>
      </c>
      <c r="E1566" s="1015">
        <v>86.5</v>
      </c>
      <c r="F1566" s="1014">
        <v>7.2</v>
      </c>
      <c r="G1566" s="1013">
        <v>21.2</v>
      </c>
      <c r="H1566" s="1012">
        <v>97.5</v>
      </c>
    </row>
    <row r="1567" spans="1:8" ht="12.65" customHeight="1">
      <c r="A1567" s="1017" t="s">
        <v>1217</v>
      </c>
      <c r="B1567" s="1017" t="s">
        <v>1209</v>
      </c>
      <c r="C1567" s="1017" t="s">
        <v>1218</v>
      </c>
      <c r="D1567" s="1016">
        <v>0.39</v>
      </c>
      <c r="E1567" s="1015">
        <v>85.5</v>
      </c>
      <c r="F1567" s="1014">
        <v>8.4</v>
      </c>
      <c r="G1567" s="1013" t="s">
        <v>6080</v>
      </c>
      <c r="H1567" s="1012">
        <v>99</v>
      </c>
    </row>
    <row r="1568" spans="1:8" ht="12.65" customHeight="1">
      <c r="A1568" s="1017" t="s">
        <v>1214</v>
      </c>
      <c r="B1568" s="1017" t="s">
        <v>1209</v>
      </c>
      <c r="C1568" s="1017" t="s">
        <v>1215</v>
      </c>
      <c r="D1568" s="1016">
        <v>0.1</v>
      </c>
      <c r="E1568" s="1015">
        <v>82.7</v>
      </c>
      <c r="F1568" s="1014">
        <v>8.9</v>
      </c>
      <c r="G1568" s="1013" t="s">
        <v>6080</v>
      </c>
      <c r="H1568" s="1012">
        <v>94.2</v>
      </c>
    </row>
    <row r="1569" spans="1:8" ht="12.65" customHeight="1">
      <c r="A1569" s="1017" t="s">
        <v>1211</v>
      </c>
      <c r="B1569" s="1017" t="s">
        <v>1209</v>
      </c>
      <c r="C1569" s="1017" t="s">
        <v>1212</v>
      </c>
      <c r="D1569" s="1016">
        <v>0.48</v>
      </c>
      <c r="E1569" s="1015">
        <v>91</v>
      </c>
      <c r="F1569" s="1014">
        <v>8.8000000000000007</v>
      </c>
      <c r="G1569" s="1013" t="s">
        <v>6080</v>
      </c>
      <c r="H1569" s="1012">
        <v>99.7</v>
      </c>
    </row>
    <row r="1570" spans="1:8" ht="12.65" customHeight="1">
      <c r="A1570" s="1017" t="s">
        <v>1207</v>
      </c>
      <c r="B1570" s="1017" t="s">
        <v>1209</v>
      </c>
      <c r="C1570" s="1017" t="s">
        <v>1208</v>
      </c>
      <c r="D1570" s="1016">
        <v>0.22</v>
      </c>
      <c r="E1570" s="1015">
        <v>80.599999999999994</v>
      </c>
      <c r="F1570" s="1014">
        <v>1.4</v>
      </c>
      <c r="G1570" s="1013" t="s">
        <v>6080</v>
      </c>
      <c r="H1570" s="1012">
        <v>97.2</v>
      </c>
    </row>
    <row r="1571" spans="1:8" ht="12.65" customHeight="1">
      <c r="A1571" s="1017" t="s">
        <v>1200</v>
      </c>
      <c r="B1571" s="1017" t="s">
        <v>1069</v>
      </c>
      <c r="C1571" s="1017" t="s">
        <v>1201</v>
      </c>
      <c r="D1571" s="1016">
        <v>0.69</v>
      </c>
      <c r="E1571" s="1015">
        <v>93</v>
      </c>
      <c r="F1571" s="1014">
        <v>5.5</v>
      </c>
      <c r="G1571" s="1013">
        <v>92.9</v>
      </c>
      <c r="H1571" s="1012">
        <v>99.8</v>
      </c>
    </row>
    <row r="1572" spans="1:8" ht="12.65" customHeight="1">
      <c r="A1572" s="1017" t="s">
        <v>1197</v>
      </c>
      <c r="B1572" s="1017" t="s">
        <v>1069</v>
      </c>
      <c r="C1572" s="1017" t="s">
        <v>1198</v>
      </c>
      <c r="D1572" s="1016">
        <v>0.5</v>
      </c>
      <c r="E1572" s="1015">
        <v>93.3</v>
      </c>
      <c r="F1572" s="1014">
        <v>9.6</v>
      </c>
      <c r="G1572" s="1013">
        <v>83.3</v>
      </c>
      <c r="H1572" s="1012">
        <v>96</v>
      </c>
    </row>
    <row r="1573" spans="1:8" ht="12.65" customHeight="1">
      <c r="A1573" s="1017" t="s">
        <v>1194</v>
      </c>
      <c r="B1573" s="1017" t="s">
        <v>1069</v>
      </c>
      <c r="C1573" s="1017" t="s">
        <v>1195</v>
      </c>
      <c r="D1573" s="1016">
        <v>0.43</v>
      </c>
      <c r="E1573" s="1015">
        <v>94.3</v>
      </c>
      <c r="F1573" s="1014">
        <v>7.7</v>
      </c>
      <c r="G1573" s="1013">
        <v>9</v>
      </c>
      <c r="H1573" s="1012">
        <v>94.2</v>
      </c>
    </row>
    <row r="1574" spans="1:8" ht="12.65" customHeight="1">
      <c r="A1574" s="1017" t="s">
        <v>1191</v>
      </c>
      <c r="B1574" s="1017" t="s">
        <v>1069</v>
      </c>
      <c r="C1574" s="1017" t="s">
        <v>1192</v>
      </c>
      <c r="D1574" s="1016">
        <v>0.47</v>
      </c>
      <c r="E1574" s="1015">
        <v>95.5</v>
      </c>
      <c r="F1574" s="1014">
        <v>9.6</v>
      </c>
      <c r="G1574" s="1013">
        <v>92.8</v>
      </c>
      <c r="H1574" s="1012">
        <v>95.3</v>
      </c>
    </row>
    <row r="1575" spans="1:8" ht="12.65" customHeight="1">
      <c r="A1575" s="1017" t="s">
        <v>1188</v>
      </c>
      <c r="B1575" s="1017" t="s">
        <v>1069</v>
      </c>
      <c r="C1575" s="1017" t="s">
        <v>1189</v>
      </c>
      <c r="D1575" s="1016">
        <v>0.37</v>
      </c>
      <c r="E1575" s="1015">
        <v>91.5</v>
      </c>
      <c r="F1575" s="1014">
        <v>9.5</v>
      </c>
      <c r="G1575" s="1013">
        <v>2.7</v>
      </c>
      <c r="H1575" s="1012">
        <v>95.6</v>
      </c>
    </row>
    <row r="1576" spans="1:8" ht="12.65" customHeight="1">
      <c r="A1576" s="1017" t="s">
        <v>1185</v>
      </c>
      <c r="B1576" s="1017" t="s">
        <v>1069</v>
      </c>
      <c r="C1576" s="1017" t="s">
        <v>1186</v>
      </c>
      <c r="D1576" s="1016">
        <v>0.43</v>
      </c>
      <c r="E1576" s="1015">
        <v>97.6</v>
      </c>
      <c r="F1576" s="1014">
        <v>8.5</v>
      </c>
      <c r="G1576" s="1013">
        <v>17.899999999999999</v>
      </c>
      <c r="H1576" s="1012">
        <v>97.7</v>
      </c>
    </row>
    <row r="1577" spans="1:8" ht="12.65" customHeight="1">
      <c r="A1577" s="1017" t="s">
        <v>1182</v>
      </c>
      <c r="B1577" s="1017" t="s">
        <v>1069</v>
      </c>
      <c r="C1577" s="1017" t="s">
        <v>1183</v>
      </c>
      <c r="D1577" s="1016">
        <v>0.34</v>
      </c>
      <c r="E1577" s="1015">
        <v>97</v>
      </c>
      <c r="F1577" s="1014">
        <v>9.6</v>
      </c>
      <c r="G1577" s="1013" t="s">
        <v>6080</v>
      </c>
      <c r="H1577" s="1012">
        <v>97.3</v>
      </c>
    </row>
    <row r="1578" spans="1:8" ht="12.65" customHeight="1">
      <c r="A1578" s="1017" t="s">
        <v>1179</v>
      </c>
      <c r="B1578" s="1017" t="s">
        <v>1069</v>
      </c>
      <c r="C1578" s="1017" t="s">
        <v>1180</v>
      </c>
      <c r="D1578" s="1016">
        <v>0.44</v>
      </c>
      <c r="E1578" s="1015">
        <v>90.2</v>
      </c>
      <c r="F1578" s="1014">
        <v>9.1</v>
      </c>
      <c r="G1578" s="1013">
        <v>1.2</v>
      </c>
      <c r="H1578" s="1012">
        <v>95.5</v>
      </c>
    </row>
    <row r="1579" spans="1:8" ht="12.65" customHeight="1">
      <c r="A1579" s="1017" t="s">
        <v>1176</v>
      </c>
      <c r="B1579" s="1017" t="s">
        <v>1069</v>
      </c>
      <c r="C1579" s="1017" t="s">
        <v>1177</v>
      </c>
      <c r="D1579" s="1016">
        <v>0.5</v>
      </c>
      <c r="E1579" s="1015">
        <v>94.9</v>
      </c>
      <c r="F1579" s="1014">
        <v>11.6</v>
      </c>
      <c r="G1579" s="1013" t="s">
        <v>6080</v>
      </c>
      <c r="H1579" s="1012">
        <v>96.4</v>
      </c>
    </row>
    <row r="1580" spans="1:8" ht="12.65" customHeight="1">
      <c r="A1580" s="1017" t="s">
        <v>1173</v>
      </c>
      <c r="B1580" s="1017" t="s">
        <v>1069</v>
      </c>
      <c r="C1580" s="1017" t="s">
        <v>1174</v>
      </c>
      <c r="D1580" s="1016">
        <v>0.25</v>
      </c>
      <c r="E1580" s="1015">
        <v>92.9</v>
      </c>
      <c r="F1580" s="1014">
        <v>11.6</v>
      </c>
      <c r="G1580" s="1013" t="s">
        <v>6080</v>
      </c>
      <c r="H1580" s="1012">
        <v>98.5</v>
      </c>
    </row>
    <row r="1581" spans="1:8" ht="12.65" customHeight="1">
      <c r="A1581" s="1017" t="s">
        <v>1170</v>
      </c>
      <c r="B1581" s="1017" t="s">
        <v>1069</v>
      </c>
      <c r="C1581" s="1017" t="s">
        <v>1171</v>
      </c>
      <c r="D1581" s="1016">
        <v>0.4</v>
      </c>
      <c r="E1581" s="1015">
        <v>96.1</v>
      </c>
      <c r="F1581" s="1014">
        <v>10.7</v>
      </c>
      <c r="G1581" s="1013">
        <v>23.2</v>
      </c>
      <c r="H1581" s="1012">
        <v>99.1</v>
      </c>
    </row>
    <row r="1582" spans="1:8" ht="12.65" customHeight="1">
      <c r="A1582" s="1017" t="s">
        <v>1167</v>
      </c>
      <c r="B1582" s="1017" t="s">
        <v>1069</v>
      </c>
      <c r="C1582" s="1017" t="s">
        <v>1168</v>
      </c>
      <c r="D1582" s="1016">
        <v>0.34</v>
      </c>
      <c r="E1582" s="1015">
        <v>92.9</v>
      </c>
      <c r="F1582" s="1014">
        <v>8.9</v>
      </c>
      <c r="G1582" s="1013">
        <v>54.2</v>
      </c>
      <c r="H1582" s="1012">
        <v>96.6</v>
      </c>
    </row>
    <row r="1583" spans="1:8" ht="12.65" customHeight="1">
      <c r="A1583" s="1017" t="s">
        <v>1164</v>
      </c>
      <c r="B1583" s="1017" t="s">
        <v>1069</v>
      </c>
      <c r="C1583" s="1017" t="s">
        <v>1165</v>
      </c>
      <c r="D1583" s="1016">
        <v>0.28000000000000003</v>
      </c>
      <c r="E1583" s="1015">
        <v>91.7</v>
      </c>
      <c r="F1583" s="1014">
        <v>9.5</v>
      </c>
      <c r="G1583" s="1013" t="s">
        <v>6080</v>
      </c>
      <c r="H1583" s="1012">
        <v>97</v>
      </c>
    </row>
    <row r="1584" spans="1:8" ht="12.65" customHeight="1">
      <c r="A1584" s="1017" t="s">
        <v>1161</v>
      </c>
      <c r="B1584" s="1017" t="s">
        <v>1069</v>
      </c>
      <c r="C1584" s="1017" t="s">
        <v>1162</v>
      </c>
      <c r="D1584" s="1016">
        <v>0.63</v>
      </c>
      <c r="E1584" s="1015">
        <v>91.4</v>
      </c>
      <c r="F1584" s="1014">
        <v>7</v>
      </c>
      <c r="G1584" s="1013" t="s">
        <v>6080</v>
      </c>
      <c r="H1584" s="1012">
        <v>96.5</v>
      </c>
    </row>
    <row r="1585" spans="1:8" ht="12.65" customHeight="1">
      <c r="A1585" s="1017" t="s">
        <v>1158</v>
      </c>
      <c r="B1585" s="1017" t="s">
        <v>1069</v>
      </c>
      <c r="C1585" s="1017" t="s">
        <v>1159</v>
      </c>
      <c r="D1585" s="1016">
        <v>0.22</v>
      </c>
      <c r="E1585" s="1015">
        <v>96.5</v>
      </c>
      <c r="F1585" s="1014">
        <v>8.1</v>
      </c>
      <c r="G1585" s="1013" t="s">
        <v>6080</v>
      </c>
      <c r="H1585" s="1012">
        <v>94.1</v>
      </c>
    </row>
    <row r="1586" spans="1:8" ht="12.65" customHeight="1">
      <c r="A1586" s="1017" t="s">
        <v>1155</v>
      </c>
      <c r="B1586" s="1017" t="s">
        <v>1069</v>
      </c>
      <c r="C1586" s="1017" t="s">
        <v>1156</v>
      </c>
      <c r="D1586" s="1016">
        <v>0.3</v>
      </c>
      <c r="E1586" s="1015">
        <v>92.5</v>
      </c>
      <c r="F1586" s="1014">
        <v>6.1</v>
      </c>
      <c r="G1586" s="1013" t="s">
        <v>6080</v>
      </c>
      <c r="H1586" s="1012">
        <v>95.8</v>
      </c>
    </row>
    <row r="1587" spans="1:8" ht="12.65" customHeight="1">
      <c r="A1587" s="1017" t="s">
        <v>1152</v>
      </c>
      <c r="B1587" s="1017" t="s">
        <v>1069</v>
      </c>
      <c r="C1587" s="1017" t="s">
        <v>1153</v>
      </c>
      <c r="D1587" s="1016">
        <v>0.38</v>
      </c>
      <c r="E1587" s="1015">
        <v>89.2</v>
      </c>
      <c r="F1587" s="1014">
        <v>8.1</v>
      </c>
      <c r="G1587" s="1013">
        <v>18.2</v>
      </c>
      <c r="H1587" s="1012">
        <v>93.7</v>
      </c>
    </row>
    <row r="1588" spans="1:8" ht="12.65" customHeight="1">
      <c r="A1588" s="1017" t="s">
        <v>1149</v>
      </c>
      <c r="B1588" s="1017" t="s">
        <v>1069</v>
      </c>
      <c r="C1588" s="1017" t="s">
        <v>1150</v>
      </c>
      <c r="D1588" s="1016">
        <v>0.51</v>
      </c>
      <c r="E1588" s="1015">
        <v>93.5</v>
      </c>
      <c r="F1588" s="1014">
        <v>6.4</v>
      </c>
      <c r="G1588" s="1013">
        <v>44.2</v>
      </c>
      <c r="H1588" s="1012">
        <v>93.6</v>
      </c>
    </row>
    <row r="1589" spans="1:8" ht="12.65" customHeight="1">
      <c r="A1589" s="1017" t="s">
        <v>1146</v>
      </c>
      <c r="B1589" s="1017" t="s">
        <v>1069</v>
      </c>
      <c r="C1589" s="1017" t="s">
        <v>1147</v>
      </c>
      <c r="D1589" s="1016">
        <v>0.25</v>
      </c>
      <c r="E1589" s="1015">
        <v>94.5</v>
      </c>
      <c r="F1589" s="1014">
        <v>10.3</v>
      </c>
      <c r="G1589" s="1013" t="s">
        <v>6080</v>
      </c>
      <c r="H1589" s="1012">
        <v>95.2</v>
      </c>
    </row>
    <row r="1590" spans="1:8" ht="12.65" customHeight="1">
      <c r="A1590" s="1017" t="s">
        <v>1143</v>
      </c>
      <c r="B1590" s="1017" t="s">
        <v>1069</v>
      </c>
      <c r="C1590" s="1017" t="s">
        <v>1144</v>
      </c>
      <c r="D1590" s="1016">
        <v>0.72</v>
      </c>
      <c r="E1590" s="1015">
        <v>89.9</v>
      </c>
      <c r="F1590" s="1014">
        <v>6.5</v>
      </c>
      <c r="G1590" s="1013" t="s">
        <v>6080</v>
      </c>
      <c r="H1590" s="1012">
        <v>98.6</v>
      </c>
    </row>
    <row r="1591" spans="1:8" ht="12.65" customHeight="1">
      <c r="A1591" s="1017" t="s">
        <v>1140</v>
      </c>
      <c r="B1591" s="1017" t="s">
        <v>1069</v>
      </c>
      <c r="C1591" s="1017" t="s">
        <v>1141</v>
      </c>
      <c r="D1591" s="1016">
        <v>0.94</v>
      </c>
      <c r="E1591" s="1015">
        <v>91.8</v>
      </c>
      <c r="F1591" s="1014">
        <v>6.7</v>
      </c>
      <c r="G1591" s="1013">
        <v>24.9</v>
      </c>
      <c r="H1591" s="1012">
        <v>98.8</v>
      </c>
    </row>
    <row r="1592" spans="1:8" ht="12.65" customHeight="1">
      <c r="A1592" s="1017" t="s">
        <v>1137</v>
      </c>
      <c r="B1592" s="1017" t="s">
        <v>1069</v>
      </c>
      <c r="C1592" s="1017" t="s">
        <v>1138</v>
      </c>
      <c r="D1592" s="1016">
        <v>0.19</v>
      </c>
      <c r="E1592" s="1015">
        <v>88.3</v>
      </c>
      <c r="F1592" s="1014">
        <v>6.6</v>
      </c>
      <c r="G1592" s="1013" t="s">
        <v>6080</v>
      </c>
      <c r="H1592" s="1012">
        <v>95.9</v>
      </c>
    </row>
    <row r="1593" spans="1:8" ht="12.65" customHeight="1">
      <c r="A1593" s="1017" t="s">
        <v>1134</v>
      </c>
      <c r="B1593" s="1017" t="s">
        <v>1069</v>
      </c>
      <c r="C1593" s="1017" t="s">
        <v>1135</v>
      </c>
      <c r="D1593" s="1016">
        <v>0.24</v>
      </c>
      <c r="E1593" s="1015">
        <v>85.6</v>
      </c>
      <c r="F1593" s="1014">
        <v>9</v>
      </c>
      <c r="G1593" s="1013" t="s">
        <v>6080</v>
      </c>
      <c r="H1593" s="1012">
        <v>94.5</v>
      </c>
    </row>
    <row r="1594" spans="1:8" ht="12.65" customHeight="1">
      <c r="A1594" s="1017" t="s">
        <v>1131</v>
      </c>
      <c r="B1594" s="1017" t="s">
        <v>1069</v>
      </c>
      <c r="C1594" s="1017" t="s">
        <v>1132</v>
      </c>
      <c r="D1594" s="1016">
        <v>0.15</v>
      </c>
      <c r="E1594" s="1015">
        <v>85.4</v>
      </c>
      <c r="F1594" s="1014">
        <v>8.1999999999999993</v>
      </c>
      <c r="G1594" s="1013" t="s">
        <v>6080</v>
      </c>
      <c r="H1594" s="1012">
        <v>93.8</v>
      </c>
    </row>
    <row r="1595" spans="1:8" ht="12.65" customHeight="1">
      <c r="A1595" s="1017" t="s">
        <v>1128</v>
      </c>
      <c r="B1595" s="1017" t="s">
        <v>1069</v>
      </c>
      <c r="C1595" s="1017" t="s">
        <v>1129</v>
      </c>
      <c r="D1595" s="1016">
        <v>0.25</v>
      </c>
      <c r="E1595" s="1015">
        <v>73.400000000000006</v>
      </c>
      <c r="F1595" s="1014">
        <v>5</v>
      </c>
      <c r="G1595" s="1013" t="s">
        <v>6080</v>
      </c>
      <c r="H1595" s="1012">
        <v>95.5</v>
      </c>
    </row>
    <row r="1596" spans="1:8" ht="12.65" customHeight="1">
      <c r="A1596" s="1017" t="s">
        <v>1125</v>
      </c>
      <c r="B1596" s="1017" t="s">
        <v>1069</v>
      </c>
      <c r="C1596" s="1017" t="s">
        <v>1126</v>
      </c>
      <c r="D1596" s="1016">
        <v>0.34</v>
      </c>
      <c r="E1596" s="1015">
        <v>93.1</v>
      </c>
      <c r="F1596" s="1014">
        <v>8.5</v>
      </c>
      <c r="G1596" s="1013" t="s">
        <v>6080</v>
      </c>
      <c r="H1596" s="1012">
        <v>97.5</v>
      </c>
    </row>
    <row r="1597" spans="1:8" ht="12.65" customHeight="1">
      <c r="A1597" s="1017" t="s">
        <v>1122</v>
      </c>
      <c r="B1597" s="1017" t="s">
        <v>1069</v>
      </c>
      <c r="C1597" s="1017" t="s">
        <v>1123</v>
      </c>
      <c r="D1597" s="1016">
        <v>0.21</v>
      </c>
      <c r="E1597" s="1015">
        <v>95.4</v>
      </c>
      <c r="F1597" s="1014">
        <v>12.7</v>
      </c>
      <c r="G1597" s="1013">
        <v>22.3</v>
      </c>
      <c r="H1597" s="1012">
        <v>95.7</v>
      </c>
    </row>
    <row r="1598" spans="1:8" ht="12.65" customHeight="1">
      <c r="A1598" s="1017" t="s">
        <v>1119</v>
      </c>
      <c r="B1598" s="1017" t="s">
        <v>1069</v>
      </c>
      <c r="C1598" s="1017" t="s">
        <v>1120</v>
      </c>
      <c r="D1598" s="1016">
        <v>0.35</v>
      </c>
      <c r="E1598" s="1015">
        <v>89</v>
      </c>
      <c r="F1598" s="1014">
        <v>14.2</v>
      </c>
      <c r="G1598" s="1013" t="s">
        <v>6080</v>
      </c>
      <c r="H1598" s="1012">
        <v>93.1</v>
      </c>
    </row>
    <row r="1599" spans="1:8" ht="12.65" customHeight="1">
      <c r="A1599" s="1017" t="s">
        <v>1116</v>
      </c>
      <c r="B1599" s="1017" t="s">
        <v>1069</v>
      </c>
      <c r="C1599" s="1017" t="s">
        <v>1117</v>
      </c>
      <c r="D1599" s="1016">
        <v>0.61</v>
      </c>
      <c r="E1599" s="1015">
        <v>86.3</v>
      </c>
      <c r="F1599" s="1014">
        <v>10.7</v>
      </c>
      <c r="G1599" s="1013">
        <v>66.7</v>
      </c>
      <c r="H1599" s="1012">
        <v>93.8</v>
      </c>
    </row>
    <row r="1600" spans="1:8" ht="12.65" customHeight="1">
      <c r="A1600" s="1017" t="s">
        <v>1113</v>
      </c>
      <c r="B1600" s="1017" t="s">
        <v>1069</v>
      </c>
      <c r="C1600" s="1017" t="s">
        <v>1114</v>
      </c>
      <c r="D1600" s="1016">
        <v>0.48</v>
      </c>
      <c r="E1600" s="1015">
        <v>93.1</v>
      </c>
      <c r="F1600" s="1014">
        <v>10</v>
      </c>
      <c r="G1600" s="1013">
        <v>22.4</v>
      </c>
      <c r="H1600" s="1012">
        <v>93.5</v>
      </c>
    </row>
    <row r="1601" spans="1:8" ht="12.65" customHeight="1">
      <c r="A1601" s="1017" t="s">
        <v>1110</v>
      </c>
      <c r="B1601" s="1017" t="s">
        <v>1069</v>
      </c>
      <c r="C1601" s="1017" t="s">
        <v>1111</v>
      </c>
      <c r="D1601" s="1016">
        <v>0.28999999999999998</v>
      </c>
      <c r="E1601" s="1015">
        <v>83.7</v>
      </c>
      <c r="F1601" s="1014">
        <v>7.9</v>
      </c>
      <c r="G1601" s="1013" t="s">
        <v>6080</v>
      </c>
      <c r="H1601" s="1012">
        <v>92.4</v>
      </c>
    </row>
    <row r="1602" spans="1:8" ht="12.65" customHeight="1">
      <c r="A1602" s="1017" t="s">
        <v>1107</v>
      </c>
      <c r="B1602" s="1017" t="s">
        <v>1069</v>
      </c>
      <c r="C1602" s="1017" t="s">
        <v>1108</v>
      </c>
      <c r="D1602" s="1016">
        <v>0.23</v>
      </c>
      <c r="E1602" s="1015">
        <v>83.2</v>
      </c>
      <c r="F1602" s="1014">
        <v>3.9</v>
      </c>
      <c r="G1602" s="1013">
        <v>4.2</v>
      </c>
      <c r="H1602" s="1012">
        <v>93.6</v>
      </c>
    </row>
    <row r="1603" spans="1:8" ht="12.65" customHeight="1">
      <c r="A1603" s="1017" t="s">
        <v>1104</v>
      </c>
      <c r="B1603" s="1017" t="s">
        <v>1069</v>
      </c>
      <c r="C1603" s="1017" t="s">
        <v>1105</v>
      </c>
      <c r="D1603" s="1016">
        <v>0.28000000000000003</v>
      </c>
      <c r="E1603" s="1015">
        <v>99.9</v>
      </c>
      <c r="F1603" s="1014">
        <v>13.3</v>
      </c>
      <c r="G1603" s="1013">
        <v>7.9</v>
      </c>
      <c r="H1603" s="1012">
        <v>92.2</v>
      </c>
    </row>
    <row r="1604" spans="1:8" ht="12.65" customHeight="1">
      <c r="A1604" s="1017" t="s">
        <v>1101</v>
      </c>
      <c r="B1604" s="1017" t="s">
        <v>1069</v>
      </c>
      <c r="C1604" s="1017" t="s">
        <v>1102</v>
      </c>
      <c r="D1604" s="1016">
        <v>0.35</v>
      </c>
      <c r="E1604" s="1015">
        <v>89.5</v>
      </c>
      <c r="F1604" s="1014">
        <v>4.9000000000000004</v>
      </c>
      <c r="G1604" s="1013" t="s">
        <v>6080</v>
      </c>
      <c r="H1604" s="1012">
        <v>93.8</v>
      </c>
    </row>
    <row r="1605" spans="1:8" ht="12.65" customHeight="1">
      <c r="A1605" s="1017" t="s">
        <v>1098</v>
      </c>
      <c r="B1605" s="1017" t="s">
        <v>1069</v>
      </c>
      <c r="C1605" s="1017" t="s">
        <v>1099</v>
      </c>
      <c r="D1605" s="1016">
        <v>0.23</v>
      </c>
      <c r="E1605" s="1015">
        <v>84.8</v>
      </c>
      <c r="F1605" s="1014">
        <v>3.5</v>
      </c>
      <c r="G1605" s="1013" t="s">
        <v>6080</v>
      </c>
      <c r="H1605" s="1012">
        <v>94.7</v>
      </c>
    </row>
    <row r="1606" spans="1:8" ht="12.65" customHeight="1">
      <c r="A1606" s="1017" t="s">
        <v>1095</v>
      </c>
      <c r="B1606" s="1017" t="s">
        <v>1069</v>
      </c>
      <c r="C1606" s="1017" t="s">
        <v>1096</v>
      </c>
      <c r="D1606" s="1016">
        <v>0.39</v>
      </c>
      <c r="E1606" s="1015">
        <v>84.9</v>
      </c>
      <c r="F1606" s="1014">
        <v>8.9</v>
      </c>
      <c r="G1606" s="1013">
        <v>2.5</v>
      </c>
      <c r="H1606" s="1012">
        <v>93.9</v>
      </c>
    </row>
    <row r="1607" spans="1:8" ht="12.65" customHeight="1">
      <c r="A1607" s="1017" t="s">
        <v>1092</v>
      </c>
      <c r="B1607" s="1017" t="s">
        <v>1069</v>
      </c>
      <c r="C1607" s="1017" t="s">
        <v>1093</v>
      </c>
      <c r="D1607" s="1016">
        <v>0.23</v>
      </c>
      <c r="E1607" s="1015">
        <v>82.5</v>
      </c>
      <c r="F1607" s="1014">
        <v>9</v>
      </c>
      <c r="G1607" s="1013" t="s">
        <v>6080</v>
      </c>
      <c r="H1607" s="1012">
        <v>96.5</v>
      </c>
    </row>
    <row r="1608" spans="1:8" ht="12.65" customHeight="1">
      <c r="A1608" s="1017" t="s">
        <v>1089</v>
      </c>
      <c r="B1608" s="1017" t="s">
        <v>1069</v>
      </c>
      <c r="C1608" s="1017" t="s">
        <v>1090</v>
      </c>
      <c r="D1608" s="1016">
        <v>0.16</v>
      </c>
      <c r="E1608" s="1015">
        <v>85.3</v>
      </c>
      <c r="F1608" s="1014">
        <v>5.7</v>
      </c>
      <c r="G1608" s="1013" t="s">
        <v>6080</v>
      </c>
      <c r="H1608" s="1012">
        <v>94</v>
      </c>
    </row>
    <row r="1609" spans="1:8" ht="12.65" customHeight="1">
      <c r="A1609" s="1017" t="s">
        <v>1086</v>
      </c>
      <c r="B1609" s="1017" t="s">
        <v>1069</v>
      </c>
      <c r="C1609" s="1017" t="s">
        <v>1087</v>
      </c>
      <c r="D1609" s="1016">
        <v>0.16</v>
      </c>
      <c r="E1609" s="1015">
        <v>84.5</v>
      </c>
      <c r="F1609" s="1014">
        <v>11.7</v>
      </c>
      <c r="G1609" s="1013" t="s">
        <v>6080</v>
      </c>
      <c r="H1609" s="1012">
        <v>92.9</v>
      </c>
    </row>
    <row r="1610" spans="1:8" ht="12.65" customHeight="1">
      <c r="A1610" s="1017" t="s">
        <v>1083</v>
      </c>
      <c r="B1610" s="1017" t="s">
        <v>1069</v>
      </c>
      <c r="C1610" s="1017" t="s">
        <v>1084</v>
      </c>
      <c r="D1610" s="1016">
        <v>0.2</v>
      </c>
      <c r="E1610" s="1015">
        <v>84.9</v>
      </c>
      <c r="F1610" s="1014">
        <v>8.6999999999999993</v>
      </c>
      <c r="G1610" s="1013" t="s">
        <v>6080</v>
      </c>
      <c r="H1610" s="1012">
        <v>94.4</v>
      </c>
    </row>
    <row r="1611" spans="1:8" ht="12.65" customHeight="1">
      <c r="A1611" s="1017" t="s">
        <v>1080</v>
      </c>
      <c r="B1611" s="1017" t="s">
        <v>1069</v>
      </c>
      <c r="C1611" s="1017" t="s">
        <v>1081</v>
      </c>
      <c r="D1611" s="1016">
        <v>0.21</v>
      </c>
      <c r="E1611" s="1015">
        <v>91.4</v>
      </c>
      <c r="F1611" s="1014">
        <v>11.9</v>
      </c>
      <c r="G1611" s="1013" t="s">
        <v>6080</v>
      </c>
      <c r="H1611" s="1012">
        <v>94</v>
      </c>
    </row>
    <row r="1612" spans="1:8" ht="12.65" customHeight="1">
      <c r="A1612" s="1017" t="s">
        <v>1077</v>
      </c>
      <c r="B1612" s="1017" t="s">
        <v>1069</v>
      </c>
      <c r="C1612" s="1017" t="s">
        <v>1078</v>
      </c>
      <c r="D1612" s="1016">
        <v>0.15</v>
      </c>
      <c r="E1612" s="1015">
        <v>88.8</v>
      </c>
      <c r="F1612" s="1014">
        <v>9.3000000000000007</v>
      </c>
      <c r="G1612" s="1013" t="s">
        <v>6080</v>
      </c>
      <c r="H1612" s="1012">
        <v>93.1</v>
      </c>
    </row>
    <row r="1613" spans="1:8" ht="12.65" customHeight="1">
      <c r="A1613" s="1017" t="s">
        <v>1074</v>
      </c>
      <c r="B1613" s="1017" t="s">
        <v>1069</v>
      </c>
      <c r="C1613" s="1017" t="s">
        <v>1075</v>
      </c>
      <c r="D1613" s="1016">
        <v>0.14000000000000001</v>
      </c>
      <c r="E1613" s="1015">
        <v>80.8</v>
      </c>
      <c r="F1613" s="1014">
        <v>6.9</v>
      </c>
      <c r="G1613" s="1013" t="s">
        <v>6080</v>
      </c>
      <c r="H1613" s="1012">
        <v>92.4</v>
      </c>
    </row>
    <row r="1614" spans="1:8" ht="12.65" customHeight="1">
      <c r="A1614" s="1017" t="s">
        <v>1071</v>
      </c>
      <c r="B1614" s="1017" t="s">
        <v>1069</v>
      </c>
      <c r="C1614" s="1017" t="s">
        <v>1072</v>
      </c>
      <c r="D1614" s="1016">
        <v>0.23</v>
      </c>
      <c r="E1614" s="1015">
        <v>85.7</v>
      </c>
      <c r="F1614" s="1014">
        <v>8.3000000000000007</v>
      </c>
      <c r="G1614" s="1013" t="s">
        <v>6080</v>
      </c>
      <c r="H1614" s="1012">
        <v>94.6</v>
      </c>
    </row>
    <row r="1615" spans="1:8" ht="12.65" customHeight="1">
      <c r="A1615" s="1017" t="s">
        <v>1067</v>
      </c>
      <c r="B1615" s="1017" t="s">
        <v>1069</v>
      </c>
      <c r="C1615" s="1017" t="s">
        <v>1068</v>
      </c>
      <c r="D1615" s="1016">
        <v>0.41</v>
      </c>
      <c r="E1615" s="1015">
        <v>87.7</v>
      </c>
      <c r="F1615" s="1014">
        <v>12.5</v>
      </c>
      <c r="G1615" s="1013">
        <v>18.100000000000001</v>
      </c>
      <c r="H1615" s="1012">
        <v>97.6</v>
      </c>
    </row>
    <row r="1616" spans="1:8" ht="12.65" customHeight="1">
      <c r="A1616" s="1017" t="s">
        <v>1060</v>
      </c>
      <c r="B1616" s="1017" t="s">
        <v>1010</v>
      </c>
      <c r="C1616" s="1017" t="s">
        <v>1061</v>
      </c>
      <c r="D1616" s="1016">
        <v>0.86</v>
      </c>
      <c r="E1616" s="1015">
        <v>97.3</v>
      </c>
      <c r="F1616" s="1014">
        <v>5.9</v>
      </c>
      <c r="G1616" s="1013">
        <v>41.1</v>
      </c>
      <c r="H1616" s="1012">
        <v>100.8</v>
      </c>
    </row>
    <row r="1617" spans="1:8" ht="12.65" customHeight="1">
      <c r="A1617" s="1017" t="s">
        <v>1057</v>
      </c>
      <c r="B1617" s="1017" t="s">
        <v>1010</v>
      </c>
      <c r="C1617" s="1017" t="s">
        <v>1058</v>
      </c>
      <c r="D1617" s="1016">
        <v>0.55000000000000004</v>
      </c>
      <c r="E1617" s="1015">
        <v>97.1</v>
      </c>
      <c r="F1617" s="1014">
        <v>4.0999999999999996</v>
      </c>
      <c r="G1617" s="1013" t="s">
        <v>6080</v>
      </c>
      <c r="H1617" s="1012">
        <v>99.6</v>
      </c>
    </row>
    <row r="1618" spans="1:8" ht="12.65" customHeight="1">
      <c r="A1618" s="1017" t="s">
        <v>1054</v>
      </c>
      <c r="B1618" s="1017" t="s">
        <v>1010</v>
      </c>
      <c r="C1618" s="1017" t="s">
        <v>1055</v>
      </c>
      <c r="D1618" s="1016">
        <v>0.51</v>
      </c>
      <c r="E1618" s="1015">
        <v>93.8</v>
      </c>
      <c r="F1618" s="1014">
        <v>5.5</v>
      </c>
      <c r="G1618" s="1013">
        <v>33.200000000000003</v>
      </c>
      <c r="H1618" s="1012">
        <v>100.1</v>
      </c>
    </row>
    <row r="1619" spans="1:8" ht="12.65" customHeight="1">
      <c r="A1619" s="1017" t="s">
        <v>1051</v>
      </c>
      <c r="B1619" s="1017" t="s">
        <v>1010</v>
      </c>
      <c r="C1619" s="1017" t="s">
        <v>1052</v>
      </c>
      <c r="D1619" s="1016">
        <v>0.42</v>
      </c>
      <c r="E1619" s="1015">
        <v>94.5</v>
      </c>
      <c r="F1619" s="1014">
        <v>5.5</v>
      </c>
      <c r="G1619" s="1013" t="s">
        <v>6080</v>
      </c>
      <c r="H1619" s="1012">
        <v>100.3</v>
      </c>
    </row>
    <row r="1620" spans="1:8" ht="12.65" customHeight="1">
      <c r="A1620" s="1017" t="s">
        <v>1048</v>
      </c>
      <c r="B1620" s="1017" t="s">
        <v>1010</v>
      </c>
      <c r="C1620" s="1017" t="s">
        <v>1049</v>
      </c>
      <c r="D1620" s="1016">
        <v>0.33</v>
      </c>
      <c r="E1620" s="1015">
        <v>95.5</v>
      </c>
      <c r="F1620" s="1014">
        <v>10</v>
      </c>
      <c r="G1620" s="1013" t="s">
        <v>6080</v>
      </c>
      <c r="H1620" s="1012">
        <v>100.1</v>
      </c>
    </row>
    <row r="1621" spans="1:8" ht="12.65" customHeight="1">
      <c r="A1621" s="1017" t="s">
        <v>1045</v>
      </c>
      <c r="B1621" s="1017" t="s">
        <v>1010</v>
      </c>
      <c r="C1621" s="1017" t="s">
        <v>1046</v>
      </c>
      <c r="D1621" s="1016">
        <v>0.37</v>
      </c>
      <c r="E1621" s="1015">
        <v>93.8</v>
      </c>
      <c r="F1621" s="1014">
        <v>8.1</v>
      </c>
      <c r="G1621" s="1013" t="s">
        <v>6080</v>
      </c>
      <c r="H1621" s="1012">
        <v>100.2</v>
      </c>
    </row>
    <row r="1622" spans="1:8" ht="12.65" customHeight="1">
      <c r="A1622" s="1017" t="s">
        <v>1042</v>
      </c>
      <c r="B1622" s="1017" t="s">
        <v>1010</v>
      </c>
      <c r="C1622" s="1017" t="s">
        <v>1043</v>
      </c>
      <c r="D1622" s="1016">
        <v>0.39</v>
      </c>
      <c r="E1622" s="1015">
        <v>94.1</v>
      </c>
      <c r="F1622" s="1014">
        <v>9</v>
      </c>
      <c r="G1622" s="1013" t="s">
        <v>6080</v>
      </c>
      <c r="H1622" s="1012">
        <v>99.1</v>
      </c>
    </row>
    <row r="1623" spans="1:8" ht="12.65" customHeight="1">
      <c r="A1623" s="1017" t="s">
        <v>1039</v>
      </c>
      <c r="B1623" s="1017" t="s">
        <v>1010</v>
      </c>
      <c r="C1623" s="1017" t="s">
        <v>1040</v>
      </c>
      <c r="D1623" s="1016">
        <v>0.25</v>
      </c>
      <c r="E1623" s="1015">
        <v>97.3</v>
      </c>
      <c r="F1623" s="1014">
        <v>7.7</v>
      </c>
      <c r="G1623" s="1013">
        <v>7.6</v>
      </c>
      <c r="H1623" s="1012">
        <v>99.5</v>
      </c>
    </row>
    <row r="1624" spans="1:8" ht="12.65" customHeight="1">
      <c r="A1624" s="1017" t="s">
        <v>1036</v>
      </c>
      <c r="B1624" s="1017" t="s">
        <v>1010</v>
      </c>
      <c r="C1624" s="1017" t="s">
        <v>1037</v>
      </c>
      <c r="D1624" s="1016">
        <v>0.31</v>
      </c>
      <c r="E1624" s="1015">
        <v>86.5</v>
      </c>
      <c r="F1624" s="1014">
        <v>3.8</v>
      </c>
      <c r="G1624" s="1013" t="s">
        <v>6080</v>
      </c>
      <c r="H1624" s="1012">
        <v>100.4</v>
      </c>
    </row>
    <row r="1625" spans="1:8" ht="12.65" customHeight="1">
      <c r="A1625" s="1017" t="s">
        <v>1033</v>
      </c>
      <c r="B1625" s="1017" t="s">
        <v>1010</v>
      </c>
      <c r="C1625" s="1017" t="s">
        <v>1034</v>
      </c>
      <c r="D1625" s="1016">
        <v>0.33</v>
      </c>
      <c r="E1625" s="1015">
        <v>90</v>
      </c>
      <c r="F1625" s="1014">
        <v>4.5</v>
      </c>
      <c r="G1625" s="1013" t="s">
        <v>6080</v>
      </c>
      <c r="H1625" s="1012">
        <v>99.3</v>
      </c>
    </row>
    <row r="1626" spans="1:8" ht="12.65" customHeight="1">
      <c r="A1626" s="1017" t="s">
        <v>1030</v>
      </c>
      <c r="B1626" s="1017" t="s">
        <v>1010</v>
      </c>
      <c r="C1626" s="1017" t="s">
        <v>1031</v>
      </c>
      <c r="D1626" s="1016">
        <v>0.42</v>
      </c>
      <c r="E1626" s="1015">
        <v>96.8</v>
      </c>
      <c r="F1626" s="1014">
        <v>6.9</v>
      </c>
      <c r="G1626" s="1013">
        <v>20.7</v>
      </c>
      <c r="H1626" s="1012">
        <v>100</v>
      </c>
    </row>
    <row r="1627" spans="1:8" ht="12.65" customHeight="1">
      <c r="A1627" s="1017" t="s">
        <v>1027</v>
      </c>
      <c r="B1627" s="1017" t="s">
        <v>1010</v>
      </c>
      <c r="C1627" s="1017" t="s">
        <v>1028</v>
      </c>
      <c r="D1627" s="1016">
        <v>0.28000000000000003</v>
      </c>
      <c r="E1627" s="1015">
        <v>92.4</v>
      </c>
      <c r="F1627" s="1014">
        <v>6.3</v>
      </c>
      <c r="G1627" s="1013" t="s">
        <v>6080</v>
      </c>
      <c r="H1627" s="1012">
        <v>99.9</v>
      </c>
    </row>
    <row r="1628" spans="1:8" ht="12.65" customHeight="1">
      <c r="A1628" s="1017" t="s">
        <v>1024</v>
      </c>
      <c r="B1628" s="1017" t="s">
        <v>1010</v>
      </c>
      <c r="C1628" s="1017" t="s">
        <v>1025</v>
      </c>
      <c r="D1628" s="1016">
        <v>0.41</v>
      </c>
      <c r="E1628" s="1015">
        <v>96.6</v>
      </c>
      <c r="F1628" s="1014">
        <v>7.2</v>
      </c>
      <c r="G1628" s="1013">
        <v>30.6</v>
      </c>
      <c r="H1628" s="1012">
        <v>100.4</v>
      </c>
    </row>
    <row r="1629" spans="1:8" ht="12.65" customHeight="1">
      <c r="A1629" s="1017" t="s">
        <v>1021</v>
      </c>
      <c r="B1629" s="1017" t="s">
        <v>1010</v>
      </c>
      <c r="C1629" s="1017" t="s">
        <v>1022</v>
      </c>
      <c r="D1629" s="1016">
        <v>0.28999999999999998</v>
      </c>
      <c r="E1629" s="1015">
        <v>95.7</v>
      </c>
      <c r="F1629" s="1014">
        <v>4.5</v>
      </c>
      <c r="G1629" s="1013" t="s">
        <v>6080</v>
      </c>
      <c r="H1629" s="1012">
        <v>99.8</v>
      </c>
    </row>
    <row r="1630" spans="1:8" ht="12.65" customHeight="1">
      <c r="A1630" s="1017" t="s">
        <v>1018</v>
      </c>
      <c r="B1630" s="1017" t="s">
        <v>1010</v>
      </c>
      <c r="C1630" s="1017" t="s">
        <v>1019</v>
      </c>
      <c r="D1630" s="1016">
        <v>0.1</v>
      </c>
      <c r="E1630" s="1015">
        <v>84.4</v>
      </c>
      <c r="F1630" s="1014">
        <v>3.4</v>
      </c>
      <c r="G1630" s="1013" t="s">
        <v>6080</v>
      </c>
      <c r="H1630" s="1012">
        <v>81.900000000000006</v>
      </c>
    </row>
    <row r="1631" spans="1:8" ht="12.65" customHeight="1">
      <c r="A1631" s="1017" t="s">
        <v>1015</v>
      </c>
      <c r="B1631" s="1017" t="s">
        <v>1010</v>
      </c>
      <c r="C1631" s="1017" t="s">
        <v>1016</v>
      </c>
      <c r="D1631" s="1016">
        <v>0.57999999999999996</v>
      </c>
      <c r="E1631" s="1015">
        <v>93.8</v>
      </c>
      <c r="F1631" s="1014">
        <v>8.1999999999999993</v>
      </c>
      <c r="G1631" s="1013">
        <v>7.8</v>
      </c>
      <c r="H1631" s="1012">
        <v>100.4</v>
      </c>
    </row>
    <row r="1632" spans="1:8" ht="12.65" customHeight="1">
      <c r="A1632" s="1017" t="s">
        <v>1012</v>
      </c>
      <c r="B1632" s="1017" t="s">
        <v>1010</v>
      </c>
      <c r="C1632" s="1017" t="s">
        <v>1013</v>
      </c>
      <c r="D1632" s="1016">
        <v>0.32</v>
      </c>
      <c r="E1632" s="1015">
        <v>86.7</v>
      </c>
      <c r="F1632" s="1014">
        <v>4.8</v>
      </c>
      <c r="G1632" s="1013" t="s">
        <v>6080</v>
      </c>
      <c r="H1632" s="1012">
        <v>99.6</v>
      </c>
    </row>
    <row r="1633" spans="1:8" ht="12.65" customHeight="1">
      <c r="A1633" s="1017" t="s">
        <v>1008</v>
      </c>
      <c r="B1633" s="1017" t="s">
        <v>1010</v>
      </c>
      <c r="C1633" s="1017" t="s">
        <v>1009</v>
      </c>
      <c r="D1633" s="1016">
        <v>0.36</v>
      </c>
      <c r="E1633" s="1015">
        <v>94.2</v>
      </c>
      <c r="F1633" s="1014">
        <v>3.5</v>
      </c>
      <c r="G1633" s="1013" t="s">
        <v>6080</v>
      </c>
      <c r="H1633" s="1012">
        <v>100.2</v>
      </c>
    </row>
    <row r="1634" spans="1:8" ht="12.65" customHeight="1">
      <c r="A1634" s="1017" t="s">
        <v>1001</v>
      </c>
      <c r="B1634" s="1017" t="s">
        <v>927</v>
      </c>
      <c r="C1634" s="1017" t="s">
        <v>1002</v>
      </c>
      <c r="D1634" s="1016">
        <v>0.69</v>
      </c>
      <c r="E1634" s="1015">
        <v>94.3</v>
      </c>
      <c r="F1634" s="1014">
        <v>7.5</v>
      </c>
      <c r="G1634" s="1013">
        <v>20.9</v>
      </c>
      <c r="H1634" s="1012">
        <v>98.3</v>
      </c>
    </row>
    <row r="1635" spans="1:8" ht="12.65" customHeight="1">
      <c r="A1635" s="1017" t="s">
        <v>998</v>
      </c>
      <c r="B1635" s="1017" t="s">
        <v>927</v>
      </c>
      <c r="C1635" s="1017" t="s">
        <v>999</v>
      </c>
      <c r="D1635" s="1016">
        <v>0.54</v>
      </c>
      <c r="E1635" s="1015">
        <v>95.9</v>
      </c>
      <c r="F1635" s="1014">
        <v>5.7</v>
      </c>
      <c r="G1635" s="1013" t="s">
        <v>6080</v>
      </c>
      <c r="H1635" s="1012">
        <v>98.3</v>
      </c>
    </row>
    <row r="1636" spans="1:8" ht="12.65" customHeight="1">
      <c r="A1636" s="1017" t="s">
        <v>995</v>
      </c>
      <c r="B1636" s="1017" t="s">
        <v>927</v>
      </c>
      <c r="C1636" s="1017" t="s">
        <v>996</v>
      </c>
      <c r="D1636" s="1016">
        <v>0.52</v>
      </c>
      <c r="E1636" s="1015">
        <v>96.9</v>
      </c>
      <c r="F1636" s="1014">
        <v>8.1</v>
      </c>
      <c r="G1636" s="1013">
        <v>2.1</v>
      </c>
      <c r="H1636" s="1012">
        <v>99</v>
      </c>
    </row>
    <row r="1637" spans="1:8" ht="12.65" customHeight="1">
      <c r="A1637" s="1017" t="s">
        <v>992</v>
      </c>
      <c r="B1637" s="1017" t="s">
        <v>927</v>
      </c>
      <c r="C1637" s="1017" t="s">
        <v>993</v>
      </c>
      <c r="D1637" s="1016">
        <v>0.4</v>
      </c>
      <c r="E1637" s="1015">
        <v>91.6</v>
      </c>
      <c r="F1637" s="1014">
        <v>9.6999999999999993</v>
      </c>
      <c r="G1637" s="1013">
        <v>57.7</v>
      </c>
      <c r="H1637" s="1012">
        <v>99.5</v>
      </c>
    </row>
    <row r="1638" spans="1:8" ht="12.65" customHeight="1">
      <c r="A1638" s="1017" t="s">
        <v>989</v>
      </c>
      <c r="B1638" s="1017" t="s">
        <v>927</v>
      </c>
      <c r="C1638" s="1017" t="s">
        <v>990</v>
      </c>
      <c r="D1638" s="1016">
        <v>0.38</v>
      </c>
      <c r="E1638" s="1015">
        <v>95.7</v>
      </c>
      <c r="F1638" s="1014">
        <v>12.8</v>
      </c>
      <c r="G1638" s="1013">
        <v>70.599999999999994</v>
      </c>
      <c r="H1638" s="1012">
        <v>97.6</v>
      </c>
    </row>
    <row r="1639" spans="1:8" ht="12.65" customHeight="1">
      <c r="A1639" s="1017" t="s">
        <v>986</v>
      </c>
      <c r="B1639" s="1017" t="s">
        <v>927</v>
      </c>
      <c r="C1639" s="1017" t="s">
        <v>987</v>
      </c>
      <c r="D1639" s="1016">
        <v>0.55000000000000004</v>
      </c>
      <c r="E1639" s="1015">
        <v>89.7</v>
      </c>
      <c r="F1639" s="1014">
        <v>10.9</v>
      </c>
      <c r="G1639" s="1013">
        <v>34.799999999999997</v>
      </c>
      <c r="H1639" s="1012">
        <v>99.2</v>
      </c>
    </row>
    <row r="1640" spans="1:8" ht="12.65" customHeight="1">
      <c r="A1640" s="1017" t="s">
        <v>983</v>
      </c>
      <c r="B1640" s="1017" t="s">
        <v>927</v>
      </c>
      <c r="C1640" s="1017" t="s">
        <v>984</v>
      </c>
      <c r="D1640" s="1016">
        <v>0.31</v>
      </c>
      <c r="E1640" s="1015">
        <v>92.8</v>
      </c>
      <c r="F1640" s="1014">
        <v>7.4</v>
      </c>
      <c r="G1640" s="1013">
        <v>38.6</v>
      </c>
      <c r="H1640" s="1012">
        <v>97.9</v>
      </c>
    </row>
    <row r="1641" spans="1:8" ht="12.65" customHeight="1">
      <c r="A1641" s="1017" t="s">
        <v>980</v>
      </c>
      <c r="B1641" s="1017" t="s">
        <v>927</v>
      </c>
      <c r="C1641" s="1017" t="s">
        <v>981</v>
      </c>
      <c r="D1641" s="1016">
        <v>0.38</v>
      </c>
      <c r="E1641" s="1015">
        <v>90.9</v>
      </c>
      <c r="F1641" s="1014">
        <v>2.8</v>
      </c>
      <c r="G1641" s="1013" t="s">
        <v>6080</v>
      </c>
      <c r="H1641" s="1012">
        <v>97.2</v>
      </c>
    </row>
    <row r="1642" spans="1:8" ht="12.65" customHeight="1">
      <c r="A1642" s="1017" t="s">
        <v>977</v>
      </c>
      <c r="B1642" s="1017" t="s">
        <v>927</v>
      </c>
      <c r="C1642" s="1017" t="s">
        <v>978</v>
      </c>
      <c r="D1642" s="1016">
        <v>0.35</v>
      </c>
      <c r="E1642" s="1015">
        <v>96.5</v>
      </c>
      <c r="F1642" s="1014">
        <v>4.2</v>
      </c>
      <c r="G1642" s="1013" t="s">
        <v>6080</v>
      </c>
      <c r="H1642" s="1012">
        <v>97.9</v>
      </c>
    </row>
    <row r="1643" spans="1:8" ht="12.65" customHeight="1">
      <c r="A1643" s="1017" t="s">
        <v>974</v>
      </c>
      <c r="B1643" s="1017" t="s">
        <v>927</v>
      </c>
      <c r="C1643" s="1017" t="s">
        <v>975</v>
      </c>
      <c r="D1643" s="1016">
        <v>0.44</v>
      </c>
      <c r="E1643" s="1015">
        <v>92.2</v>
      </c>
      <c r="F1643" s="1014">
        <v>6.3</v>
      </c>
      <c r="G1643" s="1013" t="s">
        <v>6080</v>
      </c>
      <c r="H1643" s="1012">
        <v>95.5</v>
      </c>
    </row>
    <row r="1644" spans="1:8" ht="12.65" customHeight="1">
      <c r="A1644" s="1017" t="s">
        <v>971</v>
      </c>
      <c r="B1644" s="1017" t="s">
        <v>927</v>
      </c>
      <c r="C1644" s="1017" t="s">
        <v>972</v>
      </c>
      <c r="D1644" s="1016">
        <v>0.27</v>
      </c>
      <c r="E1644" s="1015">
        <v>95.9</v>
      </c>
      <c r="F1644" s="1014">
        <v>7.2</v>
      </c>
      <c r="G1644" s="1013" t="s">
        <v>6080</v>
      </c>
      <c r="H1644" s="1012">
        <v>97</v>
      </c>
    </row>
    <row r="1645" spans="1:8" ht="12.65" customHeight="1">
      <c r="A1645" s="1017" t="s">
        <v>968</v>
      </c>
      <c r="B1645" s="1017" t="s">
        <v>927</v>
      </c>
      <c r="C1645" s="1017" t="s">
        <v>969</v>
      </c>
      <c r="D1645" s="1016">
        <v>0.46</v>
      </c>
      <c r="E1645" s="1015">
        <v>91.5</v>
      </c>
      <c r="F1645" s="1014">
        <v>11.3</v>
      </c>
      <c r="G1645" s="1013">
        <v>57.5</v>
      </c>
      <c r="H1645" s="1012">
        <v>97.2</v>
      </c>
    </row>
    <row r="1646" spans="1:8" ht="12.65" customHeight="1">
      <c r="A1646" s="1017" t="s">
        <v>965</v>
      </c>
      <c r="B1646" s="1017" t="s">
        <v>927</v>
      </c>
      <c r="C1646" s="1017" t="s">
        <v>966</v>
      </c>
      <c r="D1646" s="1016">
        <v>0.27</v>
      </c>
      <c r="E1646" s="1015">
        <v>91.8</v>
      </c>
      <c r="F1646" s="1014">
        <v>8.3000000000000007</v>
      </c>
      <c r="G1646" s="1013">
        <v>27.5</v>
      </c>
      <c r="H1646" s="1012">
        <v>95.3</v>
      </c>
    </row>
    <row r="1647" spans="1:8" ht="12.65" customHeight="1">
      <c r="A1647" s="1017" t="s">
        <v>962</v>
      </c>
      <c r="B1647" s="1017" t="s">
        <v>927</v>
      </c>
      <c r="C1647" s="1017" t="s">
        <v>963</v>
      </c>
      <c r="D1647" s="1016">
        <v>0.51</v>
      </c>
      <c r="E1647" s="1015">
        <v>89.1</v>
      </c>
      <c r="F1647" s="1014">
        <v>10.9</v>
      </c>
      <c r="G1647" s="1013" t="s">
        <v>6080</v>
      </c>
      <c r="H1647" s="1012">
        <v>96.4</v>
      </c>
    </row>
    <row r="1648" spans="1:8" ht="12.65" customHeight="1">
      <c r="A1648" s="1017" t="s">
        <v>959</v>
      </c>
      <c r="B1648" s="1017" t="s">
        <v>927</v>
      </c>
      <c r="C1648" s="1017" t="s">
        <v>960</v>
      </c>
      <c r="D1648" s="1016">
        <v>0.45</v>
      </c>
      <c r="E1648" s="1015">
        <v>86.1</v>
      </c>
      <c r="F1648" s="1014">
        <v>7.8</v>
      </c>
      <c r="G1648" s="1013" t="s">
        <v>6080</v>
      </c>
      <c r="H1648" s="1012">
        <v>97.1</v>
      </c>
    </row>
    <row r="1649" spans="1:8" ht="12.65" customHeight="1">
      <c r="A1649" s="1017" t="s">
        <v>956</v>
      </c>
      <c r="B1649" s="1017" t="s">
        <v>927</v>
      </c>
      <c r="C1649" s="1017" t="s">
        <v>957</v>
      </c>
      <c r="D1649" s="1016">
        <v>0.14000000000000001</v>
      </c>
      <c r="E1649" s="1015">
        <v>78.2</v>
      </c>
      <c r="F1649" s="1014">
        <v>7.1</v>
      </c>
      <c r="G1649" s="1013" t="s">
        <v>6080</v>
      </c>
      <c r="H1649" s="1012">
        <v>92.8</v>
      </c>
    </row>
    <row r="1650" spans="1:8" ht="12.65" customHeight="1">
      <c r="A1650" s="1017" t="s">
        <v>953</v>
      </c>
      <c r="B1650" s="1017" t="s">
        <v>927</v>
      </c>
      <c r="C1650" s="1017" t="s">
        <v>954</v>
      </c>
      <c r="D1650" s="1016">
        <v>0.79</v>
      </c>
      <c r="E1650" s="1015">
        <v>81.2</v>
      </c>
      <c r="F1650" s="1014">
        <v>3.1</v>
      </c>
      <c r="G1650" s="1013" t="s">
        <v>6080</v>
      </c>
      <c r="H1650" s="1012">
        <v>96.5</v>
      </c>
    </row>
    <row r="1651" spans="1:8" ht="12.65" customHeight="1">
      <c r="A1651" s="1017" t="s">
        <v>950</v>
      </c>
      <c r="B1651" s="1017" t="s">
        <v>927</v>
      </c>
      <c r="C1651" s="1017" t="s">
        <v>951</v>
      </c>
      <c r="D1651" s="1016">
        <v>0.44</v>
      </c>
      <c r="E1651" s="1015">
        <v>88.9</v>
      </c>
      <c r="F1651" s="1014">
        <v>8.5</v>
      </c>
      <c r="G1651" s="1013" t="s">
        <v>6080</v>
      </c>
      <c r="H1651" s="1012">
        <v>94.7</v>
      </c>
    </row>
    <row r="1652" spans="1:8" ht="12.65" customHeight="1">
      <c r="A1652" s="1017" t="s">
        <v>947</v>
      </c>
      <c r="B1652" s="1017" t="s">
        <v>927</v>
      </c>
      <c r="C1652" s="1017" t="s">
        <v>948</v>
      </c>
      <c r="D1652" s="1016">
        <v>0.3</v>
      </c>
      <c r="E1652" s="1015">
        <v>88.2</v>
      </c>
      <c r="F1652" s="1014">
        <v>7.4</v>
      </c>
      <c r="G1652" s="1013" t="s">
        <v>6080</v>
      </c>
      <c r="H1652" s="1012">
        <v>95.4</v>
      </c>
    </row>
    <row r="1653" spans="1:8" ht="12.65" customHeight="1">
      <c r="A1653" s="1017" t="s">
        <v>944</v>
      </c>
      <c r="B1653" s="1017" t="s">
        <v>927</v>
      </c>
      <c r="C1653" s="1017" t="s">
        <v>945</v>
      </c>
      <c r="D1653" s="1016">
        <v>0.41</v>
      </c>
      <c r="E1653" s="1015">
        <v>87</v>
      </c>
      <c r="F1653" s="1014">
        <v>6.9</v>
      </c>
      <c r="G1653" s="1013" t="s">
        <v>6080</v>
      </c>
      <c r="H1653" s="1012">
        <v>97.2</v>
      </c>
    </row>
    <row r="1654" spans="1:8" ht="12.65" customHeight="1">
      <c r="A1654" s="1017" t="s">
        <v>941</v>
      </c>
      <c r="B1654" s="1017" t="s">
        <v>927</v>
      </c>
      <c r="C1654" s="1017" t="s">
        <v>942</v>
      </c>
      <c r="D1654" s="1016">
        <v>0.27</v>
      </c>
      <c r="E1654" s="1015">
        <v>78.5</v>
      </c>
      <c r="F1654" s="1014">
        <v>5.3</v>
      </c>
      <c r="G1654" s="1013" t="s">
        <v>6080</v>
      </c>
      <c r="H1654" s="1012">
        <v>93.1</v>
      </c>
    </row>
    <row r="1655" spans="1:8" ht="12.65" customHeight="1">
      <c r="A1655" s="1017" t="s">
        <v>938</v>
      </c>
      <c r="B1655" s="1017" t="s">
        <v>927</v>
      </c>
      <c r="C1655" s="1017" t="s">
        <v>939</v>
      </c>
      <c r="D1655" s="1016">
        <v>0.17</v>
      </c>
      <c r="E1655" s="1015">
        <v>82.1</v>
      </c>
      <c r="F1655" s="1014">
        <v>10.1</v>
      </c>
      <c r="G1655" s="1013" t="s">
        <v>6080</v>
      </c>
      <c r="H1655" s="1012">
        <v>94.5</v>
      </c>
    </row>
    <row r="1656" spans="1:8" ht="12.65" customHeight="1">
      <c r="A1656" s="1017" t="s">
        <v>935</v>
      </c>
      <c r="B1656" s="1017" t="s">
        <v>927</v>
      </c>
      <c r="C1656" s="1017" t="s">
        <v>936</v>
      </c>
      <c r="D1656" s="1016">
        <v>0.19</v>
      </c>
      <c r="E1656" s="1015">
        <v>82.8</v>
      </c>
      <c r="F1656" s="1014">
        <v>7.5</v>
      </c>
      <c r="G1656" s="1013" t="s">
        <v>6080</v>
      </c>
      <c r="H1656" s="1012">
        <v>95.7</v>
      </c>
    </row>
    <row r="1657" spans="1:8" ht="12.65" customHeight="1">
      <c r="A1657" s="1017" t="s">
        <v>932</v>
      </c>
      <c r="B1657" s="1017" t="s">
        <v>927</v>
      </c>
      <c r="C1657" s="1017" t="s">
        <v>933</v>
      </c>
      <c r="D1657" s="1016">
        <v>0.24</v>
      </c>
      <c r="E1657" s="1015">
        <v>96.2</v>
      </c>
      <c r="F1657" s="1014">
        <v>6.6</v>
      </c>
      <c r="G1657" s="1013" t="s">
        <v>6080</v>
      </c>
      <c r="H1657" s="1012">
        <v>98.3</v>
      </c>
    </row>
    <row r="1658" spans="1:8" ht="12.65" customHeight="1">
      <c r="A1658" s="1017" t="s">
        <v>929</v>
      </c>
      <c r="B1658" s="1017" t="s">
        <v>927</v>
      </c>
      <c r="C1658" s="1017" t="s">
        <v>930</v>
      </c>
      <c r="D1658" s="1016">
        <v>0.17</v>
      </c>
      <c r="E1658" s="1015">
        <v>86.3</v>
      </c>
      <c r="F1658" s="1014">
        <v>8.5</v>
      </c>
      <c r="G1658" s="1013" t="s">
        <v>6080</v>
      </c>
      <c r="H1658" s="1012">
        <v>96.9</v>
      </c>
    </row>
    <row r="1659" spans="1:8" ht="12.65" customHeight="1">
      <c r="A1659" s="1017" t="s">
        <v>925</v>
      </c>
      <c r="B1659" s="1017" t="s">
        <v>927</v>
      </c>
      <c r="C1659" s="1017" t="s">
        <v>6081</v>
      </c>
      <c r="D1659" s="1016">
        <v>0.15</v>
      </c>
      <c r="E1659" s="1015">
        <v>91.6</v>
      </c>
      <c r="F1659" s="1014">
        <v>8.6999999999999993</v>
      </c>
      <c r="G1659" s="1013" t="s">
        <v>6080</v>
      </c>
      <c r="H1659" s="1012">
        <v>97.9</v>
      </c>
    </row>
    <row r="1660" spans="1:8" ht="12.65" customHeight="1">
      <c r="A1660" s="1017" t="s">
        <v>918</v>
      </c>
      <c r="B1660" s="1017" t="s">
        <v>793</v>
      </c>
      <c r="C1660" s="1017" t="s">
        <v>919</v>
      </c>
      <c r="D1660" s="1016">
        <v>0.7</v>
      </c>
      <c r="E1660" s="1015">
        <v>92.7</v>
      </c>
      <c r="F1660" s="1014">
        <v>4.7</v>
      </c>
      <c r="G1660" s="1013">
        <v>32</v>
      </c>
      <c r="H1660" s="1012">
        <v>99.3</v>
      </c>
    </row>
    <row r="1661" spans="1:8" ht="12.65" customHeight="1">
      <c r="A1661" s="1017" t="s">
        <v>915</v>
      </c>
      <c r="B1661" s="1017" t="s">
        <v>793</v>
      </c>
      <c r="C1661" s="1017" t="s">
        <v>916</v>
      </c>
      <c r="D1661" s="1016">
        <v>0.48</v>
      </c>
      <c r="E1661" s="1015">
        <v>92.6</v>
      </c>
      <c r="F1661" s="1014">
        <v>5.5</v>
      </c>
      <c r="G1661" s="1013" t="s">
        <v>6080</v>
      </c>
      <c r="H1661" s="1012">
        <v>96.9</v>
      </c>
    </row>
    <row r="1662" spans="1:8" ht="12.65" customHeight="1">
      <c r="A1662" s="1017" t="s">
        <v>912</v>
      </c>
      <c r="B1662" s="1017" t="s">
        <v>793</v>
      </c>
      <c r="C1662" s="1017" t="s">
        <v>913</v>
      </c>
      <c r="D1662" s="1016">
        <v>0.39</v>
      </c>
      <c r="E1662" s="1015">
        <v>87.8</v>
      </c>
      <c r="F1662" s="1014">
        <v>7.7</v>
      </c>
      <c r="G1662" s="1013" t="s">
        <v>6080</v>
      </c>
      <c r="H1662" s="1012">
        <v>96.7</v>
      </c>
    </row>
    <row r="1663" spans="1:8" ht="12.65" customHeight="1">
      <c r="A1663" s="1017" t="s">
        <v>909</v>
      </c>
      <c r="B1663" s="1017" t="s">
        <v>793</v>
      </c>
      <c r="C1663" s="1017" t="s">
        <v>910</v>
      </c>
      <c r="D1663" s="1016">
        <v>0.36</v>
      </c>
      <c r="E1663" s="1015">
        <v>93.6</v>
      </c>
      <c r="F1663" s="1014">
        <v>7</v>
      </c>
      <c r="G1663" s="1013" t="s">
        <v>6080</v>
      </c>
      <c r="H1663" s="1012">
        <v>95.2</v>
      </c>
    </row>
    <row r="1664" spans="1:8" ht="12.65" customHeight="1">
      <c r="A1664" s="1017" t="s">
        <v>906</v>
      </c>
      <c r="B1664" s="1017" t="s">
        <v>793</v>
      </c>
      <c r="C1664" s="1017" t="s">
        <v>907</v>
      </c>
      <c r="D1664" s="1016">
        <v>0.42</v>
      </c>
      <c r="E1664" s="1015">
        <v>89.1</v>
      </c>
      <c r="F1664" s="1014">
        <v>7.5</v>
      </c>
      <c r="G1664" s="1013" t="s">
        <v>6080</v>
      </c>
      <c r="H1664" s="1012">
        <v>98</v>
      </c>
    </row>
    <row r="1665" spans="1:8" ht="12.65" customHeight="1">
      <c r="A1665" s="1017" t="s">
        <v>903</v>
      </c>
      <c r="B1665" s="1017" t="s">
        <v>793</v>
      </c>
      <c r="C1665" s="1017" t="s">
        <v>904</v>
      </c>
      <c r="D1665" s="1016">
        <v>0.34</v>
      </c>
      <c r="E1665" s="1015">
        <v>91.9</v>
      </c>
      <c r="F1665" s="1014">
        <v>9.4</v>
      </c>
      <c r="G1665" s="1013">
        <v>18.100000000000001</v>
      </c>
      <c r="H1665" s="1012">
        <v>98.6</v>
      </c>
    </row>
    <row r="1666" spans="1:8" ht="12.65" customHeight="1">
      <c r="A1666" s="1017" t="s">
        <v>900</v>
      </c>
      <c r="B1666" s="1017" t="s">
        <v>793</v>
      </c>
      <c r="C1666" s="1017" t="s">
        <v>901</v>
      </c>
      <c r="D1666" s="1016">
        <v>0.27</v>
      </c>
      <c r="E1666" s="1015">
        <v>84.5</v>
      </c>
      <c r="F1666" s="1014">
        <v>9</v>
      </c>
      <c r="G1666" s="1013" t="s">
        <v>6080</v>
      </c>
      <c r="H1666" s="1012">
        <v>97</v>
      </c>
    </row>
    <row r="1667" spans="1:8" ht="12.65" customHeight="1">
      <c r="A1667" s="1017" t="s">
        <v>897</v>
      </c>
      <c r="B1667" s="1017" t="s">
        <v>793</v>
      </c>
      <c r="C1667" s="1017" t="s">
        <v>898</v>
      </c>
      <c r="D1667" s="1016">
        <v>0.28999999999999998</v>
      </c>
      <c r="E1667" s="1015">
        <v>92</v>
      </c>
      <c r="F1667" s="1014">
        <v>9.1999999999999993</v>
      </c>
      <c r="G1667" s="1013" t="s">
        <v>6080</v>
      </c>
      <c r="H1667" s="1012">
        <v>95.3</v>
      </c>
    </row>
    <row r="1668" spans="1:8" ht="12.65" customHeight="1">
      <c r="A1668" s="1017" t="s">
        <v>894</v>
      </c>
      <c r="B1668" s="1017" t="s">
        <v>793</v>
      </c>
      <c r="C1668" s="1017" t="s">
        <v>895</v>
      </c>
      <c r="D1668" s="1016">
        <v>0.59</v>
      </c>
      <c r="E1668" s="1015">
        <v>91.9</v>
      </c>
      <c r="F1668" s="1014">
        <v>7.3</v>
      </c>
      <c r="G1668" s="1013" t="s">
        <v>6080</v>
      </c>
      <c r="H1668" s="1012">
        <v>97</v>
      </c>
    </row>
    <row r="1669" spans="1:8" ht="12.65" customHeight="1">
      <c r="A1669" s="1017" t="s">
        <v>891</v>
      </c>
      <c r="B1669" s="1017" t="s">
        <v>793</v>
      </c>
      <c r="C1669" s="1017" t="s">
        <v>892</v>
      </c>
      <c r="D1669" s="1016">
        <v>0.4</v>
      </c>
      <c r="E1669" s="1015">
        <v>92</v>
      </c>
      <c r="F1669" s="1014">
        <v>8.1</v>
      </c>
      <c r="G1669" s="1013">
        <v>0.1</v>
      </c>
      <c r="H1669" s="1012">
        <v>96.8</v>
      </c>
    </row>
    <row r="1670" spans="1:8" ht="12.65" customHeight="1">
      <c r="A1670" s="1017" t="s">
        <v>888</v>
      </c>
      <c r="B1670" s="1017" t="s">
        <v>793</v>
      </c>
      <c r="C1670" s="1017" t="s">
        <v>889</v>
      </c>
      <c r="D1670" s="1016">
        <v>0.3</v>
      </c>
      <c r="E1670" s="1015">
        <v>87.1</v>
      </c>
      <c r="F1670" s="1014">
        <v>6.6</v>
      </c>
      <c r="G1670" s="1013" t="s">
        <v>6080</v>
      </c>
      <c r="H1670" s="1012">
        <v>98.6</v>
      </c>
    </row>
    <row r="1671" spans="1:8" ht="12.65" customHeight="1">
      <c r="A1671" s="1017" t="s">
        <v>885</v>
      </c>
      <c r="B1671" s="1017" t="s">
        <v>793</v>
      </c>
      <c r="C1671" s="1017" t="s">
        <v>886</v>
      </c>
      <c r="D1671" s="1016">
        <v>0.54</v>
      </c>
      <c r="E1671" s="1015">
        <v>87.8</v>
      </c>
      <c r="F1671" s="1014">
        <v>6</v>
      </c>
      <c r="G1671" s="1013" t="s">
        <v>6080</v>
      </c>
      <c r="H1671" s="1012">
        <v>97.7</v>
      </c>
    </row>
    <row r="1672" spans="1:8" ht="12.65" customHeight="1">
      <c r="A1672" s="1017" t="s">
        <v>882</v>
      </c>
      <c r="B1672" s="1017" t="s">
        <v>793</v>
      </c>
      <c r="C1672" s="1017" t="s">
        <v>883</v>
      </c>
      <c r="D1672" s="1016">
        <v>0.38</v>
      </c>
      <c r="E1672" s="1015">
        <v>90.9</v>
      </c>
      <c r="F1672" s="1014">
        <v>11.9</v>
      </c>
      <c r="G1672" s="1013">
        <v>10.5</v>
      </c>
      <c r="H1672" s="1012">
        <v>94.8</v>
      </c>
    </row>
    <row r="1673" spans="1:8" ht="12.65" customHeight="1">
      <c r="A1673" s="1017" t="s">
        <v>879</v>
      </c>
      <c r="B1673" s="1017" t="s">
        <v>793</v>
      </c>
      <c r="C1673" s="1017" t="s">
        <v>880</v>
      </c>
      <c r="D1673" s="1016">
        <v>0.28999999999999998</v>
      </c>
      <c r="E1673" s="1015">
        <v>91.1</v>
      </c>
      <c r="F1673" s="1014">
        <v>7.3</v>
      </c>
      <c r="G1673" s="1013" t="s">
        <v>6080</v>
      </c>
      <c r="H1673" s="1012">
        <v>96.1</v>
      </c>
    </row>
    <row r="1674" spans="1:8" ht="12.65" customHeight="1">
      <c r="A1674" s="1017" t="s">
        <v>876</v>
      </c>
      <c r="B1674" s="1017" t="s">
        <v>793</v>
      </c>
      <c r="C1674" s="1017" t="s">
        <v>877</v>
      </c>
      <c r="D1674" s="1016">
        <v>0.38</v>
      </c>
      <c r="E1674" s="1015">
        <v>85.9</v>
      </c>
      <c r="F1674" s="1014">
        <v>10.8</v>
      </c>
      <c r="G1674" s="1013" t="s">
        <v>6080</v>
      </c>
      <c r="H1674" s="1012">
        <v>97.2</v>
      </c>
    </row>
    <row r="1675" spans="1:8" ht="12.65" customHeight="1">
      <c r="A1675" s="1017" t="s">
        <v>873</v>
      </c>
      <c r="B1675" s="1017" t="s">
        <v>793</v>
      </c>
      <c r="C1675" s="1017" t="s">
        <v>874</v>
      </c>
      <c r="D1675" s="1016">
        <v>0.27</v>
      </c>
      <c r="E1675" s="1015">
        <v>91.2</v>
      </c>
      <c r="F1675" s="1014">
        <v>9.5</v>
      </c>
      <c r="G1675" s="1013">
        <v>0.7</v>
      </c>
      <c r="H1675" s="1012">
        <v>97.6</v>
      </c>
    </row>
    <row r="1676" spans="1:8" ht="12.65" customHeight="1">
      <c r="A1676" s="1017" t="s">
        <v>870</v>
      </c>
      <c r="B1676" s="1017" t="s">
        <v>793</v>
      </c>
      <c r="C1676" s="1017" t="s">
        <v>871</v>
      </c>
      <c r="D1676" s="1016">
        <v>0.35</v>
      </c>
      <c r="E1676" s="1015">
        <v>91.8</v>
      </c>
      <c r="F1676" s="1014">
        <v>6.8</v>
      </c>
      <c r="G1676" s="1013" t="s">
        <v>6080</v>
      </c>
      <c r="H1676" s="1012">
        <v>97.5</v>
      </c>
    </row>
    <row r="1677" spans="1:8" ht="12.65" customHeight="1">
      <c r="A1677" s="1017" t="s">
        <v>867</v>
      </c>
      <c r="B1677" s="1017" t="s">
        <v>793</v>
      </c>
      <c r="C1677" s="1017" t="s">
        <v>868</v>
      </c>
      <c r="D1677" s="1016">
        <v>0.38</v>
      </c>
      <c r="E1677" s="1015">
        <v>92</v>
      </c>
      <c r="F1677" s="1014">
        <v>8.9</v>
      </c>
      <c r="G1677" s="1013" t="s">
        <v>6080</v>
      </c>
      <c r="H1677" s="1012">
        <v>98.7</v>
      </c>
    </row>
    <row r="1678" spans="1:8" ht="12.65" customHeight="1">
      <c r="A1678" s="1017" t="s">
        <v>864</v>
      </c>
      <c r="B1678" s="1017" t="s">
        <v>793</v>
      </c>
      <c r="C1678" s="1017" t="s">
        <v>865</v>
      </c>
      <c r="D1678" s="1016">
        <v>0.5</v>
      </c>
      <c r="E1678" s="1015">
        <v>90.5</v>
      </c>
      <c r="F1678" s="1014">
        <v>9.4</v>
      </c>
      <c r="G1678" s="1013">
        <v>45.7</v>
      </c>
      <c r="H1678" s="1012">
        <v>98.8</v>
      </c>
    </row>
    <row r="1679" spans="1:8" ht="12.65" customHeight="1">
      <c r="A1679" s="1017" t="s">
        <v>861</v>
      </c>
      <c r="B1679" s="1017" t="s">
        <v>793</v>
      </c>
      <c r="C1679" s="1017" t="s">
        <v>862</v>
      </c>
      <c r="D1679" s="1016">
        <v>0.06</v>
      </c>
      <c r="E1679" s="1015">
        <v>90.4</v>
      </c>
      <c r="F1679" s="1014">
        <v>13.9</v>
      </c>
      <c r="G1679" s="1013" t="s">
        <v>6080</v>
      </c>
      <c r="H1679" s="1012">
        <v>89.9</v>
      </c>
    </row>
    <row r="1680" spans="1:8" ht="12.65" customHeight="1">
      <c r="A1680" s="1017" t="s">
        <v>858</v>
      </c>
      <c r="B1680" s="1017" t="s">
        <v>793</v>
      </c>
      <c r="C1680" s="1017" t="s">
        <v>859</v>
      </c>
      <c r="D1680" s="1016">
        <v>7.0000000000000007E-2</v>
      </c>
      <c r="E1680" s="1015">
        <v>87.7</v>
      </c>
      <c r="F1680" s="1014">
        <v>3.4</v>
      </c>
      <c r="G1680" s="1013" t="s">
        <v>6080</v>
      </c>
      <c r="H1680" s="1012">
        <v>93.8</v>
      </c>
    </row>
    <row r="1681" spans="1:8" ht="12.65" customHeight="1">
      <c r="A1681" s="1017" t="s">
        <v>855</v>
      </c>
      <c r="B1681" s="1017" t="s">
        <v>793</v>
      </c>
      <c r="C1681" s="1017" t="s">
        <v>856</v>
      </c>
      <c r="D1681" s="1016">
        <v>0.36</v>
      </c>
      <c r="E1681" s="1015">
        <v>90.1</v>
      </c>
      <c r="F1681" s="1014">
        <v>4.9000000000000004</v>
      </c>
      <c r="G1681" s="1013" t="s">
        <v>6080</v>
      </c>
      <c r="H1681" s="1012">
        <v>95.3</v>
      </c>
    </row>
    <row r="1682" spans="1:8" ht="12.65" customHeight="1">
      <c r="A1682" s="1017" t="s">
        <v>852</v>
      </c>
      <c r="B1682" s="1017" t="s">
        <v>793</v>
      </c>
      <c r="C1682" s="1017" t="s">
        <v>853</v>
      </c>
      <c r="D1682" s="1016">
        <v>0.18</v>
      </c>
      <c r="E1682" s="1015">
        <v>89.9</v>
      </c>
      <c r="F1682" s="1014">
        <v>9.4</v>
      </c>
      <c r="G1682" s="1013" t="s">
        <v>6080</v>
      </c>
      <c r="H1682" s="1012">
        <v>97.3</v>
      </c>
    </row>
    <row r="1683" spans="1:8" ht="12.65" customHeight="1">
      <c r="A1683" s="1017" t="s">
        <v>849</v>
      </c>
      <c r="B1683" s="1017" t="s">
        <v>793</v>
      </c>
      <c r="C1683" s="1017" t="s">
        <v>850</v>
      </c>
      <c r="D1683" s="1016">
        <v>0.3</v>
      </c>
      <c r="E1683" s="1015">
        <v>90</v>
      </c>
      <c r="F1683" s="1014">
        <v>9</v>
      </c>
      <c r="G1683" s="1013" t="s">
        <v>6080</v>
      </c>
      <c r="H1683" s="1012">
        <v>95.9</v>
      </c>
    </row>
    <row r="1684" spans="1:8" ht="12.65" customHeight="1">
      <c r="A1684" s="1017" t="s">
        <v>846</v>
      </c>
      <c r="B1684" s="1017" t="s">
        <v>793</v>
      </c>
      <c r="C1684" s="1017" t="s">
        <v>847</v>
      </c>
      <c r="D1684" s="1016">
        <v>0.35</v>
      </c>
      <c r="E1684" s="1015">
        <v>84.3</v>
      </c>
      <c r="F1684" s="1014">
        <v>7.1</v>
      </c>
      <c r="G1684" s="1013" t="s">
        <v>6080</v>
      </c>
      <c r="H1684" s="1012">
        <v>95.5</v>
      </c>
    </row>
    <row r="1685" spans="1:8" ht="12.65" customHeight="1">
      <c r="A1685" s="1017" t="s">
        <v>843</v>
      </c>
      <c r="B1685" s="1017" t="s">
        <v>793</v>
      </c>
      <c r="C1685" s="1017" t="s">
        <v>844</v>
      </c>
      <c r="D1685" s="1016">
        <v>0.28999999999999998</v>
      </c>
      <c r="E1685" s="1015">
        <v>89.2</v>
      </c>
      <c r="F1685" s="1014">
        <v>7.9</v>
      </c>
      <c r="G1685" s="1013" t="s">
        <v>6080</v>
      </c>
      <c r="H1685" s="1012">
        <v>96.5</v>
      </c>
    </row>
    <row r="1686" spans="1:8" ht="12.65" customHeight="1">
      <c r="A1686" s="1017" t="s">
        <v>840</v>
      </c>
      <c r="B1686" s="1017" t="s">
        <v>793</v>
      </c>
      <c r="C1686" s="1017" t="s">
        <v>841</v>
      </c>
      <c r="D1686" s="1016">
        <v>0.19</v>
      </c>
      <c r="E1686" s="1015">
        <v>87.6</v>
      </c>
      <c r="F1686" s="1014">
        <v>6.2</v>
      </c>
      <c r="G1686" s="1013" t="s">
        <v>6080</v>
      </c>
      <c r="H1686" s="1012">
        <v>96</v>
      </c>
    </row>
    <row r="1687" spans="1:8" ht="12.65" customHeight="1">
      <c r="A1687" s="1017" t="s">
        <v>837</v>
      </c>
      <c r="B1687" s="1017" t="s">
        <v>793</v>
      </c>
      <c r="C1687" s="1017" t="s">
        <v>838</v>
      </c>
      <c r="D1687" s="1016">
        <v>0.16</v>
      </c>
      <c r="E1687" s="1015">
        <v>86.9</v>
      </c>
      <c r="F1687" s="1014">
        <v>10.199999999999999</v>
      </c>
      <c r="G1687" s="1013" t="s">
        <v>6080</v>
      </c>
      <c r="H1687" s="1012">
        <v>96</v>
      </c>
    </row>
    <row r="1688" spans="1:8" ht="12.65" customHeight="1">
      <c r="A1688" s="1017" t="s">
        <v>834</v>
      </c>
      <c r="B1688" s="1017" t="s">
        <v>793</v>
      </c>
      <c r="C1688" s="1017" t="s">
        <v>835</v>
      </c>
      <c r="D1688" s="1016">
        <v>0.27</v>
      </c>
      <c r="E1688" s="1015">
        <v>91.2</v>
      </c>
      <c r="F1688" s="1014">
        <v>7.6</v>
      </c>
      <c r="G1688" s="1013" t="s">
        <v>6080</v>
      </c>
      <c r="H1688" s="1012">
        <v>96.8</v>
      </c>
    </row>
    <row r="1689" spans="1:8" ht="12.65" customHeight="1">
      <c r="A1689" s="1017" t="s">
        <v>831</v>
      </c>
      <c r="B1689" s="1017" t="s">
        <v>793</v>
      </c>
      <c r="C1689" s="1017" t="s">
        <v>832</v>
      </c>
      <c r="D1689" s="1016">
        <v>0.21</v>
      </c>
      <c r="E1689" s="1015">
        <v>88.6</v>
      </c>
      <c r="F1689" s="1014">
        <v>10.9</v>
      </c>
      <c r="G1689" s="1013">
        <v>3.5</v>
      </c>
      <c r="H1689" s="1012">
        <v>96.5</v>
      </c>
    </row>
    <row r="1690" spans="1:8" ht="12.65" customHeight="1">
      <c r="A1690" s="1017" t="s">
        <v>828</v>
      </c>
      <c r="B1690" s="1017" t="s">
        <v>793</v>
      </c>
      <c r="C1690" s="1017" t="s">
        <v>829</v>
      </c>
      <c r="D1690" s="1016">
        <v>0.23</v>
      </c>
      <c r="E1690" s="1015">
        <v>90.5</v>
      </c>
      <c r="F1690" s="1014">
        <v>10.9</v>
      </c>
      <c r="G1690" s="1013" t="s">
        <v>6080</v>
      </c>
      <c r="H1690" s="1012">
        <v>96.7</v>
      </c>
    </row>
    <row r="1691" spans="1:8" ht="12.65" customHeight="1">
      <c r="A1691" s="1017" t="s">
        <v>825</v>
      </c>
      <c r="B1691" s="1017" t="s">
        <v>793</v>
      </c>
      <c r="C1691" s="1017" t="s">
        <v>826</v>
      </c>
      <c r="D1691" s="1016">
        <v>0.23</v>
      </c>
      <c r="E1691" s="1015">
        <v>87.4</v>
      </c>
      <c r="F1691" s="1014">
        <v>10</v>
      </c>
      <c r="G1691" s="1013" t="s">
        <v>6080</v>
      </c>
      <c r="H1691" s="1012">
        <v>96.1</v>
      </c>
    </row>
    <row r="1692" spans="1:8" ht="12.65" customHeight="1">
      <c r="A1692" s="1017" t="s">
        <v>822</v>
      </c>
      <c r="B1692" s="1017" t="s">
        <v>793</v>
      </c>
      <c r="C1692" s="1017" t="s">
        <v>823</v>
      </c>
      <c r="D1692" s="1016">
        <v>0.08</v>
      </c>
      <c r="E1692" s="1015">
        <v>90.8</v>
      </c>
      <c r="F1692" s="1014">
        <v>7.3</v>
      </c>
      <c r="G1692" s="1013" t="s">
        <v>6080</v>
      </c>
      <c r="H1692" s="1012">
        <v>94.7</v>
      </c>
    </row>
    <row r="1693" spans="1:8" ht="12.65" customHeight="1">
      <c r="A1693" s="1017" t="s">
        <v>819</v>
      </c>
      <c r="B1693" s="1017" t="s">
        <v>793</v>
      </c>
      <c r="C1693" s="1017" t="s">
        <v>820</v>
      </c>
      <c r="D1693" s="1016">
        <v>0.08</v>
      </c>
      <c r="E1693" s="1015">
        <v>92.8</v>
      </c>
      <c r="F1693" s="1014">
        <v>9.3000000000000007</v>
      </c>
      <c r="G1693" s="1013" t="s">
        <v>6080</v>
      </c>
      <c r="H1693" s="1012">
        <v>92.4</v>
      </c>
    </row>
    <row r="1694" spans="1:8" ht="12.65" customHeight="1">
      <c r="A1694" s="1017" t="s">
        <v>816</v>
      </c>
      <c r="B1694" s="1017" t="s">
        <v>793</v>
      </c>
      <c r="C1694" s="1017" t="s">
        <v>817</v>
      </c>
      <c r="D1694" s="1016">
        <v>0.16</v>
      </c>
      <c r="E1694" s="1015">
        <v>92</v>
      </c>
      <c r="F1694" s="1014">
        <v>9.3000000000000007</v>
      </c>
      <c r="G1694" s="1013" t="s">
        <v>6080</v>
      </c>
      <c r="H1694" s="1012">
        <v>91.9</v>
      </c>
    </row>
    <row r="1695" spans="1:8" ht="12.65" customHeight="1">
      <c r="A1695" s="1017" t="s">
        <v>813</v>
      </c>
      <c r="B1695" s="1017" t="s">
        <v>793</v>
      </c>
      <c r="C1695" s="1017" t="s">
        <v>814</v>
      </c>
      <c r="D1695" s="1016">
        <v>0.17</v>
      </c>
      <c r="E1695" s="1015">
        <v>88</v>
      </c>
      <c r="F1695" s="1014">
        <v>8.9</v>
      </c>
      <c r="G1695" s="1013" t="s">
        <v>6080</v>
      </c>
      <c r="H1695" s="1012">
        <v>94.4</v>
      </c>
    </row>
    <row r="1696" spans="1:8" ht="12.65" customHeight="1">
      <c r="A1696" s="1017" t="s">
        <v>810</v>
      </c>
      <c r="B1696" s="1017" t="s">
        <v>793</v>
      </c>
      <c r="C1696" s="1017" t="s">
        <v>811</v>
      </c>
      <c r="D1696" s="1016">
        <v>0.16</v>
      </c>
      <c r="E1696" s="1015">
        <v>82.9</v>
      </c>
      <c r="F1696" s="1014">
        <v>10.4</v>
      </c>
      <c r="G1696" s="1013" t="s">
        <v>6080</v>
      </c>
      <c r="H1696" s="1012">
        <v>94.5</v>
      </c>
    </row>
    <row r="1697" spans="1:8" ht="12.65" customHeight="1">
      <c r="A1697" s="1017" t="s">
        <v>807</v>
      </c>
      <c r="B1697" s="1017" t="s">
        <v>793</v>
      </c>
      <c r="C1697" s="1017" t="s">
        <v>808</v>
      </c>
      <c r="D1697" s="1016">
        <v>0.23</v>
      </c>
      <c r="E1697" s="1015">
        <v>85.6</v>
      </c>
      <c r="F1697" s="1014">
        <v>7.9</v>
      </c>
      <c r="G1697" s="1013">
        <v>39.5</v>
      </c>
      <c r="H1697" s="1012">
        <v>90.7</v>
      </c>
    </row>
    <row r="1698" spans="1:8" ht="12.65" customHeight="1">
      <c r="A1698" s="1017" t="s">
        <v>804</v>
      </c>
      <c r="B1698" s="1017" t="s">
        <v>793</v>
      </c>
      <c r="C1698" s="1017" t="s">
        <v>805</v>
      </c>
      <c r="D1698" s="1016">
        <v>0.15</v>
      </c>
      <c r="E1698" s="1015">
        <v>89.5</v>
      </c>
      <c r="F1698" s="1014">
        <v>6.8</v>
      </c>
      <c r="G1698" s="1013" t="s">
        <v>6080</v>
      </c>
      <c r="H1698" s="1012">
        <v>92.7</v>
      </c>
    </row>
    <row r="1699" spans="1:8" ht="12.65" customHeight="1">
      <c r="A1699" s="1017" t="s">
        <v>801</v>
      </c>
      <c r="B1699" s="1017" t="s">
        <v>793</v>
      </c>
      <c r="C1699" s="1017" t="s">
        <v>802</v>
      </c>
      <c r="D1699" s="1016">
        <v>0.13</v>
      </c>
      <c r="E1699" s="1015">
        <v>87.6</v>
      </c>
      <c r="F1699" s="1014">
        <v>9.5</v>
      </c>
      <c r="G1699" s="1013">
        <v>89.2</v>
      </c>
      <c r="H1699" s="1012">
        <v>89.3</v>
      </c>
    </row>
    <row r="1700" spans="1:8" ht="12.65" customHeight="1">
      <c r="A1700" s="1017" t="s">
        <v>798</v>
      </c>
      <c r="B1700" s="1017" t="s">
        <v>793</v>
      </c>
      <c r="C1700" s="1017" t="s">
        <v>799</v>
      </c>
      <c r="D1700" s="1016">
        <v>0.18</v>
      </c>
      <c r="E1700" s="1015">
        <v>89.8</v>
      </c>
      <c r="F1700" s="1014">
        <v>16.600000000000001</v>
      </c>
      <c r="G1700" s="1013">
        <v>7.3</v>
      </c>
      <c r="H1700" s="1012">
        <v>93</v>
      </c>
    </row>
    <row r="1701" spans="1:8" ht="12.65" customHeight="1">
      <c r="A1701" s="1017" t="s">
        <v>795</v>
      </c>
      <c r="B1701" s="1017" t="s">
        <v>793</v>
      </c>
      <c r="C1701" s="1017" t="s">
        <v>796</v>
      </c>
      <c r="D1701" s="1016">
        <v>0.15</v>
      </c>
      <c r="E1701" s="1015">
        <v>88.4</v>
      </c>
      <c r="F1701" s="1014">
        <v>11.9</v>
      </c>
      <c r="G1701" s="1013">
        <v>12.6</v>
      </c>
      <c r="H1701" s="1012">
        <v>95.1</v>
      </c>
    </row>
    <row r="1702" spans="1:8" ht="12.65" customHeight="1">
      <c r="A1702" s="1017" t="s">
        <v>791</v>
      </c>
      <c r="B1702" s="1017" t="s">
        <v>793</v>
      </c>
      <c r="C1702" s="1017" t="s">
        <v>792</v>
      </c>
      <c r="D1702" s="1016">
        <v>0.15</v>
      </c>
      <c r="E1702" s="1015">
        <v>89.4</v>
      </c>
      <c r="F1702" s="1014">
        <v>9.9</v>
      </c>
      <c r="G1702" s="1013">
        <v>29.1</v>
      </c>
      <c r="H1702" s="1012">
        <v>90.1</v>
      </c>
    </row>
    <row r="1703" spans="1:8" ht="12.65" customHeight="1">
      <c r="A1703" s="1018" t="s">
        <v>784</v>
      </c>
      <c r="B1703" s="1017" t="s">
        <v>665</v>
      </c>
      <c r="C1703" s="1017" t="s">
        <v>785</v>
      </c>
      <c r="D1703" s="1016">
        <v>0.83</v>
      </c>
      <c r="E1703" s="1015">
        <v>89.7</v>
      </c>
      <c r="F1703" s="1014">
        <v>8.1999999999999993</v>
      </c>
      <c r="G1703" s="1013">
        <v>41.4</v>
      </c>
      <c r="H1703" s="1012">
        <v>97.1</v>
      </c>
    </row>
    <row r="1704" spans="1:8" ht="12.65" customHeight="1">
      <c r="A1704" s="1018" t="s">
        <v>781</v>
      </c>
      <c r="B1704" s="1017" t="s">
        <v>665</v>
      </c>
      <c r="C1704" s="1017" t="s">
        <v>782</v>
      </c>
      <c r="D1704" s="1016">
        <v>0.65</v>
      </c>
      <c r="E1704" s="1015">
        <v>93.4</v>
      </c>
      <c r="F1704" s="1014">
        <v>6.4</v>
      </c>
      <c r="G1704" s="1013">
        <v>20.100000000000001</v>
      </c>
      <c r="H1704" s="1012">
        <v>95.1</v>
      </c>
    </row>
    <row r="1705" spans="1:8" ht="12.65" customHeight="1">
      <c r="A1705" s="1017" t="s">
        <v>778</v>
      </c>
      <c r="B1705" s="1017" t="s">
        <v>665</v>
      </c>
      <c r="C1705" s="1017" t="s">
        <v>779</v>
      </c>
      <c r="D1705" s="1016">
        <v>0.45</v>
      </c>
      <c r="E1705" s="1015">
        <v>89.4</v>
      </c>
      <c r="F1705" s="1014">
        <v>7</v>
      </c>
      <c r="G1705" s="1013">
        <v>55.6</v>
      </c>
      <c r="H1705" s="1012">
        <v>96.9</v>
      </c>
    </row>
    <row r="1706" spans="1:8" ht="12.65" customHeight="1">
      <c r="A1706" s="1017" t="s">
        <v>775</v>
      </c>
      <c r="B1706" s="1017" t="s">
        <v>665</v>
      </c>
      <c r="C1706" s="1017" t="s">
        <v>776</v>
      </c>
      <c r="D1706" s="1016">
        <v>0.76</v>
      </c>
      <c r="E1706" s="1015">
        <v>95</v>
      </c>
      <c r="F1706" s="1014">
        <v>5.6</v>
      </c>
      <c r="G1706" s="1013">
        <v>8.3000000000000007</v>
      </c>
      <c r="H1706" s="1012">
        <v>95.2</v>
      </c>
    </row>
    <row r="1707" spans="1:8" ht="12.65" customHeight="1">
      <c r="A1707" s="1017" t="s">
        <v>772</v>
      </c>
      <c r="B1707" s="1017" t="s">
        <v>665</v>
      </c>
      <c r="C1707" s="1017" t="s">
        <v>773</v>
      </c>
      <c r="D1707" s="1016">
        <v>0.45</v>
      </c>
      <c r="E1707" s="1015">
        <v>98.1</v>
      </c>
      <c r="F1707" s="1014">
        <v>6.4</v>
      </c>
      <c r="G1707" s="1013">
        <v>32.1</v>
      </c>
      <c r="H1707" s="1012">
        <v>94.3</v>
      </c>
    </row>
    <row r="1708" spans="1:8" ht="12.65" customHeight="1">
      <c r="A1708" s="1017" t="s">
        <v>769</v>
      </c>
      <c r="B1708" s="1017" t="s">
        <v>665</v>
      </c>
      <c r="C1708" s="1017" t="s">
        <v>770</v>
      </c>
      <c r="D1708" s="1016">
        <v>0.53</v>
      </c>
      <c r="E1708" s="1015">
        <v>92.1</v>
      </c>
      <c r="F1708" s="1014">
        <v>8.9</v>
      </c>
      <c r="G1708" s="1013">
        <v>26.2</v>
      </c>
      <c r="H1708" s="1012">
        <v>95.8</v>
      </c>
    </row>
    <row r="1709" spans="1:8" ht="12.65" customHeight="1">
      <c r="A1709" s="1017" t="s">
        <v>766</v>
      </c>
      <c r="B1709" s="1017" t="s">
        <v>665</v>
      </c>
      <c r="C1709" s="1017" t="s">
        <v>767</v>
      </c>
      <c r="D1709" s="1016">
        <v>0.56999999999999995</v>
      </c>
      <c r="E1709" s="1015">
        <v>92.1</v>
      </c>
      <c r="F1709" s="1014">
        <v>5.6</v>
      </c>
      <c r="G1709" s="1013">
        <v>30.8</v>
      </c>
      <c r="H1709" s="1012">
        <v>95.5</v>
      </c>
    </row>
    <row r="1710" spans="1:8" ht="12.65" customHeight="1">
      <c r="A1710" s="1017" t="s">
        <v>763</v>
      </c>
      <c r="B1710" s="1017" t="s">
        <v>665</v>
      </c>
      <c r="C1710" s="1017" t="s">
        <v>764</v>
      </c>
      <c r="D1710" s="1016">
        <v>0.63</v>
      </c>
      <c r="E1710" s="1015">
        <v>89.1</v>
      </c>
      <c r="F1710" s="1014">
        <v>8.8000000000000007</v>
      </c>
      <c r="G1710" s="1013">
        <v>99.2</v>
      </c>
      <c r="H1710" s="1012">
        <v>96.5</v>
      </c>
    </row>
    <row r="1711" spans="1:8" ht="12.65" customHeight="1">
      <c r="A1711" s="1017" t="s">
        <v>760</v>
      </c>
      <c r="B1711" s="1017" t="s">
        <v>665</v>
      </c>
      <c r="C1711" s="1017" t="s">
        <v>761</v>
      </c>
      <c r="D1711" s="1016">
        <v>0.47</v>
      </c>
      <c r="E1711" s="1015">
        <v>96</v>
      </c>
      <c r="F1711" s="1014">
        <v>6.2</v>
      </c>
      <c r="G1711" s="1013" t="s">
        <v>6080</v>
      </c>
      <c r="H1711" s="1012">
        <v>95.9</v>
      </c>
    </row>
    <row r="1712" spans="1:8" ht="12.65" customHeight="1">
      <c r="A1712" s="1017" t="s">
        <v>757</v>
      </c>
      <c r="B1712" s="1017" t="s">
        <v>665</v>
      </c>
      <c r="C1712" s="1017" t="s">
        <v>758</v>
      </c>
      <c r="D1712" s="1016">
        <v>0.38</v>
      </c>
      <c r="E1712" s="1015">
        <v>91.6</v>
      </c>
      <c r="F1712" s="1014">
        <v>9.6999999999999993</v>
      </c>
      <c r="G1712" s="1013">
        <v>20.100000000000001</v>
      </c>
      <c r="H1712" s="1012">
        <v>95.7</v>
      </c>
    </row>
    <row r="1713" spans="1:8" ht="12.65" customHeight="1">
      <c r="A1713" s="1017" t="s">
        <v>754</v>
      </c>
      <c r="B1713" s="1017" t="s">
        <v>665</v>
      </c>
      <c r="C1713" s="1017" t="s">
        <v>755</v>
      </c>
      <c r="D1713" s="1016">
        <v>0.37</v>
      </c>
      <c r="E1713" s="1015">
        <v>87.9</v>
      </c>
      <c r="F1713" s="1014">
        <v>5.8</v>
      </c>
      <c r="G1713" s="1013">
        <v>3.1</v>
      </c>
      <c r="H1713" s="1012">
        <v>97.2</v>
      </c>
    </row>
    <row r="1714" spans="1:8" ht="12.65" customHeight="1">
      <c r="A1714" s="1017" t="s">
        <v>751</v>
      </c>
      <c r="B1714" s="1017" t="s">
        <v>665</v>
      </c>
      <c r="C1714" s="1017" t="s">
        <v>752</v>
      </c>
      <c r="D1714" s="1016">
        <v>0.2</v>
      </c>
      <c r="E1714" s="1015">
        <v>88.7</v>
      </c>
      <c r="F1714" s="1014">
        <v>7.9</v>
      </c>
      <c r="G1714" s="1013" t="s">
        <v>6080</v>
      </c>
      <c r="H1714" s="1012">
        <v>93.2</v>
      </c>
    </row>
    <row r="1715" spans="1:8" ht="12.65" customHeight="1">
      <c r="A1715" s="1017" t="s">
        <v>748</v>
      </c>
      <c r="B1715" s="1017" t="s">
        <v>665</v>
      </c>
      <c r="C1715" s="1017" t="s">
        <v>749</v>
      </c>
      <c r="D1715" s="1016">
        <v>0.38</v>
      </c>
      <c r="E1715" s="1015">
        <v>86.5</v>
      </c>
      <c r="F1715" s="1014">
        <v>8.1</v>
      </c>
      <c r="G1715" s="1013" t="s">
        <v>6080</v>
      </c>
      <c r="H1715" s="1012">
        <v>97.3</v>
      </c>
    </row>
    <row r="1716" spans="1:8" ht="12.65" customHeight="1">
      <c r="A1716" s="1017" t="s">
        <v>745</v>
      </c>
      <c r="B1716" s="1017" t="s">
        <v>665</v>
      </c>
      <c r="C1716" s="1017" t="s">
        <v>746</v>
      </c>
      <c r="D1716" s="1016">
        <v>0.13</v>
      </c>
      <c r="E1716" s="1015">
        <v>86.8</v>
      </c>
      <c r="F1716" s="1014">
        <v>8.5</v>
      </c>
      <c r="G1716" s="1013" t="s">
        <v>6080</v>
      </c>
      <c r="H1716" s="1012">
        <v>91.3</v>
      </c>
    </row>
    <row r="1717" spans="1:8" ht="12.65" customHeight="1">
      <c r="A1717" s="1017" t="s">
        <v>742</v>
      </c>
      <c r="B1717" s="1017" t="s">
        <v>665</v>
      </c>
      <c r="C1717" s="1017" t="s">
        <v>743</v>
      </c>
      <c r="D1717" s="1016">
        <v>0.26</v>
      </c>
      <c r="E1717" s="1015">
        <v>81.599999999999994</v>
      </c>
      <c r="F1717" s="1014">
        <v>7.3</v>
      </c>
      <c r="G1717" s="1013">
        <v>0.2</v>
      </c>
      <c r="H1717" s="1012">
        <v>91.4</v>
      </c>
    </row>
    <row r="1718" spans="1:8" ht="12.65" customHeight="1">
      <c r="A1718" s="1017" t="s">
        <v>739</v>
      </c>
      <c r="B1718" s="1017" t="s">
        <v>665</v>
      </c>
      <c r="C1718" s="1017" t="s">
        <v>740</v>
      </c>
      <c r="D1718" s="1016">
        <v>0.34</v>
      </c>
      <c r="E1718" s="1015">
        <v>88.8</v>
      </c>
      <c r="F1718" s="1014">
        <v>10.1</v>
      </c>
      <c r="G1718" s="1013" t="s">
        <v>6080</v>
      </c>
      <c r="H1718" s="1012">
        <v>92.1</v>
      </c>
    </row>
    <row r="1719" spans="1:8" ht="12.65" customHeight="1">
      <c r="A1719" s="1017" t="s">
        <v>736</v>
      </c>
      <c r="B1719" s="1017" t="s">
        <v>665</v>
      </c>
      <c r="C1719" s="1017" t="s">
        <v>737</v>
      </c>
      <c r="D1719" s="1016">
        <v>0.61</v>
      </c>
      <c r="E1719" s="1015">
        <v>78.099999999999994</v>
      </c>
      <c r="F1719" s="1014">
        <v>5.2</v>
      </c>
      <c r="G1719" s="1013" t="s">
        <v>6080</v>
      </c>
      <c r="H1719" s="1012">
        <v>96.3</v>
      </c>
    </row>
    <row r="1720" spans="1:8" ht="12.65" customHeight="1">
      <c r="A1720" s="1017" t="s">
        <v>733</v>
      </c>
      <c r="B1720" s="1017" t="s">
        <v>665</v>
      </c>
      <c r="C1720" s="1017" t="s">
        <v>734</v>
      </c>
      <c r="D1720" s="1016">
        <v>0.28999999999999998</v>
      </c>
      <c r="E1720" s="1015">
        <v>82.5</v>
      </c>
      <c r="F1720" s="1014">
        <v>9.1</v>
      </c>
      <c r="G1720" s="1013" t="s">
        <v>6080</v>
      </c>
      <c r="H1720" s="1012">
        <v>95.7</v>
      </c>
    </row>
    <row r="1721" spans="1:8" ht="12.65" customHeight="1">
      <c r="A1721" s="1017" t="s">
        <v>730</v>
      </c>
      <c r="B1721" s="1017" t="s">
        <v>665</v>
      </c>
      <c r="C1721" s="1017" t="s">
        <v>731</v>
      </c>
      <c r="D1721" s="1016">
        <v>0.38</v>
      </c>
      <c r="E1721" s="1015">
        <v>89.8</v>
      </c>
      <c r="F1721" s="1014">
        <v>4.4000000000000004</v>
      </c>
      <c r="G1721" s="1013" t="s">
        <v>6080</v>
      </c>
      <c r="H1721" s="1012">
        <v>95.1</v>
      </c>
    </row>
    <row r="1722" spans="1:8" ht="12.65" customHeight="1">
      <c r="A1722" s="1017" t="s">
        <v>727</v>
      </c>
      <c r="B1722" s="1017" t="s">
        <v>665</v>
      </c>
      <c r="C1722" s="1017" t="s">
        <v>728</v>
      </c>
      <c r="D1722" s="1016">
        <v>0.15</v>
      </c>
      <c r="E1722" s="1015">
        <v>79.099999999999994</v>
      </c>
      <c r="F1722" s="1014">
        <v>5.0999999999999996</v>
      </c>
      <c r="G1722" s="1013" t="s">
        <v>6080</v>
      </c>
      <c r="H1722" s="1012">
        <v>92.4</v>
      </c>
    </row>
    <row r="1723" spans="1:8" ht="12.65" customHeight="1">
      <c r="A1723" s="1017" t="s">
        <v>724</v>
      </c>
      <c r="B1723" s="1017" t="s">
        <v>665</v>
      </c>
      <c r="C1723" s="1017" t="s">
        <v>725</v>
      </c>
      <c r="D1723" s="1016">
        <v>0.62</v>
      </c>
      <c r="E1723" s="1015">
        <v>84.1</v>
      </c>
      <c r="F1723" s="1014">
        <v>4.0999999999999996</v>
      </c>
      <c r="G1723" s="1013" t="s">
        <v>6080</v>
      </c>
      <c r="H1723" s="1012">
        <v>98.2</v>
      </c>
    </row>
    <row r="1724" spans="1:8" ht="12.65" customHeight="1">
      <c r="A1724" s="1017" t="s">
        <v>721</v>
      </c>
      <c r="B1724" s="1017" t="s">
        <v>665</v>
      </c>
      <c r="C1724" s="1017" t="s">
        <v>722</v>
      </c>
      <c r="D1724" s="1016">
        <v>0.6</v>
      </c>
      <c r="E1724" s="1015">
        <v>82.6</v>
      </c>
      <c r="F1724" s="1014">
        <v>1.3</v>
      </c>
      <c r="G1724" s="1013" t="s">
        <v>6080</v>
      </c>
      <c r="H1724" s="1012">
        <v>95.2</v>
      </c>
    </row>
    <row r="1725" spans="1:8" ht="12.65" customHeight="1">
      <c r="A1725" s="1017" t="s">
        <v>718</v>
      </c>
      <c r="B1725" s="1017" t="s">
        <v>665</v>
      </c>
      <c r="C1725" s="1017" t="s">
        <v>719</v>
      </c>
      <c r="D1725" s="1016">
        <v>0.79</v>
      </c>
      <c r="E1725" s="1015">
        <v>78</v>
      </c>
      <c r="F1725" s="1014">
        <v>4.5</v>
      </c>
      <c r="G1725" s="1013" t="s">
        <v>6080</v>
      </c>
      <c r="H1725" s="1012">
        <v>95.2</v>
      </c>
    </row>
    <row r="1726" spans="1:8" ht="12.65" customHeight="1">
      <c r="A1726" s="1017" t="s">
        <v>715</v>
      </c>
      <c r="B1726" s="1017" t="s">
        <v>665</v>
      </c>
      <c r="C1726" s="1017" t="s">
        <v>716</v>
      </c>
      <c r="D1726" s="1016">
        <v>0.63</v>
      </c>
      <c r="E1726" s="1015">
        <v>82.9</v>
      </c>
      <c r="F1726" s="1014">
        <v>5.5</v>
      </c>
      <c r="G1726" s="1013">
        <v>39.6</v>
      </c>
      <c r="H1726" s="1012">
        <v>98.6</v>
      </c>
    </row>
    <row r="1727" spans="1:8" ht="12.65" customHeight="1">
      <c r="A1727" s="1017" t="s">
        <v>712</v>
      </c>
      <c r="B1727" s="1017" t="s">
        <v>665</v>
      </c>
      <c r="C1727" s="1017" t="s">
        <v>713</v>
      </c>
      <c r="D1727" s="1016">
        <v>0.61</v>
      </c>
      <c r="E1727" s="1015">
        <v>82.3</v>
      </c>
      <c r="F1727" s="1014">
        <v>5.4</v>
      </c>
      <c r="G1727" s="1013">
        <v>137.1</v>
      </c>
      <c r="H1727" s="1012">
        <v>99.8</v>
      </c>
    </row>
    <row r="1728" spans="1:8" ht="12.65" customHeight="1">
      <c r="A1728" s="1017" t="s">
        <v>709</v>
      </c>
      <c r="B1728" s="1017" t="s">
        <v>665</v>
      </c>
      <c r="C1728" s="1017" t="s">
        <v>710</v>
      </c>
      <c r="D1728" s="1016">
        <v>0.62</v>
      </c>
      <c r="E1728" s="1015">
        <v>90.4</v>
      </c>
      <c r="F1728" s="1014">
        <v>6.6</v>
      </c>
      <c r="G1728" s="1013">
        <v>9.5</v>
      </c>
      <c r="H1728" s="1012">
        <v>97.3</v>
      </c>
    </row>
    <row r="1729" spans="1:9" ht="12.65" customHeight="1">
      <c r="A1729" s="1017" t="s">
        <v>706</v>
      </c>
      <c r="B1729" s="1017" t="s">
        <v>665</v>
      </c>
      <c r="C1729" s="1017" t="s">
        <v>707</v>
      </c>
      <c r="D1729" s="1016">
        <v>0.46</v>
      </c>
      <c r="E1729" s="1015">
        <v>89.4</v>
      </c>
      <c r="F1729" s="1014">
        <v>8</v>
      </c>
      <c r="G1729" s="1013">
        <v>78.900000000000006</v>
      </c>
      <c r="H1729" s="1012">
        <v>97.4</v>
      </c>
    </row>
    <row r="1730" spans="1:9" ht="12.65" customHeight="1">
      <c r="A1730" s="1017" t="s">
        <v>703</v>
      </c>
      <c r="B1730" s="1017" t="s">
        <v>665</v>
      </c>
      <c r="C1730" s="1017" t="s">
        <v>704</v>
      </c>
      <c r="D1730" s="1016">
        <v>0.62</v>
      </c>
      <c r="E1730" s="1015">
        <v>87.1</v>
      </c>
      <c r="F1730" s="1014">
        <v>9.1</v>
      </c>
      <c r="G1730" s="1013">
        <v>26.1</v>
      </c>
      <c r="H1730" s="1012">
        <v>99.2</v>
      </c>
    </row>
    <row r="1731" spans="1:9" ht="12.65" customHeight="1">
      <c r="A1731" s="1017" t="s">
        <v>700</v>
      </c>
      <c r="B1731" s="1017" t="s">
        <v>665</v>
      </c>
      <c r="C1731" s="1017" t="s">
        <v>701</v>
      </c>
      <c r="D1731" s="1016">
        <v>0.1</v>
      </c>
      <c r="E1731" s="1015">
        <v>86.2</v>
      </c>
      <c r="F1731" s="1014">
        <v>7.6</v>
      </c>
      <c r="G1731" s="1013" t="s">
        <v>6080</v>
      </c>
      <c r="H1731" s="1012">
        <v>91.4</v>
      </c>
    </row>
    <row r="1732" spans="1:9" ht="12.65" customHeight="1">
      <c r="A1732" s="1017" t="s">
        <v>697</v>
      </c>
      <c r="B1732" s="1017" t="s">
        <v>665</v>
      </c>
      <c r="C1732" s="1017" t="s">
        <v>698</v>
      </c>
      <c r="D1732" s="1016">
        <v>0.09</v>
      </c>
      <c r="E1732" s="1015">
        <v>87.2</v>
      </c>
      <c r="F1732" s="1014">
        <v>10.3</v>
      </c>
      <c r="G1732" s="1013">
        <v>42.8</v>
      </c>
      <c r="H1732" s="1012">
        <v>94.2</v>
      </c>
    </row>
    <row r="1733" spans="1:9" ht="12.65" customHeight="1">
      <c r="A1733" s="1017" t="s">
        <v>694</v>
      </c>
      <c r="B1733" s="1017" t="s">
        <v>665</v>
      </c>
      <c r="C1733" s="1017" t="s">
        <v>695</v>
      </c>
      <c r="D1733" s="1016">
        <v>0.09</v>
      </c>
      <c r="E1733" s="1015">
        <v>96.9</v>
      </c>
      <c r="F1733" s="1014">
        <v>9.3000000000000007</v>
      </c>
      <c r="G1733" s="1013">
        <v>145.1</v>
      </c>
      <c r="H1733" s="1012">
        <v>90.2</v>
      </c>
    </row>
    <row r="1734" spans="1:9" ht="12.65" customHeight="1">
      <c r="A1734" s="1017" t="s">
        <v>691</v>
      </c>
      <c r="B1734" s="1017" t="s">
        <v>665</v>
      </c>
      <c r="C1734" s="1017" t="s">
        <v>692</v>
      </c>
      <c r="D1734" s="1016">
        <v>7.0000000000000007E-2</v>
      </c>
      <c r="E1734" s="1015">
        <v>98.4</v>
      </c>
      <c r="F1734" s="1014">
        <v>9.3000000000000007</v>
      </c>
      <c r="G1734" s="1013" t="s">
        <v>6080</v>
      </c>
      <c r="H1734" s="1012">
        <v>87</v>
      </c>
    </row>
    <row r="1735" spans="1:9" ht="12.65" customHeight="1">
      <c r="A1735" s="1017" t="s">
        <v>688</v>
      </c>
      <c r="B1735" s="1017" t="s">
        <v>665</v>
      </c>
      <c r="C1735" s="1017" t="s">
        <v>689</v>
      </c>
      <c r="D1735" s="1016">
        <v>0.14000000000000001</v>
      </c>
      <c r="E1735" s="1015">
        <v>81.2</v>
      </c>
      <c r="F1735" s="1014">
        <v>7.5</v>
      </c>
      <c r="G1735" s="1013" t="s">
        <v>6080</v>
      </c>
      <c r="H1735" s="1012">
        <v>89.4</v>
      </c>
    </row>
    <row r="1736" spans="1:9" ht="12.65" customHeight="1">
      <c r="A1736" s="1017" t="s">
        <v>685</v>
      </c>
      <c r="B1736" s="1017" t="s">
        <v>665</v>
      </c>
      <c r="C1736" s="1017" t="s">
        <v>686</v>
      </c>
      <c r="D1736" s="1016">
        <v>0.1</v>
      </c>
      <c r="E1736" s="1015">
        <v>84.4</v>
      </c>
      <c r="F1736" s="1014">
        <v>8.1999999999999993</v>
      </c>
      <c r="G1736" s="1013" t="s">
        <v>6080</v>
      </c>
      <c r="H1736" s="1012">
        <v>90.6</v>
      </c>
    </row>
    <row r="1737" spans="1:9" ht="12.65" customHeight="1">
      <c r="A1737" s="1017" t="s">
        <v>682</v>
      </c>
      <c r="B1737" s="1017" t="s">
        <v>665</v>
      </c>
      <c r="C1737" s="1017" t="s">
        <v>683</v>
      </c>
      <c r="D1737" s="1016">
        <v>0.08</v>
      </c>
      <c r="E1737" s="1015">
        <v>84.4</v>
      </c>
      <c r="F1737" s="1014">
        <v>5.0999999999999996</v>
      </c>
      <c r="G1737" s="1013">
        <v>136.5</v>
      </c>
      <c r="H1737" s="1012">
        <v>93</v>
      </c>
    </row>
    <row r="1738" spans="1:9" ht="12.65" customHeight="1">
      <c r="A1738" s="1017" t="s">
        <v>679</v>
      </c>
      <c r="B1738" s="1017" t="s">
        <v>665</v>
      </c>
      <c r="C1738" s="1017" t="s">
        <v>680</v>
      </c>
      <c r="D1738" s="1016">
        <v>0.1</v>
      </c>
      <c r="E1738" s="1015">
        <v>92.3</v>
      </c>
      <c r="F1738" s="1014">
        <v>6</v>
      </c>
      <c r="G1738" s="1013">
        <v>39.799999999999997</v>
      </c>
      <c r="H1738" s="1012">
        <v>94.8</v>
      </c>
    </row>
    <row r="1739" spans="1:9" ht="12.65" customHeight="1">
      <c r="A1739" s="1017" t="s">
        <v>676</v>
      </c>
      <c r="B1739" s="1017" t="s">
        <v>665</v>
      </c>
      <c r="C1739" s="1017" t="s">
        <v>677</v>
      </c>
      <c r="D1739" s="1016">
        <v>0.19</v>
      </c>
      <c r="E1739" s="1015">
        <v>90</v>
      </c>
      <c r="F1739" s="1014">
        <v>5.0999999999999996</v>
      </c>
      <c r="G1739" s="1013" t="s">
        <v>6080</v>
      </c>
      <c r="H1739" s="1012">
        <v>94.4</v>
      </c>
    </row>
    <row r="1740" spans="1:9" ht="12.65" customHeight="1">
      <c r="A1740" s="1017" t="s">
        <v>673</v>
      </c>
      <c r="B1740" s="1017" t="s">
        <v>665</v>
      </c>
      <c r="C1740" s="1017" t="s">
        <v>674</v>
      </c>
      <c r="D1740" s="1016">
        <v>0.44</v>
      </c>
      <c r="E1740" s="1015">
        <v>88.8</v>
      </c>
      <c r="F1740" s="1014">
        <v>8.5</v>
      </c>
      <c r="G1740" s="1013">
        <v>1.9</v>
      </c>
      <c r="H1740" s="1012">
        <v>96.9</v>
      </c>
    </row>
    <row r="1741" spans="1:9" ht="12.65" customHeight="1">
      <c r="A1741" s="1017" t="s">
        <v>670</v>
      </c>
      <c r="B1741" s="1017" t="s">
        <v>665</v>
      </c>
      <c r="C1741" s="1017" t="s">
        <v>671</v>
      </c>
      <c r="D1741" s="1016">
        <v>0.11</v>
      </c>
      <c r="E1741" s="1015">
        <v>72.8</v>
      </c>
      <c r="F1741" s="1014">
        <v>6.2</v>
      </c>
      <c r="G1741" s="1013" t="s">
        <v>6080</v>
      </c>
      <c r="H1741" s="1012">
        <v>79.099999999999994</v>
      </c>
    </row>
    <row r="1742" spans="1:9" ht="12.65" customHeight="1">
      <c r="A1742" s="1017" t="s">
        <v>667</v>
      </c>
      <c r="B1742" s="1017" t="s">
        <v>665</v>
      </c>
      <c r="C1742" s="1017" t="s">
        <v>668</v>
      </c>
      <c r="D1742" s="1016">
        <v>0.14000000000000001</v>
      </c>
      <c r="E1742" s="1015">
        <v>91</v>
      </c>
      <c r="F1742" s="1014">
        <v>6.8</v>
      </c>
      <c r="G1742" s="1013">
        <v>11.3</v>
      </c>
      <c r="H1742" s="1012">
        <v>95.7</v>
      </c>
    </row>
    <row r="1743" spans="1:9" ht="12.65" customHeight="1" thickBot="1">
      <c r="A1743" s="1011" t="s">
        <v>663</v>
      </c>
      <c r="B1743" s="1011" t="s">
        <v>665</v>
      </c>
      <c r="C1743" s="1011" t="s">
        <v>664</v>
      </c>
      <c r="D1743" s="1010">
        <v>0.14000000000000001</v>
      </c>
      <c r="E1743" s="1009">
        <v>92.2</v>
      </c>
      <c r="F1743" s="1008">
        <v>7.3</v>
      </c>
      <c r="G1743" s="1007" t="s">
        <v>6080</v>
      </c>
      <c r="H1743" s="1006">
        <v>86.4</v>
      </c>
    </row>
    <row r="1744" spans="1:9" s="973" customFormat="1" ht="13.5" customHeight="1" thickBot="1">
      <c r="A1744" s="1345" t="s">
        <v>6079</v>
      </c>
      <c r="B1744" s="1346"/>
      <c r="C1744" s="1347"/>
      <c r="D1744" s="1244">
        <v>0.48</v>
      </c>
      <c r="E1744" s="1245">
        <v>93.1</v>
      </c>
      <c r="F1744" s="1005">
        <v>5.6</v>
      </c>
      <c r="G1744" s="1004">
        <v>6.3</v>
      </c>
      <c r="H1744" s="1003" t="s">
        <v>90</v>
      </c>
      <c r="I1744"/>
    </row>
    <row r="1745" ht="12.65" customHeight="1"/>
    <row r="1746" ht="12.65" customHeight="1"/>
    <row r="1747" ht="12.65" customHeight="1"/>
    <row r="1748" ht="12.65" customHeight="1"/>
    <row r="1749" ht="12.65" customHeight="1"/>
    <row r="1750" ht="12.65" customHeight="1"/>
    <row r="1751" ht="12.65" customHeight="1"/>
    <row r="1752" ht="12.65" customHeight="1"/>
    <row r="1753" ht="12.65" customHeight="1"/>
    <row r="1754" ht="12.65" customHeight="1"/>
    <row r="1755" ht="12.65" customHeight="1"/>
    <row r="1756" ht="12.65" customHeight="1"/>
    <row r="1757" ht="12.65" customHeight="1"/>
    <row r="1758" ht="12.65" customHeight="1"/>
    <row r="1759" ht="12.65" customHeight="1"/>
    <row r="1760" ht="12.65" customHeight="1"/>
  </sheetData>
  <sheetProtection algorithmName="SHA-512" hashValue="MkubgXzXdP30VSpt2EOMtlMh7rcpJQcHFGdpn29efchUURTAGFUxSK5aFk1et3YFDLoplVbnIMQng+ERVMhxbw==" saltValue="QYrano/tJoCIY9EgyDYfhw==" spinCount="100000" sheet="1" objects="1" scenarios="1"/>
  <mergeCells count="1">
    <mergeCell ref="A1744:C1744"/>
  </mergeCells>
  <phoneticPr fontId="1"/>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E0FD-6E1A-4BA4-BBA8-55675F63DB79}">
  <sheetPr codeName="Sheet37">
    <tabColor theme="7" tint="0.79998168889431442"/>
    <pageSetUpPr autoPageBreaks="0"/>
  </sheetPr>
  <dimension ref="A1:Y125"/>
  <sheetViews>
    <sheetView showGridLines="0" zoomScale="85" zoomScaleNormal="85" zoomScaleSheetLayoutView="80" zoomScalePageLayoutView="115" workbookViewId="0"/>
  </sheetViews>
  <sheetFormatPr defaultColWidth="9" defaultRowHeight="18"/>
  <cols>
    <col min="1" max="2" width="3.75" style="323" customWidth="1"/>
    <col min="3" max="3" width="11.33203125" style="323" customWidth="1"/>
    <col min="4" max="4" width="15.33203125" style="323" customWidth="1"/>
    <col min="5" max="5" width="7.5" style="334" bestFit="1" customWidth="1"/>
    <col min="6" max="6" width="46.5" style="335" customWidth="1"/>
    <col min="7" max="7" width="13.5" style="336" bestFit="1" customWidth="1"/>
    <col min="8" max="8" width="16.75" style="336" customWidth="1"/>
    <col min="9" max="9" width="16.83203125" style="336" customWidth="1"/>
    <col min="10" max="10" width="35.58203125" style="335" customWidth="1"/>
    <col min="11" max="11" width="11.5" style="335" bestFit="1" customWidth="1"/>
    <col min="12" max="12" width="17.08203125" style="336" customWidth="1"/>
    <col min="13" max="14" width="4" customWidth="1"/>
    <col min="15" max="16" width="16.58203125" style="336" customWidth="1"/>
    <col min="17" max="17" width="9" style="323"/>
    <col min="18" max="20" width="12.33203125" style="323" hidden="1" customWidth="1"/>
    <col min="21" max="21" width="16.75" style="323" hidden="1" customWidth="1"/>
    <col min="22" max="22" width="16.83203125" style="323" hidden="1" customWidth="1"/>
    <col min="23" max="24" width="12.33203125" style="323" hidden="1" customWidth="1"/>
    <col min="25" max="25" width="9" style="323" hidden="1" customWidth="1"/>
    <col min="26" max="16384" width="9" style="323"/>
  </cols>
  <sheetData>
    <row r="1" spans="1:25" customFormat="1">
      <c r="A1" s="44" t="s">
        <v>337</v>
      </c>
      <c r="B1" s="13"/>
      <c r="C1" s="13"/>
      <c r="E1" s="17"/>
      <c r="F1" s="17"/>
      <c r="G1" s="228"/>
      <c r="H1" s="228"/>
      <c r="I1" s="228"/>
      <c r="J1" s="17"/>
      <c r="K1" s="17"/>
      <c r="L1" s="228"/>
      <c r="O1" s="228"/>
      <c r="P1" s="228"/>
    </row>
    <row r="2" spans="1:25" customFormat="1" ht="18.75" customHeight="1">
      <c r="A2" s="13"/>
      <c r="B2" s="13" t="s">
        <v>338</v>
      </c>
      <c r="C2" s="13"/>
      <c r="E2" s="17"/>
      <c r="F2" s="17"/>
      <c r="G2" s="228"/>
      <c r="H2" s="228"/>
      <c r="I2" s="228"/>
      <c r="J2" s="17"/>
      <c r="K2" s="17"/>
      <c r="L2" s="228"/>
      <c r="O2" s="228"/>
      <c r="P2" s="228"/>
    </row>
    <row r="3" spans="1:25" customFormat="1">
      <c r="A3" s="13"/>
      <c r="B3" s="13" t="s">
        <v>339</v>
      </c>
      <c r="C3" s="17"/>
      <c r="E3" s="17"/>
      <c r="F3" s="17"/>
      <c r="G3" s="322"/>
      <c r="H3" s="322"/>
      <c r="I3" s="322"/>
      <c r="J3" s="17"/>
      <c r="K3" s="17"/>
      <c r="L3" s="228"/>
      <c r="O3" s="322"/>
      <c r="P3" s="322"/>
    </row>
    <row r="4" spans="1:25" customFormat="1">
      <c r="A4" s="13"/>
      <c r="B4" s="13" t="s">
        <v>550</v>
      </c>
      <c r="C4" s="13"/>
      <c r="E4" s="17"/>
      <c r="F4" s="17"/>
      <c r="G4" s="228"/>
      <c r="H4" s="228"/>
      <c r="I4" s="228"/>
      <c r="J4" s="17"/>
      <c r="K4" s="17"/>
      <c r="L4" s="228"/>
      <c r="O4" s="228"/>
      <c r="P4" s="228"/>
    </row>
    <row r="5" spans="1:25">
      <c r="B5" s="13" t="s">
        <v>551</v>
      </c>
      <c r="O5" s="228"/>
      <c r="P5" s="228"/>
    </row>
    <row r="6" spans="1:25">
      <c r="B6" s="13"/>
      <c r="O6" s="228"/>
      <c r="P6" s="228"/>
    </row>
    <row r="7" spans="1:25">
      <c r="B7" s="459"/>
      <c r="C7" s="460"/>
      <c r="D7" s="460"/>
      <c r="E7" s="461"/>
      <c r="F7" s="462"/>
      <c r="G7" s="463"/>
      <c r="H7" s="463"/>
      <c r="I7" s="463"/>
      <c r="J7" s="462"/>
      <c r="K7" s="462"/>
      <c r="L7" s="463"/>
      <c r="M7" s="6"/>
      <c r="O7" s="937"/>
      <c r="P7" s="937"/>
      <c r="R7" s="323" t="s">
        <v>314</v>
      </c>
    </row>
    <row r="8" spans="1:25" ht="54">
      <c r="B8" s="464"/>
      <c r="C8" s="324" t="s">
        <v>75</v>
      </c>
      <c r="D8" s="324" t="s">
        <v>121</v>
      </c>
      <c r="E8" s="325" t="s">
        <v>76</v>
      </c>
      <c r="F8" s="325" t="s">
        <v>70</v>
      </c>
      <c r="G8" s="326" t="s">
        <v>523</v>
      </c>
      <c r="H8" s="326" t="s">
        <v>114</v>
      </c>
      <c r="I8" s="855" t="s">
        <v>524</v>
      </c>
      <c r="J8" s="325" t="s">
        <v>115</v>
      </c>
      <c r="K8" s="325" t="s">
        <v>85</v>
      </c>
      <c r="L8" s="326" t="s">
        <v>77</v>
      </c>
      <c r="M8" s="8"/>
      <c r="O8" s="1056" t="s">
        <v>611</v>
      </c>
      <c r="P8" s="326" t="s">
        <v>610</v>
      </c>
      <c r="R8" s="436"/>
      <c r="S8" s="436"/>
      <c r="U8" s="326" t="s">
        <v>114</v>
      </c>
      <c r="V8" s="326" t="s">
        <v>113</v>
      </c>
      <c r="W8" s="324" t="s">
        <v>419</v>
      </c>
      <c r="Y8" s="326" t="s">
        <v>77</v>
      </c>
    </row>
    <row r="9" spans="1:25">
      <c r="B9" s="464"/>
      <c r="C9" s="327" t="s">
        <v>291</v>
      </c>
      <c r="D9" s="328" t="s">
        <v>120</v>
      </c>
      <c r="E9" s="163"/>
      <c r="F9" s="164"/>
      <c r="G9" s="165"/>
      <c r="H9" s="166"/>
      <c r="I9" s="520">
        <f>SUM($H$10:$H$20)</f>
        <v>0</v>
      </c>
      <c r="J9" s="170"/>
      <c r="K9" s="164"/>
      <c r="L9" s="166"/>
      <c r="M9" s="8"/>
      <c r="O9" s="941"/>
      <c r="P9" s="942"/>
      <c r="R9" s="331" t="s">
        <v>483</v>
      </c>
      <c r="S9" s="331" t="s">
        <v>454</v>
      </c>
      <c r="U9" s="329"/>
      <c r="V9" s="330">
        <f>SUM($H$10:$H$20)</f>
        <v>0</v>
      </c>
      <c r="W9" s="331">
        <f>IF(AND(H9=U9,I9=V9),1,0)</f>
        <v>1</v>
      </c>
      <c r="Y9" s="329">
        <f>L9</f>
        <v>0</v>
      </c>
    </row>
    <row r="10" spans="1:25" hidden="1">
      <c r="B10" s="464"/>
      <c r="C10" s="332"/>
      <c r="D10" s="517"/>
      <c r="E10" s="517"/>
      <c r="F10" s="518"/>
      <c r="G10" s="519"/>
      <c r="H10" s="519"/>
      <c r="I10" s="531"/>
      <c r="J10" s="518"/>
      <c r="K10" s="518"/>
      <c r="L10" s="519"/>
      <c r="M10" s="8"/>
      <c r="O10" s="943"/>
      <c r="P10" s="943"/>
      <c r="R10" s="420">
        <f>COUNTA($D$9:$D10)-COUNTIF($D$9:D10,"年度合計")</f>
        <v>0</v>
      </c>
      <c r="S10" s="420">
        <f ca="1">OFFSET($C$1,MATCH($R10,$R:$R,0)-1,0)</f>
        <v>0</v>
      </c>
      <c r="U10" s="338"/>
      <c r="V10" s="338"/>
      <c r="W10" s="331">
        <f t="shared" ref="W10:W68" si="0">IF(AND(H10=U10,I10=V10),1,0)</f>
        <v>1</v>
      </c>
      <c r="Y10" s="329">
        <f t="shared" ref="Y10:Y68" si="1">L10</f>
        <v>0</v>
      </c>
    </row>
    <row r="11" spans="1:25" s="114" customFormat="1">
      <c r="B11" s="465"/>
      <c r="C11" s="115"/>
      <c r="D11" s="118" t="s">
        <v>112</v>
      </c>
      <c r="E11" s="521"/>
      <c r="F11" s="522"/>
      <c r="G11" s="524"/>
      <c r="H11" s="529">
        <f>SUM($G$10:$G$15)</f>
        <v>0</v>
      </c>
      <c r="I11" s="117"/>
      <c r="J11" s="528"/>
      <c r="K11" s="528"/>
      <c r="L11" s="524"/>
      <c r="M11" s="98"/>
      <c r="N11" s="11"/>
      <c r="O11" s="940"/>
      <c r="P11" s="940"/>
      <c r="R11" s="420">
        <f>COUNTA($D$9:$D11)-COUNTIF($D$9:D11,"年度合計")</f>
        <v>1</v>
      </c>
      <c r="S11" s="420" t="str">
        <f t="shared" ref="S11:S42" ca="1" si="2">OFFSET($D$1,MATCH($R11,$R:$R,0)-1,0)</f>
        <v>民生電力</v>
      </c>
      <c r="U11" s="117">
        <f>SUM($G$10:$G$15)</f>
        <v>0</v>
      </c>
      <c r="V11" s="117"/>
      <c r="W11" s="420">
        <f t="shared" si="0"/>
        <v>1</v>
      </c>
      <c r="Y11" s="1235">
        <f t="shared" si="1"/>
        <v>0</v>
      </c>
    </row>
    <row r="12" spans="1:25" s="114" customFormat="1">
      <c r="B12" s="465"/>
      <c r="C12" s="115"/>
      <c r="D12" s="116"/>
      <c r="E12" s="521"/>
      <c r="F12" s="522"/>
      <c r="G12" s="524"/>
      <c r="H12" s="117"/>
      <c r="I12" s="117"/>
      <c r="J12" s="522"/>
      <c r="K12" s="522"/>
      <c r="L12" s="524"/>
      <c r="M12" s="98"/>
      <c r="N12" s="11"/>
      <c r="O12" s="940"/>
      <c r="P12" s="940"/>
      <c r="R12" s="420">
        <f>COUNTA($D$9:$D12)-COUNTIF($D$9:D12,"年度合計")</f>
        <v>1</v>
      </c>
      <c r="S12" s="420" t="str">
        <f t="shared" ca="1" si="2"/>
        <v>民生電力</v>
      </c>
      <c r="U12" s="117"/>
      <c r="V12" s="117"/>
      <c r="W12" s="420">
        <f t="shared" si="0"/>
        <v>1</v>
      </c>
      <c r="Y12" s="1235">
        <f t="shared" si="1"/>
        <v>0</v>
      </c>
    </row>
    <row r="13" spans="1:25" s="114" customFormat="1">
      <c r="B13" s="465"/>
      <c r="C13" s="115"/>
      <c r="D13" s="116"/>
      <c r="E13" s="521"/>
      <c r="F13" s="522"/>
      <c r="G13" s="524"/>
      <c r="H13" s="117"/>
      <c r="I13" s="117"/>
      <c r="J13" s="522"/>
      <c r="K13" s="522"/>
      <c r="L13" s="524"/>
      <c r="M13" s="98"/>
      <c r="N13" s="11"/>
      <c r="O13" s="940"/>
      <c r="P13" s="940"/>
      <c r="R13" s="420">
        <f>COUNTA($D$9:$D13)-COUNTIF($D$9:D13,"年度合計")</f>
        <v>1</v>
      </c>
      <c r="S13" s="420" t="str">
        <f t="shared" ca="1" si="2"/>
        <v>民生電力</v>
      </c>
      <c r="U13" s="117"/>
      <c r="V13" s="117"/>
      <c r="W13" s="420">
        <f t="shared" si="0"/>
        <v>1</v>
      </c>
      <c r="Y13" s="1235">
        <f t="shared" si="1"/>
        <v>0</v>
      </c>
    </row>
    <row r="14" spans="1:25" s="114" customFormat="1">
      <c r="B14" s="465"/>
      <c r="C14" s="115"/>
      <c r="D14" s="116"/>
      <c r="E14" s="521"/>
      <c r="F14" s="522"/>
      <c r="G14" s="524"/>
      <c r="H14" s="117"/>
      <c r="I14" s="117"/>
      <c r="J14" s="522"/>
      <c r="K14" s="522"/>
      <c r="L14" s="524"/>
      <c r="M14" s="98"/>
      <c r="N14" s="11"/>
      <c r="O14" s="940"/>
      <c r="P14" s="940"/>
      <c r="R14" s="420">
        <f>COUNTA($D$9:$D14)-COUNTIF($D$9:D14,"年度合計")</f>
        <v>1</v>
      </c>
      <c r="S14" s="420" t="str">
        <f t="shared" ca="1" si="2"/>
        <v>民生電力</v>
      </c>
      <c r="U14" s="117"/>
      <c r="V14" s="117"/>
      <c r="W14" s="420">
        <f t="shared" si="0"/>
        <v>1</v>
      </c>
      <c r="Y14" s="1235">
        <f t="shared" si="1"/>
        <v>0</v>
      </c>
    </row>
    <row r="15" spans="1:25" hidden="1">
      <c r="B15" s="464"/>
      <c r="C15" s="332"/>
      <c r="D15" s="517"/>
      <c r="E15" s="517"/>
      <c r="F15" s="518"/>
      <c r="G15" s="519"/>
      <c r="H15" s="519"/>
      <c r="I15" s="530"/>
      <c r="J15" s="518"/>
      <c r="K15" s="518"/>
      <c r="L15" s="519"/>
      <c r="M15" s="8"/>
      <c r="O15" s="943"/>
      <c r="P15" s="943"/>
      <c r="R15" s="331">
        <f>COUNTA($D$9:$D15)-COUNTIF($D$9:D15,"年度合計")</f>
        <v>1</v>
      </c>
      <c r="S15" s="331" t="str">
        <f t="shared" ca="1" si="2"/>
        <v>民生電力</v>
      </c>
      <c r="U15" s="338"/>
      <c r="V15" s="338"/>
      <c r="W15" s="331">
        <f t="shared" si="0"/>
        <v>1</v>
      </c>
      <c r="Y15" s="329">
        <f t="shared" si="1"/>
        <v>0</v>
      </c>
    </row>
    <row r="16" spans="1:25" s="114" customFormat="1">
      <c r="B16" s="465"/>
      <c r="C16" s="115"/>
      <c r="D16" s="120" t="s">
        <v>111</v>
      </c>
      <c r="E16" s="521"/>
      <c r="F16" s="522"/>
      <c r="G16" s="524"/>
      <c r="H16" s="520">
        <f>SUM($G$15:$G$20)</f>
        <v>0</v>
      </c>
      <c r="I16" s="117"/>
      <c r="J16" s="528"/>
      <c r="K16" s="528"/>
      <c r="L16" s="524"/>
      <c r="M16" s="98"/>
      <c r="N16" s="11"/>
      <c r="O16" s="940"/>
      <c r="P16" s="940"/>
      <c r="R16" s="420">
        <f>COUNTA($D$9:$D16)-COUNTIF($D$9:D16,"年度合計")</f>
        <v>2</v>
      </c>
      <c r="S16" s="420" t="str">
        <f t="shared" ca="1" si="2"/>
        <v>民生電力以外</v>
      </c>
      <c r="U16" s="119">
        <f>SUM($G$15:$G$20)</f>
        <v>0</v>
      </c>
      <c r="V16" s="117"/>
      <c r="W16" s="420">
        <f t="shared" si="0"/>
        <v>1</v>
      </c>
      <c r="Y16" s="1235">
        <f t="shared" si="1"/>
        <v>0</v>
      </c>
    </row>
    <row r="17" spans="2:25" s="114" customFormat="1">
      <c r="B17" s="465"/>
      <c r="C17" s="115"/>
      <c r="D17" s="116"/>
      <c r="E17" s="521"/>
      <c r="F17" s="522"/>
      <c r="G17" s="524"/>
      <c r="H17" s="117"/>
      <c r="I17" s="117"/>
      <c r="J17" s="522"/>
      <c r="K17" s="522"/>
      <c r="L17" s="524"/>
      <c r="M17" s="98"/>
      <c r="N17" s="11"/>
      <c r="O17" s="940"/>
      <c r="P17" s="940"/>
      <c r="R17" s="420">
        <f>COUNTA($D$9:$D17)-COUNTIF($D$9:D17,"年度合計")</f>
        <v>2</v>
      </c>
      <c r="S17" s="420" t="str">
        <f t="shared" ca="1" si="2"/>
        <v>民生電力以外</v>
      </c>
      <c r="U17" s="117"/>
      <c r="V17" s="117"/>
      <c r="W17" s="420">
        <f t="shared" si="0"/>
        <v>1</v>
      </c>
      <c r="Y17" s="1235">
        <f t="shared" si="1"/>
        <v>0</v>
      </c>
    </row>
    <row r="18" spans="2:25" s="114" customFormat="1" ht="18.75" customHeight="1">
      <c r="B18" s="465"/>
      <c r="C18" s="115"/>
      <c r="D18" s="116"/>
      <c r="E18" s="521"/>
      <c r="F18" s="522"/>
      <c r="G18" s="524"/>
      <c r="H18" s="117"/>
      <c r="I18" s="117"/>
      <c r="J18" s="522"/>
      <c r="K18" s="522"/>
      <c r="L18" s="524"/>
      <c r="M18" s="98"/>
      <c r="N18" s="11"/>
      <c r="O18" s="940"/>
      <c r="P18" s="940"/>
      <c r="R18" s="420">
        <f>COUNTA($D$9:$D18)-COUNTIF($D$9:D18,"年度合計")</f>
        <v>2</v>
      </c>
      <c r="S18" s="420" t="str">
        <f t="shared" ca="1" si="2"/>
        <v>民生電力以外</v>
      </c>
      <c r="U18" s="117"/>
      <c r="V18" s="117"/>
      <c r="W18" s="420">
        <f t="shared" si="0"/>
        <v>1</v>
      </c>
      <c r="Y18" s="1235">
        <f t="shared" si="1"/>
        <v>0</v>
      </c>
    </row>
    <row r="19" spans="2:25" s="114" customFormat="1" ht="18.75" customHeight="1">
      <c r="B19" s="465"/>
      <c r="C19" s="115"/>
      <c r="D19" s="116"/>
      <c r="E19" s="525"/>
      <c r="F19" s="526"/>
      <c r="G19" s="527"/>
      <c r="H19" s="117"/>
      <c r="I19" s="117"/>
      <c r="J19" s="526"/>
      <c r="K19" s="526"/>
      <c r="L19" s="527"/>
      <c r="M19" s="98"/>
      <c r="N19" s="11"/>
      <c r="O19" s="940"/>
      <c r="P19" s="940"/>
      <c r="R19" s="420">
        <f>COUNTA($D$9:$D19)-COUNTIF($D$9:D19,"年度合計")</f>
        <v>2</v>
      </c>
      <c r="S19" s="420" t="str">
        <f t="shared" ca="1" si="2"/>
        <v>民生電力以外</v>
      </c>
      <c r="U19" s="117"/>
      <c r="V19" s="117"/>
      <c r="W19" s="420">
        <f t="shared" si="0"/>
        <v>1</v>
      </c>
      <c r="Y19" s="1235">
        <f t="shared" si="1"/>
        <v>0</v>
      </c>
    </row>
    <row r="20" spans="2:25" hidden="1">
      <c r="B20" s="464"/>
      <c r="C20" s="332"/>
      <c r="D20" s="517"/>
      <c r="E20" s="517"/>
      <c r="F20" s="518"/>
      <c r="G20" s="519"/>
      <c r="H20" s="519"/>
      <c r="I20" s="519"/>
      <c r="J20" s="518"/>
      <c r="K20" s="518"/>
      <c r="L20" s="519"/>
      <c r="M20" s="8"/>
      <c r="O20" s="943"/>
      <c r="P20" s="943"/>
      <c r="R20" s="331">
        <f>COUNTA($D$9:$D20)-COUNTIF($D$9:D20,"年度合計")</f>
        <v>2</v>
      </c>
      <c r="S20" s="331" t="str">
        <f t="shared" ca="1" si="2"/>
        <v>民生電力以外</v>
      </c>
      <c r="U20" s="338"/>
      <c r="V20" s="338"/>
      <c r="W20" s="331">
        <f t="shared" si="0"/>
        <v>1</v>
      </c>
      <c r="Y20" s="329">
        <f t="shared" si="1"/>
        <v>0</v>
      </c>
    </row>
    <row r="21" spans="2:25">
      <c r="B21" s="464"/>
      <c r="C21" s="327" t="s">
        <v>292</v>
      </c>
      <c r="D21" s="328" t="s">
        <v>120</v>
      </c>
      <c r="E21" s="163"/>
      <c r="F21" s="164"/>
      <c r="G21" s="165"/>
      <c r="H21" s="166"/>
      <c r="I21" s="520">
        <f>SUM($H$22:$H$32)</f>
        <v>0</v>
      </c>
      <c r="J21" s="170"/>
      <c r="K21" s="164"/>
      <c r="L21" s="166"/>
      <c r="M21" s="8"/>
      <c r="O21" s="942"/>
      <c r="P21" s="942"/>
      <c r="R21" s="331">
        <f>COUNTA($D$9:$D21)-COUNTIF($D$9:D21,"年度合計")</f>
        <v>2</v>
      </c>
      <c r="S21" s="331" t="str">
        <f t="shared" ca="1" si="2"/>
        <v>民生電力以外</v>
      </c>
      <c r="U21" s="329"/>
      <c r="V21" s="330">
        <f>SUM($H$22:$H$32)</f>
        <v>0</v>
      </c>
      <c r="W21" s="331">
        <f t="shared" si="0"/>
        <v>1</v>
      </c>
      <c r="Y21" s="329">
        <f t="shared" si="1"/>
        <v>0</v>
      </c>
    </row>
    <row r="22" spans="2:25" hidden="1">
      <c r="B22" s="464"/>
      <c r="C22" s="332"/>
      <c r="D22" s="517"/>
      <c r="E22" s="517"/>
      <c r="F22" s="518"/>
      <c r="G22" s="519"/>
      <c r="H22" s="519"/>
      <c r="I22" s="531"/>
      <c r="J22" s="518"/>
      <c r="K22" s="518"/>
      <c r="L22" s="519"/>
      <c r="M22" s="8"/>
      <c r="O22" s="943"/>
      <c r="P22" s="943"/>
      <c r="R22" s="331">
        <f>COUNTA($D$9:$D22)-COUNTIF($D$9:D22,"年度合計")</f>
        <v>2</v>
      </c>
      <c r="S22" s="331" t="str">
        <f t="shared" ca="1" si="2"/>
        <v>民生電力以外</v>
      </c>
      <c r="U22" s="338"/>
      <c r="V22" s="338"/>
      <c r="W22" s="331">
        <f t="shared" si="0"/>
        <v>1</v>
      </c>
      <c r="Y22" s="329">
        <f t="shared" si="1"/>
        <v>0</v>
      </c>
    </row>
    <row r="23" spans="2:25" s="114" customFormat="1">
      <c r="B23" s="465"/>
      <c r="C23" s="115"/>
      <c r="D23" s="118" t="s">
        <v>112</v>
      </c>
      <c r="E23" s="521"/>
      <c r="F23" s="522"/>
      <c r="G23" s="523"/>
      <c r="H23" s="529">
        <f>SUM($G$22:$G$27)</f>
        <v>0</v>
      </c>
      <c r="I23" s="117"/>
      <c r="J23" s="528"/>
      <c r="K23" s="528"/>
      <c r="L23" s="524"/>
      <c r="M23" s="98"/>
      <c r="N23" s="11"/>
      <c r="O23" s="940"/>
      <c r="P23" s="940"/>
      <c r="R23" s="420">
        <f>COUNTA($D$9:$D23)-COUNTIF($D$9:D23,"年度合計")</f>
        <v>3</v>
      </c>
      <c r="S23" s="420" t="str">
        <f t="shared" ca="1" si="2"/>
        <v>民生電力</v>
      </c>
      <c r="U23" s="119">
        <f>SUM($G$22:$G$27)</f>
        <v>0</v>
      </c>
      <c r="V23" s="117"/>
      <c r="W23" s="420">
        <f t="shared" si="0"/>
        <v>1</v>
      </c>
      <c r="Y23" s="1235">
        <f t="shared" si="1"/>
        <v>0</v>
      </c>
    </row>
    <row r="24" spans="2:25" s="114" customFormat="1">
      <c r="B24" s="465"/>
      <c r="C24" s="115"/>
      <c r="D24" s="116"/>
      <c r="E24" s="521"/>
      <c r="F24" s="522"/>
      <c r="G24" s="524"/>
      <c r="H24" s="117"/>
      <c r="I24" s="117"/>
      <c r="J24" s="522"/>
      <c r="K24" s="522"/>
      <c r="L24" s="524"/>
      <c r="M24" s="98"/>
      <c r="N24" s="11"/>
      <c r="O24" s="940"/>
      <c r="P24" s="940"/>
      <c r="R24" s="420">
        <f>COUNTA($D$9:$D24)-COUNTIF($D$9:D24,"年度合計")</f>
        <v>3</v>
      </c>
      <c r="S24" s="420" t="str">
        <f t="shared" ca="1" si="2"/>
        <v>民生電力</v>
      </c>
      <c r="U24" s="117"/>
      <c r="V24" s="117"/>
      <c r="W24" s="420">
        <f t="shared" si="0"/>
        <v>1</v>
      </c>
      <c r="Y24" s="1235">
        <f t="shared" si="1"/>
        <v>0</v>
      </c>
    </row>
    <row r="25" spans="2:25" s="114" customFormat="1">
      <c r="B25" s="465"/>
      <c r="C25" s="115"/>
      <c r="D25" s="116"/>
      <c r="E25" s="521"/>
      <c r="F25" s="522"/>
      <c r="G25" s="524"/>
      <c r="H25" s="117"/>
      <c r="I25" s="117"/>
      <c r="J25" s="522"/>
      <c r="K25" s="522"/>
      <c r="L25" s="524"/>
      <c r="M25" s="98"/>
      <c r="N25" s="11"/>
      <c r="O25" s="940"/>
      <c r="P25" s="940"/>
      <c r="R25" s="420">
        <f>COUNTA($D$9:$D25)-COUNTIF($D$9:D25,"年度合計")</f>
        <v>3</v>
      </c>
      <c r="S25" s="420" t="str">
        <f t="shared" ca="1" si="2"/>
        <v>民生電力</v>
      </c>
      <c r="U25" s="117"/>
      <c r="V25" s="117"/>
      <c r="W25" s="420">
        <f t="shared" si="0"/>
        <v>1</v>
      </c>
      <c r="Y25" s="1235">
        <f t="shared" si="1"/>
        <v>0</v>
      </c>
    </row>
    <row r="26" spans="2:25" s="114" customFormat="1">
      <c r="B26" s="465"/>
      <c r="C26" s="115"/>
      <c r="D26" s="116"/>
      <c r="E26" s="521"/>
      <c r="F26" s="522"/>
      <c r="G26" s="524"/>
      <c r="H26" s="117"/>
      <c r="I26" s="117"/>
      <c r="J26" s="522"/>
      <c r="K26" s="522"/>
      <c r="L26" s="524"/>
      <c r="M26" s="98"/>
      <c r="N26" s="11"/>
      <c r="O26" s="940"/>
      <c r="P26" s="940"/>
      <c r="R26" s="420">
        <f>COUNTA($D$9:$D26)-COUNTIF($D$9:D26,"年度合計")</f>
        <v>3</v>
      </c>
      <c r="S26" s="420" t="str">
        <f t="shared" ca="1" si="2"/>
        <v>民生電力</v>
      </c>
      <c r="U26" s="117"/>
      <c r="V26" s="117"/>
      <c r="W26" s="420">
        <f t="shared" si="0"/>
        <v>1</v>
      </c>
      <c r="Y26" s="1235">
        <f t="shared" si="1"/>
        <v>0</v>
      </c>
    </row>
    <row r="27" spans="2:25" hidden="1">
      <c r="B27" s="464"/>
      <c r="C27" s="332"/>
      <c r="D27" s="517"/>
      <c r="E27" s="517"/>
      <c r="F27" s="518"/>
      <c r="G27" s="519"/>
      <c r="H27" s="519"/>
      <c r="I27" s="530"/>
      <c r="J27" s="518"/>
      <c r="K27" s="518"/>
      <c r="L27" s="519"/>
      <c r="M27" s="8"/>
      <c r="O27" s="943"/>
      <c r="P27" s="943"/>
      <c r="R27" s="331">
        <f>COUNTA($D$9:$D27)-COUNTIF($D$9:D27,"年度合計")</f>
        <v>3</v>
      </c>
      <c r="S27" s="331" t="str">
        <f t="shared" ca="1" si="2"/>
        <v>民生電力</v>
      </c>
      <c r="U27" s="338"/>
      <c r="V27" s="338"/>
      <c r="W27" s="331">
        <f t="shared" si="0"/>
        <v>1</v>
      </c>
      <c r="Y27" s="329">
        <f t="shared" si="1"/>
        <v>0</v>
      </c>
    </row>
    <row r="28" spans="2:25" s="114" customFormat="1">
      <c r="B28" s="465"/>
      <c r="C28" s="115"/>
      <c r="D28" s="120" t="s">
        <v>111</v>
      </c>
      <c r="E28" s="521"/>
      <c r="F28" s="522"/>
      <c r="G28" s="524"/>
      <c r="H28" s="520">
        <f>SUM($G$27:$G$32)</f>
        <v>0</v>
      </c>
      <c r="I28" s="117"/>
      <c r="J28" s="528"/>
      <c r="K28" s="528"/>
      <c r="L28" s="524"/>
      <c r="M28" s="98"/>
      <c r="N28" s="11"/>
      <c r="O28" s="940"/>
      <c r="P28" s="940"/>
      <c r="R28" s="420">
        <f>COUNTA($D$9:$D28)-COUNTIF($D$9:D28,"年度合計")</f>
        <v>4</v>
      </c>
      <c r="S28" s="420" t="str">
        <f t="shared" ca="1" si="2"/>
        <v>民生電力以外</v>
      </c>
      <c r="U28" s="119">
        <f>SUM($G$27:$G$32)</f>
        <v>0</v>
      </c>
      <c r="V28" s="117"/>
      <c r="W28" s="420">
        <f t="shared" si="0"/>
        <v>1</v>
      </c>
      <c r="Y28" s="1235">
        <f t="shared" si="1"/>
        <v>0</v>
      </c>
    </row>
    <row r="29" spans="2:25" s="114" customFormat="1" ht="18.75" customHeight="1">
      <c r="B29" s="465"/>
      <c r="C29" s="115"/>
      <c r="D29" s="116"/>
      <c r="E29" s="521"/>
      <c r="F29" s="522"/>
      <c r="G29" s="524"/>
      <c r="H29" s="117"/>
      <c r="I29" s="117"/>
      <c r="J29" s="522"/>
      <c r="K29" s="522"/>
      <c r="L29" s="524"/>
      <c r="M29" s="98"/>
      <c r="N29" s="11"/>
      <c r="O29" s="940"/>
      <c r="P29" s="940"/>
      <c r="R29" s="420">
        <f>COUNTA($D$9:$D29)-COUNTIF($D$9:D29,"年度合計")</f>
        <v>4</v>
      </c>
      <c r="S29" s="420" t="str">
        <f t="shared" ca="1" si="2"/>
        <v>民生電力以外</v>
      </c>
      <c r="U29" s="117"/>
      <c r="V29" s="117"/>
      <c r="W29" s="420">
        <f t="shared" si="0"/>
        <v>1</v>
      </c>
      <c r="Y29" s="1235">
        <f t="shared" si="1"/>
        <v>0</v>
      </c>
    </row>
    <row r="30" spans="2:25" s="114" customFormat="1" ht="18.75" customHeight="1">
      <c r="B30" s="465"/>
      <c r="C30" s="115"/>
      <c r="D30" s="116"/>
      <c r="E30" s="521"/>
      <c r="F30" s="522"/>
      <c r="G30" s="524"/>
      <c r="H30" s="117"/>
      <c r="I30" s="117"/>
      <c r="J30" s="522"/>
      <c r="K30" s="522"/>
      <c r="L30" s="524"/>
      <c r="M30" s="98"/>
      <c r="N30" s="11"/>
      <c r="O30" s="940"/>
      <c r="P30" s="940"/>
      <c r="R30" s="420">
        <f>COUNTA($D$9:$D30)-COUNTIF($D$9:D30,"年度合計")</f>
        <v>4</v>
      </c>
      <c r="S30" s="420" t="str">
        <f t="shared" ca="1" si="2"/>
        <v>民生電力以外</v>
      </c>
      <c r="U30" s="117"/>
      <c r="V30" s="117"/>
      <c r="W30" s="420">
        <f t="shared" si="0"/>
        <v>1</v>
      </c>
      <c r="Y30" s="1235">
        <f t="shared" si="1"/>
        <v>0</v>
      </c>
    </row>
    <row r="31" spans="2:25" s="114" customFormat="1" ht="18.75" customHeight="1">
      <c r="B31" s="465"/>
      <c r="C31" s="115"/>
      <c r="D31" s="116"/>
      <c r="E31" s="525"/>
      <c r="F31" s="526"/>
      <c r="G31" s="527"/>
      <c r="H31" s="117"/>
      <c r="I31" s="117"/>
      <c r="J31" s="526"/>
      <c r="K31" s="526"/>
      <c r="L31" s="527"/>
      <c r="M31" s="98"/>
      <c r="N31" s="11"/>
      <c r="O31" s="940"/>
      <c r="P31" s="940"/>
      <c r="R31" s="420">
        <f>COUNTA($D$9:$D31)-COUNTIF($D$9:D31,"年度合計")</f>
        <v>4</v>
      </c>
      <c r="S31" s="420" t="str">
        <f t="shared" ca="1" si="2"/>
        <v>民生電力以外</v>
      </c>
      <c r="U31" s="117"/>
      <c r="V31" s="117"/>
      <c r="W31" s="420">
        <f t="shared" si="0"/>
        <v>1</v>
      </c>
      <c r="Y31" s="1235">
        <f t="shared" si="1"/>
        <v>0</v>
      </c>
    </row>
    <row r="32" spans="2:25" hidden="1">
      <c r="B32" s="464"/>
      <c r="C32" s="332"/>
      <c r="D32" s="517"/>
      <c r="E32" s="517"/>
      <c r="F32" s="518"/>
      <c r="G32" s="519"/>
      <c r="H32" s="519"/>
      <c r="I32" s="519"/>
      <c r="J32" s="518"/>
      <c r="K32" s="518"/>
      <c r="L32" s="519"/>
      <c r="M32" s="8"/>
      <c r="O32" s="943"/>
      <c r="P32" s="943"/>
      <c r="R32" s="331">
        <f>COUNTA($D$9:$D32)-COUNTIF($D$9:D32,"年度合計")</f>
        <v>4</v>
      </c>
      <c r="S32" s="331" t="str">
        <f t="shared" ca="1" si="2"/>
        <v>民生電力以外</v>
      </c>
      <c r="U32" s="338"/>
      <c r="V32" s="338"/>
      <c r="W32" s="331">
        <f t="shared" si="0"/>
        <v>1</v>
      </c>
      <c r="Y32" s="329">
        <f t="shared" si="1"/>
        <v>0</v>
      </c>
    </row>
    <row r="33" spans="2:25">
      <c r="B33" s="464"/>
      <c r="C33" s="327" t="s">
        <v>293</v>
      </c>
      <c r="D33" s="328" t="s">
        <v>120</v>
      </c>
      <c r="E33" s="163"/>
      <c r="F33" s="164"/>
      <c r="G33" s="165"/>
      <c r="H33" s="166"/>
      <c r="I33" s="520">
        <f>SUM($H$34:$H$44)</f>
        <v>0</v>
      </c>
      <c r="J33" s="170"/>
      <c r="K33" s="164"/>
      <c r="L33" s="166"/>
      <c r="M33" s="8"/>
      <c r="O33" s="942"/>
      <c r="P33" s="942"/>
      <c r="R33" s="331">
        <f>COUNTA($D$9:$D33)-COUNTIF($D$9:D33,"年度合計")</f>
        <v>4</v>
      </c>
      <c r="S33" s="331" t="str">
        <f t="shared" ca="1" si="2"/>
        <v>民生電力以外</v>
      </c>
      <c r="U33" s="329"/>
      <c r="V33" s="330">
        <f>SUM($H$34:$H$44)</f>
        <v>0</v>
      </c>
      <c r="W33" s="331">
        <f t="shared" si="0"/>
        <v>1</v>
      </c>
      <c r="Y33" s="329">
        <f t="shared" si="1"/>
        <v>0</v>
      </c>
    </row>
    <row r="34" spans="2:25" hidden="1">
      <c r="B34" s="464"/>
      <c r="C34" s="332"/>
      <c r="D34" s="517"/>
      <c r="E34" s="517"/>
      <c r="F34" s="518"/>
      <c r="G34" s="519"/>
      <c r="H34" s="519"/>
      <c r="I34" s="531"/>
      <c r="J34" s="518"/>
      <c r="K34" s="518"/>
      <c r="L34" s="519"/>
      <c r="M34" s="8"/>
      <c r="O34" s="943"/>
      <c r="P34" s="943"/>
      <c r="R34" s="331">
        <f>COUNTA($D$9:$D34)-COUNTIF($D$9:D34,"年度合計")</f>
        <v>4</v>
      </c>
      <c r="S34" s="331" t="str">
        <f t="shared" ca="1" si="2"/>
        <v>民生電力以外</v>
      </c>
      <c r="U34" s="338"/>
      <c r="V34" s="338"/>
      <c r="W34" s="331">
        <f t="shared" si="0"/>
        <v>1</v>
      </c>
      <c r="Y34" s="329">
        <f t="shared" si="1"/>
        <v>0</v>
      </c>
    </row>
    <row r="35" spans="2:25" s="114" customFormat="1">
      <c r="B35" s="465"/>
      <c r="C35" s="115"/>
      <c r="D35" s="118" t="s">
        <v>112</v>
      </c>
      <c r="E35" s="521"/>
      <c r="F35" s="522"/>
      <c r="G35" s="523"/>
      <c r="H35" s="529">
        <f>SUM($G$34:$G$39)</f>
        <v>0</v>
      </c>
      <c r="I35" s="117"/>
      <c r="J35" s="528"/>
      <c r="K35" s="528"/>
      <c r="L35" s="524"/>
      <c r="M35" s="98"/>
      <c r="N35" s="11"/>
      <c r="O35" s="940"/>
      <c r="P35" s="940"/>
      <c r="R35" s="420">
        <f>COUNTA($D$9:$D35)-COUNTIF($D$9:D35,"年度合計")</f>
        <v>5</v>
      </c>
      <c r="S35" s="420" t="str">
        <f t="shared" ca="1" si="2"/>
        <v>民生電力</v>
      </c>
      <c r="U35" s="119">
        <f>SUM($G$34:$G$39)</f>
        <v>0</v>
      </c>
      <c r="V35" s="117"/>
      <c r="W35" s="420">
        <f t="shared" si="0"/>
        <v>1</v>
      </c>
      <c r="Y35" s="1235">
        <f t="shared" si="1"/>
        <v>0</v>
      </c>
    </row>
    <row r="36" spans="2:25" s="114" customFormat="1">
      <c r="B36" s="465"/>
      <c r="C36" s="115"/>
      <c r="D36" s="116"/>
      <c r="E36" s="521"/>
      <c r="F36" s="522"/>
      <c r="G36" s="524"/>
      <c r="H36" s="117"/>
      <c r="I36" s="117"/>
      <c r="J36" s="522"/>
      <c r="K36" s="522"/>
      <c r="L36" s="524"/>
      <c r="M36" s="98"/>
      <c r="N36" s="11"/>
      <c r="O36" s="940"/>
      <c r="P36" s="940"/>
      <c r="R36" s="420">
        <f>COUNTA($D$9:$D36)-COUNTIF($D$9:D36,"年度合計")</f>
        <v>5</v>
      </c>
      <c r="S36" s="420" t="str">
        <f t="shared" ca="1" si="2"/>
        <v>民生電力</v>
      </c>
      <c r="U36" s="117"/>
      <c r="V36" s="117"/>
      <c r="W36" s="420">
        <f t="shared" si="0"/>
        <v>1</v>
      </c>
      <c r="Y36" s="1235">
        <f t="shared" si="1"/>
        <v>0</v>
      </c>
    </row>
    <row r="37" spans="2:25" s="114" customFormat="1">
      <c r="B37" s="465"/>
      <c r="C37" s="115"/>
      <c r="D37" s="116"/>
      <c r="E37" s="521"/>
      <c r="F37" s="522"/>
      <c r="G37" s="524"/>
      <c r="H37" s="117"/>
      <c r="I37" s="117"/>
      <c r="J37" s="522"/>
      <c r="K37" s="522"/>
      <c r="L37" s="524"/>
      <c r="M37" s="98"/>
      <c r="N37" s="11"/>
      <c r="O37" s="940"/>
      <c r="P37" s="940"/>
      <c r="R37" s="420">
        <f>COUNTA($D$9:$D37)-COUNTIF($D$9:D37,"年度合計")</f>
        <v>5</v>
      </c>
      <c r="S37" s="420" t="str">
        <f t="shared" ca="1" si="2"/>
        <v>民生電力</v>
      </c>
      <c r="U37" s="117"/>
      <c r="V37" s="117"/>
      <c r="W37" s="420">
        <f t="shared" si="0"/>
        <v>1</v>
      </c>
      <c r="Y37" s="1235">
        <f t="shared" si="1"/>
        <v>0</v>
      </c>
    </row>
    <row r="38" spans="2:25" s="114" customFormat="1">
      <c r="B38" s="465"/>
      <c r="C38" s="115"/>
      <c r="D38" s="116"/>
      <c r="E38" s="521"/>
      <c r="F38" s="522"/>
      <c r="G38" s="524"/>
      <c r="H38" s="117"/>
      <c r="I38" s="117"/>
      <c r="J38" s="522"/>
      <c r="K38" s="522"/>
      <c r="L38" s="524"/>
      <c r="M38" s="98"/>
      <c r="N38" s="11"/>
      <c r="O38" s="940"/>
      <c r="P38" s="940"/>
      <c r="R38" s="420">
        <f>COUNTA($D$9:$D38)-COUNTIF($D$9:D38,"年度合計")</f>
        <v>5</v>
      </c>
      <c r="S38" s="420" t="str">
        <f t="shared" ca="1" si="2"/>
        <v>民生電力</v>
      </c>
      <c r="U38" s="117"/>
      <c r="V38" s="117"/>
      <c r="W38" s="420">
        <f t="shared" si="0"/>
        <v>1</v>
      </c>
      <c r="Y38" s="1235">
        <f t="shared" si="1"/>
        <v>0</v>
      </c>
    </row>
    <row r="39" spans="2:25" hidden="1">
      <c r="B39" s="464"/>
      <c r="C39" s="332"/>
      <c r="D39" s="517"/>
      <c r="E39" s="517"/>
      <c r="F39" s="518"/>
      <c r="G39" s="519"/>
      <c r="H39" s="519"/>
      <c r="I39" s="530"/>
      <c r="J39" s="518"/>
      <c r="K39" s="518"/>
      <c r="L39" s="519"/>
      <c r="M39" s="8"/>
      <c r="O39" s="943"/>
      <c r="P39" s="943"/>
      <c r="R39" s="331">
        <f>COUNTA($D$9:$D39)-COUNTIF($D$9:D39,"年度合計")</f>
        <v>5</v>
      </c>
      <c r="S39" s="331" t="str">
        <f t="shared" ca="1" si="2"/>
        <v>民生電力</v>
      </c>
      <c r="U39" s="338"/>
      <c r="V39" s="338"/>
      <c r="W39" s="331">
        <f t="shared" si="0"/>
        <v>1</v>
      </c>
      <c r="Y39" s="329">
        <f t="shared" si="1"/>
        <v>0</v>
      </c>
    </row>
    <row r="40" spans="2:25" s="114" customFormat="1">
      <c r="B40" s="465"/>
      <c r="C40" s="115"/>
      <c r="D40" s="120" t="s">
        <v>111</v>
      </c>
      <c r="E40" s="521"/>
      <c r="F40" s="522"/>
      <c r="G40" s="524"/>
      <c r="H40" s="520">
        <f>SUM($G$39:$G$44)</f>
        <v>0</v>
      </c>
      <c r="I40" s="117"/>
      <c r="J40" s="528"/>
      <c r="K40" s="528"/>
      <c r="L40" s="524"/>
      <c r="M40" s="98"/>
      <c r="N40" s="11"/>
      <c r="O40" s="940"/>
      <c r="P40" s="940"/>
      <c r="R40" s="420">
        <f>COUNTA($D$9:$D40)-COUNTIF($D$9:D40,"年度合計")</f>
        <v>6</v>
      </c>
      <c r="S40" s="420" t="str">
        <f t="shared" ca="1" si="2"/>
        <v>民生電力以外</v>
      </c>
      <c r="U40" s="119">
        <f>SUM($G$39:$G$44)</f>
        <v>0</v>
      </c>
      <c r="V40" s="117"/>
      <c r="W40" s="420">
        <f t="shared" si="0"/>
        <v>1</v>
      </c>
      <c r="Y40" s="1235">
        <f t="shared" si="1"/>
        <v>0</v>
      </c>
    </row>
    <row r="41" spans="2:25" s="114" customFormat="1" ht="18.75" customHeight="1">
      <c r="B41" s="465"/>
      <c r="C41" s="115"/>
      <c r="D41" s="116"/>
      <c r="E41" s="521"/>
      <c r="F41" s="522"/>
      <c r="G41" s="524"/>
      <c r="H41" s="117"/>
      <c r="I41" s="117"/>
      <c r="J41" s="522"/>
      <c r="K41" s="522"/>
      <c r="L41" s="524"/>
      <c r="M41" s="98"/>
      <c r="N41" s="11"/>
      <c r="O41" s="940"/>
      <c r="P41" s="940"/>
      <c r="R41" s="420">
        <f>COUNTA($D$9:$D41)-COUNTIF($D$9:D41,"年度合計")</f>
        <v>6</v>
      </c>
      <c r="S41" s="420" t="str">
        <f t="shared" ca="1" si="2"/>
        <v>民生電力以外</v>
      </c>
      <c r="U41" s="117"/>
      <c r="V41" s="117"/>
      <c r="W41" s="420">
        <f t="shared" si="0"/>
        <v>1</v>
      </c>
      <c r="Y41" s="1235">
        <f t="shared" si="1"/>
        <v>0</v>
      </c>
    </row>
    <row r="42" spans="2:25" s="114" customFormat="1" ht="18.75" customHeight="1">
      <c r="B42" s="465"/>
      <c r="C42" s="115"/>
      <c r="D42" s="116"/>
      <c r="E42" s="521"/>
      <c r="F42" s="522"/>
      <c r="G42" s="524"/>
      <c r="H42" s="117"/>
      <c r="I42" s="117"/>
      <c r="J42" s="522"/>
      <c r="K42" s="522"/>
      <c r="L42" s="524"/>
      <c r="M42" s="98"/>
      <c r="N42" s="11"/>
      <c r="O42" s="940"/>
      <c r="P42" s="940"/>
      <c r="R42" s="420">
        <f>COUNTA($D$9:$D42)-COUNTIF($D$9:D42,"年度合計")</f>
        <v>6</v>
      </c>
      <c r="S42" s="420" t="str">
        <f t="shared" ca="1" si="2"/>
        <v>民生電力以外</v>
      </c>
      <c r="U42" s="117"/>
      <c r="V42" s="117"/>
      <c r="W42" s="420">
        <f t="shared" si="0"/>
        <v>1</v>
      </c>
      <c r="Y42" s="1235">
        <f t="shared" si="1"/>
        <v>0</v>
      </c>
    </row>
    <row r="43" spans="2:25" s="114" customFormat="1" ht="18.75" customHeight="1">
      <c r="B43" s="465"/>
      <c r="C43" s="115"/>
      <c r="D43" s="116"/>
      <c r="E43" s="525"/>
      <c r="F43" s="526"/>
      <c r="G43" s="527"/>
      <c r="H43" s="117"/>
      <c r="I43" s="117"/>
      <c r="J43" s="526"/>
      <c r="K43" s="526"/>
      <c r="L43" s="527"/>
      <c r="M43" s="98"/>
      <c r="N43" s="11"/>
      <c r="O43" s="940"/>
      <c r="P43" s="940"/>
      <c r="R43" s="420">
        <f>COUNTA($D$9:$D43)-COUNTIF($D$9:D43,"年度合計")</f>
        <v>6</v>
      </c>
      <c r="S43" s="420" t="str">
        <f t="shared" ref="S43:S79" ca="1" si="3">OFFSET($D$1,MATCH($R43,$R:$R,0)-1,0)</f>
        <v>民生電力以外</v>
      </c>
      <c r="U43" s="117"/>
      <c r="V43" s="117"/>
      <c r="W43" s="420">
        <f t="shared" si="0"/>
        <v>1</v>
      </c>
      <c r="Y43" s="1235">
        <f t="shared" si="1"/>
        <v>0</v>
      </c>
    </row>
    <row r="44" spans="2:25" hidden="1">
      <c r="B44" s="464"/>
      <c r="C44" s="332"/>
      <c r="D44" s="517"/>
      <c r="E44" s="517"/>
      <c r="F44" s="518"/>
      <c r="G44" s="519"/>
      <c r="H44" s="519"/>
      <c r="I44" s="519"/>
      <c r="J44" s="518"/>
      <c r="K44" s="518"/>
      <c r="L44" s="519"/>
      <c r="M44" s="8"/>
      <c r="O44" s="943"/>
      <c r="P44" s="943"/>
      <c r="R44" s="331">
        <f>COUNTA($D$9:$D44)-COUNTIF($D$9:D44,"年度合計")</f>
        <v>6</v>
      </c>
      <c r="S44" s="331" t="str">
        <f t="shared" ca="1" si="3"/>
        <v>民生電力以外</v>
      </c>
      <c r="U44" s="338"/>
      <c r="V44" s="338"/>
      <c r="W44" s="331">
        <f t="shared" si="0"/>
        <v>1</v>
      </c>
      <c r="Y44" s="329">
        <f t="shared" si="1"/>
        <v>0</v>
      </c>
    </row>
    <row r="45" spans="2:25">
      <c r="B45" s="464"/>
      <c r="C45" s="327" t="s">
        <v>294</v>
      </c>
      <c r="D45" s="328" t="s">
        <v>120</v>
      </c>
      <c r="E45" s="163"/>
      <c r="F45" s="164"/>
      <c r="G45" s="165"/>
      <c r="H45" s="166"/>
      <c r="I45" s="520">
        <f>SUM($H$46:$H$56)</f>
        <v>0</v>
      </c>
      <c r="J45" s="170"/>
      <c r="K45" s="164"/>
      <c r="L45" s="166"/>
      <c r="M45" s="8"/>
      <c r="O45" s="942"/>
      <c r="P45" s="942"/>
      <c r="R45" s="331">
        <f>COUNTA($D$9:$D45)-COUNTIF($D$9:D45,"年度合計")</f>
        <v>6</v>
      </c>
      <c r="S45" s="331" t="str">
        <f t="shared" ca="1" si="3"/>
        <v>民生電力以外</v>
      </c>
      <c r="U45" s="329"/>
      <c r="V45" s="330">
        <f>SUM($H$46:$H$56)</f>
        <v>0</v>
      </c>
      <c r="W45" s="331">
        <f t="shared" si="0"/>
        <v>1</v>
      </c>
      <c r="Y45" s="329">
        <f t="shared" si="1"/>
        <v>0</v>
      </c>
    </row>
    <row r="46" spans="2:25" hidden="1">
      <c r="B46" s="464"/>
      <c r="C46" s="332"/>
      <c r="D46" s="517"/>
      <c r="E46" s="517"/>
      <c r="F46" s="518"/>
      <c r="G46" s="519"/>
      <c r="H46" s="519"/>
      <c r="I46" s="531"/>
      <c r="J46" s="518"/>
      <c r="K46" s="518"/>
      <c r="L46" s="519"/>
      <c r="M46" s="8"/>
      <c r="O46" s="943"/>
      <c r="P46" s="943"/>
      <c r="R46" s="331">
        <f>COUNTA($D$9:$D46)-COUNTIF($D$9:D46,"年度合計")</f>
        <v>6</v>
      </c>
      <c r="S46" s="331" t="str">
        <f t="shared" ca="1" si="3"/>
        <v>民生電力以外</v>
      </c>
      <c r="U46" s="338"/>
      <c r="V46" s="338"/>
      <c r="W46" s="331">
        <f t="shared" si="0"/>
        <v>1</v>
      </c>
      <c r="Y46" s="329">
        <f t="shared" si="1"/>
        <v>0</v>
      </c>
    </row>
    <row r="47" spans="2:25" s="114" customFormat="1">
      <c r="B47" s="465"/>
      <c r="C47" s="115"/>
      <c r="D47" s="118" t="s">
        <v>112</v>
      </c>
      <c r="E47" s="521"/>
      <c r="F47" s="522"/>
      <c r="G47" s="523"/>
      <c r="H47" s="529">
        <f>SUM($G$46:$G$51)</f>
        <v>0</v>
      </c>
      <c r="I47" s="117"/>
      <c r="J47" s="528"/>
      <c r="K47" s="528"/>
      <c r="L47" s="524"/>
      <c r="M47" s="98"/>
      <c r="N47" s="11"/>
      <c r="O47" s="940"/>
      <c r="P47" s="940"/>
      <c r="R47" s="420">
        <f>COUNTA($D$9:$D47)-COUNTIF($D$9:D47,"年度合計")</f>
        <v>7</v>
      </c>
      <c r="S47" s="420" t="str">
        <f t="shared" ca="1" si="3"/>
        <v>民生電力</v>
      </c>
      <c r="U47" s="119">
        <f>SUM($G$46:$G$51)</f>
        <v>0</v>
      </c>
      <c r="V47" s="117"/>
      <c r="W47" s="420">
        <f t="shared" si="0"/>
        <v>1</v>
      </c>
      <c r="Y47" s="1235">
        <f t="shared" si="1"/>
        <v>0</v>
      </c>
    </row>
    <row r="48" spans="2:25" s="114" customFormat="1">
      <c r="B48" s="465"/>
      <c r="C48" s="115"/>
      <c r="D48" s="116"/>
      <c r="E48" s="521"/>
      <c r="F48" s="522"/>
      <c r="G48" s="524"/>
      <c r="H48" s="117"/>
      <c r="I48" s="117"/>
      <c r="J48" s="522"/>
      <c r="K48" s="522"/>
      <c r="L48" s="524"/>
      <c r="M48" s="98"/>
      <c r="N48" s="11"/>
      <c r="O48" s="940"/>
      <c r="P48" s="940"/>
      <c r="R48" s="420">
        <f>COUNTA($D$9:$D48)-COUNTIF($D$9:D48,"年度合計")</f>
        <v>7</v>
      </c>
      <c r="S48" s="420" t="str">
        <f t="shared" ca="1" si="3"/>
        <v>民生電力</v>
      </c>
      <c r="U48" s="117"/>
      <c r="V48" s="117"/>
      <c r="W48" s="420">
        <f t="shared" si="0"/>
        <v>1</v>
      </c>
      <c r="Y48" s="1235">
        <f t="shared" si="1"/>
        <v>0</v>
      </c>
    </row>
    <row r="49" spans="2:25" s="114" customFormat="1">
      <c r="B49" s="465"/>
      <c r="C49" s="115"/>
      <c r="D49" s="116"/>
      <c r="E49" s="521"/>
      <c r="F49" s="522"/>
      <c r="G49" s="524"/>
      <c r="H49" s="117"/>
      <c r="I49" s="117"/>
      <c r="J49" s="522"/>
      <c r="K49" s="522"/>
      <c r="L49" s="524"/>
      <c r="M49" s="98"/>
      <c r="N49" s="11"/>
      <c r="O49" s="940"/>
      <c r="P49" s="940"/>
      <c r="R49" s="420">
        <f>COUNTA($D$9:$D49)-COUNTIF($D$9:D49,"年度合計")</f>
        <v>7</v>
      </c>
      <c r="S49" s="420" t="str">
        <f t="shared" ca="1" si="3"/>
        <v>民生電力</v>
      </c>
      <c r="U49" s="117"/>
      <c r="V49" s="117"/>
      <c r="W49" s="420">
        <f t="shared" si="0"/>
        <v>1</v>
      </c>
      <c r="Y49" s="1235">
        <f t="shared" si="1"/>
        <v>0</v>
      </c>
    </row>
    <row r="50" spans="2:25" s="114" customFormat="1">
      <c r="B50" s="465"/>
      <c r="C50" s="115"/>
      <c r="D50" s="116"/>
      <c r="E50" s="521"/>
      <c r="F50" s="522"/>
      <c r="G50" s="524"/>
      <c r="H50" s="117"/>
      <c r="I50" s="117"/>
      <c r="J50" s="522"/>
      <c r="K50" s="522"/>
      <c r="L50" s="524"/>
      <c r="M50" s="98"/>
      <c r="N50" s="11"/>
      <c r="O50" s="940"/>
      <c r="P50" s="940"/>
      <c r="R50" s="420">
        <f>COUNTA($D$9:$D50)-COUNTIF($D$9:D50,"年度合計")</f>
        <v>7</v>
      </c>
      <c r="S50" s="420" t="str">
        <f t="shared" ca="1" si="3"/>
        <v>民生電力</v>
      </c>
      <c r="U50" s="117"/>
      <c r="V50" s="117"/>
      <c r="W50" s="420">
        <f t="shared" si="0"/>
        <v>1</v>
      </c>
      <c r="Y50" s="1235">
        <f t="shared" si="1"/>
        <v>0</v>
      </c>
    </row>
    <row r="51" spans="2:25" hidden="1">
      <c r="B51" s="464"/>
      <c r="C51" s="332"/>
      <c r="D51" s="517"/>
      <c r="E51" s="517"/>
      <c r="F51" s="518"/>
      <c r="G51" s="519"/>
      <c r="H51" s="519"/>
      <c r="I51" s="530"/>
      <c r="J51" s="518"/>
      <c r="K51" s="518"/>
      <c r="L51" s="519"/>
      <c r="M51" s="8"/>
      <c r="O51" s="943"/>
      <c r="P51" s="943"/>
      <c r="R51" s="331">
        <f>COUNTA($D$9:$D51)-COUNTIF($D$9:D51,"年度合計")</f>
        <v>7</v>
      </c>
      <c r="S51" s="331" t="str">
        <f t="shared" ca="1" si="3"/>
        <v>民生電力</v>
      </c>
      <c r="U51" s="338"/>
      <c r="V51" s="338"/>
      <c r="W51" s="331">
        <f t="shared" si="0"/>
        <v>1</v>
      </c>
      <c r="Y51" s="329">
        <f t="shared" si="1"/>
        <v>0</v>
      </c>
    </row>
    <row r="52" spans="2:25" s="114" customFormat="1">
      <c r="B52" s="465"/>
      <c r="C52" s="115"/>
      <c r="D52" s="120" t="s">
        <v>111</v>
      </c>
      <c r="E52" s="521"/>
      <c r="F52" s="522"/>
      <c r="G52" s="524"/>
      <c r="H52" s="520">
        <f>SUM($G$51:$G$56)</f>
        <v>0</v>
      </c>
      <c r="I52" s="117"/>
      <c r="J52" s="528"/>
      <c r="K52" s="528"/>
      <c r="L52" s="524"/>
      <c r="M52" s="98"/>
      <c r="N52" s="11"/>
      <c r="O52" s="940"/>
      <c r="P52" s="940"/>
      <c r="R52" s="420">
        <f>COUNTA($D$9:$D52)-COUNTIF($D$9:D52,"年度合計")</f>
        <v>8</v>
      </c>
      <c r="S52" s="420" t="str">
        <f t="shared" ca="1" si="3"/>
        <v>民生電力以外</v>
      </c>
      <c r="U52" s="119">
        <f>SUM($G$51:$G$56)</f>
        <v>0</v>
      </c>
      <c r="V52" s="117"/>
      <c r="W52" s="420">
        <f t="shared" si="0"/>
        <v>1</v>
      </c>
      <c r="Y52" s="1235">
        <f t="shared" si="1"/>
        <v>0</v>
      </c>
    </row>
    <row r="53" spans="2:25" s="114" customFormat="1" ht="18.75" customHeight="1">
      <c r="B53" s="465"/>
      <c r="C53" s="115"/>
      <c r="D53" s="116"/>
      <c r="E53" s="521"/>
      <c r="F53" s="522"/>
      <c r="G53" s="524"/>
      <c r="H53" s="117"/>
      <c r="I53" s="117"/>
      <c r="J53" s="522"/>
      <c r="K53" s="522"/>
      <c r="L53" s="524"/>
      <c r="M53" s="98"/>
      <c r="N53" s="11"/>
      <c r="O53" s="940"/>
      <c r="P53" s="940"/>
      <c r="R53" s="420">
        <f>COUNTA($D$9:$D53)-COUNTIF($D$9:D53,"年度合計")</f>
        <v>8</v>
      </c>
      <c r="S53" s="420" t="str">
        <f t="shared" ca="1" si="3"/>
        <v>民生電力以外</v>
      </c>
      <c r="U53" s="117"/>
      <c r="V53" s="117"/>
      <c r="W53" s="420">
        <f t="shared" si="0"/>
        <v>1</v>
      </c>
      <c r="Y53" s="1235">
        <f t="shared" si="1"/>
        <v>0</v>
      </c>
    </row>
    <row r="54" spans="2:25" s="114" customFormat="1" ht="18.75" customHeight="1">
      <c r="B54" s="465"/>
      <c r="C54" s="115"/>
      <c r="D54" s="116"/>
      <c r="E54" s="521"/>
      <c r="F54" s="522"/>
      <c r="G54" s="524"/>
      <c r="H54" s="117"/>
      <c r="I54" s="117"/>
      <c r="J54" s="522"/>
      <c r="K54" s="522"/>
      <c r="L54" s="524"/>
      <c r="M54" s="98"/>
      <c r="N54" s="11"/>
      <c r="O54" s="940"/>
      <c r="P54" s="940"/>
      <c r="R54" s="420">
        <f>COUNTA($D$9:$D54)-COUNTIF($D$9:D54,"年度合計")</f>
        <v>8</v>
      </c>
      <c r="S54" s="420" t="str">
        <f t="shared" ca="1" si="3"/>
        <v>民生電力以外</v>
      </c>
      <c r="U54" s="117"/>
      <c r="V54" s="117"/>
      <c r="W54" s="420">
        <f t="shared" si="0"/>
        <v>1</v>
      </c>
      <c r="Y54" s="1235">
        <f t="shared" si="1"/>
        <v>0</v>
      </c>
    </row>
    <row r="55" spans="2:25" s="114" customFormat="1" ht="18.75" customHeight="1">
      <c r="B55" s="465"/>
      <c r="C55" s="115"/>
      <c r="D55" s="116"/>
      <c r="E55" s="525"/>
      <c r="F55" s="526"/>
      <c r="G55" s="527"/>
      <c r="H55" s="117"/>
      <c r="I55" s="117"/>
      <c r="J55" s="526"/>
      <c r="K55" s="526"/>
      <c r="L55" s="527"/>
      <c r="M55" s="98"/>
      <c r="N55" s="11"/>
      <c r="O55" s="940"/>
      <c r="P55" s="940"/>
      <c r="R55" s="420">
        <f>COUNTA($D$9:$D55)-COUNTIF($D$9:D55,"年度合計")</f>
        <v>8</v>
      </c>
      <c r="S55" s="420" t="str">
        <f t="shared" ca="1" si="3"/>
        <v>民生電力以外</v>
      </c>
      <c r="U55" s="117"/>
      <c r="V55" s="117"/>
      <c r="W55" s="420">
        <f t="shared" si="0"/>
        <v>1</v>
      </c>
      <c r="Y55" s="1235">
        <f t="shared" si="1"/>
        <v>0</v>
      </c>
    </row>
    <row r="56" spans="2:25" hidden="1">
      <c r="B56" s="464"/>
      <c r="C56" s="332"/>
      <c r="D56" s="517"/>
      <c r="E56" s="517"/>
      <c r="F56" s="518"/>
      <c r="G56" s="519"/>
      <c r="H56" s="519"/>
      <c r="I56" s="519"/>
      <c r="J56" s="518"/>
      <c r="K56" s="518"/>
      <c r="L56" s="519"/>
      <c r="M56" s="8"/>
      <c r="O56" s="943"/>
      <c r="P56" s="943"/>
      <c r="R56" s="331">
        <f>COUNTA($D$9:$D56)-COUNTIF($D$9:D56,"年度合計")</f>
        <v>8</v>
      </c>
      <c r="S56" s="331" t="str">
        <f t="shared" ca="1" si="3"/>
        <v>民生電力以外</v>
      </c>
      <c r="U56" s="338"/>
      <c r="V56" s="338"/>
      <c r="W56" s="331">
        <f t="shared" si="0"/>
        <v>1</v>
      </c>
      <c r="Y56" s="329">
        <f t="shared" si="1"/>
        <v>0</v>
      </c>
    </row>
    <row r="57" spans="2:25">
      <c r="B57" s="464"/>
      <c r="C57" s="327" t="s">
        <v>295</v>
      </c>
      <c r="D57" s="328" t="s">
        <v>120</v>
      </c>
      <c r="E57" s="163"/>
      <c r="F57" s="164"/>
      <c r="G57" s="165"/>
      <c r="H57" s="166"/>
      <c r="I57" s="520">
        <f>SUM($H$58:$H$68)</f>
        <v>0</v>
      </c>
      <c r="J57" s="170"/>
      <c r="K57" s="164"/>
      <c r="L57" s="166"/>
      <c r="M57" s="8"/>
      <c r="O57" s="942"/>
      <c r="P57" s="942"/>
      <c r="R57" s="331">
        <f>COUNTA($D$9:$D57)-COUNTIF($D$9:D57,"年度合計")</f>
        <v>8</v>
      </c>
      <c r="S57" s="331" t="str">
        <f t="shared" ca="1" si="3"/>
        <v>民生電力以外</v>
      </c>
      <c r="U57" s="329"/>
      <c r="V57" s="330">
        <f>SUM($H$58:$H$68)</f>
        <v>0</v>
      </c>
      <c r="W57" s="331">
        <f t="shared" si="0"/>
        <v>1</v>
      </c>
      <c r="Y57" s="329">
        <f t="shared" si="1"/>
        <v>0</v>
      </c>
    </row>
    <row r="58" spans="2:25" hidden="1">
      <c r="B58" s="464"/>
      <c r="C58" s="332"/>
      <c r="D58" s="517"/>
      <c r="E58" s="517"/>
      <c r="F58" s="518"/>
      <c r="G58" s="519"/>
      <c r="H58" s="519"/>
      <c r="I58" s="531"/>
      <c r="J58" s="518"/>
      <c r="K58" s="518"/>
      <c r="L58" s="519"/>
      <c r="M58" s="8"/>
      <c r="O58" s="943"/>
      <c r="P58" s="943"/>
      <c r="R58" s="331">
        <f>COUNTA($D$9:$D58)-COUNTIF($D$9:D58,"年度合計")</f>
        <v>8</v>
      </c>
      <c r="S58" s="331" t="str">
        <f t="shared" ca="1" si="3"/>
        <v>民生電力以外</v>
      </c>
      <c r="U58" s="338"/>
      <c r="V58" s="338"/>
      <c r="W58" s="331">
        <f t="shared" si="0"/>
        <v>1</v>
      </c>
      <c r="Y58" s="329">
        <f t="shared" si="1"/>
        <v>0</v>
      </c>
    </row>
    <row r="59" spans="2:25" s="114" customFormat="1">
      <c r="B59" s="465"/>
      <c r="C59" s="115"/>
      <c r="D59" s="118" t="s">
        <v>112</v>
      </c>
      <c r="E59" s="521"/>
      <c r="F59" s="522"/>
      <c r="G59" s="523"/>
      <c r="H59" s="529">
        <f>SUM($G$58:$G$63)</f>
        <v>0</v>
      </c>
      <c r="I59" s="117"/>
      <c r="J59" s="528"/>
      <c r="K59" s="528"/>
      <c r="L59" s="524"/>
      <c r="M59" s="98"/>
      <c r="N59" s="11"/>
      <c r="O59" s="940"/>
      <c r="P59" s="940"/>
      <c r="R59" s="420">
        <f>COUNTA($D$9:$D59)-COUNTIF($D$9:D59,"年度合計")</f>
        <v>9</v>
      </c>
      <c r="S59" s="420" t="str">
        <f t="shared" ca="1" si="3"/>
        <v>民生電力</v>
      </c>
      <c r="U59" s="119">
        <f>SUM($G$58:$G$63)</f>
        <v>0</v>
      </c>
      <c r="V59" s="117"/>
      <c r="W59" s="420">
        <f t="shared" si="0"/>
        <v>1</v>
      </c>
      <c r="Y59" s="1235">
        <f t="shared" si="1"/>
        <v>0</v>
      </c>
    </row>
    <row r="60" spans="2:25" s="114" customFormat="1">
      <c r="B60" s="465"/>
      <c r="C60" s="115"/>
      <c r="D60" s="116"/>
      <c r="E60" s="521"/>
      <c r="F60" s="522"/>
      <c r="G60" s="524"/>
      <c r="H60" s="117"/>
      <c r="I60" s="117"/>
      <c r="J60" s="522"/>
      <c r="K60" s="522"/>
      <c r="L60" s="524"/>
      <c r="M60" s="98"/>
      <c r="N60" s="11"/>
      <c r="O60" s="940"/>
      <c r="P60" s="940"/>
      <c r="R60" s="420">
        <f>COUNTA($D$9:$D60)-COUNTIF($D$9:D60,"年度合計")</f>
        <v>9</v>
      </c>
      <c r="S60" s="420" t="str">
        <f t="shared" ca="1" si="3"/>
        <v>民生電力</v>
      </c>
      <c r="U60" s="117"/>
      <c r="V60" s="117"/>
      <c r="W60" s="420">
        <f t="shared" si="0"/>
        <v>1</v>
      </c>
      <c r="Y60" s="1235">
        <f t="shared" si="1"/>
        <v>0</v>
      </c>
    </row>
    <row r="61" spans="2:25" s="114" customFormat="1">
      <c r="B61" s="465"/>
      <c r="C61" s="115"/>
      <c r="D61" s="116"/>
      <c r="E61" s="521"/>
      <c r="F61" s="522"/>
      <c r="G61" s="524"/>
      <c r="H61" s="117"/>
      <c r="I61" s="117"/>
      <c r="J61" s="522"/>
      <c r="K61" s="522"/>
      <c r="L61" s="524"/>
      <c r="M61" s="98"/>
      <c r="N61" s="11"/>
      <c r="O61" s="940"/>
      <c r="P61" s="940"/>
      <c r="R61" s="420">
        <f>COUNTA($D$9:$D61)-COUNTIF($D$9:D61,"年度合計")</f>
        <v>9</v>
      </c>
      <c r="S61" s="420" t="str">
        <f t="shared" ca="1" si="3"/>
        <v>民生電力</v>
      </c>
      <c r="U61" s="117"/>
      <c r="V61" s="117"/>
      <c r="W61" s="420">
        <f t="shared" si="0"/>
        <v>1</v>
      </c>
      <c r="Y61" s="1235">
        <f t="shared" si="1"/>
        <v>0</v>
      </c>
    </row>
    <row r="62" spans="2:25" s="114" customFormat="1">
      <c r="B62" s="465"/>
      <c r="C62" s="115"/>
      <c r="D62" s="116"/>
      <c r="E62" s="521"/>
      <c r="F62" s="522"/>
      <c r="G62" s="524"/>
      <c r="H62" s="117"/>
      <c r="I62" s="117"/>
      <c r="J62" s="522"/>
      <c r="K62" s="522"/>
      <c r="L62" s="524"/>
      <c r="M62" s="98"/>
      <c r="N62" s="11"/>
      <c r="O62" s="940"/>
      <c r="P62" s="940"/>
      <c r="R62" s="420">
        <f>COUNTA($D$9:$D62)-COUNTIF($D$9:D62,"年度合計")</f>
        <v>9</v>
      </c>
      <c r="S62" s="420" t="str">
        <f t="shared" ca="1" si="3"/>
        <v>民生電力</v>
      </c>
      <c r="U62" s="117"/>
      <c r="V62" s="117"/>
      <c r="W62" s="420">
        <f t="shared" si="0"/>
        <v>1</v>
      </c>
      <c r="Y62" s="1235">
        <f t="shared" si="1"/>
        <v>0</v>
      </c>
    </row>
    <row r="63" spans="2:25" hidden="1">
      <c r="B63" s="464"/>
      <c r="C63" s="332"/>
      <c r="D63" s="517"/>
      <c r="E63" s="517"/>
      <c r="F63" s="518"/>
      <c r="G63" s="519"/>
      <c r="H63" s="519"/>
      <c r="I63" s="530"/>
      <c r="J63" s="518"/>
      <c r="K63" s="518"/>
      <c r="L63" s="519"/>
      <c r="M63" s="8"/>
      <c r="O63" s="943"/>
      <c r="P63" s="943"/>
      <c r="R63" s="331">
        <f>COUNTA($D$9:$D63)-COUNTIF($D$9:D63,"年度合計")</f>
        <v>9</v>
      </c>
      <c r="S63" s="331" t="str">
        <f t="shared" ca="1" si="3"/>
        <v>民生電力</v>
      </c>
      <c r="U63" s="338"/>
      <c r="V63" s="338"/>
      <c r="W63" s="331">
        <f t="shared" si="0"/>
        <v>1</v>
      </c>
      <c r="Y63" s="329">
        <f t="shared" si="1"/>
        <v>0</v>
      </c>
    </row>
    <row r="64" spans="2:25" s="114" customFormat="1">
      <c r="B64" s="465"/>
      <c r="C64" s="115"/>
      <c r="D64" s="120" t="s">
        <v>111</v>
      </c>
      <c r="E64" s="521"/>
      <c r="F64" s="522"/>
      <c r="G64" s="524"/>
      <c r="H64" s="520">
        <f>SUM($G$63:$G$68)</f>
        <v>0</v>
      </c>
      <c r="I64" s="117"/>
      <c r="J64" s="528"/>
      <c r="K64" s="528"/>
      <c r="L64" s="524"/>
      <c r="M64" s="98"/>
      <c r="N64" s="11"/>
      <c r="O64" s="940"/>
      <c r="P64" s="940"/>
      <c r="R64" s="420">
        <f>COUNTA($D$9:$D64)-COUNTIF($D$9:D64,"年度合計")</f>
        <v>10</v>
      </c>
      <c r="S64" s="420" t="str">
        <f t="shared" ca="1" si="3"/>
        <v>民生電力以外</v>
      </c>
      <c r="U64" s="119">
        <f>SUM($G$63:$G$68)</f>
        <v>0</v>
      </c>
      <c r="V64" s="117"/>
      <c r="W64" s="420">
        <f t="shared" si="0"/>
        <v>1</v>
      </c>
      <c r="Y64" s="1235">
        <f t="shared" si="1"/>
        <v>0</v>
      </c>
    </row>
    <row r="65" spans="2:25" s="114" customFormat="1" ht="18.75" customHeight="1">
      <c r="B65" s="465"/>
      <c r="C65" s="115"/>
      <c r="D65" s="116"/>
      <c r="E65" s="521"/>
      <c r="F65" s="522"/>
      <c r="G65" s="524"/>
      <c r="H65" s="117"/>
      <c r="I65" s="117"/>
      <c r="J65" s="522"/>
      <c r="K65" s="522"/>
      <c r="L65" s="524"/>
      <c r="M65" s="98"/>
      <c r="N65" s="11"/>
      <c r="O65" s="940"/>
      <c r="P65" s="940"/>
      <c r="R65" s="420">
        <f>COUNTA($D$9:$D65)-COUNTIF($D$9:D65,"年度合計")</f>
        <v>10</v>
      </c>
      <c r="S65" s="420" t="str">
        <f t="shared" ca="1" si="3"/>
        <v>民生電力以外</v>
      </c>
      <c r="U65" s="117"/>
      <c r="V65" s="117"/>
      <c r="W65" s="420">
        <f t="shared" si="0"/>
        <v>1</v>
      </c>
      <c r="Y65" s="1235">
        <f t="shared" si="1"/>
        <v>0</v>
      </c>
    </row>
    <row r="66" spans="2:25" s="114" customFormat="1" ht="18.75" customHeight="1">
      <c r="B66" s="465"/>
      <c r="C66" s="115"/>
      <c r="D66" s="116"/>
      <c r="E66" s="521"/>
      <c r="F66" s="522"/>
      <c r="G66" s="524"/>
      <c r="H66" s="117"/>
      <c r="I66" s="117"/>
      <c r="J66" s="522"/>
      <c r="K66" s="522"/>
      <c r="L66" s="524"/>
      <c r="M66" s="98"/>
      <c r="N66" s="11"/>
      <c r="O66" s="940"/>
      <c r="P66" s="940"/>
      <c r="R66" s="420">
        <f>COUNTA($D$9:$D66)-COUNTIF($D$9:D66,"年度合計")</f>
        <v>10</v>
      </c>
      <c r="S66" s="420" t="str">
        <f t="shared" ca="1" si="3"/>
        <v>民生電力以外</v>
      </c>
      <c r="U66" s="117"/>
      <c r="V66" s="117"/>
      <c r="W66" s="420">
        <f t="shared" si="0"/>
        <v>1</v>
      </c>
      <c r="Y66" s="1235">
        <f t="shared" si="1"/>
        <v>0</v>
      </c>
    </row>
    <row r="67" spans="2:25" s="114" customFormat="1" ht="18.75" customHeight="1">
      <c r="B67" s="465"/>
      <c r="C67" s="115"/>
      <c r="D67" s="116"/>
      <c r="E67" s="525"/>
      <c r="F67" s="526"/>
      <c r="G67" s="527"/>
      <c r="H67" s="117"/>
      <c r="I67" s="117"/>
      <c r="J67" s="526"/>
      <c r="K67" s="526"/>
      <c r="L67" s="527"/>
      <c r="M67" s="98"/>
      <c r="N67" s="11"/>
      <c r="O67" s="940"/>
      <c r="P67" s="940"/>
      <c r="R67" s="420">
        <f>COUNTA($D$9:$D67)-COUNTIF($D$9:D67,"年度合計")</f>
        <v>10</v>
      </c>
      <c r="S67" s="420" t="str">
        <f t="shared" ca="1" si="3"/>
        <v>民生電力以外</v>
      </c>
      <c r="U67" s="117"/>
      <c r="V67" s="117"/>
      <c r="W67" s="420">
        <f t="shared" si="0"/>
        <v>1</v>
      </c>
      <c r="Y67" s="1235">
        <f t="shared" si="1"/>
        <v>0</v>
      </c>
    </row>
    <row r="68" spans="2:25" hidden="1">
      <c r="B68" s="464"/>
      <c r="C68" s="332"/>
      <c r="D68" s="517"/>
      <c r="E68" s="517"/>
      <c r="F68" s="518"/>
      <c r="G68" s="519"/>
      <c r="H68" s="519"/>
      <c r="I68" s="519"/>
      <c r="J68" s="518"/>
      <c r="K68" s="518"/>
      <c r="L68" s="519"/>
      <c r="M68" s="8"/>
      <c r="O68" s="943"/>
      <c r="P68" s="943"/>
      <c r="R68" s="331">
        <f>COUNTA($D$9:$D68)-COUNTIF($D$9:D68,"年度合計")</f>
        <v>10</v>
      </c>
      <c r="S68" s="331" t="str">
        <f t="shared" ca="1" si="3"/>
        <v>民生電力以外</v>
      </c>
      <c r="U68" s="338"/>
      <c r="V68" s="338"/>
      <c r="W68" s="331">
        <f t="shared" si="0"/>
        <v>1</v>
      </c>
      <c r="Y68" s="329">
        <f t="shared" si="1"/>
        <v>0</v>
      </c>
    </row>
    <row r="69" spans="2:25">
      <c r="B69" s="464"/>
      <c r="C69" s="327" t="s">
        <v>296</v>
      </c>
      <c r="D69" s="328" t="s">
        <v>120</v>
      </c>
      <c r="E69" s="163"/>
      <c r="F69" s="164"/>
      <c r="G69" s="165"/>
      <c r="H69" s="166"/>
      <c r="I69" s="520">
        <f>SUM($H$70:$H$80)</f>
        <v>0</v>
      </c>
      <c r="J69" s="170"/>
      <c r="K69" s="164"/>
      <c r="L69" s="166"/>
      <c r="M69" s="8"/>
      <c r="O69" s="942"/>
      <c r="P69" s="942"/>
      <c r="R69" s="331">
        <f>COUNTA($D$9:$D69)-COUNTIF($D$9:D69,"年度合計")</f>
        <v>10</v>
      </c>
      <c r="S69" s="331" t="str">
        <f t="shared" ca="1" si="3"/>
        <v>民生電力以外</v>
      </c>
      <c r="U69" s="329"/>
      <c r="V69" s="330">
        <f>SUM($H$70:$H$80)</f>
        <v>0</v>
      </c>
      <c r="W69" s="331">
        <f t="shared" ref="W69:W80" si="4">IF(AND(H69=U69,I69=V69),1,0)</f>
        <v>1</v>
      </c>
      <c r="Y69" s="329">
        <f t="shared" ref="Y69:Y83" si="5">L69</f>
        <v>0</v>
      </c>
    </row>
    <row r="70" spans="2:25" hidden="1">
      <c r="B70" s="464"/>
      <c r="C70" s="332"/>
      <c r="D70" s="517"/>
      <c r="E70" s="517"/>
      <c r="F70" s="518"/>
      <c r="G70" s="519"/>
      <c r="H70" s="519"/>
      <c r="I70" s="531"/>
      <c r="J70" s="518"/>
      <c r="K70" s="518"/>
      <c r="L70" s="519"/>
      <c r="M70" s="8"/>
      <c r="O70" s="943"/>
      <c r="P70" s="943"/>
      <c r="R70" s="331">
        <f>COUNTA($D$9:$D70)-COUNTIF($D$9:D70,"年度合計")</f>
        <v>10</v>
      </c>
      <c r="S70" s="331" t="str">
        <f t="shared" ca="1" si="3"/>
        <v>民生電力以外</v>
      </c>
      <c r="U70" s="338"/>
      <c r="V70" s="338"/>
      <c r="W70" s="331">
        <f t="shared" si="4"/>
        <v>1</v>
      </c>
      <c r="Y70" s="329">
        <f t="shared" si="5"/>
        <v>0</v>
      </c>
    </row>
    <row r="71" spans="2:25" s="114" customFormat="1">
      <c r="B71" s="465"/>
      <c r="C71" s="115"/>
      <c r="D71" s="118" t="s">
        <v>112</v>
      </c>
      <c r="E71" s="521"/>
      <c r="F71" s="522"/>
      <c r="G71" s="523"/>
      <c r="H71" s="529">
        <f>SUM($G$70:$G$75)</f>
        <v>0</v>
      </c>
      <c r="I71" s="117"/>
      <c r="J71" s="528"/>
      <c r="K71" s="528"/>
      <c r="L71" s="524"/>
      <c r="M71" s="98"/>
      <c r="N71" s="11"/>
      <c r="O71" s="940"/>
      <c r="P71" s="940"/>
      <c r="R71" s="420">
        <f>COUNTA($D$9:$D71)-COUNTIF($D$9:D71,"年度合計")</f>
        <v>11</v>
      </c>
      <c r="S71" s="420" t="str">
        <f t="shared" ca="1" si="3"/>
        <v>民生電力</v>
      </c>
      <c r="U71" s="119">
        <f>SUM($G$70:$G$75)</f>
        <v>0</v>
      </c>
      <c r="V71" s="117"/>
      <c r="W71" s="420">
        <f t="shared" si="4"/>
        <v>1</v>
      </c>
      <c r="Y71" s="1235">
        <f t="shared" si="5"/>
        <v>0</v>
      </c>
    </row>
    <row r="72" spans="2:25" s="114" customFormat="1">
      <c r="B72" s="465"/>
      <c r="C72" s="115"/>
      <c r="D72" s="116"/>
      <c r="E72" s="521"/>
      <c r="F72" s="522"/>
      <c r="G72" s="524"/>
      <c r="H72" s="117"/>
      <c r="I72" s="117"/>
      <c r="J72" s="522"/>
      <c r="K72" s="522"/>
      <c r="L72" s="524"/>
      <c r="M72" s="98"/>
      <c r="N72" s="11"/>
      <c r="O72" s="940"/>
      <c r="P72" s="940"/>
      <c r="R72" s="420">
        <f>COUNTA($D$9:$D72)-COUNTIF($D$9:D72,"年度合計")</f>
        <v>11</v>
      </c>
      <c r="S72" s="420" t="str">
        <f t="shared" ca="1" si="3"/>
        <v>民生電力</v>
      </c>
      <c r="U72" s="117"/>
      <c r="V72" s="117"/>
      <c r="W72" s="420">
        <f t="shared" si="4"/>
        <v>1</v>
      </c>
      <c r="Y72" s="1235">
        <f t="shared" si="5"/>
        <v>0</v>
      </c>
    </row>
    <row r="73" spans="2:25" s="114" customFormat="1">
      <c r="B73" s="465"/>
      <c r="C73" s="115"/>
      <c r="D73" s="116"/>
      <c r="E73" s="521"/>
      <c r="F73" s="522"/>
      <c r="G73" s="524"/>
      <c r="H73" s="117"/>
      <c r="I73" s="117"/>
      <c r="J73" s="522"/>
      <c r="K73" s="522"/>
      <c r="L73" s="524"/>
      <c r="M73" s="98"/>
      <c r="N73" s="11"/>
      <c r="O73" s="940"/>
      <c r="P73" s="940"/>
      <c r="R73" s="420">
        <f>COUNTA($D$9:$D73)-COUNTIF($D$9:D73,"年度合計")</f>
        <v>11</v>
      </c>
      <c r="S73" s="420" t="str">
        <f t="shared" ca="1" si="3"/>
        <v>民生電力</v>
      </c>
      <c r="U73" s="117"/>
      <c r="V73" s="117"/>
      <c r="W73" s="420">
        <f t="shared" si="4"/>
        <v>1</v>
      </c>
      <c r="Y73" s="1235">
        <f t="shared" si="5"/>
        <v>0</v>
      </c>
    </row>
    <row r="74" spans="2:25" s="114" customFormat="1">
      <c r="B74" s="465"/>
      <c r="C74" s="115"/>
      <c r="D74" s="116"/>
      <c r="E74" s="521"/>
      <c r="F74" s="522"/>
      <c r="G74" s="524"/>
      <c r="H74" s="117"/>
      <c r="I74" s="117"/>
      <c r="J74" s="522"/>
      <c r="K74" s="522"/>
      <c r="L74" s="524"/>
      <c r="M74" s="98"/>
      <c r="N74" s="11"/>
      <c r="O74" s="940"/>
      <c r="P74" s="940"/>
      <c r="R74" s="420">
        <f>COUNTA($D$9:$D74)-COUNTIF($D$9:D74,"年度合計")</f>
        <v>11</v>
      </c>
      <c r="S74" s="420" t="str">
        <f t="shared" ca="1" si="3"/>
        <v>民生電力</v>
      </c>
      <c r="U74" s="117"/>
      <c r="V74" s="117"/>
      <c r="W74" s="420">
        <f t="shared" si="4"/>
        <v>1</v>
      </c>
      <c r="Y74" s="1235">
        <f t="shared" si="5"/>
        <v>0</v>
      </c>
    </row>
    <row r="75" spans="2:25" hidden="1">
      <c r="B75" s="464"/>
      <c r="C75" s="332"/>
      <c r="D75" s="517"/>
      <c r="E75" s="517"/>
      <c r="F75" s="518"/>
      <c r="G75" s="519"/>
      <c r="H75" s="519"/>
      <c r="I75" s="530"/>
      <c r="J75" s="518"/>
      <c r="K75" s="518"/>
      <c r="L75" s="519"/>
      <c r="M75" s="8"/>
      <c r="O75" s="943"/>
      <c r="P75" s="943"/>
      <c r="R75" s="331">
        <f>COUNTA($D$9:$D75)-COUNTIF($D$9:D75,"年度合計")</f>
        <v>11</v>
      </c>
      <c r="S75" s="331" t="str">
        <f t="shared" ca="1" si="3"/>
        <v>民生電力</v>
      </c>
      <c r="U75" s="338"/>
      <c r="V75" s="338"/>
      <c r="W75" s="331">
        <f t="shared" si="4"/>
        <v>1</v>
      </c>
      <c r="Y75" s="329">
        <f t="shared" si="5"/>
        <v>0</v>
      </c>
    </row>
    <row r="76" spans="2:25" s="114" customFormat="1">
      <c r="B76" s="465"/>
      <c r="C76" s="115"/>
      <c r="D76" s="120" t="s">
        <v>111</v>
      </c>
      <c r="E76" s="521"/>
      <c r="F76" s="522"/>
      <c r="G76" s="524"/>
      <c r="H76" s="520">
        <f>SUM($G$75:$G$80)</f>
        <v>0</v>
      </c>
      <c r="I76" s="117"/>
      <c r="J76" s="528"/>
      <c r="K76" s="528"/>
      <c r="L76" s="524"/>
      <c r="M76" s="98"/>
      <c r="N76" s="11"/>
      <c r="O76" s="940"/>
      <c r="P76" s="940"/>
      <c r="R76" s="420">
        <f>COUNTA($D$9:$D76)-COUNTIF($D$9:D76,"年度合計")</f>
        <v>12</v>
      </c>
      <c r="S76" s="420" t="str">
        <f t="shared" ca="1" si="3"/>
        <v>民生電力以外</v>
      </c>
      <c r="U76" s="119">
        <f>SUM($G$75:$G$80)</f>
        <v>0</v>
      </c>
      <c r="V76" s="117"/>
      <c r="W76" s="420">
        <f t="shared" si="4"/>
        <v>1</v>
      </c>
      <c r="Y76" s="1235">
        <f t="shared" si="5"/>
        <v>0</v>
      </c>
    </row>
    <row r="77" spans="2:25" s="114" customFormat="1" ht="18.75" customHeight="1">
      <c r="B77" s="465"/>
      <c r="C77" s="115"/>
      <c r="D77" s="116"/>
      <c r="E77" s="521"/>
      <c r="F77" s="522"/>
      <c r="G77" s="524"/>
      <c r="H77" s="117"/>
      <c r="I77" s="117"/>
      <c r="J77" s="522"/>
      <c r="K77" s="522"/>
      <c r="L77" s="524"/>
      <c r="M77" s="98"/>
      <c r="N77" s="11"/>
      <c r="O77" s="940"/>
      <c r="P77" s="940"/>
      <c r="R77" s="420">
        <f>COUNTA($D$9:$D77)-COUNTIF($D$9:D77,"年度合計")</f>
        <v>12</v>
      </c>
      <c r="S77" s="420" t="str">
        <f t="shared" ca="1" si="3"/>
        <v>民生電力以外</v>
      </c>
      <c r="U77" s="117"/>
      <c r="V77" s="117"/>
      <c r="W77" s="420">
        <f t="shared" si="4"/>
        <v>1</v>
      </c>
      <c r="Y77" s="1235">
        <f t="shared" si="5"/>
        <v>0</v>
      </c>
    </row>
    <row r="78" spans="2:25" s="114" customFormat="1" ht="18.75" customHeight="1">
      <c r="B78" s="465"/>
      <c r="C78" s="115"/>
      <c r="D78" s="116"/>
      <c r="E78" s="521"/>
      <c r="F78" s="522"/>
      <c r="G78" s="524"/>
      <c r="H78" s="117"/>
      <c r="I78" s="117"/>
      <c r="J78" s="522"/>
      <c r="K78" s="522"/>
      <c r="L78" s="524"/>
      <c r="M78" s="98"/>
      <c r="N78" s="11"/>
      <c r="O78" s="940"/>
      <c r="P78" s="940"/>
      <c r="R78" s="420">
        <f>COUNTA($D$9:$D78)-COUNTIF($D$9:D78,"年度合計")</f>
        <v>12</v>
      </c>
      <c r="S78" s="420" t="str">
        <f t="shared" ca="1" si="3"/>
        <v>民生電力以外</v>
      </c>
      <c r="U78" s="117"/>
      <c r="V78" s="117"/>
      <c r="W78" s="420">
        <f>IF(AND(H78=U78,I78=V78),1,0)</f>
        <v>1</v>
      </c>
      <c r="Y78" s="1235">
        <f t="shared" si="5"/>
        <v>0</v>
      </c>
    </row>
    <row r="79" spans="2:25" s="114" customFormat="1" ht="18.75" customHeight="1">
      <c r="B79" s="465"/>
      <c r="C79" s="115"/>
      <c r="D79" s="116"/>
      <c r="E79" s="525"/>
      <c r="F79" s="526"/>
      <c r="G79" s="527"/>
      <c r="H79" s="117"/>
      <c r="I79" s="117"/>
      <c r="J79" s="526"/>
      <c r="K79" s="526"/>
      <c r="L79" s="527"/>
      <c r="M79" s="98"/>
      <c r="N79" s="11"/>
      <c r="O79" s="940"/>
      <c r="P79" s="940"/>
      <c r="R79" s="420">
        <f>COUNTA($D$9:$D79)-COUNTIF($D$9:D79,"年度合計")</f>
        <v>12</v>
      </c>
      <c r="S79" s="420" t="str">
        <f t="shared" ca="1" si="3"/>
        <v>民生電力以外</v>
      </c>
      <c r="U79" s="337"/>
      <c r="V79" s="337"/>
      <c r="W79" s="420">
        <f t="shared" si="4"/>
        <v>1</v>
      </c>
      <c r="Y79" s="1235">
        <f t="shared" si="5"/>
        <v>0</v>
      </c>
    </row>
    <row r="80" spans="2:25" hidden="1">
      <c r="B80" s="464"/>
      <c r="C80" s="332"/>
      <c r="D80" s="517"/>
      <c r="E80" s="517"/>
      <c r="F80" s="518"/>
      <c r="G80" s="519"/>
      <c r="H80" s="519"/>
      <c r="I80" s="519"/>
      <c r="J80" s="518"/>
      <c r="K80" s="518"/>
      <c r="L80" s="519"/>
      <c r="M80" s="8"/>
      <c r="O80" s="943"/>
      <c r="P80" s="943"/>
      <c r="R80" s="458">
        <f>COUNTA($D$9:$D80)-COUNTIF($D$9:D80,"年度合計")</f>
        <v>12</v>
      </c>
      <c r="S80" s="331">
        <f ca="1">OFFSET($C$1,MATCH($R80,$R:$R,0)-1,0)</f>
        <v>0</v>
      </c>
      <c r="W80" s="420">
        <f t="shared" si="4"/>
        <v>1</v>
      </c>
      <c r="Y80" s="329">
        <f t="shared" si="5"/>
        <v>0</v>
      </c>
    </row>
    <row r="81" spans="2:25">
      <c r="B81" s="464"/>
      <c r="C81" s="327"/>
      <c r="D81" s="331" t="s">
        <v>229</v>
      </c>
      <c r="E81" s="163"/>
      <c r="F81" s="164"/>
      <c r="G81" s="165"/>
      <c r="H81" s="166"/>
      <c r="I81" s="520">
        <f>$I$83+$I$82</f>
        <v>0</v>
      </c>
      <c r="J81" s="170"/>
      <c r="K81" s="171"/>
      <c r="L81" s="710">
        <f>SUM($L$9:$L$80)</f>
        <v>0</v>
      </c>
      <c r="M81" s="8"/>
      <c r="O81" s="1057">
        <f>SUMIF(O$9:O$80,"○",$L$9:$L$80)</f>
        <v>0</v>
      </c>
      <c r="P81" s="1057">
        <f>SUMIF(P$9:P$80,"○",$L$9:$L$80)</f>
        <v>0</v>
      </c>
      <c r="U81" s="330">
        <f>$I$83+$I$82</f>
        <v>0</v>
      </c>
      <c r="V81" s="329">
        <f>SUM($L$9:$L$80)</f>
        <v>0</v>
      </c>
      <c r="W81" s="420">
        <f>IF(AND(H81=U81,I81=V81),1,0)</f>
        <v>1</v>
      </c>
      <c r="Y81" s="329">
        <f t="shared" si="5"/>
        <v>0</v>
      </c>
    </row>
    <row r="82" spans="2:25">
      <c r="B82" s="464"/>
      <c r="C82" s="332" t="s">
        <v>26</v>
      </c>
      <c r="D82" s="331" t="s">
        <v>119</v>
      </c>
      <c r="E82" s="163"/>
      <c r="F82" s="164"/>
      <c r="G82" s="165"/>
      <c r="H82" s="166"/>
      <c r="I82" s="710">
        <f>SUMIF($D$9:$D$80,$D$82,$H$9:$H$80)</f>
        <v>0</v>
      </c>
      <c r="J82" s="172"/>
      <c r="K82" s="173"/>
      <c r="L82" s="710">
        <f>SUM($L$10:$L$15,$L$22:$L$27,$L$34:$L$39,$L$46:$L$51,$L$58:$L$63,$L$70:$L$75)</f>
        <v>0</v>
      </c>
      <c r="M82" s="8"/>
      <c r="O82" s="941"/>
      <c r="P82" s="941"/>
      <c r="U82" s="329">
        <f>SUMIF($D$9:$D$80,$D$82,$H$9:$H$80)</f>
        <v>0</v>
      </c>
      <c r="V82" s="329">
        <f>SUM($L$10:$L$15,$L$22:$L$27,$L$34:$L$39,$L$46:$L$51,$L$58:$L$63,$L$70:$L$75)</f>
        <v>0</v>
      </c>
      <c r="W82" s="420">
        <f>IF(AND(H82=U82,I82=V82),1,0)</f>
        <v>1</v>
      </c>
      <c r="Y82" s="329">
        <f t="shared" si="5"/>
        <v>0</v>
      </c>
    </row>
    <row r="83" spans="2:25">
      <c r="B83" s="464"/>
      <c r="C83" s="333"/>
      <c r="D83" s="331" t="s">
        <v>122</v>
      </c>
      <c r="E83" s="167"/>
      <c r="F83" s="168"/>
      <c r="G83" s="169"/>
      <c r="H83" s="169"/>
      <c r="I83" s="710">
        <f>SUMIF($D$9:$D$80,$D$83,$H$9:$H$80)</f>
        <v>0</v>
      </c>
      <c r="J83" s="172"/>
      <c r="K83" s="173"/>
      <c r="L83" s="710">
        <f>SUM($L$15:$L$20,$L$27:$L$32,$L$39:$L$44,$L$51:$L$56,$L$63:$L$68,$L$75:$L$80)</f>
        <v>0</v>
      </c>
      <c r="M83" s="8"/>
      <c r="O83" s="941"/>
      <c r="P83" s="941"/>
      <c r="U83" s="329">
        <f>SUMIF($D$9:$D$80,$D$83,$H$9:$H$80)</f>
        <v>0</v>
      </c>
      <c r="V83" s="329">
        <f>SUM($L$15:$L$20,$L$27:$L$32,$L$39:$L$44,$L$51:$L$56,$L$63:$L$68,$L$75:$L$80)</f>
        <v>0</v>
      </c>
      <c r="W83" s="420">
        <f>IF(AND(H83=U83,I83=V83),1,0)</f>
        <v>1</v>
      </c>
      <c r="Y83" s="329">
        <f t="shared" si="5"/>
        <v>0</v>
      </c>
    </row>
    <row r="84" spans="2:25">
      <c r="B84" s="466"/>
      <c r="C84" s="467"/>
      <c r="D84" s="467"/>
      <c r="E84" s="468"/>
      <c r="F84" s="469"/>
      <c r="G84" s="470"/>
      <c r="H84" s="470"/>
      <c r="I84" s="470"/>
      <c r="J84" s="469"/>
      <c r="K84" s="469"/>
      <c r="L84" s="470"/>
      <c r="M84" s="9"/>
    </row>
    <row r="85" spans="2:25">
      <c r="R85" s="323" t="s">
        <v>452</v>
      </c>
      <c r="S85" t="s">
        <v>450</v>
      </c>
      <c r="T85"/>
      <c r="U85"/>
      <c r="V85" t="s">
        <v>451</v>
      </c>
      <c r="W85"/>
      <c r="X85"/>
    </row>
    <row r="87" spans="2:25">
      <c r="C87" s="1114"/>
      <c r="D87" s="1115"/>
      <c r="E87" s="1116"/>
      <c r="F87" s="1117"/>
      <c r="G87" s="1118"/>
      <c r="H87" s="1118"/>
      <c r="I87" s="1118"/>
      <c r="J87" s="1119"/>
    </row>
    <row r="88" spans="2:25" ht="36">
      <c r="C88" s="1120"/>
      <c r="D88" s="1098"/>
      <c r="E88" s="1099"/>
      <c r="F88" s="325" t="s">
        <v>6280</v>
      </c>
      <c r="G88" s="1091" t="s">
        <v>6279</v>
      </c>
      <c r="H88" s="326" t="s">
        <v>6281</v>
      </c>
      <c r="I88" s="1091" t="s">
        <v>6284</v>
      </c>
      <c r="J88" s="1121"/>
    </row>
    <row r="89" spans="2:25" hidden="1">
      <c r="C89" s="1120"/>
      <c r="D89" s="1101"/>
      <c r="E89" s="1102"/>
      <c r="F89" s="1103"/>
      <c r="G89" s="941"/>
      <c r="H89" s="1104"/>
      <c r="I89" s="1146"/>
      <c r="J89" s="1121"/>
    </row>
    <row r="90" spans="2:25">
      <c r="C90" s="1120"/>
      <c r="D90" s="1094" t="s">
        <v>119</v>
      </c>
      <c r="E90" s="1095"/>
      <c r="F90" s="1092"/>
      <c r="G90" s="1130"/>
      <c r="H90" s="1057">
        <f>SUM(H91:H97)</f>
        <v>0</v>
      </c>
      <c r="I90" s="1092"/>
      <c r="J90" s="1121"/>
    </row>
    <row r="91" spans="2:25">
      <c r="C91" s="1120"/>
      <c r="D91" s="1096"/>
      <c r="E91" s="1097"/>
      <c r="F91" s="1090" t="s">
        <v>6282</v>
      </c>
      <c r="G91" s="812" t="s">
        <v>6283</v>
      </c>
      <c r="H91" s="1057">
        <f>SUMIFS($L:$L,O:O,"○",$S:$S,"民生電力")</f>
        <v>0</v>
      </c>
      <c r="I91" s="1147"/>
      <c r="J91" s="1121"/>
    </row>
    <row r="92" spans="2:25" s="114" customFormat="1" hidden="1">
      <c r="C92" s="1122"/>
      <c r="D92" s="1105"/>
      <c r="E92" s="1106"/>
      <c r="F92" s="938"/>
      <c r="G92" s="1142"/>
      <c r="H92" s="939"/>
      <c r="I92" s="938"/>
      <c r="J92" s="1123"/>
      <c r="K92" s="1107"/>
      <c r="L92" s="1108"/>
      <c r="M92" s="11"/>
      <c r="N92" s="11"/>
      <c r="O92" s="1108"/>
      <c r="P92" s="1108"/>
    </row>
    <row r="93" spans="2:25" s="114" customFormat="1">
      <c r="C93" s="1122"/>
      <c r="D93" s="1105"/>
      <c r="E93" s="1106"/>
      <c r="F93" s="522"/>
      <c r="G93" s="1132"/>
      <c r="H93" s="524"/>
      <c r="I93" s="522"/>
      <c r="J93" s="1123"/>
      <c r="K93" s="1107"/>
      <c r="L93" s="1108"/>
      <c r="M93" s="11"/>
      <c r="N93" s="11"/>
      <c r="O93" s="1108"/>
      <c r="P93" s="1108"/>
    </row>
    <row r="94" spans="2:25" s="114" customFormat="1">
      <c r="C94" s="1122"/>
      <c r="D94" s="1105"/>
      <c r="E94" s="1106"/>
      <c r="F94" s="522"/>
      <c r="G94" s="1132"/>
      <c r="H94" s="524"/>
      <c r="I94" s="522"/>
      <c r="J94" s="1123"/>
      <c r="K94" s="1107"/>
      <c r="L94" s="1108"/>
      <c r="M94" s="11"/>
      <c r="N94" s="11"/>
      <c r="O94" s="1108"/>
      <c r="P94" s="1108"/>
    </row>
    <row r="95" spans="2:25" s="114" customFormat="1">
      <c r="C95" s="1122"/>
      <c r="D95" s="1105"/>
      <c r="E95" s="1106"/>
      <c r="F95" s="522"/>
      <c r="G95" s="1132"/>
      <c r="H95" s="524"/>
      <c r="I95" s="522"/>
      <c r="J95" s="1123"/>
      <c r="K95" s="1107"/>
      <c r="L95" s="1108"/>
      <c r="M95" s="11"/>
      <c r="N95" s="11"/>
      <c r="O95" s="1108"/>
      <c r="P95" s="1108"/>
    </row>
    <row r="96" spans="2:25" s="114" customFormat="1">
      <c r="C96" s="1122"/>
      <c r="D96" s="1105"/>
      <c r="E96" s="1106"/>
      <c r="F96" s="522"/>
      <c r="G96" s="1132"/>
      <c r="H96" s="524"/>
      <c r="I96" s="522"/>
      <c r="J96" s="1123"/>
      <c r="K96" s="1107"/>
      <c r="L96" s="1108"/>
      <c r="M96" s="11"/>
      <c r="N96" s="11"/>
      <c r="O96" s="1108"/>
      <c r="P96" s="1108"/>
    </row>
    <row r="97" spans="3:25" hidden="1">
      <c r="C97" s="1120"/>
      <c r="D97" s="1111"/>
      <c r="E97" s="1112"/>
      <c r="F97" s="1143"/>
      <c r="G97" s="1144"/>
      <c r="H97" s="1145"/>
      <c r="I97" s="1143"/>
      <c r="J97" s="1121"/>
    </row>
    <row r="98" spans="3:25" hidden="1">
      <c r="C98" s="1120"/>
      <c r="D98" s="1109"/>
      <c r="E98" s="1110"/>
      <c r="F98" s="1092"/>
      <c r="G98" s="1130"/>
      <c r="H98" s="1093"/>
      <c r="I98" s="1092"/>
      <c r="J98" s="1121"/>
    </row>
    <row r="99" spans="3:25">
      <c r="C99" s="1120"/>
      <c r="D99" s="1094" t="s">
        <v>122</v>
      </c>
      <c r="E99" s="1113"/>
      <c r="F99" s="1100"/>
      <c r="G99" s="1131"/>
      <c r="H99" s="1133">
        <f>SUM(H100:H105)</f>
        <v>0</v>
      </c>
      <c r="I99" s="1100"/>
      <c r="J99" s="1121"/>
    </row>
    <row r="100" spans="3:25">
      <c r="C100" s="1120"/>
      <c r="D100" s="1096"/>
      <c r="E100" s="1097"/>
      <c r="F100" s="1090" t="s">
        <v>6282</v>
      </c>
      <c r="G100" s="812" t="s">
        <v>6283</v>
      </c>
      <c r="H100" s="1057">
        <f>SUMIFS($L:$L,O:O,"○",$S:$S,"民生電力以外")</f>
        <v>0</v>
      </c>
      <c r="I100" s="1147"/>
      <c r="J100" s="1121"/>
    </row>
    <row r="101" spans="3:25" s="114" customFormat="1" hidden="1">
      <c r="C101" s="1122"/>
      <c r="D101" s="1105"/>
      <c r="E101" s="1106"/>
      <c r="F101" s="938"/>
      <c r="G101" s="1142"/>
      <c r="H101" s="939"/>
      <c r="I101" s="938"/>
      <c r="J101" s="1123"/>
      <c r="K101" s="1107"/>
      <c r="L101" s="1108"/>
      <c r="M101" s="11"/>
      <c r="N101" s="11"/>
      <c r="O101" s="1108"/>
      <c r="P101" s="1108"/>
    </row>
    <row r="102" spans="3:25" s="114" customFormat="1">
      <c r="C102" s="1122"/>
      <c r="D102" s="1105"/>
      <c r="E102" s="1106"/>
      <c r="F102" s="522"/>
      <c r="G102" s="1132"/>
      <c r="H102" s="524"/>
      <c r="I102" s="522"/>
      <c r="J102" s="1123"/>
      <c r="K102" s="1107"/>
      <c r="L102" s="1108"/>
      <c r="M102" s="11"/>
      <c r="N102" s="11"/>
      <c r="O102" s="1108"/>
      <c r="P102" s="1108"/>
    </row>
    <row r="103" spans="3:25" s="114" customFormat="1">
      <c r="C103" s="1122"/>
      <c r="D103" s="1105"/>
      <c r="E103" s="1106"/>
      <c r="F103" s="522"/>
      <c r="G103" s="1132"/>
      <c r="H103" s="524"/>
      <c r="I103" s="522"/>
      <c r="J103" s="1123"/>
      <c r="K103" s="1107"/>
      <c r="L103" s="1108"/>
      <c r="M103" s="11"/>
      <c r="N103" s="11"/>
      <c r="O103" s="1108"/>
      <c r="P103" s="1108"/>
    </row>
    <row r="104" spans="3:25" s="114" customFormat="1">
      <c r="C104" s="1122"/>
      <c r="D104" s="1105"/>
      <c r="E104" s="1106"/>
      <c r="F104" s="522"/>
      <c r="G104" s="1132"/>
      <c r="H104" s="524"/>
      <c r="I104" s="522"/>
      <c r="J104" s="1123"/>
      <c r="K104" s="1107"/>
      <c r="L104" s="1108"/>
      <c r="M104" s="11"/>
      <c r="N104" s="11"/>
      <c r="O104" s="1108"/>
      <c r="P104" s="1108"/>
    </row>
    <row r="105" spans="3:25" s="114" customFormat="1">
      <c r="C105" s="1122"/>
      <c r="D105" s="1105"/>
      <c r="E105" s="1106"/>
      <c r="F105" s="522"/>
      <c r="G105" s="1132"/>
      <c r="H105" s="524"/>
      <c r="I105" s="522"/>
      <c r="J105" s="1123"/>
      <c r="K105" s="1107"/>
      <c r="L105" s="1108"/>
      <c r="M105" s="11"/>
      <c r="N105" s="11"/>
      <c r="O105" s="1108"/>
      <c r="P105" s="1108"/>
    </row>
    <row r="106" spans="3:25" hidden="1">
      <c r="C106" s="1120"/>
      <c r="D106" s="1111"/>
      <c r="E106" s="1112"/>
      <c r="F106" s="1143"/>
      <c r="G106" s="1145"/>
      <c r="H106" s="1145"/>
      <c r="I106" s="1145"/>
      <c r="J106" s="1121"/>
    </row>
    <row r="107" spans="3:25">
      <c r="C107" s="1124"/>
      <c r="D107" s="1125"/>
      <c r="E107" s="1126"/>
      <c r="F107" s="1127"/>
      <c r="G107" s="1128"/>
      <c r="H107" s="1128"/>
      <c r="I107" s="1128"/>
      <c r="J107" s="1129"/>
    </row>
    <row r="110" spans="3:25" ht="22.5">
      <c r="F110" s="955" t="s">
        <v>6320</v>
      </c>
    </row>
    <row r="111" spans="3:25" ht="20">
      <c r="F111" s="1242" t="s">
        <v>6321</v>
      </c>
    </row>
    <row r="112" spans="3:25" ht="20">
      <c r="F112" s="1242" t="s">
        <v>6322</v>
      </c>
      <c r="R112" s="175" t="s">
        <v>453</v>
      </c>
      <c r="S112" s="331" t="s">
        <v>229</v>
      </c>
      <c r="T112" s="331" t="s">
        <v>119</v>
      </c>
      <c r="U112" s="175" t="s">
        <v>122</v>
      </c>
      <c r="V112" s="331" t="s">
        <v>229</v>
      </c>
      <c r="W112" s="331" t="s">
        <v>119</v>
      </c>
      <c r="X112" s="175" t="s">
        <v>122</v>
      </c>
      <c r="Y112" s="175" t="s">
        <v>493</v>
      </c>
    </row>
    <row r="113" spans="3:25">
      <c r="F113" s="290" t="s">
        <v>6323</v>
      </c>
      <c r="G113" s="323"/>
      <c r="H113" s="88"/>
      <c r="I113" s="88"/>
      <c r="J113" s="88"/>
      <c r="R113" s="331">
        <f ca="1">PRODUCT(S113:Y113)</f>
        <v>1</v>
      </c>
      <c r="S113" s="175">
        <f>(SUM($I$9:$I$80)=I81)*1</f>
        <v>1</v>
      </c>
      <c r="T113" s="175">
        <f>IFERROR((SUMIF(D:D,"民生電力",H:H)=$I$82)*1,0)</f>
        <v>1</v>
      </c>
      <c r="U113" s="175">
        <f>IFERROR((SUMIF(D:D,"民生電力以外",H:H)=$I$82)*1,0)</f>
        <v>1</v>
      </c>
      <c r="V113" s="331">
        <f>(L81=L82+L83)*1</f>
        <v>1</v>
      </c>
      <c r="W113" s="331">
        <f ca="1">(SUMIF($S$10:$S$80,T$112,$L$10:$L$80)=$L$82)*1</f>
        <v>1</v>
      </c>
      <c r="X113" s="331">
        <f ca="1">(SUMIF($S$10:$S$80,U$112,$L$10:$L$80)=$L$83)*1</f>
        <v>1</v>
      </c>
      <c r="Y113" s="331">
        <f>PRODUCT($W$9:$W$79)</f>
        <v>1</v>
      </c>
    </row>
    <row r="114" spans="3:25">
      <c r="C114" s="1134" t="s">
        <v>6285</v>
      </c>
      <c r="D114" s="1135"/>
      <c r="F114" s="176" t="s">
        <v>659</v>
      </c>
      <c r="G114" s="1054" t="s">
        <v>660</v>
      </c>
      <c r="H114" s="1055" t="s">
        <v>372</v>
      </c>
      <c r="I114" s="88"/>
      <c r="J114" s="88"/>
    </row>
    <row r="115" spans="3:25" ht="20">
      <c r="C115" s="1136"/>
      <c r="D115" s="1137"/>
      <c r="F115" s="75" t="s">
        <v>6249</v>
      </c>
      <c r="G115" s="1053">
        <f ca="1">'3.4活用想定補助金(事業別)'!$G$28</f>
        <v>0</v>
      </c>
      <c r="H115" s="1348" t="str">
        <f ca="1">IF(AND(G115=G117,G117=G116),"一致","要確認")</f>
        <v>一致</v>
      </c>
      <c r="I115" s="88"/>
      <c r="J115" s="88"/>
    </row>
    <row r="116" spans="3:25" ht="20">
      <c r="C116" s="1136"/>
      <c r="D116" s="1137"/>
      <c r="F116" s="175" t="s">
        <v>6274</v>
      </c>
      <c r="G116" s="408">
        <f ca="1">'3.4費用効率性'!$U$5</f>
        <v>0</v>
      </c>
      <c r="H116" s="1350"/>
      <c r="I116" s="88"/>
      <c r="J116" s="88"/>
    </row>
    <row r="117" spans="3:25" ht="20">
      <c r="C117" s="1138"/>
      <c r="D117" s="1139"/>
      <c r="F117" s="175" t="s">
        <v>6250</v>
      </c>
      <c r="G117" s="408">
        <f>O81</f>
        <v>0</v>
      </c>
      <c r="H117" s="1349"/>
      <c r="I117" s="88"/>
      <c r="J117" s="88"/>
    </row>
    <row r="118" spans="3:25" ht="20">
      <c r="C118" s="1138" t="s">
        <v>6324</v>
      </c>
      <c r="D118" s="1139"/>
      <c r="F118"/>
      <c r="G118" s="2"/>
      <c r="H118" s="88"/>
      <c r="I118" s="88"/>
      <c r="J118" s="88"/>
    </row>
    <row r="119" spans="3:25" ht="22.5">
      <c r="C119" s="1138" t="s">
        <v>6325</v>
      </c>
      <c r="D119" s="1139"/>
      <c r="F119" s="955" t="s">
        <v>6329</v>
      </c>
    </row>
    <row r="120" spans="3:25" ht="20">
      <c r="C120" s="1138" t="s">
        <v>6326</v>
      </c>
      <c r="D120" s="1139"/>
      <c r="F120" s="1242" t="s">
        <v>6321</v>
      </c>
    </row>
    <row r="121" spans="3:25" ht="20">
      <c r="C121" s="1138" t="s">
        <v>6327</v>
      </c>
      <c r="D121" s="1139"/>
      <c r="F121" s="1242" t="s">
        <v>6322</v>
      </c>
    </row>
    <row r="122" spans="3:25" ht="20">
      <c r="C122" s="1243" t="s">
        <v>6328</v>
      </c>
      <c r="D122" s="1139"/>
      <c r="F122" s="290" t="s">
        <v>6323</v>
      </c>
      <c r="G122" s="2"/>
      <c r="H122" s="88"/>
      <c r="I122" s="88"/>
      <c r="J122" s="88"/>
    </row>
    <row r="123" spans="3:25" ht="20">
      <c r="C123" s="1138"/>
      <c r="D123" s="1139"/>
      <c r="F123" s="176" t="s">
        <v>659</v>
      </c>
      <c r="G123" s="1054" t="s">
        <v>660</v>
      </c>
      <c r="H123" s="1055" t="s">
        <v>372</v>
      </c>
      <c r="I123" s="88"/>
      <c r="J123" s="88"/>
    </row>
    <row r="124" spans="3:25" ht="20">
      <c r="C124" s="1136"/>
      <c r="D124" s="1137"/>
      <c r="F124" s="75" t="s">
        <v>6249</v>
      </c>
      <c r="G124" s="1053">
        <f ca="1">'3.4活用想定補助金(事業別)'!$H$28</f>
        <v>0</v>
      </c>
      <c r="H124" s="1348" t="str">
        <f ca="1">IF(G124=G125,"一致","要確認")</f>
        <v>一致</v>
      </c>
      <c r="I124" s="88"/>
      <c r="J124" s="88"/>
    </row>
    <row r="125" spans="3:25" ht="20">
      <c r="C125" s="1140"/>
      <c r="D125" s="1141"/>
      <c r="F125" s="175" t="s">
        <v>6251</v>
      </c>
      <c r="G125" s="408">
        <f>$P$81</f>
        <v>0</v>
      </c>
      <c r="H125" s="1349"/>
      <c r="I125" s="88"/>
      <c r="J125" s="88"/>
    </row>
  </sheetData>
  <sheetProtection algorithmName="SHA-512" hashValue="jVa6QzGg0w4Xds74CqrwjxRr5YCLzUvoeOY2kwN7d8wfVJUdw+SHZ+5+V923RpXOG7V0gqhBol0C6LVlArTUcQ==" saltValue="DQhz+UqdhFzE5KcOAw/wDg==" spinCount="100000" sheet="1" formatCells="0" insertRows="0" deleteRows="0"/>
  <mergeCells count="2">
    <mergeCell ref="H124:H125"/>
    <mergeCell ref="H115:H117"/>
  </mergeCells>
  <phoneticPr fontId="1"/>
  <conditionalFormatting sqref="C10:L80 O10:P80">
    <cfRule type="expression" dxfId="2677" priority="10">
      <formula>$R10=""</formula>
    </cfRule>
  </conditionalFormatting>
  <conditionalFormatting sqref="E9:G80 O9:P80">
    <cfRule type="notContainsBlanks" dxfId="2676" priority="5">
      <formula>LEN(TRIM(E9))&gt;0</formula>
    </cfRule>
  </conditionalFormatting>
  <conditionalFormatting sqref="F101:I106">
    <cfRule type="notContainsBlanks" dxfId="2675" priority="2">
      <formula>LEN(TRIM(F101))&gt;0</formula>
    </cfRule>
  </conditionalFormatting>
  <conditionalFormatting sqref="H90:H105">
    <cfRule type="cellIs" dxfId="2674" priority="1" operator="notEqual">
      <formula>0</formula>
    </cfRule>
  </conditionalFormatting>
  <conditionalFormatting sqref="H9:I79">
    <cfRule type="expression" dxfId="2673" priority="9">
      <formula>H9&lt;&gt;U9</formula>
    </cfRule>
  </conditionalFormatting>
  <conditionalFormatting sqref="I21 H23 H28">
    <cfRule type="cellIs" dxfId="2672" priority="16" operator="greaterThan">
      <formula>0</formula>
    </cfRule>
  </conditionalFormatting>
  <conditionalFormatting sqref="I33 H35 H40">
    <cfRule type="cellIs" dxfId="2671" priority="15" operator="greaterThan">
      <formula>0</formula>
    </cfRule>
  </conditionalFormatting>
  <conditionalFormatting sqref="I45 H47 H52">
    <cfRule type="cellIs" dxfId="2670" priority="14" operator="greaterThan">
      <formula>0</formula>
    </cfRule>
  </conditionalFormatting>
  <conditionalFormatting sqref="I57 H59 H64">
    <cfRule type="cellIs" dxfId="2669" priority="13" operator="greaterThan">
      <formula>0</formula>
    </cfRule>
  </conditionalFormatting>
  <conditionalFormatting sqref="I69 H71 H76">
    <cfRule type="cellIs" dxfId="2668" priority="11" operator="greaterThan">
      <formula>0</formula>
    </cfRule>
  </conditionalFormatting>
  <conditionalFormatting sqref="I81:I83 L81:L83 O81:P81">
    <cfRule type="cellIs" dxfId="2667" priority="8" operator="notEqual">
      <formula>0</formula>
    </cfRule>
  </conditionalFormatting>
  <conditionalFormatting sqref="I81:I83">
    <cfRule type="expression" dxfId="2666" priority="7">
      <formula>$I81&lt;&gt;$U81</formula>
    </cfRule>
  </conditionalFormatting>
  <conditionalFormatting sqref="I91 F92:I97 I100">
    <cfRule type="notContainsBlanks" dxfId="2665" priority="3">
      <formula>LEN(TRIM(F91))&gt;0</formula>
    </cfRule>
  </conditionalFormatting>
  <conditionalFormatting sqref="J9:L79 H11 H16 I9">
    <cfRule type="cellIs" dxfId="2664" priority="17" operator="greaterThan">
      <formula>0</formula>
    </cfRule>
  </conditionalFormatting>
  <conditionalFormatting sqref="L81:L83">
    <cfRule type="expression" dxfId="2663" priority="6">
      <formula>$L81&lt;&gt;$V81</formula>
    </cfRule>
  </conditionalFormatting>
  <dataValidations count="2">
    <dataValidation type="decimal" operator="greaterThanOrEqual" allowBlank="1" showInputMessage="1" showErrorMessage="1" error="数値で入力してください" sqref="L9:L79 G9:G81 O81:P81" xr:uid="{E89B9F4B-F381-4B6F-A59C-495A96721330}">
      <formula1>0</formula1>
    </dataValidation>
    <dataValidation type="list" allowBlank="1" showInputMessage="1" showErrorMessage="1" sqref="O70:P80 O58:P68 O46:P55 O34:P44 O22:P32 O10:P20" xr:uid="{FC125A40-9DD0-4C14-B010-6EB5595A3CC0}">
      <formula1>"○"</formula1>
    </dataValidation>
  </dataValidations>
  <pageMargins left="0.82677165354330717" right="0.70866141732283472" top="1.1811023622047245" bottom="0.74803149606299213" header="0.23622047244094491" footer="0.31496062992125984"/>
  <pageSetup paperSize="9" scale="28" orientation="landscape" r:id="rId1"/>
  <rowBreaks count="1" manualBreakCount="1">
    <brk id="110" max="16383" man="1"/>
  </rowBreaks>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184B-AA6B-4050-863E-2F1116135452}">
  <sheetPr codeName="Sheet4">
    <tabColor theme="7" tint="0.79998168889431442"/>
    <pageSetUpPr autoPageBreaks="0" fitToPage="1"/>
  </sheetPr>
  <dimension ref="A1:P23"/>
  <sheetViews>
    <sheetView showGridLines="0" zoomScale="85" zoomScaleNormal="85" zoomScaleSheetLayoutView="90" workbookViewId="0">
      <selection activeCell="H28" sqref="H28"/>
    </sheetView>
  </sheetViews>
  <sheetFormatPr defaultColWidth="9" defaultRowHeight="18"/>
  <cols>
    <col min="1" max="2" width="2.58203125" style="13" customWidth="1"/>
    <col min="3" max="3" width="2.33203125" style="13" customWidth="1"/>
    <col min="4" max="4" width="21.5" style="13" customWidth="1"/>
    <col min="5" max="5" width="20.83203125" style="13" customWidth="1"/>
    <col min="6" max="6" width="12.33203125" style="13" customWidth="1"/>
    <col min="7" max="7" width="59.08203125" style="13" customWidth="1"/>
    <col min="8" max="8" width="17.83203125" style="13" customWidth="1"/>
    <col min="9" max="9" width="59.08203125" style="13" customWidth="1"/>
    <col min="10" max="10" width="12.58203125" style="13" customWidth="1"/>
    <col min="11" max="11" width="2.33203125" style="13" customWidth="1"/>
    <col min="12" max="12" width="9" style="13" customWidth="1"/>
    <col min="13" max="14" width="13.75" hidden="1" customWidth="1"/>
    <col min="15" max="15" width="14.58203125" hidden="1" customWidth="1"/>
    <col min="16" max="16" width="9" hidden="1" customWidth="1"/>
  </cols>
  <sheetData>
    <row r="1" spans="1:16" ht="24" customHeight="1">
      <c r="A1" s="44" t="s">
        <v>340</v>
      </c>
      <c r="C1"/>
    </row>
    <row r="2" spans="1:16" ht="48" customHeight="1">
      <c r="B2" s="1351" t="s">
        <v>497</v>
      </c>
      <c r="C2" s="1351"/>
      <c r="D2" s="1351"/>
      <c r="E2" s="1351"/>
      <c r="F2" s="1351"/>
      <c r="G2" s="1351"/>
      <c r="H2" s="1351"/>
      <c r="I2" s="1351"/>
      <c r="J2" s="1351"/>
    </row>
    <row r="3" spans="1:16" ht="17.25" customHeight="1">
      <c r="C3" s="230"/>
      <c r="D3" s="230"/>
      <c r="E3" s="230"/>
      <c r="F3" s="230"/>
      <c r="G3" s="230"/>
      <c r="H3" s="230"/>
      <c r="I3" s="230"/>
      <c r="J3" s="230"/>
    </row>
    <row r="4" spans="1:16" ht="14.25" customHeight="1">
      <c r="C4" s="234"/>
      <c r="D4" s="15"/>
      <c r="E4" s="15"/>
      <c r="F4" s="15"/>
      <c r="G4" s="15"/>
      <c r="H4" s="15"/>
      <c r="I4" s="15"/>
      <c r="J4" s="15"/>
      <c r="K4" s="30"/>
    </row>
    <row r="5" spans="1:16" ht="5.25" customHeight="1">
      <c r="C5" s="237"/>
      <c r="K5" s="19"/>
    </row>
    <row r="6" spans="1:16" ht="42" customHeight="1">
      <c r="C6" s="16"/>
      <c r="D6" s="1352" t="s">
        <v>96</v>
      </c>
      <c r="E6" s="1352" t="s">
        <v>134</v>
      </c>
      <c r="F6" s="340" t="s">
        <v>99</v>
      </c>
      <c r="G6" s="341"/>
      <c r="H6" s="340" t="s">
        <v>135</v>
      </c>
      <c r="I6" s="342"/>
      <c r="J6" s="1352" t="s">
        <v>136</v>
      </c>
      <c r="K6" s="19"/>
      <c r="M6" t="s">
        <v>314</v>
      </c>
      <c r="P6">
        <f ca="1">PRODUCT($P$8:$P$22)</f>
        <v>1</v>
      </c>
    </row>
    <row r="7" spans="1:16" ht="36.75" customHeight="1">
      <c r="C7" s="16"/>
      <c r="D7" s="1353"/>
      <c r="E7" s="1353"/>
      <c r="F7" s="319" t="s">
        <v>88</v>
      </c>
      <c r="G7" s="319" t="s">
        <v>89</v>
      </c>
      <c r="H7" s="238" t="s">
        <v>95</v>
      </c>
      <c r="I7" s="238" t="s">
        <v>94</v>
      </c>
      <c r="J7" s="1353"/>
      <c r="K7" s="19"/>
      <c r="M7" s="421" t="s">
        <v>134</v>
      </c>
      <c r="N7" s="175" t="s">
        <v>485</v>
      </c>
      <c r="O7" s="421" t="s">
        <v>484</v>
      </c>
      <c r="P7" s="255" t="s">
        <v>419</v>
      </c>
    </row>
    <row r="8" spans="1:16" s="11" customFormat="1" ht="18.75" hidden="1" customHeight="1">
      <c r="A8" s="21"/>
      <c r="B8" s="21"/>
      <c r="C8" s="36"/>
      <c r="D8" s="339"/>
      <c r="E8" s="187"/>
      <c r="F8" s="187"/>
      <c r="G8" s="187"/>
      <c r="H8" s="339"/>
      <c r="I8" s="339"/>
      <c r="J8" s="62">
        <f>E8-H8</f>
        <v>0</v>
      </c>
      <c r="K8" s="24"/>
      <c r="L8" s="21"/>
      <c r="M8" s="437"/>
      <c r="N8" s="320"/>
      <c r="O8" s="255">
        <f t="shared" ref="O8" si="0">E8-J8</f>
        <v>0</v>
      </c>
      <c r="P8" s="255">
        <f t="shared" ref="P8:P21" si="1">(J8=O8)*1</f>
        <v>1</v>
      </c>
    </row>
    <row r="9" spans="1:16" s="11" customFormat="1">
      <c r="A9" s="21"/>
      <c r="B9" s="21"/>
      <c r="C9" s="36"/>
      <c r="D9" s="60"/>
      <c r="E9" s="62"/>
      <c r="F9" s="83"/>
      <c r="G9" s="59"/>
      <c r="H9" s="61"/>
      <c r="I9" s="59"/>
      <c r="J9" s="62">
        <f t="shared" ref="J9:J21" si="2">E9-H9</f>
        <v>0</v>
      </c>
      <c r="K9" s="24"/>
      <c r="L9" s="21"/>
      <c r="M9" s="320"/>
      <c r="N9" s="320"/>
      <c r="O9" s="213">
        <f>E9-H9</f>
        <v>0</v>
      </c>
      <c r="P9" s="255">
        <f t="shared" si="1"/>
        <v>1</v>
      </c>
    </row>
    <row r="10" spans="1:16" s="11" customFormat="1">
      <c r="A10" s="21"/>
      <c r="B10" s="21"/>
      <c r="C10" s="36"/>
      <c r="D10" s="60"/>
      <c r="E10" s="62"/>
      <c r="F10" s="83"/>
      <c r="G10" s="59"/>
      <c r="H10" s="61"/>
      <c r="I10" s="59"/>
      <c r="J10" s="62">
        <f t="shared" ref="J10:J11" si="3">E10-H10</f>
        <v>0</v>
      </c>
      <c r="K10" s="24"/>
      <c r="L10" s="21"/>
      <c r="M10" s="320"/>
      <c r="N10" s="320"/>
      <c r="O10" s="255">
        <f t="shared" ref="O10:O21" si="4">E10-H10</f>
        <v>0</v>
      </c>
      <c r="P10" s="255">
        <f t="shared" si="1"/>
        <v>1</v>
      </c>
    </row>
    <row r="11" spans="1:16" s="11" customFormat="1">
      <c r="A11" s="21"/>
      <c r="B11" s="21"/>
      <c r="C11" s="36"/>
      <c r="D11" s="60"/>
      <c r="E11" s="62"/>
      <c r="F11" s="83"/>
      <c r="G11" s="59"/>
      <c r="H11" s="61"/>
      <c r="I11" s="59"/>
      <c r="J11" s="62">
        <f t="shared" si="3"/>
        <v>0</v>
      </c>
      <c r="K11" s="24"/>
      <c r="L11" s="21"/>
      <c r="M11" s="320"/>
      <c r="N11" s="320"/>
      <c r="O11" s="255">
        <f t="shared" si="4"/>
        <v>0</v>
      </c>
      <c r="P11" s="255">
        <f t="shared" si="1"/>
        <v>1</v>
      </c>
    </row>
    <row r="12" spans="1:16" s="11" customFormat="1">
      <c r="A12" s="21"/>
      <c r="B12" s="21"/>
      <c r="C12" s="36"/>
      <c r="D12" s="60"/>
      <c r="E12" s="62"/>
      <c r="F12" s="83"/>
      <c r="G12" s="59"/>
      <c r="H12" s="61"/>
      <c r="I12" s="59"/>
      <c r="J12" s="62">
        <f t="shared" si="2"/>
        <v>0</v>
      </c>
      <c r="K12" s="24"/>
      <c r="L12" s="21"/>
      <c r="M12" s="320"/>
      <c r="N12" s="320"/>
      <c r="O12" s="255">
        <f t="shared" si="4"/>
        <v>0</v>
      </c>
      <c r="P12" s="255">
        <f t="shared" si="1"/>
        <v>1</v>
      </c>
    </row>
    <row r="13" spans="1:16" s="11" customFormat="1">
      <c r="A13" s="21"/>
      <c r="B13" s="21"/>
      <c r="C13" s="36"/>
      <c r="D13" s="60"/>
      <c r="E13" s="62"/>
      <c r="F13" s="83"/>
      <c r="G13" s="59"/>
      <c r="H13" s="61"/>
      <c r="I13" s="59"/>
      <c r="J13" s="62">
        <f t="shared" si="2"/>
        <v>0</v>
      </c>
      <c r="K13" s="24"/>
      <c r="L13" s="21"/>
      <c r="M13" s="320"/>
      <c r="N13" s="320"/>
      <c r="O13" s="255">
        <f t="shared" si="4"/>
        <v>0</v>
      </c>
      <c r="P13" s="255">
        <f t="shared" si="1"/>
        <v>1</v>
      </c>
    </row>
    <row r="14" spans="1:16" s="11" customFormat="1">
      <c r="A14" s="21"/>
      <c r="B14" s="21"/>
      <c r="C14" s="36"/>
      <c r="D14" s="60"/>
      <c r="E14" s="62"/>
      <c r="F14" s="83"/>
      <c r="G14" s="59"/>
      <c r="H14" s="61"/>
      <c r="I14" s="59"/>
      <c r="J14" s="62">
        <f t="shared" ref="J14:J15" si="5">E14-H14</f>
        <v>0</v>
      </c>
      <c r="K14" s="24"/>
      <c r="L14" s="21"/>
      <c r="M14" s="320"/>
      <c r="N14" s="320"/>
      <c r="O14" s="255">
        <f t="shared" si="4"/>
        <v>0</v>
      </c>
      <c r="P14" s="255">
        <f t="shared" si="1"/>
        <v>1</v>
      </c>
    </row>
    <row r="15" spans="1:16" s="11" customFormat="1">
      <c r="A15" s="21"/>
      <c r="B15" s="21"/>
      <c r="C15" s="36"/>
      <c r="D15" s="60"/>
      <c r="E15" s="62"/>
      <c r="F15" s="83"/>
      <c r="G15" s="59"/>
      <c r="H15" s="61"/>
      <c r="I15" s="59"/>
      <c r="J15" s="62">
        <f t="shared" si="5"/>
        <v>0</v>
      </c>
      <c r="K15" s="24"/>
      <c r="L15" s="21"/>
      <c r="M15" s="320"/>
      <c r="N15" s="320"/>
      <c r="O15" s="255">
        <f t="shared" si="4"/>
        <v>0</v>
      </c>
      <c r="P15" s="255">
        <f t="shared" si="1"/>
        <v>1</v>
      </c>
    </row>
    <row r="16" spans="1:16" s="11" customFormat="1">
      <c r="A16" s="21"/>
      <c r="B16" s="21"/>
      <c r="C16" s="36"/>
      <c r="D16" s="60"/>
      <c r="E16" s="62"/>
      <c r="F16" s="83"/>
      <c r="G16" s="59"/>
      <c r="H16" s="61"/>
      <c r="I16" s="59"/>
      <c r="J16" s="62">
        <f t="shared" si="2"/>
        <v>0</v>
      </c>
      <c r="K16" s="24"/>
      <c r="L16" s="21"/>
      <c r="M16" s="320"/>
      <c r="N16" s="320"/>
      <c r="O16" s="255">
        <f t="shared" si="4"/>
        <v>0</v>
      </c>
      <c r="P16" s="255">
        <f t="shared" si="1"/>
        <v>1</v>
      </c>
    </row>
    <row r="17" spans="1:16" s="11" customFormat="1">
      <c r="A17" s="21"/>
      <c r="B17" s="21"/>
      <c r="C17" s="36"/>
      <c r="D17" s="60"/>
      <c r="E17" s="62"/>
      <c r="F17" s="83"/>
      <c r="G17" s="59"/>
      <c r="H17" s="61"/>
      <c r="I17" s="59"/>
      <c r="J17" s="62">
        <f t="shared" si="2"/>
        <v>0</v>
      </c>
      <c r="K17" s="24"/>
      <c r="L17" s="21"/>
      <c r="M17" s="320"/>
      <c r="N17" s="320"/>
      <c r="O17" s="255">
        <f t="shared" si="4"/>
        <v>0</v>
      </c>
      <c r="P17" s="255">
        <f t="shared" si="1"/>
        <v>1</v>
      </c>
    </row>
    <row r="18" spans="1:16" s="11" customFormat="1">
      <c r="A18" s="21"/>
      <c r="B18" s="21"/>
      <c r="C18" s="36"/>
      <c r="D18" s="60"/>
      <c r="E18" s="62"/>
      <c r="F18" s="83"/>
      <c r="G18" s="59"/>
      <c r="H18" s="61"/>
      <c r="I18" s="59"/>
      <c r="J18" s="62">
        <f t="shared" ref="J18:J19" si="6">E18-H18</f>
        <v>0</v>
      </c>
      <c r="K18" s="24"/>
      <c r="L18" s="21"/>
      <c r="M18" s="320"/>
      <c r="N18" s="320"/>
      <c r="O18" s="255">
        <f t="shared" si="4"/>
        <v>0</v>
      </c>
      <c r="P18" s="255">
        <f t="shared" si="1"/>
        <v>1</v>
      </c>
    </row>
    <row r="19" spans="1:16" s="11" customFormat="1">
      <c r="A19" s="21"/>
      <c r="B19" s="21"/>
      <c r="C19" s="36"/>
      <c r="D19" s="60"/>
      <c r="E19" s="62"/>
      <c r="F19" s="83"/>
      <c r="G19" s="59"/>
      <c r="H19" s="61"/>
      <c r="I19" s="59"/>
      <c r="J19" s="62">
        <f t="shared" si="6"/>
        <v>0</v>
      </c>
      <c r="K19" s="24"/>
      <c r="L19" s="21"/>
      <c r="M19" s="320"/>
      <c r="N19" s="320"/>
      <c r="O19" s="213">
        <f t="shared" si="4"/>
        <v>0</v>
      </c>
      <c r="P19" s="255">
        <f t="shared" si="1"/>
        <v>1</v>
      </c>
    </row>
    <row r="20" spans="1:16" s="11" customFormat="1">
      <c r="A20" s="21"/>
      <c r="B20" s="21"/>
      <c r="C20" s="36"/>
      <c r="D20" s="60"/>
      <c r="E20" s="62"/>
      <c r="F20" s="83"/>
      <c r="G20" s="59"/>
      <c r="H20" s="61"/>
      <c r="I20" s="59"/>
      <c r="J20" s="62">
        <f t="shared" si="2"/>
        <v>0</v>
      </c>
      <c r="K20" s="24"/>
      <c r="L20" s="21"/>
      <c r="M20" s="320"/>
      <c r="N20" s="320"/>
      <c r="O20" s="213">
        <f t="shared" si="4"/>
        <v>0</v>
      </c>
      <c r="P20" s="255">
        <f t="shared" si="1"/>
        <v>1</v>
      </c>
    </row>
    <row r="21" spans="1:16" s="11" customFormat="1">
      <c r="A21" s="21"/>
      <c r="B21" s="21"/>
      <c r="C21" s="36"/>
      <c r="D21" s="60"/>
      <c r="E21" s="62"/>
      <c r="F21" s="83"/>
      <c r="G21" s="59"/>
      <c r="H21" s="61"/>
      <c r="I21" s="59"/>
      <c r="J21" s="62">
        <f t="shared" si="2"/>
        <v>0</v>
      </c>
      <c r="K21" s="24"/>
      <c r="L21" s="21"/>
      <c r="M21" s="320"/>
      <c r="N21" s="320"/>
      <c r="O21" s="213">
        <f t="shared" si="4"/>
        <v>0</v>
      </c>
      <c r="P21" s="255">
        <f t="shared" si="1"/>
        <v>1</v>
      </c>
    </row>
    <row r="22" spans="1:16">
      <c r="C22" s="32"/>
      <c r="D22" s="239" t="s">
        <v>26</v>
      </c>
      <c r="E22" s="282">
        <f ca="1">SUM(OFFSET(E$8,0,0,ROW()-ROW(E$8),1))</f>
        <v>0</v>
      </c>
      <c r="F22" s="240"/>
      <c r="G22" s="240"/>
      <c r="H22" s="282">
        <f ca="1">SUM(OFFSET(H8,0,0,ROW()-ROW(H8),1))</f>
        <v>0</v>
      </c>
      <c r="I22" s="240"/>
      <c r="J22" s="282">
        <f ca="1">SUM(OFFSET(J$8,0,0,ROW()-ROW(J$8),1))</f>
        <v>0</v>
      </c>
      <c r="K22" s="343"/>
      <c r="M22" s="175">
        <f ca="1">SUM(OFFSET(E$8,0,0,ROW()-ROW(E$8),1))</f>
        <v>0</v>
      </c>
      <c r="N22" s="175">
        <f ca="1">SUM(OFFSET(H$8,0,0,ROW()-ROW(H$8),1))</f>
        <v>0</v>
      </c>
      <c r="O22" s="175">
        <f ca="1">SUM(OFFSET(J$8,0,0,ROW()-ROW(J$8),1))</f>
        <v>0</v>
      </c>
      <c r="P22" s="255">
        <f ca="1">(IF(AND(E22=M22,H22=N22,J22=O22),1,0))</f>
        <v>1</v>
      </c>
    </row>
    <row r="23" spans="1:16" ht="15" customHeight="1">
      <c r="C23" s="46"/>
      <c r="D23" s="26"/>
      <c r="E23" s="34"/>
      <c r="F23" s="34"/>
      <c r="G23" s="34"/>
      <c r="H23" s="34"/>
      <c r="I23" s="34"/>
      <c r="J23" s="26"/>
      <c r="K23" s="27"/>
    </row>
  </sheetData>
  <sheetProtection algorithmName="SHA-512" hashValue="WioIX76Ep0lxKkV8R0uB2DYXzfL4yaOMnvmvjuJ1Ifs8C5skFZ3G/+//Hfa+XXJBtrYePPGjCcjrOPJpKXtAdg==" saltValue="u/RAfldAgKWmMDM21MSF/g==" spinCount="100000" sheet="1" formatCells="0" insertRows="0" deleteRows="0"/>
  <mergeCells count="4">
    <mergeCell ref="B2:J2"/>
    <mergeCell ref="D6:D7"/>
    <mergeCell ref="E6:E7"/>
    <mergeCell ref="J6:J7"/>
  </mergeCells>
  <phoneticPr fontId="1"/>
  <conditionalFormatting sqref="D8:I21">
    <cfRule type="containsBlanks" dxfId="2662" priority="5">
      <formula>LEN(TRIM(D8))=0</formula>
    </cfRule>
  </conditionalFormatting>
  <conditionalFormatting sqref="D8:J21">
    <cfRule type="expression" dxfId="2661" priority="3">
      <formula>$O8=""</formula>
    </cfRule>
  </conditionalFormatting>
  <conditionalFormatting sqref="E22">
    <cfRule type="expression" dxfId="2660" priority="2">
      <formula>$E$22&lt;&gt;$M$22</formula>
    </cfRule>
  </conditionalFormatting>
  <conditionalFormatting sqref="H22">
    <cfRule type="expression" dxfId="2659" priority="1">
      <formula>$H$22&lt;&gt;$N$22</formula>
    </cfRule>
  </conditionalFormatting>
  <conditionalFormatting sqref="J8:J22 E22 H22">
    <cfRule type="cellIs" dxfId="2658" priority="23" operator="equal">
      <formula>0</formula>
    </cfRule>
  </conditionalFormatting>
  <conditionalFormatting sqref="J8:J22">
    <cfRule type="expression" dxfId="2657" priority="4322">
      <formula>$J8&lt;&gt;$O8</formula>
    </cfRule>
  </conditionalFormatting>
  <dataValidations count="3">
    <dataValidation type="list" allowBlank="1" showInputMessage="1" showErrorMessage="1" sqref="D8:D21" xr:uid="{A65E60EF-97FD-43B0-8F9C-EE36D5201886}">
      <formula1>"太陽光発電,水力発電,風力発電,地熱発電,木質バイオマス発電,バイオマス発電,バイオガス発電,廃棄物発電,その他発電"</formula1>
    </dataValidation>
    <dataValidation type="list" allowBlank="1" showInputMessage="1" showErrorMessage="1" sqref="F8:F21" xr:uid="{614318CA-FB74-4415-A074-A8832837C22B}">
      <formula1>"済,一部済"</formula1>
    </dataValidation>
    <dataValidation type="decimal" operator="greaterThanOrEqual" allowBlank="1" showInputMessage="1" showErrorMessage="1" error="数値で入力してください" sqref="E8:E21 H8:H21" xr:uid="{AF2C31DF-90F6-4D4E-8028-56214C8CF831}">
      <formula1>0</formula1>
    </dataValidation>
  </dataValidations>
  <pageMargins left="0.7" right="0.7" top="0.75" bottom="0.75" header="0.3" footer="0.3"/>
  <pageSetup paperSize="8" scale="54" orientation="portrait"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EB45D-4C5A-4C65-BACC-2563F45CAD4C}">
  <sheetPr codeName="Sheet7">
    <tabColor theme="7" tint="0.79998168889431442"/>
    <pageSetUpPr autoPageBreaks="0" fitToPage="1"/>
  </sheetPr>
  <dimension ref="A1:AL211"/>
  <sheetViews>
    <sheetView showGridLines="0" zoomScaleNormal="100" zoomScaleSheetLayoutView="100" workbookViewId="0">
      <selection activeCell="K2" sqref="K2"/>
    </sheetView>
  </sheetViews>
  <sheetFormatPr defaultColWidth="9" defaultRowHeight="18"/>
  <cols>
    <col min="1" max="1" width="2.33203125" customWidth="1"/>
    <col min="2" max="3" width="2.58203125" style="13" customWidth="1"/>
    <col min="4" max="4" width="2.33203125" style="13" customWidth="1"/>
    <col min="5" max="5" width="6.83203125" style="323" customWidth="1"/>
    <col min="6" max="6" width="20.83203125" style="323" customWidth="1"/>
    <col min="7" max="7" width="13.83203125" style="323" bestFit="1" customWidth="1"/>
    <col min="8" max="8" width="12.33203125" style="323" customWidth="1"/>
    <col min="9" max="9" width="16.75" style="323" customWidth="1"/>
    <col min="10" max="10" width="14.08203125" style="323" customWidth="1"/>
    <col min="11" max="11" width="15.25" style="323" customWidth="1"/>
    <col min="12" max="12" width="11.58203125" style="744" customWidth="1"/>
    <col min="13" max="13" width="11.75" style="323" customWidth="1"/>
    <col min="14" max="14" width="11.75" style="336" customWidth="1"/>
    <col min="15" max="15" width="11.75" style="757" customWidth="1"/>
    <col min="16" max="16" width="14.08203125" style="323" bestFit="1" customWidth="1"/>
    <col min="17" max="17" width="14.08203125" style="336" bestFit="1" customWidth="1"/>
    <col min="18" max="19" width="11.75" style="757" customWidth="1"/>
    <col min="20" max="20" width="3.58203125" style="323" customWidth="1"/>
    <col min="21" max="21" width="1.75" style="323" customWidth="1"/>
    <col min="22" max="22" width="9" style="323" customWidth="1"/>
    <col min="24" max="24" width="12.33203125" style="121" hidden="1" customWidth="1"/>
    <col min="25" max="25" width="6.25" style="121" hidden="1" customWidth="1"/>
    <col min="26" max="27" width="9" style="121" hidden="1" customWidth="1"/>
    <col min="28" max="28" width="10.08203125" hidden="1" customWidth="1"/>
    <col min="29" max="30" width="9" hidden="1" customWidth="1"/>
    <col min="31" max="31" width="9" style="259" hidden="1" customWidth="1"/>
    <col min="32" max="36" width="9" hidden="1" customWidth="1"/>
    <col min="37" max="37" width="9" style="259" hidden="1" customWidth="1"/>
    <col min="38" max="38" width="9" hidden="1" customWidth="1"/>
  </cols>
  <sheetData>
    <row r="1" spans="1:38" ht="24" customHeight="1">
      <c r="A1" s="44" t="s">
        <v>341</v>
      </c>
      <c r="C1"/>
    </row>
    <row r="2" spans="1:38">
      <c r="A2" s="13" t="s">
        <v>486</v>
      </c>
      <c r="B2" s="17"/>
      <c r="C2" s="17"/>
      <c r="D2" s="17"/>
      <c r="E2" s="335"/>
      <c r="F2" s="335"/>
      <c r="G2" s="335"/>
      <c r="H2" s="335"/>
      <c r="I2" s="335"/>
      <c r="J2" s="335"/>
      <c r="K2" s="335"/>
      <c r="L2" s="335"/>
      <c r="M2" s="335"/>
      <c r="N2" s="335"/>
      <c r="O2" s="335"/>
      <c r="P2" s="335"/>
      <c r="Q2" s="335"/>
      <c r="R2" s="335"/>
      <c r="S2" s="335"/>
    </row>
    <row r="3" spans="1:38">
      <c r="A3" t="s">
        <v>487</v>
      </c>
      <c r="B3" s="17"/>
      <c r="C3" s="17"/>
      <c r="D3" s="17"/>
      <c r="E3" s="335"/>
      <c r="F3" s="335"/>
      <c r="G3" s="335"/>
      <c r="H3" s="335"/>
      <c r="I3" s="335"/>
      <c r="J3" s="335"/>
      <c r="K3" s="335"/>
      <c r="L3" s="335"/>
      <c r="M3" s="335"/>
      <c r="N3" s="335"/>
      <c r="O3" s="335"/>
      <c r="P3" s="335"/>
      <c r="Q3" s="335"/>
      <c r="R3" s="335"/>
      <c r="S3" s="335"/>
    </row>
    <row r="4" spans="1:38" ht="22.5">
      <c r="D4" s="230"/>
      <c r="E4" s="758"/>
      <c r="F4" s="758"/>
      <c r="G4" s="758"/>
      <c r="H4" s="758"/>
      <c r="I4" s="758"/>
      <c r="J4" s="758"/>
      <c r="K4" s="758"/>
      <c r="L4" s="745"/>
      <c r="M4" s="759"/>
      <c r="N4" s="760"/>
      <c r="O4" s="334"/>
      <c r="P4" s="759"/>
      <c r="Q4" s="760"/>
      <c r="R4" s="761"/>
      <c r="S4" s="761"/>
      <c r="X4" s="121" t="s">
        <v>475</v>
      </c>
      <c r="Y4" s="121" cm="1">
        <f t="array" ref="Y4">IFERROR(_xlfn._xlws.FILTER(1,1),"")</f>
        <v>1</v>
      </c>
    </row>
    <row r="5" spans="1:38" ht="9.75" customHeight="1">
      <c r="D5" s="234"/>
      <c r="E5" s="460"/>
      <c r="F5" s="460"/>
      <c r="G5" s="460"/>
      <c r="H5" s="460"/>
      <c r="I5" s="460"/>
      <c r="J5" s="460"/>
      <c r="K5" s="460"/>
      <c r="L5" s="746"/>
      <c r="M5" s="460"/>
      <c r="N5" s="463"/>
      <c r="O5" s="762"/>
      <c r="P5" s="460"/>
      <c r="Q5" s="463"/>
      <c r="R5" s="762"/>
      <c r="S5" s="762"/>
      <c r="T5" s="763"/>
    </row>
    <row r="6" spans="1:38" ht="24.75" customHeight="1">
      <c r="D6" s="237" t="s">
        <v>7</v>
      </c>
      <c r="T6" s="764"/>
    </row>
    <row r="7" spans="1:38" ht="60">
      <c r="D7" s="16"/>
      <c r="E7" s="1356" t="s">
        <v>8</v>
      </c>
      <c r="F7" s="1357"/>
      <c r="G7" s="735" t="s">
        <v>185</v>
      </c>
      <c r="H7" s="735" t="s">
        <v>180</v>
      </c>
      <c r="I7" s="735" t="s">
        <v>9</v>
      </c>
      <c r="J7" s="325" t="s">
        <v>10</v>
      </c>
      <c r="K7" s="765" t="s">
        <v>11</v>
      </c>
      <c r="L7" s="747" t="s">
        <v>31</v>
      </c>
      <c r="M7" s="735" t="s">
        <v>13</v>
      </c>
      <c r="N7" s="766" t="s">
        <v>82</v>
      </c>
      <c r="O7" s="325" t="s">
        <v>191</v>
      </c>
      <c r="P7" s="735" t="s">
        <v>81</v>
      </c>
      <c r="Q7" s="767" t="s">
        <v>83</v>
      </c>
      <c r="R7" s="765" t="s">
        <v>14</v>
      </c>
      <c r="S7" s="735" t="s">
        <v>297</v>
      </c>
      <c r="T7" s="764"/>
      <c r="V7" s="434" t="s">
        <v>193</v>
      </c>
      <c r="X7" s="303" t="s">
        <v>313</v>
      </c>
      <c r="Y7" s="303" t="s">
        <v>305</v>
      </c>
      <c r="Z7" s="380" t="s">
        <v>315</v>
      </c>
      <c r="AA7" s="303" t="s">
        <v>181</v>
      </c>
      <c r="AB7" s="854" t="s">
        <v>312</v>
      </c>
      <c r="AC7" s="854" t="s">
        <v>219</v>
      </c>
      <c r="AD7" s="713" t="s">
        <v>407</v>
      </c>
      <c r="AE7" s="380" t="s">
        <v>408</v>
      </c>
      <c r="AF7" s="702" t="s">
        <v>409</v>
      </c>
      <c r="AG7" s="702" t="s">
        <v>410</v>
      </c>
      <c r="AH7" s="702" t="s">
        <v>420</v>
      </c>
      <c r="AI7" s="701" t="s">
        <v>297</v>
      </c>
      <c r="AJ7" s="702" t="s">
        <v>193</v>
      </c>
      <c r="AK7" s="380" t="s">
        <v>218</v>
      </c>
      <c r="AL7" s="380" t="s">
        <v>419</v>
      </c>
    </row>
    <row r="8" spans="1:38" ht="18" customHeight="1">
      <c r="D8" s="188"/>
      <c r="E8" s="820" t="s">
        <v>15</v>
      </c>
      <c r="F8" s="768"/>
      <c r="G8" s="769"/>
      <c r="H8" s="770"/>
      <c r="I8" s="770"/>
      <c r="J8" s="770"/>
      <c r="K8" s="770"/>
      <c r="L8" s="723"/>
      <c r="M8" s="726"/>
      <c r="N8" s="892" t="str">
        <f>IF(AND(COUNTBLANK(M8:M15)&lt;=3,COUNTA(M8:M15)=0),0,IF(SUM(M8:M15)=0,"",SUM(M8:M15)))</f>
        <v/>
      </c>
      <c r="O8" s="893"/>
      <c r="P8" s="729"/>
      <c r="Q8" s="892" t="str">
        <f>IF(AND(COUNTBLANK(P8:P15)&lt;=3,COUNTA(P8:P15)=0),0,IF(SUM(P8:P15)=0,"",SUM(P8:P15)))</f>
        <v/>
      </c>
      <c r="R8" s="771"/>
      <c r="S8" s="772"/>
      <c r="T8" s="764"/>
      <c r="V8" s="773"/>
      <c r="X8" s="222" t="s">
        <v>7</v>
      </c>
      <c r="Y8" s="175">
        <f>ROW()-ROW($Y$7)</f>
        <v>1</v>
      </c>
      <c r="Z8" s="175" t="str">
        <f>IF(AA8&lt;&gt;"//",COUNTA($AA$8:AA8)-COUNTIF($AA$8:AA8,"//"),"")</f>
        <v/>
      </c>
      <c r="AA8" s="175" t="str">
        <f t="shared" ref="AA8:AA39" si="0">IF(OR(G8="",G8="施設番号"),"//",G8)</f>
        <v>//</v>
      </c>
      <c r="AB8" s="175">
        <f ca="1">_xlfn.IFNA(IF(COUNTIF('4.1(2)新規再エネ導入予定(FS調査、系統接続検討状況)'!$G:$G,OFFSET($AA$1,MATCH($Y8,$Z:$Z,0)-1,0))=0,OFFSET($AA$1,MATCH($Y8,$Z:$Z,0)-1,0),""),"")</f>
        <v>0</v>
      </c>
      <c r="AC8" s="175">
        <f ca="1">_xlfn.IFNA(IF(COUNTIF('4.1(2)新規再エネ導入予定(合意形成)'!$G:$G,OFFSET($AA$1,MATCH($Y8,$Z:$Z,0)-1,0))=0,OFFSET($AA$1,MATCH($Y8,$Z:$Z,0)-1,0),""),"")</f>
        <v>0</v>
      </c>
      <c r="AD8" s="175" t="str">
        <f ca="1">_xlfn.IFNA(OFFSET('4.1(2)新規再エネ導入予定(FS調査、系統接続検討状況)'!$W$1,MATCH(G8,'4.1(2)新規再エネ導入予定(FS調査、系統接続検討状況)'!G:G,0)-1,0),"//")</f>
        <v>//</v>
      </c>
      <c r="AE8" s="262" t="str">
        <f ca="1">_xlfn.IFNA(OFFSET('4.1(2)新規再エネ導入予定(合意形成)'!$AJ$1,MATCH(G8,'4.1(2)新規再エネ導入予定(合意形成)'!G:G,0)-1,0),"//")</f>
        <v>//</v>
      </c>
      <c r="AF8" s="175">
        <f ca="1">IF(COUNTBLANK($AD8:$AE8)=0,MIN($AD8:$AE8),"")</f>
        <v>0</v>
      </c>
      <c r="AG8" s="215" t="str" cm="1">
        <f t="array" aca="1" ref="AG8" ca="1">IFERROR(_xlfn.IFS(COUNTIF($AB$8:$AC$167,G8)&gt;0,"",AF8&lt;=1,"D",AF8=2,"C",AF8=3,"B",AF8=4,"A"),"")</f>
        <v/>
      </c>
      <c r="AH8" s="175" t="str">
        <f ca="1">_xlfn.IFNA(OFFSET('4.1(2)新規再エネ導入予定(合意形成)'!$Z$1,MATCH($G8,'4.1(2)新規再エネ導入予定(合意形成)'!$G:$G,0)-1,0),"")</f>
        <v/>
      </c>
      <c r="AI8" s="215" t="str">
        <f t="shared" ref="AI8:AI39" si="1">IF(G8="","",AG8)</f>
        <v/>
      </c>
      <c r="AJ8" s="175" t="str">
        <f t="shared" ref="AJ8:AJ71" si="2">IF(D8="【その他発電】","",IF(H8&lt;&gt;"",1,""))</f>
        <v/>
      </c>
      <c r="AK8" s="222" t="str">
        <f>IF(V8&lt;&gt;1,"",SUM($V$8:V8))</f>
        <v/>
      </c>
      <c r="AL8" s="175">
        <f>IF(S8="設備導入の実現可能性",1,IF(AND(S8=AI8,V8=AJ8),1,0))</f>
        <v>1</v>
      </c>
    </row>
    <row r="9" spans="1:38" s="11" customFormat="1" ht="20" hidden="1">
      <c r="B9" s="21"/>
      <c r="C9" s="21"/>
      <c r="D9" s="36"/>
      <c r="E9" s="821"/>
      <c r="F9" s="774"/>
      <c r="G9" s="775"/>
      <c r="H9" s="776"/>
      <c r="I9" s="776"/>
      <c r="J9" s="777"/>
      <c r="K9" s="777"/>
      <c r="L9" s="894"/>
      <c r="M9" s="895"/>
      <c r="N9" s="730"/>
      <c r="O9" s="791"/>
      <c r="P9" s="895"/>
      <c r="Q9" s="730"/>
      <c r="R9" s="776"/>
      <c r="S9" s="778"/>
      <c r="T9" s="779"/>
      <c r="U9" s="114"/>
      <c r="V9" s="780"/>
      <c r="X9" s="125" t="s">
        <v>411</v>
      </c>
      <c r="Y9" s="255">
        <f t="shared" ref="Y9:Y70" si="3">ROW()-ROW($Y$7)</f>
        <v>2</v>
      </c>
      <c r="Z9" s="255" t="str">
        <f>IF(AA9&lt;&gt;"//",COUNTA($AA$8:AA9)-COUNTIF($AA$8:AA9,"//"),"")</f>
        <v/>
      </c>
      <c r="AA9" s="255" t="str">
        <f t="shared" si="0"/>
        <v>//</v>
      </c>
      <c r="AB9" s="255" t="str">
        <f ca="1">_xlfn.IFNA(IF(COUNTIF('4.1(2)新規再エネ導入予定(FS調査、系統接続検討状況)'!$G:$G,OFFSET($AA$1,MATCH($Y9,$Z:$Z,0)-1,0))=0,OFFSET($AA$1,MATCH($Y9,$Z:$Z,0)-1,0),""),"")</f>
        <v/>
      </c>
      <c r="AC9" s="255" t="str">
        <f ca="1">_xlfn.IFNA(IF(COUNTIF('4.1(2)新規再エネ導入予定(合意形成)'!$G:$G,OFFSET($AA$1,MATCH($Y9,$Z:$Z,0)-1,0))=0,OFFSET($AA$1,MATCH($Y9,$Z:$Z,0)-1,0),""),"")</f>
        <v/>
      </c>
      <c r="AD9" s="255" t="str">
        <f ca="1">_xlfn.IFNA(OFFSET('4.1(2)新規再エネ導入予定(FS調査、系統接続検討状況)'!$W$1,MATCH(G9,'4.1(2)新規再エネ導入予定(FS調査、系統接続検討状況)'!G:G,0)-1,0),"//")</f>
        <v>//</v>
      </c>
      <c r="AE9" s="277" t="str">
        <f ca="1">_xlfn.IFNA(OFFSET('4.1(2)新規再エネ導入予定(合意形成)'!$AJ$1,MATCH(G9,'4.1(2)新規再エネ導入予定(合意形成)'!G:G,0)-1,0),"//")</f>
        <v>//</v>
      </c>
      <c r="AF9" s="255">
        <f t="shared" ref="AF9:AF59" ca="1" si="4">IF(COUNTBLANK($AD9:$AE9)=0,MIN($AD9:$AE9),"")</f>
        <v>0</v>
      </c>
      <c r="AG9" s="129" t="str" cm="1">
        <f t="array" aca="1" ref="AG9" ca="1">IFERROR(_xlfn.IFS(COUNTIF($AB$8:$AC$167,G9)&gt;0,"",AF9&lt;=1,"D",AF9=2,"C",AF9=3,"B",AF9=4,"A"),"")</f>
        <v/>
      </c>
      <c r="AH9" s="255" t="str">
        <f ca="1">_xlfn.IFNA(OFFSET('4.1(2)新規再エネ導入予定(合意形成)'!$Z$1,MATCH($G9,'4.1(2)新規再エネ導入予定(合意形成)'!$G:$G,0)-1,0),"")</f>
        <v/>
      </c>
      <c r="AI9" s="129" t="str">
        <f t="shared" si="1"/>
        <v/>
      </c>
      <c r="AJ9" s="255" t="str">
        <f t="shared" si="2"/>
        <v/>
      </c>
      <c r="AK9" s="125" t="str">
        <f>IF(V9&lt;&gt;1,"",SUM($V$8:V9))</f>
        <v/>
      </c>
      <c r="AL9" s="255">
        <f t="shared" ref="AL9:AL72" si="5">IF(S9="設備導入の実現可能性",1,IF(AND(S9=AI9,V9=AJ9),1,0))</f>
        <v>1</v>
      </c>
    </row>
    <row r="10" spans="1:38" s="11" customFormat="1" ht="20">
      <c r="B10" s="21"/>
      <c r="C10" s="21"/>
      <c r="D10" s="36"/>
      <c r="E10" s="821"/>
      <c r="F10" s="781"/>
      <c r="G10" s="782"/>
      <c r="H10" s="783"/>
      <c r="I10" s="783"/>
      <c r="J10" s="784"/>
      <c r="K10" s="784"/>
      <c r="L10" s="896"/>
      <c r="M10" s="897"/>
      <c r="N10" s="731"/>
      <c r="O10" s="788"/>
      <c r="P10" s="897"/>
      <c r="Q10" s="731"/>
      <c r="R10" s="785"/>
      <c r="S10" s="786" t="str">
        <f t="shared" ref="S10:S41" si="6">IF(G10="","",AG10)</f>
        <v/>
      </c>
      <c r="T10" s="779"/>
      <c r="U10" s="114"/>
      <c r="V10" s="787" t="str">
        <f t="shared" ref="V10" si="7">IF(H10&lt;&gt;"",1,"")</f>
        <v/>
      </c>
      <c r="X10" s="125" t="s">
        <v>411</v>
      </c>
      <c r="Y10" s="255">
        <f t="shared" si="3"/>
        <v>3</v>
      </c>
      <c r="Z10" s="255" t="str">
        <f>IF(AA10&lt;&gt;"//",COUNTA($AA$8:AA10)-COUNTIF($AA$8:AA10,"//"),"")</f>
        <v/>
      </c>
      <c r="AA10" s="255" t="str">
        <f t="shared" si="0"/>
        <v>//</v>
      </c>
      <c r="AB10" s="255" t="str">
        <f ca="1">_xlfn.IFNA(IF(COUNTIF('4.1(2)新規再エネ導入予定(FS調査、系統接続検討状況)'!$G:$G,OFFSET($AA$1,MATCH($Y10,$Z:$Z,0)-1,0))=0,OFFSET($AA$1,MATCH($Y10,$Z:$Z,0)-1,0),""),"")</f>
        <v/>
      </c>
      <c r="AC10" s="255" t="str">
        <f ca="1">_xlfn.IFNA(IF(COUNTIF('4.1(2)新規再エネ導入予定(合意形成)'!$G:$G,OFFSET($AA$1,MATCH($Y10,$Z:$Z,0)-1,0))=0,OFFSET($AA$1,MATCH($Y10,$Z:$Z,0)-1,0),""),"")</f>
        <v/>
      </c>
      <c r="AD10" s="255" t="str">
        <f ca="1">_xlfn.IFNA(OFFSET('4.1(2)新規再エネ導入予定(FS調査、系統接続検討状況)'!$W$1,MATCH(G10,'4.1(2)新規再エネ導入予定(FS調査、系統接続検討状況)'!G:G,0)-1,0),"//")</f>
        <v>//</v>
      </c>
      <c r="AE10" s="277" t="str">
        <f ca="1">_xlfn.IFNA(OFFSET('4.1(2)新規再エネ導入予定(合意形成)'!$AJ$1,MATCH(G10,'4.1(2)新規再エネ導入予定(合意形成)'!G:G,0)-1,0),"//")</f>
        <v>//</v>
      </c>
      <c r="AF10" s="255">
        <f t="shared" ca="1" si="4"/>
        <v>0</v>
      </c>
      <c r="AG10" s="129" t="str" cm="1">
        <f t="array" aca="1" ref="AG10" ca="1">IFERROR(_xlfn.IFS(COUNTIF($AB$8:$AC$167,G10)&gt;0,"",AF10&lt;=1,"D",AF10=2,"C",AF10=3,"B",AF10=4,"A"),"")</f>
        <v/>
      </c>
      <c r="AH10" s="255" t="str">
        <f ca="1">_xlfn.IFNA(OFFSET('4.1(2)新規再エネ導入予定(合意形成)'!$Z$1,MATCH($G10,'4.1(2)新規再エネ導入予定(合意形成)'!$G:$G,0)-1,0),"")</f>
        <v/>
      </c>
      <c r="AI10" s="129" t="str">
        <f t="shared" si="1"/>
        <v/>
      </c>
      <c r="AJ10" s="255" t="str">
        <f t="shared" si="2"/>
        <v/>
      </c>
      <c r="AK10" s="125" t="str">
        <f>IF(V10&lt;&gt;1,"",SUM($V$8:V10))</f>
        <v/>
      </c>
      <c r="AL10" s="255">
        <f t="shared" si="5"/>
        <v>1</v>
      </c>
    </row>
    <row r="11" spans="1:38" s="11" customFormat="1" ht="20">
      <c r="B11" s="21"/>
      <c r="C11" s="21"/>
      <c r="D11" s="36"/>
      <c r="E11" s="821"/>
      <c r="F11" s="781"/>
      <c r="G11" s="782"/>
      <c r="H11" s="783"/>
      <c r="I11" s="783"/>
      <c r="J11" s="784"/>
      <c r="K11" s="784"/>
      <c r="L11" s="896"/>
      <c r="M11" s="897"/>
      <c r="N11" s="731"/>
      <c r="O11" s="788"/>
      <c r="P11" s="897"/>
      <c r="Q11" s="731"/>
      <c r="R11" s="785"/>
      <c r="S11" s="786" t="str">
        <f t="shared" si="6"/>
        <v/>
      </c>
      <c r="T11" s="779"/>
      <c r="U11" s="114"/>
      <c r="V11" s="787" t="str">
        <f>IF(H11&lt;&gt;"",1,"")</f>
        <v/>
      </c>
      <c r="X11" s="125" t="s">
        <v>411</v>
      </c>
      <c r="Y11" s="255">
        <f t="shared" si="3"/>
        <v>4</v>
      </c>
      <c r="Z11" s="255" t="str">
        <f>IF(AA11&lt;&gt;"//",COUNTA($AA$8:AA11)-COUNTIF($AA$8:AA11,"//"),"")</f>
        <v/>
      </c>
      <c r="AA11" s="255" t="str">
        <f t="shared" si="0"/>
        <v>//</v>
      </c>
      <c r="AB11" s="255" t="str">
        <f ca="1">_xlfn.IFNA(IF(COUNTIF('4.1(2)新規再エネ導入予定(FS調査、系統接続検討状況)'!$G:$G,OFFSET($AA$1,MATCH($Y11,$Z:$Z,0)-1,0))=0,OFFSET($AA$1,MATCH($Y11,$Z:$Z,0)-1,0),""),"")</f>
        <v/>
      </c>
      <c r="AC11" s="255" t="str">
        <f ca="1">_xlfn.IFNA(IF(COUNTIF('4.1(2)新規再エネ導入予定(合意形成)'!$G:$G,OFFSET($AA$1,MATCH($Y11,$Z:$Z,0)-1,0))=0,OFFSET($AA$1,MATCH($Y11,$Z:$Z,0)-1,0),""),"")</f>
        <v/>
      </c>
      <c r="AD11" s="255" t="str">
        <f ca="1">_xlfn.IFNA(OFFSET('4.1(2)新規再エネ導入予定(FS調査、系統接続検討状況)'!$W$1,MATCH(G11,'4.1(2)新規再エネ導入予定(FS調査、系統接続検討状況)'!G:G,0)-1,0),"//")</f>
        <v>//</v>
      </c>
      <c r="AE11" s="277" t="str">
        <f ca="1">_xlfn.IFNA(OFFSET('4.1(2)新規再エネ導入予定(合意形成)'!$AJ$1,MATCH(G11,'4.1(2)新規再エネ導入予定(合意形成)'!G:G,0)-1,0),"//")</f>
        <v>//</v>
      </c>
      <c r="AF11" s="255">
        <f t="shared" ca="1" si="4"/>
        <v>0</v>
      </c>
      <c r="AG11" s="129" t="str" cm="1">
        <f t="array" aca="1" ref="AG11" ca="1">IFERROR(_xlfn.IFS(COUNTIF($AB$8:$AC$167,G11)&gt;0,"",AF11&lt;=1,"D",AF11=2,"C",AF11=3,"B",AF11=4,"A"),"")</f>
        <v/>
      </c>
      <c r="AH11" s="255" t="str">
        <f ca="1">_xlfn.IFNA(OFFSET('4.1(2)新規再エネ導入予定(合意形成)'!$Z$1,MATCH($G11,'4.1(2)新規再エネ導入予定(合意形成)'!$G:$G,0)-1,0),"")</f>
        <v/>
      </c>
      <c r="AI11" s="129" t="str">
        <f t="shared" si="1"/>
        <v/>
      </c>
      <c r="AJ11" s="255" t="str">
        <f t="shared" si="2"/>
        <v/>
      </c>
      <c r="AK11" s="125" t="str">
        <f>IF(V11&lt;&gt;1,"",SUM($V$8:V11))</f>
        <v/>
      </c>
      <c r="AL11" s="255">
        <f t="shared" si="5"/>
        <v>1</v>
      </c>
    </row>
    <row r="12" spans="1:38" s="11" customFormat="1" ht="20">
      <c r="B12" s="21"/>
      <c r="C12" s="21"/>
      <c r="D12" s="36"/>
      <c r="E12" s="821"/>
      <c r="F12" s="781"/>
      <c r="G12" s="782"/>
      <c r="H12" s="783"/>
      <c r="I12" s="783"/>
      <c r="J12" s="784"/>
      <c r="K12" s="784"/>
      <c r="L12" s="896"/>
      <c r="M12" s="897"/>
      <c r="N12" s="731"/>
      <c r="O12" s="788"/>
      <c r="P12" s="897"/>
      <c r="Q12" s="731"/>
      <c r="R12" s="788"/>
      <c r="S12" s="786" t="str">
        <f t="shared" si="6"/>
        <v/>
      </c>
      <c r="T12" s="779"/>
      <c r="U12" s="114"/>
      <c r="V12" s="787" t="str">
        <f>IF(H12&lt;&gt;"",1,"")</f>
        <v/>
      </c>
      <c r="X12" s="125" t="s">
        <v>411</v>
      </c>
      <c r="Y12" s="255">
        <f t="shared" si="3"/>
        <v>5</v>
      </c>
      <c r="Z12" s="255" t="str">
        <f>IF(AA12&lt;&gt;"//",COUNTA($AA$8:AA12)-COUNTIF($AA$8:AA12,"//"),"")</f>
        <v/>
      </c>
      <c r="AA12" s="255" t="str">
        <f t="shared" si="0"/>
        <v>//</v>
      </c>
      <c r="AB12" s="255" t="str">
        <f ca="1">_xlfn.IFNA(IF(COUNTIF('4.1(2)新規再エネ導入予定(FS調査、系統接続検討状況)'!$G:$G,OFFSET($AA$1,MATCH($Y12,$Z:$Z,0)-1,0))=0,OFFSET($AA$1,MATCH($Y12,$Z:$Z,0)-1,0),""),"")</f>
        <v/>
      </c>
      <c r="AC12" s="255" t="str">
        <f ca="1">_xlfn.IFNA(IF(COUNTIF('4.1(2)新規再エネ導入予定(合意形成)'!$G:$G,OFFSET($AA$1,MATCH($Y12,$Z:$Z,0)-1,0))=0,OFFSET($AA$1,MATCH($Y12,$Z:$Z,0)-1,0),""),"")</f>
        <v/>
      </c>
      <c r="AD12" s="255" t="str">
        <f ca="1">_xlfn.IFNA(OFFSET('4.1(2)新規再エネ導入予定(FS調査、系統接続検討状況)'!$W$1,MATCH(G12,'4.1(2)新規再エネ導入予定(FS調査、系統接続検討状況)'!G:G,0)-1,0),"//")</f>
        <v>//</v>
      </c>
      <c r="AE12" s="277" t="str">
        <f ca="1">_xlfn.IFNA(OFFSET('4.1(2)新規再エネ導入予定(合意形成)'!$AJ$1,MATCH(G12,'4.1(2)新規再エネ導入予定(合意形成)'!G:G,0)-1,0),"//")</f>
        <v>//</v>
      </c>
      <c r="AF12" s="255">
        <f t="shared" ca="1" si="4"/>
        <v>0</v>
      </c>
      <c r="AG12" s="129" t="str" cm="1">
        <f t="array" aca="1" ref="AG12" ca="1">IFERROR(_xlfn.IFS(COUNTIF($AB$8:$AC$167,G12)&gt;0,"",AF12&lt;=1,"D",AF12=2,"C",AF12=3,"B",AF12=4,"A"),"")</f>
        <v/>
      </c>
      <c r="AH12" s="255" t="str">
        <f ca="1">_xlfn.IFNA(OFFSET('4.1(2)新規再エネ導入予定(合意形成)'!$Z$1,MATCH($G12,'4.1(2)新規再エネ導入予定(合意形成)'!$G:$G,0)-1,0),"")</f>
        <v/>
      </c>
      <c r="AI12" s="129" t="str">
        <f t="shared" si="1"/>
        <v/>
      </c>
      <c r="AJ12" s="255" t="str">
        <f t="shared" si="2"/>
        <v/>
      </c>
      <c r="AK12" s="125" t="str">
        <f>IF(V12&lt;&gt;1,"",SUM($V$8:V12))</f>
        <v/>
      </c>
      <c r="AL12" s="255">
        <f t="shared" si="5"/>
        <v>1</v>
      </c>
    </row>
    <row r="13" spans="1:38" s="11" customFormat="1" ht="20">
      <c r="B13" s="21"/>
      <c r="C13" s="21"/>
      <c r="D13" s="36"/>
      <c r="E13" s="821"/>
      <c r="F13" s="781"/>
      <c r="G13" s="782"/>
      <c r="H13" s="783"/>
      <c r="I13" s="783"/>
      <c r="J13" s="784"/>
      <c r="K13" s="784"/>
      <c r="L13" s="896"/>
      <c r="M13" s="897"/>
      <c r="N13" s="731"/>
      <c r="O13" s="788"/>
      <c r="P13" s="897"/>
      <c r="Q13" s="731"/>
      <c r="R13" s="788"/>
      <c r="S13" s="786" t="str">
        <f t="shared" si="6"/>
        <v/>
      </c>
      <c r="T13" s="779"/>
      <c r="U13" s="114"/>
      <c r="V13" s="787" t="str">
        <f t="shared" ref="V13:V69" si="8">IF(H13&lt;&gt;"",1,"")</f>
        <v/>
      </c>
      <c r="X13" s="125" t="s">
        <v>411</v>
      </c>
      <c r="Y13" s="255">
        <f t="shared" si="3"/>
        <v>6</v>
      </c>
      <c r="Z13" s="255" t="str">
        <f>IF(AA13&lt;&gt;"//",COUNTA($AA$8:AA13)-COUNTIF($AA$8:AA13,"//"),"")</f>
        <v/>
      </c>
      <c r="AA13" s="255" t="str">
        <f t="shared" si="0"/>
        <v>//</v>
      </c>
      <c r="AB13" s="255" t="str">
        <f ca="1">_xlfn.IFNA(IF(COUNTIF('4.1(2)新規再エネ導入予定(FS調査、系統接続検討状況)'!$G:$G,OFFSET($AA$1,MATCH($Y13,$Z:$Z,0)-1,0))=0,OFFSET($AA$1,MATCH($Y13,$Z:$Z,0)-1,0),""),"")</f>
        <v/>
      </c>
      <c r="AC13" s="255" t="str">
        <f ca="1">_xlfn.IFNA(IF(COUNTIF('4.1(2)新規再エネ導入予定(合意形成)'!$G:$G,OFFSET($AA$1,MATCH($Y13,$Z:$Z,0)-1,0))=0,OFFSET($AA$1,MATCH($Y13,$Z:$Z,0)-1,0),""),"")</f>
        <v/>
      </c>
      <c r="AD13" s="255" t="str">
        <f ca="1">_xlfn.IFNA(OFFSET('4.1(2)新規再エネ導入予定(FS調査、系統接続検討状況)'!$W$1,MATCH(G13,'4.1(2)新規再エネ導入予定(FS調査、系統接続検討状況)'!G:G,0)-1,0),"//")</f>
        <v>//</v>
      </c>
      <c r="AE13" s="277" t="str">
        <f ca="1">_xlfn.IFNA(OFFSET('4.1(2)新規再エネ導入予定(合意形成)'!$AJ$1,MATCH(G13,'4.1(2)新規再エネ導入予定(合意形成)'!G:G,0)-1,0),"//")</f>
        <v>//</v>
      </c>
      <c r="AF13" s="255">
        <f t="shared" ca="1" si="4"/>
        <v>0</v>
      </c>
      <c r="AG13" s="129" t="str" cm="1">
        <f t="array" aca="1" ref="AG13" ca="1">IFERROR(_xlfn.IFS(COUNTIF($AB$8:$AC$167,G13)&gt;0,"",AF13&lt;=1,"D",AF13=2,"C",AF13=3,"B",AF13=4,"A"),"")</f>
        <v/>
      </c>
      <c r="AH13" s="255" t="str">
        <f ca="1">_xlfn.IFNA(OFFSET('4.1(2)新規再エネ導入予定(合意形成)'!$Z$1,MATCH($G13,'4.1(2)新規再エネ導入予定(合意形成)'!$G:$G,0)-1,0),"")</f>
        <v/>
      </c>
      <c r="AI13" s="129" t="str">
        <f t="shared" si="1"/>
        <v/>
      </c>
      <c r="AJ13" s="255" t="str">
        <f t="shared" si="2"/>
        <v/>
      </c>
      <c r="AK13" s="125" t="str">
        <f>IF(V13&lt;&gt;1,"",SUM($V$8:V13))</f>
        <v/>
      </c>
      <c r="AL13" s="255">
        <f t="shared" si="5"/>
        <v>1</v>
      </c>
    </row>
    <row r="14" spans="1:38" s="11" customFormat="1" ht="20">
      <c r="B14" s="21"/>
      <c r="C14" s="21"/>
      <c r="D14" s="36"/>
      <c r="E14" s="821"/>
      <c r="F14" s="781"/>
      <c r="G14" s="782"/>
      <c r="H14" s="783"/>
      <c r="I14" s="783"/>
      <c r="J14" s="784"/>
      <c r="K14" s="784"/>
      <c r="L14" s="896"/>
      <c r="M14" s="897"/>
      <c r="N14" s="731"/>
      <c r="O14" s="788"/>
      <c r="P14" s="897"/>
      <c r="Q14" s="731"/>
      <c r="R14" s="785"/>
      <c r="S14" s="786" t="str">
        <f t="shared" si="6"/>
        <v/>
      </c>
      <c r="T14" s="779"/>
      <c r="U14" s="114"/>
      <c r="V14" s="787" t="str">
        <f t="shared" si="8"/>
        <v/>
      </c>
      <c r="X14" s="125" t="s">
        <v>411</v>
      </c>
      <c r="Y14" s="255">
        <f t="shared" si="3"/>
        <v>7</v>
      </c>
      <c r="Z14" s="255" t="str">
        <f>IF(AA14&lt;&gt;"//",COUNTA($AA$8:AA14)-COUNTIF($AA$8:AA14,"//"),"")</f>
        <v/>
      </c>
      <c r="AA14" s="255" t="str">
        <f t="shared" si="0"/>
        <v>//</v>
      </c>
      <c r="AB14" s="255" t="str">
        <f ca="1">_xlfn.IFNA(IF(COUNTIF('4.1(2)新規再エネ導入予定(FS調査、系統接続検討状況)'!$G:$G,OFFSET($AA$1,MATCH($Y14,$Z:$Z,0)-1,0))=0,OFFSET($AA$1,MATCH($Y14,$Z:$Z,0)-1,0),""),"")</f>
        <v/>
      </c>
      <c r="AC14" s="255" t="str">
        <f ca="1">_xlfn.IFNA(IF(COUNTIF('4.1(2)新規再エネ導入予定(合意形成)'!$G:$G,OFFSET($AA$1,MATCH($Y14,$Z:$Z,0)-1,0))=0,OFFSET($AA$1,MATCH($Y14,$Z:$Z,0)-1,0),""),"")</f>
        <v/>
      </c>
      <c r="AD14" s="255" t="str">
        <f ca="1">_xlfn.IFNA(OFFSET('4.1(2)新規再エネ導入予定(FS調査、系統接続検討状況)'!$W$1,MATCH(G14,'4.1(2)新規再エネ導入予定(FS調査、系統接続検討状況)'!G:G,0)-1,0),"//")</f>
        <v>//</v>
      </c>
      <c r="AE14" s="277" t="str">
        <f ca="1">_xlfn.IFNA(OFFSET('4.1(2)新規再エネ導入予定(合意形成)'!$AJ$1,MATCH(G14,'4.1(2)新規再エネ導入予定(合意形成)'!G:G,0)-1,0),"//")</f>
        <v>//</v>
      </c>
      <c r="AF14" s="255">
        <f t="shared" ca="1" si="4"/>
        <v>0</v>
      </c>
      <c r="AG14" s="129" t="str" cm="1">
        <f t="array" aca="1" ref="AG14" ca="1">IFERROR(_xlfn.IFS(COUNTIF($AB$8:$AC$167,G14)&gt;0,"",AF14&lt;=1,"D",AF14=2,"C",AF14=3,"B",AF14=4,"A"),"")</f>
        <v/>
      </c>
      <c r="AH14" s="255" t="str">
        <f ca="1">_xlfn.IFNA(OFFSET('4.1(2)新規再エネ導入予定(合意形成)'!$Z$1,MATCH($G14,'4.1(2)新規再エネ導入予定(合意形成)'!$G:$G,0)-1,0),"")</f>
        <v/>
      </c>
      <c r="AI14" s="129" t="str">
        <f t="shared" si="1"/>
        <v/>
      </c>
      <c r="AJ14" s="255" t="str">
        <f t="shared" si="2"/>
        <v/>
      </c>
      <c r="AK14" s="125" t="str">
        <f>IF(V14&lt;&gt;1,"",SUM($V$8:V14))</f>
        <v/>
      </c>
      <c r="AL14" s="255">
        <f t="shared" si="5"/>
        <v>1</v>
      </c>
    </row>
    <row r="15" spans="1:38" ht="20">
      <c r="D15" s="188"/>
      <c r="E15" s="822" t="s">
        <v>16</v>
      </c>
      <c r="F15" s="789"/>
      <c r="G15" s="769"/>
      <c r="H15" s="770"/>
      <c r="I15" s="770"/>
      <c r="J15" s="770"/>
      <c r="K15" s="770"/>
      <c r="L15" s="723"/>
      <c r="M15" s="726"/>
      <c r="N15" s="892" t="str">
        <f>IF(AND(COUNTBLANK(M15:M22)&lt;=3,COUNTA(M15:M22)=0),0,IF(SUM(M15:M22)=0,"",SUM(M15:M22)))</f>
        <v/>
      </c>
      <c r="O15" s="898"/>
      <c r="P15" s="729"/>
      <c r="Q15" s="892" t="str">
        <f>IF(AND(COUNTBLANK(P15:P22)&lt;=3,COUNTA(P15:P22)=0),0,IF(SUM(P15:P22)=0,"",SUM(P15:P22)))</f>
        <v/>
      </c>
      <c r="R15" s="771"/>
      <c r="S15" s="772" t="str">
        <f t="shared" si="6"/>
        <v/>
      </c>
      <c r="T15" s="764"/>
      <c r="V15" s="790"/>
      <c r="X15" s="222" t="s">
        <v>411</v>
      </c>
      <c r="Y15" s="175">
        <f t="shared" si="3"/>
        <v>8</v>
      </c>
      <c r="Z15" s="175" t="str">
        <f>IF(AA15&lt;&gt;"//",COUNTA($AA$8:AA15)-COUNTIF($AA$8:AA15,"//"),"")</f>
        <v/>
      </c>
      <c r="AA15" s="175" t="str">
        <f t="shared" si="0"/>
        <v>//</v>
      </c>
      <c r="AB15" s="175" t="str">
        <f ca="1">_xlfn.IFNA(IF(COUNTIF('4.1(2)新規再エネ導入予定(FS調査、系統接続検討状況)'!$G:$G,OFFSET($AA$1,MATCH($Y15,$Z:$Z,0)-1,0))=0,OFFSET($AA$1,MATCH($Y15,$Z:$Z,0)-1,0),""),"")</f>
        <v/>
      </c>
      <c r="AC15" s="175" t="str">
        <f ca="1">_xlfn.IFNA(IF(COUNTIF('4.1(2)新規再エネ導入予定(合意形成)'!$G:$G,OFFSET($AA$7,MATCH($Y15,$Z$8:$Z$167,0),0))=0,OFFSET($AA$7,MATCH($Y15,$Z$8:$Z$167,0),0),""),"")</f>
        <v/>
      </c>
      <c r="AD15" s="175" t="str">
        <f ca="1">_xlfn.IFNA(OFFSET('4.1(2)新規再エネ導入予定(FS調査、系統接続検討状況)'!$W$1,MATCH(G15,'4.1(2)新規再エネ導入予定(FS調査、系統接続検討状況)'!G:G,0)-1,0),"//")</f>
        <v>//</v>
      </c>
      <c r="AE15" s="262" t="str">
        <f ca="1">_xlfn.IFNA(OFFSET('4.1(2)新規再エネ導入予定(合意形成)'!$AJ$1,MATCH(G15,'4.1(2)新規再エネ導入予定(合意形成)'!G:G,0)-1,0),"//")</f>
        <v>//</v>
      </c>
      <c r="AF15" s="175">
        <f t="shared" ca="1" si="4"/>
        <v>0</v>
      </c>
      <c r="AG15" s="215" t="str" cm="1">
        <f t="array" aca="1" ref="AG15" ca="1">IFERROR(_xlfn.IFS(COUNTIF($AB$8:$AC$167,G15)&gt;0,"",AF15&lt;=1,"D",AF15=2,"C",AF15=3,"B",AF15=4,"A"),"")</f>
        <v/>
      </c>
      <c r="AH15" s="175" t="str">
        <f ca="1">_xlfn.IFNA(OFFSET('4.1(2)新規再エネ導入予定(合意形成)'!$Z$1,MATCH($G15,'4.1(2)新規再エネ導入予定(合意形成)'!$G:$G,0)-1,0),"")</f>
        <v/>
      </c>
      <c r="AI15" s="215" t="str">
        <f t="shared" si="1"/>
        <v/>
      </c>
      <c r="AJ15" s="175" t="str">
        <f t="shared" si="2"/>
        <v/>
      </c>
      <c r="AK15" s="222" t="str">
        <f>IF(V15&lt;&gt;1,"",SUM($V$8:V15))</f>
        <v/>
      </c>
      <c r="AL15" s="175">
        <f t="shared" si="5"/>
        <v>1</v>
      </c>
    </row>
    <row r="16" spans="1:38" s="11" customFormat="1" ht="20" hidden="1">
      <c r="B16" s="21"/>
      <c r="C16" s="21"/>
      <c r="D16" s="36"/>
      <c r="E16" s="821"/>
      <c r="F16" s="774"/>
      <c r="G16" s="775"/>
      <c r="H16" s="776"/>
      <c r="I16" s="776"/>
      <c r="J16" s="777"/>
      <c r="K16" s="777"/>
      <c r="L16" s="894"/>
      <c r="M16" s="895"/>
      <c r="N16" s="730"/>
      <c r="O16" s="791"/>
      <c r="P16" s="895"/>
      <c r="Q16" s="730"/>
      <c r="R16" s="791"/>
      <c r="S16" s="778" t="str">
        <f t="shared" si="6"/>
        <v/>
      </c>
      <c r="T16" s="779"/>
      <c r="U16" s="114"/>
      <c r="V16" s="780"/>
      <c r="X16" s="125" t="s">
        <v>411</v>
      </c>
      <c r="Y16" s="255">
        <f t="shared" si="3"/>
        <v>9</v>
      </c>
      <c r="Z16" s="255" t="str">
        <f>IF(AA16&lt;&gt;"//",COUNTA($AA$8:AA16)-COUNTIF($AA$8:AA16,"//"),"")</f>
        <v/>
      </c>
      <c r="AA16" s="255" t="str">
        <f t="shared" si="0"/>
        <v>//</v>
      </c>
      <c r="AB16" s="255" t="str">
        <f ca="1">_xlfn.IFNA(IF(COUNTIF('4.1(2)新規再エネ導入予定(FS調査、系統接続検討状況)'!$G:$G,OFFSET($AA$1,MATCH($Y16,$Z:$Z,0)-1,0))=0,OFFSET($AA$1,MATCH($Y16,$Z:$Z,0)-1,0),""),"")</f>
        <v/>
      </c>
      <c r="AC16" s="255" t="str">
        <f ca="1">_xlfn.IFNA(IF(COUNTIF('4.1(2)新規再エネ導入予定(合意形成)'!$G:$G,OFFSET($AA$7,MATCH($Y16,$Z$8:$Z$167,0),0))=0,OFFSET($AA$7,MATCH($Y16,$Z$8:$Z$167,0),0),""),"")</f>
        <v/>
      </c>
      <c r="AD16" s="255" t="str">
        <f ca="1">_xlfn.IFNA(OFFSET('4.1(2)新規再エネ導入予定(FS調査、系統接続検討状況)'!$W$1,MATCH(G16,'4.1(2)新規再エネ導入予定(FS調査、系統接続検討状況)'!G:G,0)-1,0),"//")</f>
        <v>//</v>
      </c>
      <c r="AE16" s="277" t="str">
        <f ca="1">_xlfn.IFNA(OFFSET('4.1(2)新規再エネ導入予定(合意形成)'!$AJ$1,MATCH(G16,'4.1(2)新規再エネ導入予定(合意形成)'!G:G,0)-1,0),"//")</f>
        <v>//</v>
      </c>
      <c r="AF16" s="255">
        <f t="shared" ca="1" si="4"/>
        <v>0</v>
      </c>
      <c r="AG16" s="129" t="str" cm="1">
        <f t="array" aca="1" ref="AG16" ca="1">IFERROR(_xlfn.IFS(COUNTIF($AB$8:$AC$167,G16)&gt;0,"",AF16&lt;=1,"D",AF16=2,"C",AF16=3,"B",AF16=4,"A"),"")</f>
        <v/>
      </c>
      <c r="AH16" s="255" t="str">
        <f ca="1">_xlfn.IFNA(OFFSET('4.1(2)新規再エネ導入予定(合意形成)'!$Z$1,MATCH($G16,'4.1(2)新規再エネ導入予定(合意形成)'!$G:$G,0)-1,0),"")</f>
        <v/>
      </c>
      <c r="AI16" s="129" t="str">
        <f t="shared" si="1"/>
        <v/>
      </c>
      <c r="AJ16" s="255" t="str">
        <f t="shared" si="2"/>
        <v/>
      </c>
      <c r="AK16" s="125" t="str">
        <f>IF(V16&lt;&gt;1,"",SUM($V$8:V16))</f>
        <v/>
      </c>
      <c r="AL16" s="255">
        <f t="shared" si="5"/>
        <v>1</v>
      </c>
    </row>
    <row r="17" spans="2:38" s="11" customFormat="1" ht="20">
      <c r="B17" s="21"/>
      <c r="C17" s="21"/>
      <c r="D17" s="36"/>
      <c r="E17" s="821"/>
      <c r="F17" s="781"/>
      <c r="G17" s="782"/>
      <c r="H17" s="783"/>
      <c r="I17" s="783"/>
      <c r="J17" s="784"/>
      <c r="K17" s="784"/>
      <c r="L17" s="724"/>
      <c r="M17" s="897"/>
      <c r="N17" s="731"/>
      <c r="O17" s="788"/>
      <c r="P17" s="897"/>
      <c r="Q17" s="731"/>
      <c r="R17" s="788"/>
      <c r="S17" s="786" t="str">
        <f t="shared" si="6"/>
        <v/>
      </c>
      <c r="T17" s="779"/>
      <c r="U17" s="114"/>
      <c r="V17" s="787" t="str">
        <f t="shared" si="8"/>
        <v/>
      </c>
      <c r="X17" s="125" t="s">
        <v>411</v>
      </c>
      <c r="Y17" s="255">
        <f t="shared" si="3"/>
        <v>10</v>
      </c>
      <c r="Z17" s="255" t="str">
        <f>IF(AA17&lt;&gt;"//",COUNTA($AA$8:AA17)-COUNTIF($AA$8:AA17,"//"),"")</f>
        <v/>
      </c>
      <c r="AA17" s="255" t="str">
        <f t="shared" si="0"/>
        <v>//</v>
      </c>
      <c r="AB17" s="255" t="str">
        <f ca="1">_xlfn.IFNA(IF(COUNTIF('4.1(2)新規再エネ導入予定(FS調査、系統接続検討状況)'!$G:$G,OFFSET($AA$1,MATCH($Y17,$Z:$Z,0)-1,0))=0,OFFSET($AA$1,MATCH($Y17,$Z:$Z,0)-1,0),""),"")</f>
        <v/>
      </c>
      <c r="AC17" s="255" t="str">
        <f ca="1">_xlfn.IFNA(IF(COUNTIF('4.1(2)新規再エネ導入予定(合意形成)'!$G:$G,OFFSET($AA$7,MATCH($Y17,$Z$8:$Z$167,0),0))=0,OFFSET($AA$7,MATCH($Y17,$Z$8:$Z$167,0),0),""),"")</f>
        <v/>
      </c>
      <c r="AD17" s="255" t="str">
        <f ca="1">_xlfn.IFNA(OFFSET('4.1(2)新規再エネ導入予定(FS調査、系統接続検討状況)'!$W$1,MATCH(G17,'4.1(2)新規再エネ導入予定(FS調査、系統接続検討状況)'!G:G,0)-1,0),"//")</f>
        <v>//</v>
      </c>
      <c r="AE17" s="277" t="str">
        <f ca="1">_xlfn.IFNA(OFFSET('4.1(2)新規再エネ導入予定(合意形成)'!$AJ$1,MATCH(G17,'4.1(2)新規再エネ導入予定(合意形成)'!G:G,0)-1,0),"//")</f>
        <v>//</v>
      </c>
      <c r="AF17" s="255">
        <f t="shared" ca="1" si="4"/>
        <v>0</v>
      </c>
      <c r="AG17" s="129" t="str" cm="1">
        <f t="array" aca="1" ref="AG17" ca="1">IFERROR(_xlfn.IFS(COUNTIF($AB$8:$AC$167,G17)&gt;0,"",AF17&lt;=1,"D",AF17=2,"C",AF17=3,"B",AF17=4,"A"),"")</f>
        <v/>
      </c>
      <c r="AH17" s="255" t="str">
        <f ca="1">_xlfn.IFNA(OFFSET('4.1(2)新規再エネ導入予定(合意形成)'!$Z$1,MATCH($G17,'4.1(2)新規再エネ導入予定(合意形成)'!$G:$G,0)-1,0),"")</f>
        <v/>
      </c>
      <c r="AI17" s="129" t="str">
        <f t="shared" si="1"/>
        <v/>
      </c>
      <c r="AJ17" s="255" t="str">
        <f t="shared" si="2"/>
        <v/>
      </c>
      <c r="AK17" s="125" t="str">
        <f>IF(V17&lt;&gt;1,"",SUM($V$8:V17))</f>
        <v/>
      </c>
      <c r="AL17" s="255">
        <f t="shared" si="5"/>
        <v>1</v>
      </c>
    </row>
    <row r="18" spans="2:38" s="11" customFormat="1" ht="20">
      <c r="B18" s="21"/>
      <c r="C18" s="21"/>
      <c r="D18" s="36"/>
      <c r="E18" s="821"/>
      <c r="F18" s="781"/>
      <c r="G18" s="782"/>
      <c r="H18" s="783"/>
      <c r="I18" s="783"/>
      <c r="J18" s="784"/>
      <c r="K18" s="784"/>
      <c r="L18" s="724"/>
      <c r="M18" s="897"/>
      <c r="N18" s="731"/>
      <c r="O18" s="788"/>
      <c r="P18" s="897"/>
      <c r="Q18" s="731"/>
      <c r="R18" s="788"/>
      <c r="S18" s="786" t="str">
        <f t="shared" si="6"/>
        <v/>
      </c>
      <c r="T18" s="779"/>
      <c r="U18" s="114"/>
      <c r="V18" s="787" t="str">
        <f t="shared" si="8"/>
        <v/>
      </c>
      <c r="X18" s="125" t="s">
        <v>411</v>
      </c>
      <c r="Y18" s="255">
        <f t="shared" si="3"/>
        <v>11</v>
      </c>
      <c r="Z18" s="255" t="str">
        <f>IF(AA18&lt;&gt;"//",COUNTA($AA$8:AA18)-COUNTIF($AA$8:AA18,"//"),"")</f>
        <v/>
      </c>
      <c r="AA18" s="255" t="str">
        <f t="shared" si="0"/>
        <v>//</v>
      </c>
      <c r="AB18" s="255" t="str">
        <f ca="1">_xlfn.IFNA(IF(COUNTIF('4.1(2)新規再エネ導入予定(FS調査、系統接続検討状況)'!$G:$G,OFFSET($AA$1,MATCH($Y18,$Z:$Z,0)-1,0))=0,OFFSET($AA$1,MATCH($Y18,$Z:$Z,0)-1,0),""),"")</f>
        <v/>
      </c>
      <c r="AC18" s="255" t="str">
        <f ca="1">_xlfn.IFNA(IF(COUNTIF('4.1(2)新規再エネ導入予定(合意形成)'!$G:$G,OFFSET($AA$7,MATCH($Y18,$Z$8:$Z$167,0),0))=0,OFFSET($AA$7,MATCH($Y18,$Z$8:$Z$167,0),0),""),"")</f>
        <v/>
      </c>
      <c r="AD18" s="255" t="str">
        <f ca="1">_xlfn.IFNA(OFFSET('4.1(2)新規再エネ導入予定(FS調査、系統接続検討状況)'!$W$1,MATCH(G18,'4.1(2)新規再エネ導入予定(FS調査、系統接続検討状況)'!G:G,0)-1,0),"//")</f>
        <v>//</v>
      </c>
      <c r="AE18" s="277" t="str">
        <f ca="1">_xlfn.IFNA(OFFSET('4.1(2)新規再エネ導入予定(合意形成)'!$AJ$1,MATCH(G18,'4.1(2)新規再エネ導入予定(合意形成)'!G:G,0)-1,0),"//")</f>
        <v>//</v>
      </c>
      <c r="AF18" s="255">
        <f t="shared" ca="1" si="4"/>
        <v>0</v>
      </c>
      <c r="AG18" s="129" t="str" cm="1">
        <f t="array" aca="1" ref="AG18" ca="1">IFERROR(_xlfn.IFS(COUNTIF($AB$8:$AC$167,G18)&gt;0,"",AF18&lt;=1,"D",AF18=2,"C",AF18=3,"B",AF18=4,"A"),"")</f>
        <v/>
      </c>
      <c r="AH18" s="255" t="str">
        <f ca="1">_xlfn.IFNA(OFFSET('4.1(2)新規再エネ導入予定(合意形成)'!$Z$1,MATCH($G18,'4.1(2)新規再エネ導入予定(合意形成)'!$G:$G,0)-1,0),"")</f>
        <v/>
      </c>
      <c r="AI18" s="129" t="str">
        <f t="shared" si="1"/>
        <v/>
      </c>
      <c r="AJ18" s="255" t="str">
        <f t="shared" si="2"/>
        <v/>
      </c>
      <c r="AK18" s="125" t="str">
        <f>IF(V18&lt;&gt;1,"",SUM($V$8:V18))</f>
        <v/>
      </c>
      <c r="AL18" s="255">
        <f t="shared" si="5"/>
        <v>1</v>
      </c>
    </row>
    <row r="19" spans="2:38" s="11" customFormat="1" ht="20">
      <c r="B19" s="21"/>
      <c r="C19" s="21"/>
      <c r="D19" s="36"/>
      <c r="E19" s="821"/>
      <c r="F19" s="781"/>
      <c r="G19" s="782"/>
      <c r="H19" s="783"/>
      <c r="I19" s="783"/>
      <c r="J19" s="784"/>
      <c r="K19" s="784"/>
      <c r="L19" s="724"/>
      <c r="M19" s="897"/>
      <c r="N19" s="731"/>
      <c r="O19" s="788"/>
      <c r="P19" s="897"/>
      <c r="Q19" s="731"/>
      <c r="R19" s="788"/>
      <c r="S19" s="786" t="str">
        <f t="shared" si="6"/>
        <v/>
      </c>
      <c r="T19" s="779"/>
      <c r="U19" s="114"/>
      <c r="V19" s="787" t="str">
        <f t="shared" si="8"/>
        <v/>
      </c>
      <c r="X19" s="125" t="s">
        <v>411</v>
      </c>
      <c r="Y19" s="255">
        <f t="shared" si="3"/>
        <v>12</v>
      </c>
      <c r="Z19" s="255" t="str">
        <f>IF(AA19&lt;&gt;"//",COUNTA($AA$8:AA19)-COUNTIF($AA$8:AA19,"//"),"")</f>
        <v/>
      </c>
      <c r="AA19" s="255" t="str">
        <f t="shared" si="0"/>
        <v>//</v>
      </c>
      <c r="AB19" s="255" t="str">
        <f ca="1">_xlfn.IFNA(IF(COUNTIF('4.1(2)新規再エネ導入予定(FS調査、系統接続検討状況)'!$G:$G,OFFSET($AA$1,MATCH($Y19,$Z:$Z,0)-1,0))=0,OFFSET($AA$1,MATCH($Y19,$Z:$Z,0)-1,0),""),"")</f>
        <v/>
      </c>
      <c r="AC19" s="255" t="str">
        <f ca="1">_xlfn.IFNA(IF(COUNTIF('4.1(2)新規再エネ導入予定(合意形成)'!$G:$G,OFFSET($AA$7,MATCH($Y19,$Z$8:$Z$167,0),0))=0,OFFSET($AA$7,MATCH($Y19,$Z$8:$Z$167,0),0),""),"")</f>
        <v/>
      </c>
      <c r="AD19" s="255" t="str">
        <f ca="1">_xlfn.IFNA(OFFSET('4.1(2)新規再エネ導入予定(FS調査、系統接続検討状況)'!$W$1,MATCH(G19,'4.1(2)新規再エネ導入予定(FS調査、系統接続検討状況)'!G:G,0)-1,0),"//")</f>
        <v>//</v>
      </c>
      <c r="AE19" s="277" t="str">
        <f ca="1">_xlfn.IFNA(OFFSET('4.1(2)新規再エネ導入予定(合意形成)'!$AJ$1,MATCH(G19,'4.1(2)新規再エネ導入予定(合意形成)'!G:G,0)-1,0),"//")</f>
        <v>//</v>
      </c>
      <c r="AF19" s="255">
        <f t="shared" ca="1" si="4"/>
        <v>0</v>
      </c>
      <c r="AG19" s="129" t="str" cm="1">
        <f t="array" aca="1" ref="AG19" ca="1">IFERROR(_xlfn.IFS(COUNTIF($AB$8:$AC$167,G19)&gt;0,"",AF19&lt;=1,"D",AF19=2,"C",AF19=3,"B",AF19=4,"A"),"")</f>
        <v/>
      </c>
      <c r="AH19" s="255" t="str">
        <f ca="1">_xlfn.IFNA(OFFSET('4.1(2)新規再エネ導入予定(合意形成)'!$Z$1,MATCH($G19,'4.1(2)新規再エネ導入予定(合意形成)'!$G:$G,0)-1,0),"")</f>
        <v/>
      </c>
      <c r="AI19" s="129" t="str">
        <f t="shared" si="1"/>
        <v/>
      </c>
      <c r="AJ19" s="255" t="str">
        <f t="shared" si="2"/>
        <v/>
      </c>
      <c r="AK19" s="125" t="str">
        <f>IF(V19&lt;&gt;1,"",SUM($V$8:V19))</f>
        <v/>
      </c>
      <c r="AL19" s="255">
        <f t="shared" si="5"/>
        <v>1</v>
      </c>
    </row>
    <row r="20" spans="2:38" s="11" customFormat="1" ht="20">
      <c r="B20" s="21"/>
      <c r="C20" s="21"/>
      <c r="D20" s="36"/>
      <c r="E20" s="821"/>
      <c r="F20" s="781"/>
      <c r="G20" s="782"/>
      <c r="H20" s="783"/>
      <c r="I20" s="783"/>
      <c r="J20" s="784"/>
      <c r="K20" s="784"/>
      <c r="L20" s="724"/>
      <c r="M20" s="897"/>
      <c r="N20" s="731"/>
      <c r="O20" s="788"/>
      <c r="P20" s="897"/>
      <c r="Q20" s="731"/>
      <c r="R20" s="788"/>
      <c r="S20" s="786" t="str">
        <f t="shared" si="6"/>
        <v/>
      </c>
      <c r="T20" s="779"/>
      <c r="U20" s="114"/>
      <c r="V20" s="787" t="str">
        <f t="shared" si="8"/>
        <v/>
      </c>
      <c r="X20" s="125" t="s">
        <v>411</v>
      </c>
      <c r="Y20" s="255">
        <f t="shared" si="3"/>
        <v>13</v>
      </c>
      <c r="Z20" s="255" t="str">
        <f>IF(AA20&lt;&gt;"//",COUNTA($AA$8:AA20)-COUNTIF($AA$8:AA20,"//"),"")</f>
        <v/>
      </c>
      <c r="AA20" s="255" t="str">
        <f t="shared" si="0"/>
        <v>//</v>
      </c>
      <c r="AB20" s="255" t="str">
        <f ca="1">_xlfn.IFNA(IF(COUNTIF('4.1(2)新規再エネ導入予定(FS調査、系統接続検討状況)'!$G:$G,OFFSET($AA$7,MATCH($Y20,$Z$8:$Z$167,0),0))=0,OFFSET($AA$7,MATCH($Y20,$Z$8:$Z$167,0),0),""),"")</f>
        <v/>
      </c>
      <c r="AC20" s="255" t="str">
        <f ca="1">_xlfn.IFNA(IF(COUNTIF('4.1(2)新規再エネ導入予定(合意形成)'!$G:$G,OFFSET($AA$7,MATCH($Y20,$Z$8:$Z$167,0),0))=0,OFFSET($AA$7,MATCH($Y20,$Z$8:$Z$167,0),0),""),"")</f>
        <v/>
      </c>
      <c r="AD20" s="255" t="str">
        <f ca="1">_xlfn.IFNA(OFFSET('4.1(2)新規再エネ導入予定(FS調査、系統接続検討状況)'!$W$1,MATCH(G20,'4.1(2)新規再エネ導入予定(FS調査、系統接続検討状況)'!G:G,0)-1,0),"//")</f>
        <v>//</v>
      </c>
      <c r="AE20" s="277" t="str">
        <f ca="1">_xlfn.IFNA(OFFSET('4.1(2)新規再エネ導入予定(合意形成)'!$AJ$1,MATCH(G20,'4.1(2)新規再エネ導入予定(合意形成)'!G:G,0)-1,0),"//")</f>
        <v>//</v>
      </c>
      <c r="AF20" s="255">
        <f t="shared" ca="1" si="4"/>
        <v>0</v>
      </c>
      <c r="AG20" s="129" t="str" cm="1">
        <f t="array" aca="1" ref="AG20" ca="1">IFERROR(_xlfn.IFS(COUNTIF($AB$8:$AC$167,G20)&gt;0,"",AF20&lt;=1,"D",AF20=2,"C",AF20=3,"B",AF20=4,"A"),"")</f>
        <v/>
      </c>
      <c r="AH20" s="255" t="str">
        <f ca="1">_xlfn.IFNA(OFFSET('4.1(2)新規再エネ導入予定(合意形成)'!$Z$1,MATCH($G20,'4.1(2)新規再エネ導入予定(合意形成)'!$G:$G,0)-1,0),"")</f>
        <v/>
      </c>
      <c r="AI20" s="129" t="str">
        <f t="shared" si="1"/>
        <v/>
      </c>
      <c r="AJ20" s="255" t="str">
        <f t="shared" si="2"/>
        <v/>
      </c>
      <c r="AK20" s="125" t="str">
        <f>IF(V20&lt;&gt;1,"",SUM($V$8:V20))</f>
        <v/>
      </c>
      <c r="AL20" s="255">
        <f t="shared" si="5"/>
        <v>1</v>
      </c>
    </row>
    <row r="21" spans="2:38" s="11" customFormat="1" ht="20">
      <c r="B21" s="21"/>
      <c r="C21" s="21"/>
      <c r="D21" s="36"/>
      <c r="E21" s="821"/>
      <c r="F21" s="781"/>
      <c r="G21" s="782"/>
      <c r="H21" s="783"/>
      <c r="I21" s="783"/>
      <c r="J21" s="784"/>
      <c r="K21" s="784"/>
      <c r="L21" s="724"/>
      <c r="M21" s="897"/>
      <c r="N21" s="731"/>
      <c r="O21" s="788"/>
      <c r="P21" s="897"/>
      <c r="Q21" s="731"/>
      <c r="R21" s="788"/>
      <c r="S21" s="786" t="str">
        <f t="shared" si="6"/>
        <v/>
      </c>
      <c r="T21" s="779"/>
      <c r="U21" s="114"/>
      <c r="V21" s="787" t="str">
        <f t="shared" si="8"/>
        <v/>
      </c>
      <c r="X21" s="125" t="s">
        <v>411</v>
      </c>
      <c r="Y21" s="255">
        <f t="shared" si="3"/>
        <v>14</v>
      </c>
      <c r="Z21" s="255" t="str">
        <f>IF(AA21&lt;&gt;"//",COUNTA($AA$8:AA21)-COUNTIF($AA$8:AA21,"//"),"")</f>
        <v/>
      </c>
      <c r="AA21" s="255" t="str">
        <f t="shared" si="0"/>
        <v>//</v>
      </c>
      <c r="AB21" s="255" t="str">
        <f ca="1">_xlfn.IFNA(IF(COUNTIF('4.1(2)新規再エネ導入予定(FS調査、系統接続検討状況)'!$G:$G,OFFSET($AA$7,MATCH($Y21,$Z$8:$Z$167,0),0))=0,OFFSET($AA$7,MATCH($Y21,$Z$8:$Z$167,0),0),""),"")</f>
        <v/>
      </c>
      <c r="AC21" s="255" t="str">
        <f ca="1">_xlfn.IFNA(IF(COUNTIF('4.1(2)新規再エネ導入予定(合意形成)'!$G:$G,OFFSET($AA$7,MATCH($Y21,$Z$8:$Z$167,0),0))=0,OFFSET($AA$7,MATCH($Y21,$Z$8:$Z$167,0),0),""),"")</f>
        <v/>
      </c>
      <c r="AD21" s="255" t="str">
        <f ca="1">_xlfn.IFNA(OFFSET('4.1(2)新規再エネ導入予定(FS調査、系統接続検討状況)'!$W$1,MATCH(G21,'4.1(2)新規再エネ導入予定(FS調査、系統接続検討状況)'!G:G,0)-1,0),"//")</f>
        <v>//</v>
      </c>
      <c r="AE21" s="277" t="str">
        <f ca="1">_xlfn.IFNA(OFFSET('4.1(2)新規再エネ導入予定(合意形成)'!$AJ$1,MATCH(G21,'4.1(2)新規再エネ導入予定(合意形成)'!G:G,0)-1,0),"//")</f>
        <v>//</v>
      </c>
      <c r="AF21" s="255">
        <f t="shared" ca="1" si="4"/>
        <v>0</v>
      </c>
      <c r="AG21" s="129" t="str" cm="1">
        <f t="array" aca="1" ref="AG21" ca="1">IFERROR(_xlfn.IFS(COUNTIF($AB$8:$AC$167,G21)&gt;0,"",AF21&lt;=1,"D",AF21=2,"C",AF21=3,"B",AF21=4,"A"),"")</f>
        <v/>
      </c>
      <c r="AH21" s="255" t="str">
        <f ca="1">_xlfn.IFNA(OFFSET('4.1(2)新規再エネ導入予定(合意形成)'!$Z$1,MATCH($G21,'4.1(2)新規再エネ導入予定(合意形成)'!$G:$G,0)-1,0),"")</f>
        <v/>
      </c>
      <c r="AI21" s="129" t="str">
        <f t="shared" si="1"/>
        <v/>
      </c>
      <c r="AJ21" s="255" t="str">
        <f t="shared" si="2"/>
        <v/>
      </c>
      <c r="AK21" s="125" t="str">
        <f>IF(V21&lt;&gt;1,"",SUM($V$8:V21))</f>
        <v/>
      </c>
      <c r="AL21" s="255">
        <f t="shared" si="5"/>
        <v>1</v>
      </c>
    </row>
    <row r="22" spans="2:38" ht="18" customHeight="1">
      <c r="D22" s="188"/>
      <c r="E22" s="822" t="s">
        <v>17</v>
      </c>
      <c r="F22" s="789"/>
      <c r="G22" s="769"/>
      <c r="H22" s="770"/>
      <c r="I22" s="770"/>
      <c r="J22" s="770"/>
      <c r="K22" s="770"/>
      <c r="L22" s="723"/>
      <c r="M22" s="726"/>
      <c r="N22" s="892" t="str">
        <f>IF(AND(COUNTBLANK(M22:M29)&lt;=3,COUNTA(M22:M29)=0),0,IF(SUM(M22:M29)=0,"",SUM(M22:M29)))</f>
        <v/>
      </c>
      <c r="O22" s="898"/>
      <c r="P22" s="729"/>
      <c r="Q22" s="892" t="str">
        <f>IF(AND(COUNTBLANK(P22:P29)&lt;=3,COUNTA(P22:P29)=0),0,IF(SUM(P22:P29)=0,"",SUM(P22:P29)))</f>
        <v/>
      </c>
      <c r="R22" s="792"/>
      <c r="S22" s="793" t="str">
        <f t="shared" si="6"/>
        <v/>
      </c>
      <c r="T22" s="764"/>
      <c r="V22" s="794"/>
      <c r="X22" s="222" t="s">
        <v>411</v>
      </c>
      <c r="Y22" s="175">
        <f t="shared" si="3"/>
        <v>15</v>
      </c>
      <c r="Z22" s="175" t="str">
        <f>IF(AA22&lt;&gt;"//",COUNTA($AA$8:AA22)-COUNTIF($AA$8:AA22,"//"),"")</f>
        <v/>
      </c>
      <c r="AA22" s="175" t="str">
        <f t="shared" si="0"/>
        <v>//</v>
      </c>
      <c r="AB22" s="175" t="str">
        <f ca="1">_xlfn.IFNA(IF(COUNTIF('4.1(2)新規再エネ導入予定(FS調査、系統接続検討状況)'!$G:$G,OFFSET($AA$7,MATCH($Y22,$Z$8:$Z$167,0),0))=0,OFFSET($AA$7,MATCH($Y22,$Z$8:$Z$167,0),0),""),"")</f>
        <v/>
      </c>
      <c r="AC22" s="175" t="str">
        <f ca="1">_xlfn.IFNA(IF(COUNTIF('4.1(2)新規再エネ導入予定(合意形成)'!$G:$G,OFFSET($AA$7,MATCH($Y22,$Z$8:$Z$167,0),0))=0,OFFSET($AA$7,MATCH($Y22,$Z$8:$Z$167,0),0),""),"")</f>
        <v/>
      </c>
      <c r="AD22" s="175" t="str">
        <f ca="1">_xlfn.IFNA(OFFSET('4.1(2)新規再エネ導入予定(FS調査、系統接続検討状況)'!$W$1,MATCH(G22,'4.1(2)新規再エネ導入予定(FS調査、系統接続検討状況)'!G:G,0)-1,0),"//")</f>
        <v>//</v>
      </c>
      <c r="AE22" s="262" t="str">
        <f ca="1">_xlfn.IFNA(OFFSET('4.1(2)新規再エネ導入予定(合意形成)'!$AJ$1,MATCH(G22,'4.1(2)新規再エネ導入予定(合意形成)'!G:G,0)-1,0),"//")</f>
        <v>//</v>
      </c>
      <c r="AF22" s="175">
        <f t="shared" ca="1" si="4"/>
        <v>0</v>
      </c>
      <c r="AG22" s="215" t="str" cm="1">
        <f t="array" aca="1" ref="AG22" ca="1">IFERROR(_xlfn.IFS(COUNTIF($AB$8:$AC$167,G22)&gt;0,"",AF22&lt;=1,"D",AF22=2,"C",AF22=3,"B",AF22=4,"A"),"")</f>
        <v/>
      </c>
      <c r="AH22" s="175" t="str">
        <f ca="1">_xlfn.IFNA(OFFSET('4.1(2)新規再エネ導入予定(合意形成)'!$Z$1,MATCH($G22,'4.1(2)新規再エネ導入予定(合意形成)'!$G:$G,0)-1,0),"")</f>
        <v/>
      </c>
      <c r="AI22" s="215" t="str">
        <f t="shared" si="1"/>
        <v/>
      </c>
      <c r="AJ22" s="175" t="str">
        <f t="shared" si="2"/>
        <v/>
      </c>
      <c r="AK22" s="222" t="str">
        <f>IF(V22&lt;&gt;1,"",SUM($V$8:V22))</f>
        <v/>
      </c>
      <c r="AL22" s="175">
        <f t="shared" si="5"/>
        <v>1</v>
      </c>
    </row>
    <row r="23" spans="2:38" s="11" customFormat="1" ht="20" hidden="1">
      <c r="B23" s="21"/>
      <c r="C23" s="21"/>
      <c r="D23" s="36"/>
      <c r="E23" s="821"/>
      <c r="F23" s="774"/>
      <c r="G23" s="775"/>
      <c r="H23" s="776"/>
      <c r="I23" s="776"/>
      <c r="J23" s="777"/>
      <c r="K23" s="777"/>
      <c r="L23" s="894"/>
      <c r="M23" s="895"/>
      <c r="N23" s="730"/>
      <c r="O23" s="791"/>
      <c r="P23" s="895"/>
      <c r="Q23" s="730"/>
      <c r="R23" s="791"/>
      <c r="S23" s="778" t="str">
        <f t="shared" si="6"/>
        <v/>
      </c>
      <c r="T23" s="779"/>
      <c r="U23" s="114"/>
      <c r="V23" s="780"/>
      <c r="X23" s="125" t="s">
        <v>411</v>
      </c>
      <c r="Y23" s="255">
        <f t="shared" si="3"/>
        <v>16</v>
      </c>
      <c r="Z23" s="255" t="str">
        <f>IF(AA23&lt;&gt;"//",COUNTA($AA$8:AA23)-COUNTIF($AA$8:AA23,"//"),"")</f>
        <v/>
      </c>
      <c r="AA23" s="255" t="str">
        <f t="shared" si="0"/>
        <v>//</v>
      </c>
      <c r="AB23" s="255" t="str">
        <f ca="1">_xlfn.IFNA(IF(COUNTIF('4.1(2)新規再エネ導入予定(FS調査、系統接続検討状況)'!$G:$G,OFFSET($AA$7,MATCH($Y23,$Z$8:$Z$167,0),0))=0,OFFSET($AA$7,MATCH($Y23,$Z$8:$Z$167,0),0),""),"")</f>
        <v/>
      </c>
      <c r="AC23" s="255" t="str">
        <f ca="1">_xlfn.IFNA(IF(COUNTIF('4.1(2)新規再エネ導入予定(合意形成)'!$G:$G,OFFSET($AA$7,MATCH($Y23,$Z$8:$Z$167,0),0))=0,OFFSET($AA$7,MATCH($Y23,$Z$8:$Z$167,0),0),""),"")</f>
        <v/>
      </c>
      <c r="AD23" s="255" t="str">
        <f ca="1">_xlfn.IFNA(OFFSET('4.1(2)新規再エネ導入予定(FS調査、系統接続検討状況)'!$W$1,MATCH(G23,'4.1(2)新規再エネ導入予定(FS調査、系統接続検討状況)'!G:G,0)-1,0),"//")</f>
        <v>//</v>
      </c>
      <c r="AE23" s="277" t="str">
        <f ca="1">_xlfn.IFNA(OFFSET('4.1(2)新規再エネ導入予定(合意形成)'!$AJ$1,MATCH(G23,'4.1(2)新規再エネ導入予定(合意形成)'!G:G,0)-1,0),"//")</f>
        <v>//</v>
      </c>
      <c r="AF23" s="255">
        <f t="shared" ca="1" si="4"/>
        <v>0</v>
      </c>
      <c r="AG23" s="129" t="str" cm="1">
        <f t="array" aca="1" ref="AG23" ca="1">IFERROR(_xlfn.IFS(COUNTIF($AB$8:$AC$167,G23)&gt;0,"",AF23&lt;=1,"D",AF23=2,"C",AF23=3,"B",AF23=4,"A"),"")</f>
        <v/>
      </c>
      <c r="AH23" s="255" t="str">
        <f ca="1">_xlfn.IFNA(OFFSET('4.1(2)新規再エネ導入予定(合意形成)'!$Z$1,MATCH($G23,'4.1(2)新規再エネ導入予定(合意形成)'!$G:$G,0)-1,0),"")</f>
        <v/>
      </c>
      <c r="AI23" s="129" t="str">
        <f t="shared" si="1"/>
        <v/>
      </c>
      <c r="AJ23" s="255" t="str">
        <f t="shared" si="2"/>
        <v/>
      </c>
      <c r="AK23" s="125" t="str">
        <f>IF(V23&lt;&gt;1,"",SUM($V$8:V23))</f>
        <v/>
      </c>
      <c r="AL23" s="255">
        <f t="shared" si="5"/>
        <v>1</v>
      </c>
    </row>
    <row r="24" spans="2:38" s="11" customFormat="1" ht="20">
      <c r="B24" s="21"/>
      <c r="C24" s="21"/>
      <c r="D24" s="36"/>
      <c r="E24" s="821"/>
      <c r="F24" s="781"/>
      <c r="G24" s="782"/>
      <c r="H24" s="783"/>
      <c r="I24" s="783"/>
      <c r="J24" s="784"/>
      <c r="K24" s="784"/>
      <c r="L24" s="724"/>
      <c r="M24" s="897"/>
      <c r="N24" s="731"/>
      <c r="O24" s="788"/>
      <c r="P24" s="897"/>
      <c r="Q24" s="731"/>
      <c r="R24" s="785"/>
      <c r="S24" s="786" t="str">
        <f t="shared" si="6"/>
        <v/>
      </c>
      <c r="T24" s="779"/>
      <c r="U24" s="114"/>
      <c r="V24" s="787" t="str">
        <f t="shared" si="8"/>
        <v/>
      </c>
      <c r="X24" s="125" t="s">
        <v>411</v>
      </c>
      <c r="Y24" s="255">
        <f t="shared" si="3"/>
        <v>17</v>
      </c>
      <c r="Z24" s="255" t="str">
        <f>IF(AA24&lt;&gt;"//",COUNTA($AA$8:AA24)-COUNTIF($AA$8:AA24,"//"),"")</f>
        <v/>
      </c>
      <c r="AA24" s="255" t="str">
        <f t="shared" si="0"/>
        <v>//</v>
      </c>
      <c r="AB24" s="255" t="str">
        <f ca="1">_xlfn.IFNA(IF(COUNTIF('4.1(2)新規再エネ導入予定(FS調査、系統接続検討状況)'!$G:$G,OFFSET($AA$7,MATCH($Y24,$Z$8:$Z$167,0),0))=0,OFFSET($AA$7,MATCH($Y24,$Z$8:$Z$167,0),0),""),"")</f>
        <v/>
      </c>
      <c r="AC24" s="255" t="str">
        <f ca="1">_xlfn.IFNA(IF(COUNTIF('4.1(2)新規再エネ導入予定(合意形成)'!$G:$G,OFFSET($AA$7,MATCH($Y24,$Z$8:$Z$167,0),0))=0,OFFSET($AA$7,MATCH($Y24,$Z$8:$Z$167,0),0),""),"")</f>
        <v/>
      </c>
      <c r="AD24" s="255" t="str">
        <f ca="1">_xlfn.IFNA(OFFSET('4.1(2)新規再エネ導入予定(FS調査、系統接続検討状況)'!$W$1,MATCH(G24,'4.1(2)新規再エネ導入予定(FS調査、系統接続検討状況)'!G:G,0)-1,0),"//")</f>
        <v>//</v>
      </c>
      <c r="AE24" s="277" t="str">
        <f ca="1">_xlfn.IFNA(OFFSET('4.1(2)新規再エネ導入予定(合意形成)'!$AJ$1,MATCH(G24,'4.1(2)新規再エネ導入予定(合意形成)'!G:G,0)-1,0),"//")</f>
        <v>//</v>
      </c>
      <c r="AF24" s="255">
        <f t="shared" ca="1" si="4"/>
        <v>0</v>
      </c>
      <c r="AG24" s="129" t="str" cm="1">
        <f t="array" aca="1" ref="AG24" ca="1">IFERROR(_xlfn.IFS(COUNTIF($AB$8:$AC$167,G24)&gt;0,"",AF24&lt;=1,"D",AF24=2,"C",AF24=3,"B",AF24=4,"A"),"")</f>
        <v/>
      </c>
      <c r="AH24" s="255" t="str">
        <f ca="1">_xlfn.IFNA(OFFSET('4.1(2)新規再エネ導入予定(合意形成)'!$Z$1,MATCH($G24,'4.1(2)新規再エネ導入予定(合意形成)'!$G:$G,0)-1,0),"")</f>
        <v/>
      </c>
      <c r="AI24" s="129" t="str">
        <f t="shared" si="1"/>
        <v/>
      </c>
      <c r="AJ24" s="255" t="str">
        <f t="shared" si="2"/>
        <v/>
      </c>
      <c r="AK24" s="125" t="str">
        <f>IF(V24&lt;&gt;1,"",SUM($V$8:V24))</f>
        <v/>
      </c>
      <c r="AL24" s="255">
        <f t="shared" si="5"/>
        <v>1</v>
      </c>
    </row>
    <row r="25" spans="2:38" s="11" customFormat="1" ht="20">
      <c r="B25" s="21"/>
      <c r="C25" s="21"/>
      <c r="D25" s="36"/>
      <c r="E25" s="821"/>
      <c r="F25" s="781"/>
      <c r="G25" s="782"/>
      <c r="H25" s="783"/>
      <c r="I25" s="783"/>
      <c r="J25" s="784"/>
      <c r="K25" s="784"/>
      <c r="L25" s="724"/>
      <c r="M25" s="897"/>
      <c r="N25" s="731"/>
      <c r="O25" s="788"/>
      <c r="P25" s="897"/>
      <c r="Q25" s="731"/>
      <c r="R25" s="788"/>
      <c r="S25" s="786" t="str">
        <f t="shared" si="6"/>
        <v/>
      </c>
      <c r="T25" s="779"/>
      <c r="U25" s="114"/>
      <c r="V25" s="787" t="str">
        <f t="shared" si="8"/>
        <v/>
      </c>
      <c r="X25" s="125" t="s">
        <v>411</v>
      </c>
      <c r="Y25" s="255">
        <f t="shared" si="3"/>
        <v>18</v>
      </c>
      <c r="Z25" s="255" t="str">
        <f>IF(AA25&lt;&gt;"//",COUNTA($AA$8:AA25)-COUNTIF($AA$8:AA25,"//"),"")</f>
        <v/>
      </c>
      <c r="AA25" s="255" t="str">
        <f t="shared" si="0"/>
        <v>//</v>
      </c>
      <c r="AB25" s="255" t="str">
        <f ca="1">_xlfn.IFNA(IF(COUNTIF('4.1(2)新規再エネ導入予定(FS調査、系統接続検討状況)'!$G:$G,OFFSET($AA$7,MATCH($Y25,$Z$8:$Z$167,0),0))=0,OFFSET($AA$7,MATCH($Y25,$Z$8:$Z$167,0),0),""),"")</f>
        <v/>
      </c>
      <c r="AC25" s="255" t="str">
        <f ca="1">_xlfn.IFNA(IF(COUNTIF('4.1(2)新規再エネ導入予定(合意形成)'!$G:$G,OFFSET($AA$7,MATCH($Y25,$Z$8:$Z$167,0),0))=0,OFFSET($AA$7,MATCH($Y25,$Z$8:$Z$167,0),0),""),"")</f>
        <v/>
      </c>
      <c r="AD25" s="255" t="str">
        <f ca="1">_xlfn.IFNA(OFFSET('4.1(2)新規再エネ導入予定(FS調査、系統接続検討状況)'!$W$1,MATCH(G25,'4.1(2)新規再エネ導入予定(FS調査、系統接続検討状況)'!G:G,0)-1,0),"//")</f>
        <v>//</v>
      </c>
      <c r="AE25" s="277" t="str">
        <f ca="1">_xlfn.IFNA(OFFSET('4.1(2)新規再エネ導入予定(合意形成)'!$AJ$1,MATCH(G25,'4.1(2)新規再エネ導入予定(合意形成)'!G:G,0)-1,0),"//")</f>
        <v>//</v>
      </c>
      <c r="AF25" s="255">
        <f t="shared" ca="1" si="4"/>
        <v>0</v>
      </c>
      <c r="AG25" s="129" t="str" cm="1">
        <f t="array" aca="1" ref="AG25" ca="1">IFERROR(_xlfn.IFS(COUNTIF($AB$8:$AC$167,G25)&gt;0,"",AF25&lt;=1,"D",AF25=2,"C",AF25=3,"B",AF25=4,"A"),"")</f>
        <v/>
      </c>
      <c r="AH25" s="255" t="str">
        <f ca="1">_xlfn.IFNA(OFFSET('4.1(2)新規再エネ導入予定(合意形成)'!$Z$1,MATCH($G25,'4.1(2)新規再エネ導入予定(合意形成)'!$G:$G,0)-1,0),"")</f>
        <v/>
      </c>
      <c r="AI25" s="129" t="str">
        <f t="shared" si="1"/>
        <v/>
      </c>
      <c r="AJ25" s="255" t="str">
        <f t="shared" si="2"/>
        <v/>
      </c>
      <c r="AK25" s="125" t="str">
        <f>IF(V25&lt;&gt;1,"",SUM($V$8:V25))</f>
        <v/>
      </c>
      <c r="AL25" s="255">
        <f t="shared" si="5"/>
        <v>1</v>
      </c>
    </row>
    <row r="26" spans="2:38" s="11" customFormat="1" ht="20">
      <c r="B26" s="21"/>
      <c r="C26" s="21"/>
      <c r="D26" s="36"/>
      <c r="E26" s="821"/>
      <c r="F26" s="781"/>
      <c r="G26" s="782"/>
      <c r="H26" s="783"/>
      <c r="I26" s="783"/>
      <c r="J26" s="784"/>
      <c r="K26" s="784"/>
      <c r="L26" s="724"/>
      <c r="M26" s="897"/>
      <c r="N26" s="731"/>
      <c r="O26" s="788"/>
      <c r="P26" s="897"/>
      <c r="Q26" s="731"/>
      <c r="R26" s="788"/>
      <c r="S26" s="786" t="str">
        <f t="shared" si="6"/>
        <v/>
      </c>
      <c r="T26" s="779"/>
      <c r="U26" s="114"/>
      <c r="V26" s="787" t="str">
        <f t="shared" si="8"/>
        <v/>
      </c>
      <c r="X26" s="125" t="s">
        <v>411</v>
      </c>
      <c r="Y26" s="255">
        <f t="shared" si="3"/>
        <v>19</v>
      </c>
      <c r="Z26" s="255" t="str">
        <f>IF(AA26&lt;&gt;"//",COUNTA($AA$8:AA26)-COUNTIF($AA$8:AA26,"//"),"")</f>
        <v/>
      </c>
      <c r="AA26" s="255" t="str">
        <f t="shared" si="0"/>
        <v>//</v>
      </c>
      <c r="AB26" s="255" t="str">
        <f ca="1">_xlfn.IFNA(IF(COUNTIF('4.1(2)新規再エネ導入予定(FS調査、系統接続検討状況)'!$G:$G,OFFSET($AA$7,MATCH($Y26,$Z$8:$Z$167,0),0))=0,OFFSET($AA$7,MATCH($Y26,$Z$8:$Z$167,0),0),""),"")</f>
        <v/>
      </c>
      <c r="AC26" s="255" t="str">
        <f ca="1">_xlfn.IFNA(IF(COUNTIF('4.1(2)新規再エネ導入予定(合意形成)'!$G:$G,OFFSET($AA$7,MATCH($Y26,$Z$8:$Z$167,0),0))=0,OFFSET($AA$7,MATCH($Y26,$Z$8:$Z$167,0),0),""),"")</f>
        <v/>
      </c>
      <c r="AD26" s="255" t="str">
        <f ca="1">_xlfn.IFNA(OFFSET('4.1(2)新規再エネ導入予定(FS調査、系統接続検討状況)'!$W$1,MATCH(G26,'4.1(2)新規再エネ導入予定(FS調査、系統接続検討状況)'!G:G,0)-1,0),"//")</f>
        <v>//</v>
      </c>
      <c r="AE26" s="277" t="str">
        <f ca="1">_xlfn.IFNA(OFFSET('4.1(2)新規再エネ導入予定(合意形成)'!$AJ$1,MATCH(G26,'4.1(2)新規再エネ導入予定(合意形成)'!G:G,0)-1,0),"//")</f>
        <v>//</v>
      </c>
      <c r="AF26" s="255">
        <f t="shared" ca="1" si="4"/>
        <v>0</v>
      </c>
      <c r="AG26" s="129" t="str" cm="1">
        <f t="array" aca="1" ref="AG26" ca="1">IFERROR(_xlfn.IFS(COUNTIF($AB$8:$AC$167,G26)&gt;0,"",AF26&lt;=1,"D",AF26=2,"C",AF26=3,"B",AF26=4,"A"),"")</f>
        <v/>
      </c>
      <c r="AH26" s="255" t="str">
        <f ca="1">_xlfn.IFNA(OFFSET('4.1(2)新規再エネ導入予定(合意形成)'!$Z$1,MATCH($G26,'4.1(2)新規再エネ導入予定(合意形成)'!$G:$G,0)-1,0),"")</f>
        <v/>
      </c>
      <c r="AI26" s="129" t="str">
        <f t="shared" si="1"/>
        <v/>
      </c>
      <c r="AJ26" s="255" t="str">
        <f t="shared" si="2"/>
        <v/>
      </c>
      <c r="AK26" s="125" t="str">
        <f>IF(V26&lt;&gt;1,"",SUM($V$8:V26))</f>
        <v/>
      </c>
      <c r="AL26" s="255">
        <f t="shared" si="5"/>
        <v>1</v>
      </c>
    </row>
    <row r="27" spans="2:38" s="11" customFormat="1" ht="20">
      <c r="B27" s="21"/>
      <c r="C27" s="21"/>
      <c r="D27" s="36"/>
      <c r="E27" s="821"/>
      <c r="F27" s="781"/>
      <c r="G27" s="782"/>
      <c r="H27" s="783"/>
      <c r="I27" s="783"/>
      <c r="J27" s="784"/>
      <c r="K27" s="784"/>
      <c r="L27" s="724"/>
      <c r="M27" s="897"/>
      <c r="N27" s="731"/>
      <c r="O27" s="788"/>
      <c r="P27" s="897"/>
      <c r="Q27" s="731"/>
      <c r="R27" s="788"/>
      <c r="S27" s="786" t="str">
        <f t="shared" si="6"/>
        <v/>
      </c>
      <c r="T27" s="779"/>
      <c r="U27" s="114"/>
      <c r="V27" s="787" t="str">
        <f t="shared" si="8"/>
        <v/>
      </c>
      <c r="X27" s="125" t="s">
        <v>411</v>
      </c>
      <c r="Y27" s="255">
        <f t="shared" si="3"/>
        <v>20</v>
      </c>
      <c r="Z27" s="255" t="str">
        <f>IF(AA27&lt;&gt;"//",COUNTA($AA$8:AA27)-COUNTIF($AA$8:AA27,"//"),"")</f>
        <v/>
      </c>
      <c r="AA27" s="255" t="str">
        <f t="shared" si="0"/>
        <v>//</v>
      </c>
      <c r="AB27" s="255" t="str">
        <f ca="1">_xlfn.IFNA(IF(COUNTIF('4.1(2)新規再エネ導入予定(FS調査、系統接続検討状況)'!$G:$G,OFFSET($AA$7,MATCH($Y27,$Z$8:$Z$167,0),0))=0,OFFSET($AA$7,MATCH($Y27,$Z$8:$Z$167,0),0),""),"")</f>
        <v/>
      </c>
      <c r="AC27" s="255" t="str">
        <f ca="1">_xlfn.IFNA(IF(COUNTIF('4.1(2)新規再エネ導入予定(合意形成)'!$G:$G,OFFSET($AA$7,MATCH($Y27,$Z$8:$Z$167,0),0))=0,OFFSET($AA$7,MATCH($Y27,$Z$8:$Z$167,0),0),""),"")</f>
        <v/>
      </c>
      <c r="AD27" s="255" t="str">
        <f ca="1">_xlfn.IFNA(OFFSET('4.1(2)新規再エネ導入予定(FS調査、系統接続検討状況)'!$W$1,MATCH(G27,'4.1(2)新規再エネ導入予定(FS調査、系統接続検討状況)'!G:G,0)-1,0),"//")</f>
        <v>//</v>
      </c>
      <c r="AE27" s="277" t="str">
        <f ca="1">_xlfn.IFNA(OFFSET('4.1(2)新規再エネ導入予定(合意形成)'!$AJ$1,MATCH(G27,'4.1(2)新規再エネ導入予定(合意形成)'!G:G,0)-1,0),"//")</f>
        <v>//</v>
      </c>
      <c r="AF27" s="255">
        <f t="shared" ca="1" si="4"/>
        <v>0</v>
      </c>
      <c r="AG27" s="129" t="str" cm="1">
        <f t="array" aca="1" ref="AG27" ca="1">IFERROR(_xlfn.IFS(COUNTIF($AB$8:$AC$167,G27)&gt;0,"",AF27&lt;=1,"D",AF27=2,"C",AF27=3,"B",AF27=4,"A"),"")</f>
        <v/>
      </c>
      <c r="AH27" s="255" t="str">
        <f ca="1">_xlfn.IFNA(OFFSET('4.1(2)新規再エネ導入予定(合意形成)'!$Z$1,MATCH($G27,'4.1(2)新規再エネ導入予定(合意形成)'!$G:$G,0)-1,0),"")</f>
        <v/>
      </c>
      <c r="AI27" s="129" t="str">
        <f t="shared" si="1"/>
        <v/>
      </c>
      <c r="AJ27" s="255" t="str">
        <f t="shared" si="2"/>
        <v/>
      </c>
      <c r="AK27" s="125" t="str">
        <f>IF(V27&lt;&gt;1,"",SUM($V$8:V27))</f>
        <v/>
      </c>
      <c r="AL27" s="255">
        <f t="shared" si="5"/>
        <v>1</v>
      </c>
    </row>
    <row r="28" spans="2:38" s="11" customFormat="1" ht="20">
      <c r="B28" s="21"/>
      <c r="C28" s="21"/>
      <c r="D28" s="36"/>
      <c r="E28" s="821"/>
      <c r="F28" s="781"/>
      <c r="G28" s="782"/>
      <c r="H28" s="783"/>
      <c r="I28" s="783"/>
      <c r="J28" s="784"/>
      <c r="K28" s="784"/>
      <c r="L28" s="724"/>
      <c r="M28" s="897"/>
      <c r="N28" s="731"/>
      <c r="O28" s="788"/>
      <c r="P28" s="897"/>
      <c r="Q28" s="731"/>
      <c r="R28" s="788"/>
      <c r="S28" s="786" t="str">
        <f t="shared" si="6"/>
        <v/>
      </c>
      <c r="T28" s="779"/>
      <c r="U28" s="114"/>
      <c r="V28" s="787" t="str">
        <f t="shared" si="8"/>
        <v/>
      </c>
      <c r="X28" s="125" t="s">
        <v>411</v>
      </c>
      <c r="Y28" s="255">
        <f t="shared" si="3"/>
        <v>21</v>
      </c>
      <c r="Z28" s="255" t="str">
        <f>IF(AA28&lt;&gt;"//",COUNTA($AA$8:AA28)-COUNTIF($AA$8:AA28,"//"),"")</f>
        <v/>
      </c>
      <c r="AA28" s="255" t="str">
        <f t="shared" si="0"/>
        <v>//</v>
      </c>
      <c r="AB28" s="255" t="str">
        <f ca="1">_xlfn.IFNA(IF(COUNTIF('4.1(2)新規再エネ導入予定(FS調査、系統接続検討状況)'!$G:$G,OFFSET($AA$7,MATCH($Y28,$Z$8:$Z$167,0),0))=0,OFFSET($AA$7,MATCH($Y28,$Z$8:$Z$167,0),0),""),"")</f>
        <v/>
      </c>
      <c r="AC28" s="255" t="str">
        <f ca="1">_xlfn.IFNA(IF(COUNTIF('4.1(2)新規再エネ導入予定(合意形成)'!$G:$G,OFFSET($AA$7,MATCH($Y28,$Z$8:$Z$167,0),0))=0,OFFSET($AA$7,MATCH($Y28,$Z$8:$Z$167,0),0),""),"")</f>
        <v/>
      </c>
      <c r="AD28" s="255" t="str">
        <f ca="1">_xlfn.IFNA(OFFSET('4.1(2)新規再エネ導入予定(FS調査、系統接続検討状況)'!$W$1,MATCH(G28,'4.1(2)新規再エネ導入予定(FS調査、系統接続検討状況)'!G:G,0)-1,0),"//")</f>
        <v>//</v>
      </c>
      <c r="AE28" s="277" t="str">
        <f ca="1">_xlfn.IFNA(OFFSET('4.1(2)新規再エネ導入予定(合意形成)'!$AJ$1,MATCH(G28,'4.1(2)新規再エネ導入予定(合意形成)'!G:G,0)-1,0),"//")</f>
        <v>//</v>
      </c>
      <c r="AF28" s="255">
        <f t="shared" ca="1" si="4"/>
        <v>0</v>
      </c>
      <c r="AG28" s="129" t="str" cm="1">
        <f t="array" aca="1" ref="AG28" ca="1">IFERROR(_xlfn.IFS(COUNTIF($AB$8:$AC$167,G28)&gt;0,"",AF28&lt;=1,"D",AF28=2,"C",AF28=3,"B",AF28=4,"A"),"")</f>
        <v/>
      </c>
      <c r="AH28" s="255" t="str">
        <f ca="1">_xlfn.IFNA(OFFSET('4.1(2)新規再エネ導入予定(合意形成)'!$Z$1,MATCH($G28,'4.1(2)新規再エネ導入予定(合意形成)'!$G:$G,0)-1,0),"")</f>
        <v/>
      </c>
      <c r="AI28" s="129" t="str">
        <f t="shared" si="1"/>
        <v/>
      </c>
      <c r="AJ28" s="255" t="str">
        <f t="shared" si="2"/>
        <v/>
      </c>
      <c r="AK28" s="125" t="str">
        <f>IF(V28&lt;&gt;1,"",SUM($V$8:V28))</f>
        <v/>
      </c>
      <c r="AL28" s="255">
        <f t="shared" si="5"/>
        <v>1</v>
      </c>
    </row>
    <row r="29" spans="2:38" ht="18" customHeight="1">
      <c r="D29" s="188"/>
      <c r="E29" s="822" t="s">
        <v>18</v>
      </c>
      <c r="F29" s="789"/>
      <c r="G29" s="769"/>
      <c r="H29" s="770"/>
      <c r="I29" s="770"/>
      <c r="J29" s="770"/>
      <c r="K29" s="770"/>
      <c r="L29" s="723"/>
      <c r="M29" s="726"/>
      <c r="N29" s="892" t="str">
        <f>IF(AND(COUNTBLANK(M29:M36)&lt;=3,COUNTA(M29:M36)=0),0,IF(SUM(M29:M36)=0,"",SUM(M29:M36)))</f>
        <v/>
      </c>
      <c r="O29" s="898"/>
      <c r="P29" s="729"/>
      <c r="Q29" s="892" t="str">
        <f>IF(AND(COUNTBLANK(P29:P36)&lt;=3,COUNTA(P29:P36)=0),0,IF(SUM(P29:P36)=0,"",SUM(P29:P36)))</f>
        <v/>
      </c>
      <c r="R29" s="771"/>
      <c r="S29" s="772" t="str">
        <f t="shared" si="6"/>
        <v/>
      </c>
      <c r="T29" s="764"/>
      <c r="V29" s="790"/>
      <c r="X29" s="222" t="s">
        <v>411</v>
      </c>
      <c r="Y29" s="175">
        <f t="shared" si="3"/>
        <v>22</v>
      </c>
      <c r="Z29" s="175" t="str">
        <f>IF(AA29&lt;&gt;"//",COUNTA($AA$8:AA29)-COUNTIF($AA$8:AA29,"//"),"")</f>
        <v/>
      </c>
      <c r="AA29" s="175" t="str">
        <f t="shared" si="0"/>
        <v>//</v>
      </c>
      <c r="AB29" s="175" t="str">
        <f ca="1">_xlfn.IFNA(IF(COUNTIF('4.1(2)新規再エネ導入予定(FS調査、系統接続検討状況)'!$G:$G,OFFSET($AA$7,MATCH($Y29,$Z$8:$Z$167,0),0))=0,OFFSET($AA$7,MATCH($Y29,$Z$8:$Z$167,0),0),""),"")</f>
        <v/>
      </c>
      <c r="AC29" s="175" t="str">
        <f ca="1">_xlfn.IFNA(IF(COUNTIF('4.1(2)新規再エネ導入予定(合意形成)'!$G:$G,OFFSET($AA$7,MATCH($Y29,$Z$8:$Z$167,0),0))=0,OFFSET($AA$7,MATCH($Y29,$Z$8:$Z$167,0),0),""),"")</f>
        <v/>
      </c>
      <c r="AD29" s="175" t="str">
        <f ca="1">_xlfn.IFNA(OFFSET('4.1(2)新規再エネ導入予定(FS調査、系統接続検討状況)'!$W$1,MATCH(G29,'4.1(2)新規再エネ導入予定(FS調査、系統接続検討状況)'!G:G,0)-1,0),"//")</f>
        <v>//</v>
      </c>
      <c r="AE29" s="262" t="str">
        <f ca="1">_xlfn.IFNA(OFFSET('4.1(2)新規再エネ導入予定(合意形成)'!$AJ$1,MATCH(G29,'4.1(2)新規再エネ導入予定(合意形成)'!G:G,0)-1,0),"//")</f>
        <v>//</v>
      </c>
      <c r="AF29" s="175">
        <f t="shared" ca="1" si="4"/>
        <v>0</v>
      </c>
      <c r="AG29" s="215" t="str" cm="1">
        <f t="array" aca="1" ref="AG29" ca="1">IFERROR(_xlfn.IFS(COUNTIF($AB$8:$AC$167,G29)&gt;0,"",AF29&lt;=1,"D",AF29=2,"C",AF29=3,"B",AF29=4,"A"),"")</f>
        <v/>
      </c>
      <c r="AH29" s="175" t="str">
        <f ca="1">_xlfn.IFNA(OFFSET('4.1(2)新規再エネ導入予定(合意形成)'!$Z$1,MATCH($G29,'4.1(2)新規再エネ導入予定(合意形成)'!$G:$G,0)-1,0),"")</f>
        <v/>
      </c>
      <c r="AI29" s="215" t="str">
        <f t="shared" si="1"/>
        <v/>
      </c>
      <c r="AJ29" s="175" t="str">
        <f t="shared" si="2"/>
        <v/>
      </c>
      <c r="AK29" s="222" t="str">
        <f>IF(V29&lt;&gt;1,"",SUM($V$8:V29))</f>
        <v/>
      </c>
      <c r="AL29" s="175">
        <f t="shared" si="5"/>
        <v>1</v>
      </c>
    </row>
    <row r="30" spans="2:38" s="11" customFormat="1" ht="20" hidden="1">
      <c r="B30" s="21"/>
      <c r="C30" s="21"/>
      <c r="D30" s="36"/>
      <c r="E30" s="821"/>
      <c r="F30" s="774"/>
      <c r="G30" s="775"/>
      <c r="H30" s="776"/>
      <c r="I30" s="776"/>
      <c r="J30" s="777"/>
      <c r="K30" s="777"/>
      <c r="L30" s="894"/>
      <c r="M30" s="895"/>
      <c r="N30" s="730"/>
      <c r="O30" s="791"/>
      <c r="P30" s="895"/>
      <c r="Q30" s="730"/>
      <c r="R30" s="791"/>
      <c r="S30" s="778" t="str">
        <f t="shared" si="6"/>
        <v/>
      </c>
      <c r="T30" s="779"/>
      <c r="U30" s="114"/>
      <c r="V30" s="780"/>
      <c r="X30" s="125" t="s">
        <v>411</v>
      </c>
      <c r="Y30" s="255">
        <f t="shared" si="3"/>
        <v>23</v>
      </c>
      <c r="Z30" s="255" t="str">
        <f>IF(AA30&lt;&gt;"//",COUNTA($AA$8:AA30)-COUNTIF($AA$8:AA30,"//"),"")</f>
        <v/>
      </c>
      <c r="AA30" s="255" t="str">
        <f t="shared" si="0"/>
        <v>//</v>
      </c>
      <c r="AB30" s="255" t="str">
        <f ca="1">_xlfn.IFNA(IF(COUNTIF('4.1(2)新規再エネ導入予定(FS調査、系統接続検討状況)'!$G:$G,OFFSET($AA$7,MATCH($Y30,$Z$8:$Z$167,0),0))=0,OFFSET($AA$7,MATCH($Y30,$Z$8:$Z$167,0),0),""),"")</f>
        <v/>
      </c>
      <c r="AC30" s="255" t="str">
        <f ca="1">_xlfn.IFNA(IF(COUNTIF('4.1(2)新規再エネ導入予定(合意形成)'!$G:$G,OFFSET($AA$7,MATCH($Y30,$Z$8:$Z$167,0),0))=0,OFFSET($AA$7,MATCH($Y30,$Z$8:$Z$167,0),0),""),"")</f>
        <v/>
      </c>
      <c r="AD30" s="255" t="str">
        <f ca="1">_xlfn.IFNA(OFFSET('4.1(2)新規再エネ導入予定(FS調査、系統接続検討状況)'!$W$1,MATCH(G30,'4.1(2)新規再エネ導入予定(FS調査、系統接続検討状況)'!G:G,0)-1,0),"//")</f>
        <v>//</v>
      </c>
      <c r="AE30" s="277" t="str">
        <f ca="1">_xlfn.IFNA(OFFSET('4.1(2)新規再エネ導入予定(合意形成)'!$AJ$1,MATCH(G30,'4.1(2)新規再エネ導入予定(合意形成)'!G:G,0)-1,0),"//")</f>
        <v>//</v>
      </c>
      <c r="AF30" s="255">
        <f t="shared" ca="1" si="4"/>
        <v>0</v>
      </c>
      <c r="AG30" s="129" t="str" cm="1">
        <f t="array" aca="1" ref="AG30" ca="1">IFERROR(_xlfn.IFS(COUNTIF($AB$8:$AC$167,G30)&gt;0,"",AF30&lt;=1,"D",AF30=2,"C",AF30=3,"B",AF30=4,"A"),"")</f>
        <v/>
      </c>
      <c r="AH30" s="255" t="str">
        <f ca="1">_xlfn.IFNA(OFFSET('4.1(2)新規再エネ導入予定(合意形成)'!$Z$1,MATCH($G30,'4.1(2)新規再エネ導入予定(合意形成)'!$G:$G,0)-1,0),"")</f>
        <v/>
      </c>
      <c r="AI30" s="129" t="str">
        <f t="shared" si="1"/>
        <v/>
      </c>
      <c r="AJ30" s="255" t="str">
        <f t="shared" si="2"/>
        <v/>
      </c>
      <c r="AK30" s="125" t="str">
        <f>IF(V30&lt;&gt;1,"",SUM($V$8:V30))</f>
        <v/>
      </c>
      <c r="AL30" s="255">
        <f t="shared" si="5"/>
        <v>1</v>
      </c>
    </row>
    <row r="31" spans="2:38" s="11" customFormat="1" ht="20">
      <c r="B31" s="21"/>
      <c r="C31" s="21"/>
      <c r="D31" s="36"/>
      <c r="E31" s="821"/>
      <c r="F31" s="781"/>
      <c r="G31" s="782"/>
      <c r="H31" s="783"/>
      <c r="I31" s="783"/>
      <c r="J31" s="784"/>
      <c r="K31" s="784"/>
      <c r="L31" s="896"/>
      <c r="M31" s="897"/>
      <c r="N31" s="731"/>
      <c r="O31" s="788"/>
      <c r="P31" s="897"/>
      <c r="Q31" s="731"/>
      <c r="R31" s="788"/>
      <c r="S31" s="786" t="str">
        <f t="shared" si="6"/>
        <v/>
      </c>
      <c r="T31" s="779"/>
      <c r="U31" s="114"/>
      <c r="V31" s="787" t="str">
        <f t="shared" si="8"/>
        <v/>
      </c>
      <c r="X31" s="125" t="s">
        <v>411</v>
      </c>
      <c r="Y31" s="255">
        <f t="shared" si="3"/>
        <v>24</v>
      </c>
      <c r="Z31" s="255" t="str">
        <f>IF(AA31&lt;&gt;"//",COUNTA($AA$8:AA31)-COUNTIF($AA$8:AA31,"//"),"")</f>
        <v/>
      </c>
      <c r="AA31" s="255" t="str">
        <f t="shared" si="0"/>
        <v>//</v>
      </c>
      <c r="AB31" s="255" t="str">
        <f ca="1">_xlfn.IFNA(IF(COUNTIF('4.1(2)新規再エネ導入予定(FS調査、系統接続検討状況)'!$G:$G,OFFSET($AA$7,MATCH($Y31,$Z$8:$Z$167,0),0))=0,OFFSET($AA$7,MATCH($Y31,$Z$8:$Z$167,0),0),""),"")</f>
        <v/>
      </c>
      <c r="AC31" s="255" t="str">
        <f ca="1">_xlfn.IFNA(IF(COUNTIF('4.1(2)新規再エネ導入予定(合意形成)'!$G:$G,OFFSET($AA$7,MATCH($Y31,$Z$8:$Z$167,0),0))=0,OFFSET($AA$7,MATCH($Y31,$Z$8:$Z$167,0),0),""),"")</f>
        <v/>
      </c>
      <c r="AD31" s="255" t="str">
        <f ca="1">_xlfn.IFNA(OFFSET('4.1(2)新規再エネ導入予定(FS調査、系統接続検討状況)'!$W$1,MATCH(G31,'4.1(2)新規再エネ導入予定(FS調査、系統接続検討状況)'!G:G,0)-1,0),"//")</f>
        <v>//</v>
      </c>
      <c r="AE31" s="277" t="str">
        <f ca="1">_xlfn.IFNA(OFFSET('4.1(2)新規再エネ導入予定(合意形成)'!$AJ$1,MATCH(G31,'4.1(2)新規再エネ導入予定(合意形成)'!G:G,0)-1,0),"//")</f>
        <v>//</v>
      </c>
      <c r="AF31" s="255">
        <f t="shared" ca="1" si="4"/>
        <v>0</v>
      </c>
      <c r="AG31" s="129" t="str" cm="1">
        <f t="array" aca="1" ref="AG31" ca="1">IFERROR(_xlfn.IFS(COUNTIF($AB$8:$AC$167,G31)&gt;0,"",AF31&lt;=1,"D",AF31=2,"C",AF31=3,"B",AF31=4,"A"),"")</f>
        <v/>
      </c>
      <c r="AH31" s="255" t="str">
        <f ca="1">_xlfn.IFNA(OFFSET('4.1(2)新規再エネ導入予定(合意形成)'!$Z$1,MATCH($G31,'4.1(2)新規再エネ導入予定(合意形成)'!$G:$G,0)-1,0),"")</f>
        <v/>
      </c>
      <c r="AI31" s="129" t="str">
        <f t="shared" si="1"/>
        <v/>
      </c>
      <c r="AJ31" s="255" t="str">
        <f t="shared" si="2"/>
        <v/>
      </c>
      <c r="AK31" s="125" t="str">
        <f>IF(V31&lt;&gt;1,"",SUM($V$8:V31))</f>
        <v/>
      </c>
      <c r="AL31" s="255">
        <f t="shared" si="5"/>
        <v>1</v>
      </c>
    </row>
    <row r="32" spans="2:38" s="11" customFormat="1" ht="20">
      <c r="B32" s="21"/>
      <c r="C32" s="21"/>
      <c r="D32" s="36"/>
      <c r="E32" s="821"/>
      <c r="F32" s="781"/>
      <c r="G32" s="782"/>
      <c r="H32" s="783"/>
      <c r="I32" s="783"/>
      <c r="J32" s="784"/>
      <c r="K32" s="784"/>
      <c r="L32" s="896"/>
      <c r="M32" s="897"/>
      <c r="N32" s="731"/>
      <c r="O32" s="788"/>
      <c r="P32" s="897"/>
      <c r="Q32" s="731"/>
      <c r="R32" s="788"/>
      <c r="S32" s="786" t="str">
        <f t="shared" si="6"/>
        <v/>
      </c>
      <c r="T32" s="779"/>
      <c r="U32" s="114"/>
      <c r="V32" s="787" t="str">
        <f t="shared" si="8"/>
        <v/>
      </c>
      <c r="X32" s="125" t="s">
        <v>411</v>
      </c>
      <c r="Y32" s="255">
        <f t="shared" si="3"/>
        <v>25</v>
      </c>
      <c r="Z32" s="255" t="str">
        <f>IF(AA32&lt;&gt;"//",COUNTA($AA$8:AA32)-COUNTIF($AA$8:AA32,"//"),"")</f>
        <v/>
      </c>
      <c r="AA32" s="255" t="str">
        <f t="shared" si="0"/>
        <v>//</v>
      </c>
      <c r="AB32" s="255" t="str">
        <f ca="1">_xlfn.IFNA(IF(COUNTIF('4.1(2)新規再エネ導入予定(FS調査、系統接続検討状況)'!$G:$G,OFFSET($AA$7,MATCH($Y32,$Z$8:$Z$167,0),0))=0,OFFSET($AA$7,MATCH($Y32,$Z$8:$Z$167,0),0),""),"")</f>
        <v/>
      </c>
      <c r="AC32" s="255" t="str">
        <f ca="1">_xlfn.IFNA(IF(COUNTIF('4.1(2)新規再エネ導入予定(合意形成)'!$G:$G,OFFSET($AA$7,MATCH($Y32,$Z$8:$Z$167,0),0))=0,OFFSET($AA$7,MATCH($Y32,$Z$8:$Z$167,0),0),""),"")</f>
        <v/>
      </c>
      <c r="AD32" s="255" t="str">
        <f ca="1">_xlfn.IFNA(OFFSET('4.1(2)新規再エネ導入予定(FS調査、系統接続検討状況)'!$W$1,MATCH(G32,'4.1(2)新規再エネ導入予定(FS調査、系統接続検討状況)'!G:G,0)-1,0),"//")</f>
        <v>//</v>
      </c>
      <c r="AE32" s="277" t="str">
        <f ca="1">_xlfn.IFNA(OFFSET('4.1(2)新規再エネ導入予定(合意形成)'!$AJ$1,MATCH(G32,'4.1(2)新規再エネ導入予定(合意形成)'!G:G,0)-1,0),"//")</f>
        <v>//</v>
      </c>
      <c r="AF32" s="255">
        <f t="shared" ca="1" si="4"/>
        <v>0</v>
      </c>
      <c r="AG32" s="129" t="str" cm="1">
        <f t="array" aca="1" ref="AG32" ca="1">IFERROR(_xlfn.IFS(COUNTIF($AB$8:$AC$167,G32)&gt;0,"",AF32&lt;=1,"D",AF32=2,"C",AF32=3,"B",AF32=4,"A"),"")</f>
        <v/>
      </c>
      <c r="AH32" s="255" t="str">
        <f ca="1">_xlfn.IFNA(OFFSET('4.1(2)新規再エネ導入予定(合意形成)'!$Z$1,MATCH($G32,'4.1(2)新規再エネ導入予定(合意形成)'!$G:$G,0)-1,0),"")</f>
        <v/>
      </c>
      <c r="AI32" s="129" t="str">
        <f t="shared" si="1"/>
        <v/>
      </c>
      <c r="AJ32" s="255" t="str">
        <f t="shared" si="2"/>
        <v/>
      </c>
      <c r="AK32" s="125" t="str">
        <f>IF(V32&lt;&gt;1,"",SUM($V$8:V32))</f>
        <v/>
      </c>
      <c r="AL32" s="255">
        <f t="shared" si="5"/>
        <v>1</v>
      </c>
    </row>
    <row r="33" spans="2:38" s="11" customFormat="1" ht="20">
      <c r="B33" s="21"/>
      <c r="C33" s="21"/>
      <c r="D33" s="36"/>
      <c r="E33" s="821"/>
      <c r="F33" s="781"/>
      <c r="G33" s="782"/>
      <c r="H33" s="783"/>
      <c r="I33" s="783"/>
      <c r="J33" s="784"/>
      <c r="K33" s="784"/>
      <c r="L33" s="896"/>
      <c r="M33" s="897"/>
      <c r="N33" s="731"/>
      <c r="O33" s="788"/>
      <c r="P33" s="897"/>
      <c r="Q33" s="731"/>
      <c r="R33" s="788"/>
      <c r="S33" s="786" t="str">
        <f t="shared" si="6"/>
        <v/>
      </c>
      <c r="T33" s="779"/>
      <c r="U33" s="114"/>
      <c r="V33" s="787" t="str">
        <f t="shared" si="8"/>
        <v/>
      </c>
      <c r="X33" s="125" t="s">
        <v>411</v>
      </c>
      <c r="Y33" s="255">
        <f t="shared" si="3"/>
        <v>26</v>
      </c>
      <c r="Z33" s="255" t="str">
        <f>IF(AA33&lt;&gt;"//",COUNTA($AA$8:AA33)-COUNTIF($AA$8:AA33,"//"),"")</f>
        <v/>
      </c>
      <c r="AA33" s="255" t="str">
        <f t="shared" si="0"/>
        <v>//</v>
      </c>
      <c r="AB33" s="255" t="str">
        <f ca="1">_xlfn.IFNA(IF(COUNTIF('4.1(2)新規再エネ導入予定(FS調査、系統接続検討状況)'!$G:$G,OFFSET($AA$7,MATCH($Y33,$Z$8:$Z$167,0),0))=0,OFFSET($AA$7,MATCH($Y33,$Z$8:$Z$167,0),0),""),"")</f>
        <v/>
      </c>
      <c r="AC33" s="255" t="str">
        <f ca="1">_xlfn.IFNA(IF(COUNTIF('4.1(2)新規再エネ導入予定(合意形成)'!$G:$G,OFFSET($AA$7,MATCH($Y33,$Z$8:$Z$167,0),0))=0,OFFSET($AA$7,MATCH($Y33,$Z$8:$Z$167,0),0),""),"")</f>
        <v/>
      </c>
      <c r="AD33" s="255" t="str">
        <f ca="1">_xlfn.IFNA(OFFSET('4.1(2)新規再エネ導入予定(FS調査、系統接続検討状況)'!$W$1,MATCH(G33,'4.1(2)新規再エネ導入予定(FS調査、系統接続検討状況)'!G:G,0)-1,0),"//")</f>
        <v>//</v>
      </c>
      <c r="AE33" s="277" t="str">
        <f ca="1">_xlfn.IFNA(OFFSET('4.1(2)新規再エネ導入予定(合意形成)'!$AJ$1,MATCH(G33,'4.1(2)新規再エネ導入予定(合意形成)'!G:G,0)-1,0),"//")</f>
        <v>//</v>
      </c>
      <c r="AF33" s="255">
        <f t="shared" ca="1" si="4"/>
        <v>0</v>
      </c>
      <c r="AG33" s="129" t="str" cm="1">
        <f t="array" aca="1" ref="AG33" ca="1">IFERROR(_xlfn.IFS(COUNTIF($AB$8:$AC$167,G33)&gt;0,"",AF33&lt;=1,"D",AF33=2,"C",AF33=3,"B",AF33=4,"A"),"")</f>
        <v/>
      </c>
      <c r="AH33" s="255" t="str">
        <f ca="1">_xlfn.IFNA(OFFSET('4.1(2)新規再エネ導入予定(合意形成)'!$Z$1,MATCH($G33,'4.1(2)新規再エネ導入予定(合意形成)'!$G:$G,0)-1,0),"")</f>
        <v/>
      </c>
      <c r="AI33" s="129" t="str">
        <f t="shared" si="1"/>
        <v/>
      </c>
      <c r="AJ33" s="255" t="str">
        <f t="shared" si="2"/>
        <v/>
      </c>
      <c r="AK33" s="125" t="str">
        <f>IF(V33&lt;&gt;1,"",SUM($V$8:V33))</f>
        <v/>
      </c>
      <c r="AL33" s="255">
        <f t="shared" si="5"/>
        <v>1</v>
      </c>
    </row>
    <row r="34" spans="2:38" s="11" customFormat="1" ht="20">
      <c r="B34" s="21"/>
      <c r="C34" s="21"/>
      <c r="D34" s="36"/>
      <c r="E34" s="821"/>
      <c r="F34" s="781"/>
      <c r="G34" s="782"/>
      <c r="H34" s="783"/>
      <c r="I34" s="783"/>
      <c r="J34" s="784"/>
      <c r="K34" s="784"/>
      <c r="L34" s="896"/>
      <c r="M34" s="897"/>
      <c r="N34" s="731"/>
      <c r="O34" s="788"/>
      <c r="P34" s="897"/>
      <c r="Q34" s="731"/>
      <c r="R34" s="788"/>
      <c r="S34" s="786" t="str">
        <f t="shared" si="6"/>
        <v/>
      </c>
      <c r="T34" s="779"/>
      <c r="U34" s="114"/>
      <c r="V34" s="787" t="str">
        <f t="shared" si="8"/>
        <v/>
      </c>
      <c r="X34" s="125" t="s">
        <v>411</v>
      </c>
      <c r="Y34" s="255">
        <f t="shared" si="3"/>
        <v>27</v>
      </c>
      <c r="Z34" s="255" t="str">
        <f>IF(AA34&lt;&gt;"//",COUNTA($AA$8:AA34)-COUNTIF($AA$8:AA34,"//"),"")</f>
        <v/>
      </c>
      <c r="AA34" s="255" t="str">
        <f t="shared" si="0"/>
        <v>//</v>
      </c>
      <c r="AB34" s="255" t="str">
        <f ca="1">_xlfn.IFNA(IF(COUNTIF('4.1(2)新規再エネ導入予定(FS調査、系統接続検討状況)'!$G:$G,OFFSET($AA$7,MATCH($Y34,$Z$8:$Z$167,0),0))=0,OFFSET($AA$7,MATCH($Y34,$Z$8:$Z$167,0),0),""),"")</f>
        <v/>
      </c>
      <c r="AC34" s="255" t="str">
        <f ca="1">_xlfn.IFNA(IF(COUNTIF('4.1(2)新規再エネ導入予定(合意形成)'!$G:$G,OFFSET($AA$7,MATCH($Y34,$Z$8:$Z$167,0),0))=0,OFFSET($AA$7,MATCH($Y34,$Z$8:$Z$167,0),0),""),"")</f>
        <v/>
      </c>
      <c r="AD34" s="255" t="str">
        <f ca="1">_xlfn.IFNA(OFFSET('4.1(2)新規再エネ導入予定(FS調査、系統接続検討状況)'!$W$1,MATCH(G34,'4.1(2)新規再エネ導入予定(FS調査、系統接続検討状況)'!G:G,0)-1,0),"//")</f>
        <v>//</v>
      </c>
      <c r="AE34" s="277" t="str">
        <f ca="1">_xlfn.IFNA(OFFSET('4.1(2)新規再エネ導入予定(合意形成)'!$AJ$1,MATCH(G34,'4.1(2)新規再エネ導入予定(合意形成)'!G:G,0)-1,0),"//")</f>
        <v>//</v>
      </c>
      <c r="AF34" s="255">
        <f t="shared" ca="1" si="4"/>
        <v>0</v>
      </c>
      <c r="AG34" s="129" t="str" cm="1">
        <f t="array" aca="1" ref="AG34" ca="1">IFERROR(_xlfn.IFS(COUNTIF($AB$8:$AC$167,G34)&gt;0,"",AF34&lt;=1,"D",AF34=2,"C",AF34=3,"B",AF34=4,"A"),"")</f>
        <v/>
      </c>
      <c r="AH34" s="255" t="str">
        <f ca="1">_xlfn.IFNA(OFFSET('4.1(2)新規再エネ導入予定(合意形成)'!$Z$1,MATCH($G34,'4.1(2)新規再エネ導入予定(合意形成)'!$G:$G,0)-1,0),"")</f>
        <v/>
      </c>
      <c r="AI34" s="129" t="str">
        <f t="shared" si="1"/>
        <v/>
      </c>
      <c r="AJ34" s="255" t="str">
        <f t="shared" si="2"/>
        <v/>
      </c>
      <c r="AK34" s="125" t="str">
        <f>IF(V34&lt;&gt;1,"",SUM($V$8:V34))</f>
        <v/>
      </c>
      <c r="AL34" s="255">
        <f t="shared" si="5"/>
        <v>1</v>
      </c>
    </row>
    <row r="35" spans="2:38" s="11" customFormat="1" ht="20">
      <c r="B35" s="21"/>
      <c r="C35" s="21"/>
      <c r="D35" s="36"/>
      <c r="E35" s="821"/>
      <c r="F35" s="781"/>
      <c r="G35" s="782"/>
      <c r="H35" s="783"/>
      <c r="I35" s="783"/>
      <c r="J35" s="784"/>
      <c r="K35" s="784"/>
      <c r="L35" s="896"/>
      <c r="M35" s="897"/>
      <c r="N35" s="731"/>
      <c r="O35" s="788"/>
      <c r="P35" s="897"/>
      <c r="Q35" s="731"/>
      <c r="R35" s="788"/>
      <c r="S35" s="786" t="str">
        <f t="shared" si="6"/>
        <v/>
      </c>
      <c r="T35" s="779"/>
      <c r="U35" s="114"/>
      <c r="V35" s="787" t="str">
        <f t="shared" si="8"/>
        <v/>
      </c>
      <c r="X35" s="125" t="s">
        <v>411</v>
      </c>
      <c r="Y35" s="255">
        <f t="shared" si="3"/>
        <v>28</v>
      </c>
      <c r="Z35" s="255" t="str">
        <f>IF(AA35&lt;&gt;"//",COUNTA($AA$8:AA35)-COUNTIF($AA$8:AA35,"//"),"")</f>
        <v/>
      </c>
      <c r="AA35" s="255" t="str">
        <f t="shared" si="0"/>
        <v>//</v>
      </c>
      <c r="AB35" s="255" t="str">
        <f ca="1">_xlfn.IFNA(IF(COUNTIF('4.1(2)新規再エネ導入予定(FS調査、系統接続検討状況)'!$G:$G,OFFSET($AA$7,MATCH($Y35,$Z$8:$Z$167,0),0))=0,OFFSET($AA$7,MATCH($Y35,$Z$8:$Z$167,0),0),""),"")</f>
        <v/>
      </c>
      <c r="AC35" s="255" t="str">
        <f ca="1">_xlfn.IFNA(IF(COUNTIF('4.1(2)新規再エネ導入予定(合意形成)'!$G:$G,OFFSET($AA$7,MATCH($Y35,$Z$8:$Z$167,0),0))=0,OFFSET($AA$7,MATCH($Y35,$Z$8:$Z$167,0),0),""),"")</f>
        <v/>
      </c>
      <c r="AD35" s="255" t="str">
        <f ca="1">_xlfn.IFNA(OFFSET('4.1(2)新規再エネ導入予定(FS調査、系統接続検討状況)'!$W$1,MATCH(G35,'4.1(2)新規再エネ導入予定(FS調査、系統接続検討状況)'!G:G,0)-1,0),"//")</f>
        <v>//</v>
      </c>
      <c r="AE35" s="277" t="str">
        <f ca="1">_xlfn.IFNA(OFFSET('4.1(2)新規再エネ導入予定(合意形成)'!$AJ$1,MATCH(G35,'4.1(2)新規再エネ導入予定(合意形成)'!G:G,0)-1,0),"//")</f>
        <v>//</v>
      </c>
      <c r="AF35" s="255">
        <f t="shared" ca="1" si="4"/>
        <v>0</v>
      </c>
      <c r="AG35" s="129" t="str" cm="1">
        <f t="array" aca="1" ref="AG35" ca="1">IFERROR(_xlfn.IFS(COUNTIF($AB$8:$AC$167,G35)&gt;0,"",AF35&lt;=1,"D",AF35=2,"C",AF35=3,"B",AF35=4,"A"),"")</f>
        <v/>
      </c>
      <c r="AH35" s="255" t="str">
        <f ca="1">_xlfn.IFNA(OFFSET('4.1(2)新規再エネ導入予定(合意形成)'!$Z$1,MATCH($G35,'4.1(2)新規再エネ導入予定(合意形成)'!$G:$G,0)-1,0),"")</f>
        <v/>
      </c>
      <c r="AI35" s="129" t="str">
        <f t="shared" si="1"/>
        <v/>
      </c>
      <c r="AJ35" s="255" t="str">
        <f t="shared" si="2"/>
        <v/>
      </c>
      <c r="AK35" s="125" t="str">
        <f>IF(V35&lt;&gt;1,"",SUM($V$8:V35))</f>
        <v/>
      </c>
      <c r="AL35" s="255">
        <f t="shared" si="5"/>
        <v>1</v>
      </c>
    </row>
    <row r="36" spans="2:38" ht="20">
      <c r="D36" s="188"/>
      <c r="E36" s="822" t="s">
        <v>19</v>
      </c>
      <c r="F36" s="789"/>
      <c r="G36" s="769"/>
      <c r="H36" s="770"/>
      <c r="I36" s="770"/>
      <c r="J36" s="770"/>
      <c r="K36" s="770"/>
      <c r="L36" s="723"/>
      <c r="M36" s="726"/>
      <c r="N36" s="892" t="str">
        <f>IF(AND(COUNTBLANK(M36:M43)&lt;=3,COUNTA(M36:M43)=0),0,IF(SUM(M36:M43)=0,"",SUM(M36:M43)))</f>
        <v/>
      </c>
      <c r="O36" s="898"/>
      <c r="P36" s="729"/>
      <c r="Q36" s="892" t="str">
        <f>IF(AND(COUNTBLANK(P36:P43)&lt;=3,COUNTA(P36:P43)=0),0,IF(SUM(P36:P43)=0,"",SUM(P36:P43)))</f>
        <v/>
      </c>
      <c r="R36" s="771"/>
      <c r="S36" s="772" t="str">
        <f t="shared" si="6"/>
        <v/>
      </c>
      <c r="T36" s="764"/>
      <c r="V36" s="790"/>
      <c r="X36" s="222" t="s">
        <v>411</v>
      </c>
      <c r="Y36" s="175">
        <f t="shared" si="3"/>
        <v>29</v>
      </c>
      <c r="Z36" s="175" t="str">
        <f>IF(AA36&lt;&gt;"//",COUNTA($AA$8:AA36)-COUNTIF($AA$8:AA36,"//"),"")</f>
        <v/>
      </c>
      <c r="AA36" s="175" t="str">
        <f t="shared" si="0"/>
        <v>//</v>
      </c>
      <c r="AB36" s="175" t="str">
        <f ca="1">_xlfn.IFNA(IF(COUNTIF('4.1(2)新規再エネ導入予定(FS調査、系統接続検討状況)'!$G:$G,OFFSET($AA$7,MATCH($Y36,$Z$8:$Z$167,0),0))=0,OFFSET($AA$7,MATCH($Y36,$Z$8:$Z$167,0),0),""),"")</f>
        <v/>
      </c>
      <c r="AC36" s="175" t="str">
        <f ca="1">_xlfn.IFNA(IF(COUNTIF('4.1(2)新規再エネ導入予定(合意形成)'!$G:$G,OFFSET($AA$7,MATCH($Y36,$Z$8:$Z$167,0),0))=0,OFFSET($AA$7,MATCH($Y36,$Z$8:$Z$167,0),0),""),"")</f>
        <v/>
      </c>
      <c r="AD36" s="175" t="str">
        <f ca="1">_xlfn.IFNA(OFFSET('4.1(2)新規再エネ導入予定(FS調査、系統接続検討状況)'!$W$1,MATCH(G36,'4.1(2)新規再エネ導入予定(FS調査、系統接続検討状況)'!G:G,0)-1,0),"//")</f>
        <v>//</v>
      </c>
      <c r="AE36" s="262" t="str">
        <f ca="1">_xlfn.IFNA(OFFSET('4.1(2)新規再エネ導入予定(合意形成)'!$AJ$1,MATCH(G36,'4.1(2)新規再エネ導入予定(合意形成)'!G:G,0)-1,0),"//")</f>
        <v>//</v>
      </c>
      <c r="AF36" s="175">
        <f t="shared" ca="1" si="4"/>
        <v>0</v>
      </c>
      <c r="AG36" s="215" t="str" cm="1">
        <f t="array" aca="1" ref="AG36" ca="1">IFERROR(_xlfn.IFS(COUNTIF($AB$8:$AC$167,G36)&gt;0,"",AF36&lt;=1,"D",AF36=2,"C",AF36=3,"B",AF36=4,"A"),"")</f>
        <v/>
      </c>
      <c r="AH36" s="175" t="str">
        <f ca="1">_xlfn.IFNA(OFFSET('4.1(2)新規再エネ導入予定(合意形成)'!$Z$1,MATCH($G36,'4.1(2)新規再エネ導入予定(合意形成)'!$G:$G,0)-1,0),"")</f>
        <v/>
      </c>
      <c r="AI36" s="215" t="str">
        <f t="shared" si="1"/>
        <v/>
      </c>
      <c r="AJ36" s="175" t="str">
        <f t="shared" si="2"/>
        <v/>
      </c>
      <c r="AK36" s="222" t="str">
        <f>IF(V36&lt;&gt;1,"",SUM($V$8:V36))</f>
        <v/>
      </c>
      <c r="AL36" s="175">
        <f t="shared" si="5"/>
        <v>1</v>
      </c>
    </row>
    <row r="37" spans="2:38" s="11" customFormat="1" ht="20" hidden="1">
      <c r="B37" s="21"/>
      <c r="C37" s="21"/>
      <c r="D37" s="36"/>
      <c r="E37" s="821"/>
      <c r="F37" s="774"/>
      <c r="G37" s="775"/>
      <c r="H37" s="776"/>
      <c r="I37" s="776"/>
      <c r="J37" s="777"/>
      <c r="K37" s="777"/>
      <c r="L37" s="894"/>
      <c r="M37" s="895"/>
      <c r="N37" s="730"/>
      <c r="O37" s="791"/>
      <c r="P37" s="895"/>
      <c r="Q37" s="730"/>
      <c r="R37" s="791"/>
      <c r="S37" s="778" t="str">
        <f t="shared" si="6"/>
        <v/>
      </c>
      <c r="T37" s="779"/>
      <c r="U37" s="114"/>
      <c r="V37" s="780"/>
      <c r="X37" s="125" t="s">
        <v>411</v>
      </c>
      <c r="Y37" s="255">
        <f t="shared" si="3"/>
        <v>30</v>
      </c>
      <c r="Z37" s="255" t="str">
        <f>IF(AA37&lt;&gt;"//",COUNTA($AA$8:AA37)-COUNTIF($AA$8:AA37,"//"),"")</f>
        <v/>
      </c>
      <c r="AA37" s="255" t="str">
        <f t="shared" si="0"/>
        <v>//</v>
      </c>
      <c r="AB37" s="255" t="str">
        <f ca="1">_xlfn.IFNA(IF(COUNTIF('4.1(2)新規再エネ導入予定(FS調査、系統接続検討状況)'!$G:$G,OFFSET($AA$7,MATCH($Y37,$Z$8:$Z$167,0),0))=0,OFFSET($AA$7,MATCH($Y37,$Z$8:$Z$167,0),0),""),"")</f>
        <v/>
      </c>
      <c r="AC37" s="255" t="str">
        <f ca="1">_xlfn.IFNA(IF(COUNTIF('4.1(2)新規再エネ導入予定(合意形成)'!$G:$G,OFFSET($AA$7,MATCH($Y37,$Z$8:$Z$167,0),0))=0,OFFSET($AA$7,MATCH($Y37,$Z$8:$Z$167,0),0),""),"")</f>
        <v/>
      </c>
      <c r="AD37" s="255" t="str">
        <f ca="1">_xlfn.IFNA(OFFSET('4.1(2)新規再エネ導入予定(FS調査、系統接続検討状況)'!$W$1,MATCH(G37,'4.1(2)新規再エネ導入予定(FS調査、系統接続検討状況)'!G:G,0)-1,0),"//")</f>
        <v>//</v>
      </c>
      <c r="AE37" s="277" t="str">
        <f ca="1">_xlfn.IFNA(OFFSET('4.1(2)新規再エネ導入予定(合意形成)'!$AJ$1,MATCH(G37,'4.1(2)新規再エネ導入予定(合意形成)'!G:G,0)-1,0),"//")</f>
        <v>//</v>
      </c>
      <c r="AF37" s="255">
        <f t="shared" ca="1" si="4"/>
        <v>0</v>
      </c>
      <c r="AG37" s="129" t="str" cm="1">
        <f t="array" aca="1" ref="AG37" ca="1">IFERROR(_xlfn.IFS(COUNTIF($AB$8:$AC$167,G37)&gt;0,"",AF37&lt;=1,"D",AF37=2,"C",AF37=3,"B",AF37=4,"A"),"")</f>
        <v/>
      </c>
      <c r="AH37" s="255" t="str">
        <f ca="1">_xlfn.IFNA(OFFSET('4.1(2)新規再エネ導入予定(合意形成)'!$Z$1,MATCH($G37,'4.1(2)新規再エネ導入予定(合意形成)'!$G:$G,0)-1,0),"")</f>
        <v/>
      </c>
      <c r="AI37" s="129" t="str">
        <f t="shared" si="1"/>
        <v/>
      </c>
      <c r="AJ37" s="255" t="str">
        <f t="shared" si="2"/>
        <v/>
      </c>
      <c r="AK37" s="125" t="str">
        <f>IF(V37&lt;&gt;1,"",SUM($V$8:V37))</f>
        <v/>
      </c>
      <c r="AL37" s="255">
        <f t="shared" si="5"/>
        <v>1</v>
      </c>
    </row>
    <row r="38" spans="2:38" s="11" customFormat="1" ht="20">
      <c r="B38" s="21"/>
      <c r="C38" s="21"/>
      <c r="D38" s="36"/>
      <c r="E38" s="821"/>
      <c r="F38" s="781"/>
      <c r="G38" s="782"/>
      <c r="H38" s="783"/>
      <c r="I38" s="783"/>
      <c r="J38" s="784"/>
      <c r="K38" s="784"/>
      <c r="L38" s="896"/>
      <c r="M38" s="897"/>
      <c r="N38" s="731"/>
      <c r="O38" s="788"/>
      <c r="P38" s="897"/>
      <c r="Q38" s="731"/>
      <c r="R38" s="788"/>
      <c r="S38" s="786" t="str">
        <f t="shared" si="6"/>
        <v/>
      </c>
      <c r="T38" s="779"/>
      <c r="U38" s="114"/>
      <c r="V38" s="787" t="str">
        <f t="shared" si="8"/>
        <v/>
      </c>
      <c r="X38" s="125" t="s">
        <v>411</v>
      </c>
      <c r="Y38" s="255">
        <f t="shared" si="3"/>
        <v>31</v>
      </c>
      <c r="Z38" s="255" t="str">
        <f>IF(AA38&lt;&gt;"//",COUNTA($AA$8:AA38)-COUNTIF($AA$8:AA38,"//"),"")</f>
        <v/>
      </c>
      <c r="AA38" s="255" t="str">
        <f t="shared" si="0"/>
        <v>//</v>
      </c>
      <c r="AB38" s="255" t="str">
        <f ca="1">_xlfn.IFNA(IF(COUNTIF('4.1(2)新規再エネ導入予定(FS調査、系統接続検討状況)'!$G:$G,OFFSET($AA$7,MATCH($Y38,$Z$8:$Z$167,0),0))=0,OFFSET($AA$7,MATCH($Y38,$Z$8:$Z$167,0),0),""),"")</f>
        <v/>
      </c>
      <c r="AC38" s="255" t="str">
        <f ca="1">_xlfn.IFNA(IF(COUNTIF('4.1(2)新規再エネ導入予定(合意形成)'!$G:$G,OFFSET($AA$7,MATCH($Y38,$Z$8:$Z$167,0),0))=0,OFFSET($AA$7,MATCH($Y38,$Z$8:$Z$167,0),0),""),"")</f>
        <v/>
      </c>
      <c r="AD38" s="255" t="str">
        <f ca="1">_xlfn.IFNA(OFFSET('4.1(2)新規再エネ導入予定(FS調査、系統接続検討状況)'!$W$1,MATCH(G38,'4.1(2)新規再エネ導入予定(FS調査、系統接続検討状況)'!G:G,0)-1,0),"//")</f>
        <v>//</v>
      </c>
      <c r="AE38" s="277" t="str">
        <f ca="1">_xlfn.IFNA(OFFSET('4.1(2)新規再エネ導入予定(合意形成)'!$AJ$1,MATCH(G38,'4.1(2)新規再エネ導入予定(合意形成)'!G:G,0)-1,0),"//")</f>
        <v>//</v>
      </c>
      <c r="AF38" s="255">
        <f t="shared" ca="1" si="4"/>
        <v>0</v>
      </c>
      <c r="AG38" s="129" t="str" cm="1">
        <f t="array" aca="1" ref="AG38" ca="1">IFERROR(_xlfn.IFS(COUNTIF($AB$8:$AC$167,G38)&gt;0,"",AF38&lt;=1,"D",AF38=2,"C",AF38=3,"B",AF38=4,"A"),"")</f>
        <v/>
      </c>
      <c r="AH38" s="255" t="str">
        <f ca="1">_xlfn.IFNA(OFFSET('4.1(2)新規再エネ導入予定(合意形成)'!$Z$1,MATCH($G38,'4.1(2)新規再エネ導入予定(合意形成)'!$G:$G,0)-1,0),"")</f>
        <v/>
      </c>
      <c r="AI38" s="129" t="str">
        <f t="shared" si="1"/>
        <v/>
      </c>
      <c r="AJ38" s="255" t="str">
        <f t="shared" si="2"/>
        <v/>
      </c>
      <c r="AK38" s="125" t="str">
        <f>IF(V38&lt;&gt;1,"",SUM($V$8:V38))</f>
        <v/>
      </c>
      <c r="AL38" s="255">
        <f t="shared" si="5"/>
        <v>1</v>
      </c>
    </row>
    <row r="39" spans="2:38" s="11" customFormat="1" ht="20">
      <c r="B39" s="21"/>
      <c r="C39" s="21"/>
      <c r="D39" s="36"/>
      <c r="E39" s="821"/>
      <c r="F39" s="781"/>
      <c r="G39" s="782"/>
      <c r="H39" s="783"/>
      <c r="I39" s="783"/>
      <c r="J39" s="784"/>
      <c r="K39" s="784"/>
      <c r="L39" s="896"/>
      <c r="M39" s="897"/>
      <c r="N39" s="731"/>
      <c r="O39" s="788"/>
      <c r="P39" s="897"/>
      <c r="Q39" s="731"/>
      <c r="R39" s="788"/>
      <c r="S39" s="786" t="str">
        <f t="shared" si="6"/>
        <v/>
      </c>
      <c r="T39" s="779"/>
      <c r="U39" s="114"/>
      <c r="V39" s="787" t="str">
        <f t="shared" si="8"/>
        <v/>
      </c>
      <c r="X39" s="125" t="s">
        <v>411</v>
      </c>
      <c r="Y39" s="255">
        <f t="shared" si="3"/>
        <v>32</v>
      </c>
      <c r="Z39" s="255" t="str">
        <f>IF(AA39&lt;&gt;"//",COUNTA($AA$8:AA39)-COUNTIF($AA$8:AA39,"//"),"")</f>
        <v/>
      </c>
      <c r="AA39" s="255" t="str">
        <f t="shared" si="0"/>
        <v>//</v>
      </c>
      <c r="AB39" s="255" t="str">
        <f ca="1">_xlfn.IFNA(IF(COUNTIF('4.1(2)新規再エネ導入予定(FS調査、系統接続検討状況)'!$G:$G,OFFSET($AA$7,MATCH($Y39,$Z$8:$Z$167,0),0))=0,OFFSET($AA$7,MATCH($Y39,$Z$8:$Z$167,0),0),""),"")</f>
        <v/>
      </c>
      <c r="AC39" s="255" t="str">
        <f ca="1">_xlfn.IFNA(IF(COUNTIF('4.1(2)新規再エネ導入予定(合意形成)'!$G:$G,OFFSET($AA$7,MATCH($Y39,$Z$8:$Z$167,0),0))=0,OFFSET($AA$7,MATCH($Y39,$Z$8:$Z$167,0),0),""),"")</f>
        <v/>
      </c>
      <c r="AD39" s="255" t="str">
        <f ca="1">_xlfn.IFNA(OFFSET('4.1(2)新規再エネ導入予定(FS調査、系統接続検討状況)'!$W$1,MATCH(G39,'4.1(2)新規再エネ導入予定(FS調査、系統接続検討状況)'!G:G,0)-1,0),"//")</f>
        <v>//</v>
      </c>
      <c r="AE39" s="277" t="str">
        <f ca="1">_xlfn.IFNA(OFFSET('4.1(2)新規再エネ導入予定(合意形成)'!$AJ$1,MATCH(G39,'4.1(2)新規再エネ導入予定(合意形成)'!G:G,0)-1,0),"//")</f>
        <v>//</v>
      </c>
      <c r="AF39" s="255">
        <f t="shared" ca="1" si="4"/>
        <v>0</v>
      </c>
      <c r="AG39" s="129" t="str" cm="1">
        <f t="array" aca="1" ref="AG39" ca="1">IFERROR(_xlfn.IFS(COUNTIF($AB$8:$AC$167,G39)&gt;0,"",AF39&lt;=1,"D",AF39=2,"C",AF39=3,"B",AF39=4,"A"),"")</f>
        <v/>
      </c>
      <c r="AH39" s="255" t="str">
        <f ca="1">_xlfn.IFNA(OFFSET('4.1(2)新規再エネ導入予定(合意形成)'!$Z$1,MATCH($G39,'4.1(2)新規再エネ導入予定(合意形成)'!$G:$G,0)-1,0),"")</f>
        <v/>
      </c>
      <c r="AI39" s="129" t="str">
        <f t="shared" si="1"/>
        <v/>
      </c>
      <c r="AJ39" s="255" t="str">
        <f t="shared" si="2"/>
        <v/>
      </c>
      <c r="AK39" s="125" t="str">
        <f>IF(V39&lt;&gt;1,"",SUM($V$8:V39))</f>
        <v/>
      </c>
      <c r="AL39" s="255">
        <f t="shared" si="5"/>
        <v>1</v>
      </c>
    </row>
    <row r="40" spans="2:38" s="11" customFormat="1" ht="20">
      <c r="B40" s="21"/>
      <c r="C40" s="21"/>
      <c r="D40" s="36"/>
      <c r="E40" s="821"/>
      <c r="F40" s="781"/>
      <c r="G40" s="782"/>
      <c r="H40" s="783"/>
      <c r="I40" s="783"/>
      <c r="J40" s="784"/>
      <c r="K40" s="784"/>
      <c r="L40" s="896"/>
      <c r="M40" s="897"/>
      <c r="N40" s="731"/>
      <c r="O40" s="788"/>
      <c r="P40" s="897"/>
      <c r="Q40" s="731"/>
      <c r="R40" s="788"/>
      <c r="S40" s="786" t="str">
        <f t="shared" si="6"/>
        <v/>
      </c>
      <c r="T40" s="779"/>
      <c r="U40" s="114"/>
      <c r="V40" s="787" t="str">
        <f t="shared" si="8"/>
        <v/>
      </c>
      <c r="X40" s="125" t="s">
        <v>411</v>
      </c>
      <c r="Y40" s="255">
        <f t="shared" si="3"/>
        <v>33</v>
      </c>
      <c r="Z40" s="255" t="str">
        <f>IF(AA40&lt;&gt;"//",COUNTA($AA$8:AA40)-COUNTIF($AA$8:AA40,"//"),"")</f>
        <v/>
      </c>
      <c r="AA40" s="255" t="str">
        <f t="shared" ref="AA40:AA71" si="9">IF(OR(G40="",G40="施設番号"),"//",G40)</f>
        <v>//</v>
      </c>
      <c r="AB40" s="255" t="str">
        <f ca="1">_xlfn.IFNA(IF(COUNTIF('4.1(2)新規再エネ導入予定(FS調査、系統接続検討状況)'!$G:$G,OFFSET($AA$7,MATCH($Y40,$Z$8:$Z$167,0),0))=0,OFFSET($AA$7,MATCH($Y40,$Z$8:$Z$167,0),0),""),"")</f>
        <v/>
      </c>
      <c r="AC40" s="255" t="str">
        <f ca="1">_xlfn.IFNA(IF(COUNTIF('4.1(2)新規再エネ導入予定(合意形成)'!$G:$G,OFFSET($AA$7,MATCH($Y40,$Z$8:$Z$167,0),0))=0,OFFSET($AA$7,MATCH($Y40,$Z$8:$Z$167,0),0),""),"")</f>
        <v/>
      </c>
      <c r="AD40" s="255" t="str">
        <f ca="1">_xlfn.IFNA(OFFSET('4.1(2)新規再エネ導入予定(FS調査、系統接続検討状況)'!$W$1,MATCH(G40,'4.1(2)新規再エネ導入予定(FS調査、系統接続検討状況)'!G:G,0)-1,0),"//")</f>
        <v>//</v>
      </c>
      <c r="AE40" s="277" t="str">
        <f ca="1">_xlfn.IFNA(OFFSET('4.1(2)新規再エネ導入予定(合意形成)'!$AJ$1,MATCH(G40,'4.1(2)新規再エネ導入予定(合意形成)'!G:G,0)-1,0),"//")</f>
        <v>//</v>
      </c>
      <c r="AF40" s="255">
        <f t="shared" ca="1" si="4"/>
        <v>0</v>
      </c>
      <c r="AG40" s="129" t="str" cm="1">
        <f t="array" aca="1" ref="AG40" ca="1">IFERROR(_xlfn.IFS(COUNTIF($AB$8:$AC$167,G40)&gt;0,"",AF40&lt;=1,"D",AF40=2,"C",AF40=3,"B",AF40=4,"A"),"")</f>
        <v/>
      </c>
      <c r="AH40" s="255" t="str">
        <f ca="1">_xlfn.IFNA(OFFSET('4.1(2)新規再エネ導入予定(合意形成)'!$Z$1,MATCH($G40,'4.1(2)新規再エネ導入予定(合意形成)'!$G:$G,0)-1,0),"")</f>
        <v/>
      </c>
      <c r="AI40" s="129" t="str">
        <f t="shared" ref="AI40:AI71" si="10">IF(G40="","",AG40)</f>
        <v/>
      </c>
      <c r="AJ40" s="255" t="str">
        <f t="shared" si="2"/>
        <v/>
      </c>
      <c r="AK40" s="125" t="str">
        <f>IF(V40&lt;&gt;1,"",SUM($V$8:V40))</f>
        <v/>
      </c>
      <c r="AL40" s="255">
        <f t="shared" si="5"/>
        <v>1</v>
      </c>
    </row>
    <row r="41" spans="2:38" s="11" customFormat="1" ht="20">
      <c r="B41" s="21"/>
      <c r="C41" s="21"/>
      <c r="D41" s="36"/>
      <c r="E41" s="821"/>
      <c r="F41" s="781"/>
      <c r="G41" s="782"/>
      <c r="H41" s="783"/>
      <c r="I41" s="783"/>
      <c r="J41" s="784"/>
      <c r="K41" s="784"/>
      <c r="L41" s="896"/>
      <c r="M41" s="897"/>
      <c r="N41" s="731"/>
      <c r="O41" s="788"/>
      <c r="P41" s="897"/>
      <c r="Q41" s="731"/>
      <c r="R41" s="788"/>
      <c r="S41" s="786" t="str">
        <f t="shared" si="6"/>
        <v/>
      </c>
      <c r="T41" s="779"/>
      <c r="U41" s="114"/>
      <c r="V41" s="787" t="str">
        <f t="shared" si="8"/>
        <v/>
      </c>
      <c r="X41" s="125" t="s">
        <v>411</v>
      </c>
      <c r="Y41" s="255">
        <f t="shared" si="3"/>
        <v>34</v>
      </c>
      <c r="Z41" s="255" t="str">
        <f>IF(AA41&lt;&gt;"//",COUNTA($AA$8:AA41)-COUNTIF($AA$8:AA41,"//"),"")</f>
        <v/>
      </c>
      <c r="AA41" s="255" t="str">
        <f t="shared" si="9"/>
        <v>//</v>
      </c>
      <c r="AB41" s="255" t="str">
        <f ca="1">_xlfn.IFNA(IF(COUNTIF('4.1(2)新規再エネ導入予定(FS調査、系統接続検討状況)'!$G:$G,OFFSET($AA$7,MATCH($Y41,$Z$8:$Z$167,0),0))=0,OFFSET($AA$7,MATCH($Y41,$Z$8:$Z$167,0),0),""),"")</f>
        <v/>
      </c>
      <c r="AC41" s="255" t="str">
        <f ca="1">_xlfn.IFNA(IF(COUNTIF('4.1(2)新規再エネ導入予定(合意形成)'!$G:$G,OFFSET($AA$7,MATCH($Y41,$Z$8:$Z$167,0),0))=0,OFFSET($AA$7,MATCH($Y41,$Z$8:$Z$167,0),0),""),"")</f>
        <v/>
      </c>
      <c r="AD41" s="255" t="str">
        <f ca="1">_xlfn.IFNA(OFFSET('4.1(2)新規再エネ導入予定(FS調査、系統接続検討状況)'!$W$1,MATCH(G41,'4.1(2)新規再エネ導入予定(FS調査、系統接続検討状況)'!G:G,0)-1,0),"//")</f>
        <v>//</v>
      </c>
      <c r="AE41" s="277" t="str">
        <f ca="1">_xlfn.IFNA(OFFSET('4.1(2)新規再エネ導入予定(合意形成)'!$AJ$1,MATCH(G41,'4.1(2)新規再エネ導入予定(合意形成)'!G:G,0)-1,0),"//")</f>
        <v>//</v>
      </c>
      <c r="AF41" s="255">
        <f t="shared" ca="1" si="4"/>
        <v>0</v>
      </c>
      <c r="AG41" s="129" t="str" cm="1">
        <f t="array" aca="1" ref="AG41" ca="1">IFERROR(_xlfn.IFS(COUNTIF($AB$8:$AC$167,G41)&gt;0,"",AF41&lt;=1,"D",AF41=2,"C",AF41=3,"B",AF41=4,"A"),"")</f>
        <v/>
      </c>
      <c r="AH41" s="255" t="str">
        <f ca="1">_xlfn.IFNA(OFFSET('4.1(2)新規再エネ導入予定(合意形成)'!$Z$1,MATCH($G41,'4.1(2)新規再エネ導入予定(合意形成)'!$G:$G,0)-1,0),"")</f>
        <v/>
      </c>
      <c r="AI41" s="129" t="str">
        <f t="shared" si="10"/>
        <v/>
      </c>
      <c r="AJ41" s="255" t="str">
        <f t="shared" si="2"/>
        <v/>
      </c>
      <c r="AK41" s="125" t="str">
        <f>IF(V41&lt;&gt;1,"",SUM($V$8:V41))</f>
        <v/>
      </c>
      <c r="AL41" s="255">
        <f t="shared" si="5"/>
        <v>1</v>
      </c>
    </row>
    <row r="42" spans="2:38" s="11" customFormat="1" ht="20">
      <c r="B42" s="21"/>
      <c r="C42" s="21"/>
      <c r="D42" s="36"/>
      <c r="E42" s="821"/>
      <c r="F42" s="781"/>
      <c r="G42" s="782"/>
      <c r="H42" s="783"/>
      <c r="I42" s="783"/>
      <c r="J42" s="784"/>
      <c r="K42" s="784"/>
      <c r="L42" s="896"/>
      <c r="M42" s="897"/>
      <c r="N42" s="731"/>
      <c r="O42" s="788"/>
      <c r="P42" s="897"/>
      <c r="Q42" s="731"/>
      <c r="R42" s="788"/>
      <c r="S42" s="786" t="str">
        <f t="shared" ref="S42:S73" si="11">IF(G42="","",AG42)</f>
        <v/>
      </c>
      <c r="T42" s="779"/>
      <c r="U42" s="114"/>
      <c r="V42" s="787" t="str">
        <f t="shared" si="8"/>
        <v/>
      </c>
      <c r="X42" s="125" t="s">
        <v>411</v>
      </c>
      <c r="Y42" s="255">
        <f t="shared" si="3"/>
        <v>35</v>
      </c>
      <c r="Z42" s="255" t="str">
        <f>IF(AA42&lt;&gt;"//",COUNTA($AA$8:AA42)-COUNTIF($AA$8:AA42,"//"),"")</f>
        <v/>
      </c>
      <c r="AA42" s="255" t="str">
        <f t="shared" si="9"/>
        <v>//</v>
      </c>
      <c r="AB42" s="255" t="str">
        <f ca="1">_xlfn.IFNA(IF(COUNTIF('4.1(2)新規再エネ導入予定(FS調査、系統接続検討状況)'!$G:$G,OFFSET($AA$7,MATCH($Y42,$Z$8:$Z$167,0),0))=0,OFFSET($AA$7,MATCH($Y42,$Z$8:$Z$167,0),0),""),"")</f>
        <v/>
      </c>
      <c r="AC42" s="255" t="str">
        <f ca="1">_xlfn.IFNA(IF(COUNTIF('4.1(2)新規再エネ導入予定(合意形成)'!$G:$G,OFFSET($AA$7,MATCH($Y42,$Z$8:$Z$167,0),0))=0,OFFSET($AA$7,MATCH($Y42,$Z$8:$Z$167,0),0),""),"")</f>
        <v/>
      </c>
      <c r="AD42" s="255" t="str">
        <f ca="1">_xlfn.IFNA(OFFSET('4.1(2)新規再エネ導入予定(FS調査、系統接続検討状況)'!$W$1,MATCH(G42,'4.1(2)新規再エネ導入予定(FS調査、系統接続検討状況)'!G:G,0)-1,0),"//")</f>
        <v>//</v>
      </c>
      <c r="AE42" s="277" t="str">
        <f ca="1">_xlfn.IFNA(OFFSET('4.1(2)新規再エネ導入予定(合意形成)'!$AJ$1,MATCH(G42,'4.1(2)新規再エネ導入予定(合意形成)'!G:G,0)-1,0),"//")</f>
        <v>//</v>
      </c>
      <c r="AF42" s="255">
        <f t="shared" ca="1" si="4"/>
        <v>0</v>
      </c>
      <c r="AG42" s="129" t="str" cm="1">
        <f t="array" aca="1" ref="AG42" ca="1">IFERROR(_xlfn.IFS(COUNTIF($AB$8:$AC$167,G42)&gt;0,"",AF42&lt;=1,"D",AF42=2,"C",AF42=3,"B",AF42=4,"A"),"")</f>
        <v/>
      </c>
      <c r="AH42" s="255" t="str">
        <f ca="1">_xlfn.IFNA(OFFSET('4.1(2)新規再エネ導入予定(合意形成)'!$Z$1,MATCH($G42,'4.1(2)新規再エネ導入予定(合意形成)'!$G:$G,0)-1,0),"")</f>
        <v/>
      </c>
      <c r="AI42" s="129" t="str">
        <f t="shared" si="10"/>
        <v/>
      </c>
      <c r="AJ42" s="255" t="str">
        <f t="shared" si="2"/>
        <v/>
      </c>
      <c r="AK42" s="125" t="str">
        <f>IF(V42&lt;&gt;1,"",SUM($V$8:V42))</f>
        <v/>
      </c>
      <c r="AL42" s="255">
        <f t="shared" si="5"/>
        <v>1</v>
      </c>
    </row>
    <row r="43" spans="2:38" ht="20">
      <c r="D43" s="188"/>
      <c r="E43" s="822" t="s">
        <v>197</v>
      </c>
      <c r="F43" s="789"/>
      <c r="G43" s="769"/>
      <c r="H43" s="770"/>
      <c r="I43" s="770"/>
      <c r="J43" s="770"/>
      <c r="K43" s="770"/>
      <c r="L43" s="723"/>
      <c r="M43" s="726"/>
      <c r="N43" s="892" t="str">
        <f>IF(AND(COUNTBLANK(M43:M50)&lt;=3,COUNTA(M43:M50)=0),0,IF(SUM(M43:M50)=0,"",SUM(M43:M50)))</f>
        <v/>
      </c>
      <c r="O43" s="898"/>
      <c r="P43" s="729"/>
      <c r="Q43" s="892" t="str">
        <f>IF(AND(COUNTBLANK(P43:P50)&lt;=3,COUNTA(P43:P50)=0),0,IF(SUM(P43:P50)=0,"",SUM(P43:P50)))</f>
        <v/>
      </c>
      <c r="R43" s="771"/>
      <c r="S43" s="772" t="str">
        <f t="shared" si="11"/>
        <v/>
      </c>
      <c r="T43" s="764"/>
      <c r="V43" s="790"/>
      <c r="X43" s="222" t="s">
        <v>411</v>
      </c>
      <c r="Y43" s="175">
        <f t="shared" si="3"/>
        <v>36</v>
      </c>
      <c r="Z43" s="175" t="str">
        <f>IF(AA43&lt;&gt;"//",COUNTA($AA$8:AA43)-COUNTIF($AA$8:AA43,"//"),"")</f>
        <v/>
      </c>
      <c r="AA43" s="175" t="str">
        <f t="shared" si="9"/>
        <v>//</v>
      </c>
      <c r="AB43" s="175" t="str">
        <f ca="1">_xlfn.IFNA(IF(COUNTIF('4.1(2)新規再エネ導入予定(FS調査、系統接続検討状況)'!$G:$G,OFFSET($AA$7,MATCH($Y43,$Z$8:$Z$167,0),0))=0,OFFSET($AA$7,MATCH($Y43,$Z$8:$Z$167,0),0),""),"")</f>
        <v/>
      </c>
      <c r="AC43" s="175" t="str">
        <f ca="1">_xlfn.IFNA(IF(COUNTIF('4.1(2)新規再エネ導入予定(合意形成)'!$G:$G,OFFSET($AA$7,MATCH($Y43,$Z$8:$Z$167,0),0))=0,OFFSET($AA$7,MATCH($Y43,$Z$8:$Z$167,0),0),""),"")</f>
        <v/>
      </c>
      <c r="AD43" s="175" t="str">
        <f ca="1">_xlfn.IFNA(OFFSET('4.1(2)新規再エネ導入予定(FS調査、系統接続検討状況)'!$W$1,MATCH(G43,'4.1(2)新規再エネ導入予定(FS調査、系統接続検討状況)'!G:G,0)-1,0),"//")</f>
        <v>//</v>
      </c>
      <c r="AE43" s="262" t="str">
        <f ca="1">_xlfn.IFNA(OFFSET('4.1(2)新規再エネ導入予定(合意形成)'!$AJ$1,MATCH(G43,'4.1(2)新規再エネ導入予定(合意形成)'!G:G,0)-1,0),"//")</f>
        <v>//</v>
      </c>
      <c r="AF43" s="175">
        <f t="shared" ca="1" si="4"/>
        <v>0</v>
      </c>
      <c r="AG43" s="215" t="str" cm="1">
        <f t="array" aca="1" ref="AG43" ca="1">IFERROR(_xlfn.IFS(COUNTIF($AB$8:$AC$167,G43)&gt;0,"",AF43&lt;=1,"D",AF43=2,"C",AF43=3,"B",AF43=4,"A"),"")</f>
        <v/>
      </c>
      <c r="AH43" s="175" t="str">
        <f ca="1">_xlfn.IFNA(OFFSET('4.1(2)新規再エネ導入予定(合意形成)'!$Z$1,MATCH($G43,'4.1(2)新規再エネ導入予定(合意形成)'!$G:$G,0)-1,0),"")</f>
        <v/>
      </c>
      <c r="AI43" s="215" t="str">
        <f t="shared" si="10"/>
        <v/>
      </c>
      <c r="AJ43" s="175" t="str">
        <f t="shared" si="2"/>
        <v/>
      </c>
      <c r="AK43" s="222" t="str">
        <f>IF(V43&lt;&gt;1,"",SUM($V$8:V43))</f>
        <v/>
      </c>
      <c r="AL43" s="175">
        <f t="shared" si="5"/>
        <v>1</v>
      </c>
    </row>
    <row r="44" spans="2:38" s="11" customFormat="1" ht="20" hidden="1">
      <c r="B44" s="21"/>
      <c r="C44" s="21"/>
      <c r="D44" s="36"/>
      <c r="E44" s="821"/>
      <c r="F44" s="774"/>
      <c r="G44" s="775"/>
      <c r="H44" s="776"/>
      <c r="I44" s="776"/>
      <c r="J44" s="777"/>
      <c r="K44" s="777"/>
      <c r="L44" s="894"/>
      <c r="M44" s="895"/>
      <c r="N44" s="730"/>
      <c r="O44" s="791"/>
      <c r="P44" s="895"/>
      <c r="Q44" s="730"/>
      <c r="R44" s="791"/>
      <c r="S44" s="778" t="str">
        <f t="shared" si="11"/>
        <v/>
      </c>
      <c r="T44" s="779"/>
      <c r="U44" s="114"/>
      <c r="V44" s="780"/>
      <c r="X44" s="125" t="s">
        <v>411</v>
      </c>
      <c r="Y44" s="255">
        <f t="shared" si="3"/>
        <v>37</v>
      </c>
      <c r="Z44" s="255" t="str">
        <f>IF(AA44&lt;&gt;"//",COUNTA($AA$8:AA44)-COUNTIF($AA$8:AA44,"//"),"")</f>
        <v/>
      </c>
      <c r="AA44" s="255" t="str">
        <f t="shared" si="9"/>
        <v>//</v>
      </c>
      <c r="AB44" s="255" t="str">
        <f ca="1">_xlfn.IFNA(IF(COUNTIF('4.1(2)新規再エネ導入予定(FS調査、系統接続検討状況)'!$G:$G,OFFSET($AA$7,MATCH($Y44,$Z$8:$Z$167,0),0))=0,OFFSET($AA$7,MATCH($Y44,$Z$8:$Z$167,0),0),""),"")</f>
        <v/>
      </c>
      <c r="AC44" s="255" t="str">
        <f ca="1">_xlfn.IFNA(IF(COUNTIF('4.1(2)新規再エネ導入予定(合意形成)'!$G:$G,OFFSET($AA$7,MATCH($Y44,$Z$8:$Z$167,0),0))=0,OFFSET($AA$7,MATCH($Y44,$Z$8:$Z$167,0),0),""),"")</f>
        <v/>
      </c>
      <c r="AD44" s="255" t="str">
        <f ca="1">_xlfn.IFNA(OFFSET('4.1(2)新規再エネ導入予定(FS調査、系統接続検討状況)'!$W$1,MATCH(G44,'4.1(2)新規再エネ導入予定(FS調査、系統接続検討状況)'!G:G,0)-1,0),"//")</f>
        <v>//</v>
      </c>
      <c r="AE44" s="277" t="str">
        <f ca="1">_xlfn.IFNA(OFFSET('4.1(2)新規再エネ導入予定(合意形成)'!$AJ$1,MATCH(G44,'4.1(2)新規再エネ導入予定(合意形成)'!G:G,0)-1,0),"//")</f>
        <v>//</v>
      </c>
      <c r="AF44" s="255">
        <f t="shared" ca="1" si="4"/>
        <v>0</v>
      </c>
      <c r="AG44" s="129" t="str" cm="1">
        <f t="array" aca="1" ref="AG44" ca="1">IFERROR(_xlfn.IFS(COUNTIF($AB$8:$AC$167,G44)&gt;0,"",AF44&lt;=1,"D",AF44=2,"C",AF44=3,"B",AF44=4,"A"),"")</f>
        <v/>
      </c>
      <c r="AH44" s="255" t="str">
        <f ca="1">_xlfn.IFNA(OFFSET('4.1(2)新規再エネ導入予定(合意形成)'!$Z$1,MATCH($G44,'4.1(2)新規再エネ導入予定(合意形成)'!$G:$G,0)-1,0),"")</f>
        <v/>
      </c>
      <c r="AI44" s="129" t="str">
        <f t="shared" si="10"/>
        <v/>
      </c>
      <c r="AJ44" s="255" t="str">
        <f t="shared" si="2"/>
        <v/>
      </c>
      <c r="AK44" s="125" t="str">
        <f>IF(V44&lt;&gt;1,"",SUM($V$8:V44))</f>
        <v/>
      </c>
      <c r="AL44" s="255">
        <f t="shared" si="5"/>
        <v>1</v>
      </c>
    </row>
    <row r="45" spans="2:38" s="11" customFormat="1" ht="20">
      <c r="B45" s="21"/>
      <c r="C45" s="21"/>
      <c r="D45" s="36"/>
      <c r="E45" s="821"/>
      <c r="F45" s="781"/>
      <c r="G45" s="782"/>
      <c r="H45" s="783"/>
      <c r="I45" s="783"/>
      <c r="J45" s="784"/>
      <c r="K45" s="784"/>
      <c r="L45" s="896"/>
      <c r="M45" s="897"/>
      <c r="N45" s="731"/>
      <c r="O45" s="788"/>
      <c r="P45" s="897"/>
      <c r="Q45" s="731"/>
      <c r="R45" s="788"/>
      <c r="S45" s="786" t="str">
        <f t="shared" si="11"/>
        <v/>
      </c>
      <c r="T45" s="779"/>
      <c r="U45" s="114"/>
      <c r="V45" s="787" t="str">
        <f t="shared" si="8"/>
        <v/>
      </c>
      <c r="X45" s="125" t="s">
        <v>411</v>
      </c>
      <c r="Y45" s="255">
        <f t="shared" si="3"/>
        <v>38</v>
      </c>
      <c r="Z45" s="255" t="str">
        <f>IF(AA45&lt;&gt;"//",COUNTA($AA$8:AA45)-COUNTIF($AA$8:AA45,"//"),"")</f>
        <v/>
      </c>
      <c r="AA45" s="255" t="str">
        <f t="shared" si="9"/>
        <v>//</v>
      </c>
      <c r="AB45" s="255" t="str">
        <f ca="1">_xlfn.IFNA(IF(COUNTIF('4.1(2)新規再エネ導入予定(FS調査、系統接続検討状況)'!$G:$G,OFFSET($AA$7,MATCH($Y45,$Z$8:$Z$167,0),0))=0,OFFSET($AA$7,MATCH($Y45,$Z$8:$Z$167,0),0),""),"")</f>
        <v/>
      </c>
      <c r="AC45" s="255" t="str">
        <f ca="1">_xlfn.IFNA(IF(COUNTIF('4.1(2)新規再エネ導入予定(合意形成)'!$G:$G,OFFSET($AA$7,MATCH($Y45,$Z$8:$Z$167,0),0))=0,OFFSET($AA$7,MATCH($Y45,$Z$8:$Z$167,0),0),""),"")</f>
        <v/>
      </c>
      <c r="AD45" s="255" t="str">
        <f ca="1">_xlfn.IFNA(OFFSET('4.1(2)新規再エネ導入予定(FS調査、系統接続検討状況)'!$W$1,MATCH(G45,'4.1(2)新規再エネ導入予定(FS調査、系統接続検討状況)'!G:G,0)-1,0),"//")</f>
        <v>//</v>
      </c>
      <c r="AE45" s="277" t="str">
        <f ca="1">_xlfn.IFNA(OFFSET('4.1(2)新規再エネ導入予定(合意形成)'!$AJ$1,MATCH(G45,'4.1(2)新規再エネ導入予定(合意形成)'!G:G,0)-1,0),"//")</f>
        <v>//</v>
      </c>
      <c r="AF45" s="255">
        <f t="shared" ca="1" si="4"/>
        <v>0</v>
      </c>
      <c r="AG45" s="129" t="str" cm="1">
        <f t="array" aca="1" ref="AG45" ca="1">IFERROR(_xlfn.IFS(COUNTIF($AB$8:$AC$167,G45)&gt;0,"",AF45&lt;=1,"D",AF45=2,"C",AF45=3,"B",AF45=4,"A"),"")</f>
        <v/>
      </c>
      <c r="AH45" s="255" t="str">
        <f ca="1">_xlfn.IFNA(OFFSET('4.1(2)新規再エネ導入予定(合意形成)'!$Z$1,MATCH($G45,'4.1(2)新規再エネ導入予定(合意形成)'!$G:$G,0)-1,0),"")</f>
        <v/>
      </c>
      <c r="AI45" s="129" t="str">
        <f t="shared" si="10"/>
        <v/>
      </c>
      <c r="AJ45" s="255" t="str">
        <f t="shared" si="2"/>
        <v/>
      </c>
      <c r="AK45" s="125" t="str">
        <f>IF(V45&lt;&gt;1,"",SUM($V$8:V45))</f>
        <v/>
      </c>
      <c r="AL45" s="255">
        <f t="shared" si="5"/>
        <v>1</v>
      </c>
    </row>
    <row r="46" spans="2:38" s="11" customFormat="1" ht="20">
      <c r="B46" s="21"/>
      <c r="C46" s="21"/>
      <c r="D46" s="36"/>
      <c r="E46" s="821"/>
      <c r="F46" s="781"/>
      <c r="G46" s="782"/>
      <c r="H46" s="783"/>
      <c r="I46" s="783"/>
      <c r="J46" s="784"/>
      <c r="K46" s="784"/>
      <c r="L46" s="896"/>
      <c r="M46" s="897"/>
      <c r="N46" s="731"/>
      <c r="O46" s="788"/>
      <c r="P46" s="897"/>
      <c r="Q46" s="731"/>
      <c r="R46" s="788"/>
      <c r="S46" s="786" t="str">
        <f t="shared" si="11"/>
        <v/>
      </c>
      <c r="T46" s="779"/>
      <c r="U46" s="114"/>
      <c r="V46" s="787" t="str">
        <f t="shared" si="8"/>
        <v/>
      </c>
      <c r="X46" s="125" t="s">
        <v>411</v>
      </c>
      <c r="Y46" s="255">
        <f t="shared" si="3"/>
        <v>39</v>
      </c>
      <c r="Z46" s="255" t="str">
        <f>IF(AA46&lt;&gt;"//",COUNTA($AA$8:AA46)-COUNTIF($AA$8:AA46,"//"),"")</f>
        <v/>
      </c>
      <c r="AA46" s="255" t="str">
        <f t="shared" si="9"/>
        <v>//</v>
      </c>
      <c r="AB46" s="255" t="str">
        <f ca="1">_xlfn.IFNA(IF(COUNTIF('4.1(2)新規再エネ導入予定(FS調査、系統接続検討状況)'!$G:$G,OFFSET($AA$7,MATCH($Y46,$Z$8:$Z$167,0),0))=0,OFFSET($AA$7,MATCH($Y46,$Z$8:$Z$167,0),0),""),"")</f>
        <v/>
      </c>
      <c r="AC46" s="255" t="str">
        <f ca="1">_xlfn.IFNA(IF(COUNTIF('4.1(2)新規再エネ導入予定(合意形成)'!$G:$G,OFFSET($AA$7,MATCH($Y46,$Z$8:$Z$167,0),0))=0,OFFSET($AA$7,MATCH($Y46,$Z$8:$Z$167,0),0),""),"")</f>
        <v/>
      </c>
      <c r="AD46" s="255" t="str">
        <f ca="1">_xlfn.IFNA(OFFSET('4.1(2)新規再エネ導入予定(FS調査、系統接続検討状況)'!$W$1,MATCH(G46,'4.1(2)新規再エネ導入予定(FS調査、系統接続検討状況)'!G:G,0)-1,0),"//")</f>
        <v>//</v>
      </c>
      <c r="AE46" s="277" t="str">
        <f ca="1">_xlfn.IFNA(OFFSET('4.1(2)新規再エネ導入予定(合意形成)'!$AJ$1,MATCH(G46,'4.1(2)新規再エネ導入予定(合意形成)'!G:G,0)-1,0),"//")</f>
        <v>//</v>
      </c>
      <c r="AF46" s="255">
        <f t="shared" ca="1" si="4"/>
        <v>0</v>
      </c>
      <c r="AG46" s="129" t="str" cm="1">
        <f t="array" aca="1" ref="AG46" ca="1">IFERROR(_xlfn.IFS(COUNTIF($AB$8:$AC$167,G46)&gt;0,"",AF46&lt;=1,"D",AF46=2,"C",AF46=3,"B",AF46=4,"A"),"")</f>
        <v/>
      </c>
      <c r="AH46" s="255" t="str">
        <f ca="1">_xlfn.IFNA(OFFSET('4.1(2)新規再エネ導入予定(合意形成)'!$Z$1,MATCH($G46,'4.1(2)新規再エネ導入予定(合意形成)'!$G:$G,0)-1,0),"")</f>
        <v/>
      </c>
      <c r="AI46" s="129" t="str">
        <f t="shared" si="10"/>
        <v/>
      </c>
      <c r="AJ46" s="255" t="str">
        <f t="shared" si="2"/>
        <v/>
      </c>
      <c r="AK46" s="125" t="str">
        <f>IF(V46&lt;&gt;1,"",SUM($V$8:V46))</f>
        <v/>
      </c>
      <c r="AL46" s="255">
        <f t="shared" si="5"/>
        <v>1</v>
      </c>
    </row>
    <row r="47" spans="2:38" s="11" customFormat="1" ht="20">
      <c r="B47" s="21"/>
      <c r="C47" s="21"/>
      <c r="D47" s="36"/>
      <c r="E47" s="821"/>
      <c r="F47" s="781"/>
      <c r="G47" s="782"/>
      <c r="H47" s="783"/>
      <c r="I47" s="783"/>
      <c r="J47" s="784"/>
      <c r="K47" s="784"/>
      <c r="L47" s="896"/>
      <c r="M47" s="897"/>
      <c r="N47" s="731"/>
      <c r="O47" s="788"/>
      <c r="P47" s="897"/>
      <c r="Q47" s="731"/>
      <c r="R47" s="788"/>
      <c r="S47" s="786" t="str">
        <f t="shared" si="11"/>
        <v/>
      </c>
      <c r="T47" s="779"/>
      <c r="U47" s="114"/>
      <c r="V47" s="787" t="str">
        <f t="shared" si="8"/>
        <v/>
      </c>
      <c r="X47" s="125" t="s">
        <v>411</v>
      </c>
      <c r="Y47" s="255">
        <f t="shared" si="3"/>
        <v>40</v>
      </c>
      <c r="Z47" s="255" t="str">
        <f>IF(AA47&lt;&gt;"//",COUNTA($AA$8:AA47)-COUNTIF($AA$8:AA47,"//"),"")</f>
        <v/>
      </c>
      <c r="AA47" s="255" t="str">
        <f t="shared" si="9"/>
        <v>//</v>
      </c>
      <c r="AB47" s="255" t="str">
        <f ca="1">_xlfn.IFNA(IF(COUNTIF('4.1(2)新規再エネ導入予定(FS調査、系統接続検討状況)'!$G:$G,OFFSET($AA$7,MATCH($Y47,$Z$8:$Z$167,0),0))=0,OFFSET($AA$7,MATCH($Y47,$Z$8:$Z$167,0),0),""),"")</f>
        <v/>
      </c>
      <c r="AC47" s="255" t="str">
        <f ca="1">_xlfn.IFNA(IF(COUNTIF('4.1(2)新規再エネ導入予定(合意形成)'!$G:$G,OFFSET($AA$7,MATCH($Y47,$Z$8:$Z$167,0),0))=0,OFFSET($AA$7,MATCH($Y47,$Z$8:$Z$167,0),0),""),"")</f>
        <v/>
      </c>
      <c r="AD47" s="255" t="str">
        <f ca="1">_xlfn.IFNA(OFFSET('4.1(2)新規再エネ導入予定(FS調査、系統接続検討状況)'!$W$1,MATCH(G47,'4.1(2)新規再エネ導入予定(FS調査、系統接続検討状況)'!G:G,0)-1,0),"//")</f>
        <v>//</v>
      </c>
      <c r="AE47" s="277" t="str">
        <f ca="1">_xlfn.IFNA(OFFSET('4.1(2)新規再エネ導入予定(合意形成)'!$AJ$1,MATCH(G47,'4.1(2)新規再エネ導入予定(合意形成)'!G:G,0)-1,0),"//")</f>
        <v>//</v>
      </c>
      <c r="AF47" s="255">
        <f t="shared" ca="1" si="4"/>
        <v>0</v>
      </c>
      <c r="AG47" s="129" t="str" cm="1">
        <f t="array" aca="1" ref="AG47" ca="1">IFERROR(_xlfn.IFS(COUNTIF($AB$8:$AC$167,G47)&gt;0,"",AF47&lt;=1,"D",AF47=2,"C",AF47=3,"B",AF47=4,"A"),"")</f>
        <v/>
      </c>
      <c r="AH47" s="255" t="str">
        <f ca="1">_xlfn.IFNA(OFFSET('4.1(2)新規再エネ導入予定(合意形成)'!$Z$1,MATCH($G47,'4.1(2)新規再エネ導入予定(合意形成)'!$G:$G,0)-1,0),"")</f>
        <v/>
      </c>
      <c r="AI47" s="129" t="str">
        <f t="shared" si="10"/>
        <v/>
      </c>
      <c r="AJ47" s="255" t="str">
        <f t="shared" si="2"/>
        <v/>
      </c>
      <c r="AK47" s="125" t="str">
        <f>IF(V47&lt;&gt;1,"",SUM($V$8:V47))</f>
        <v/>
      </c>
      <c r="AL47" s="255">
        <f t="shared" si="5"/>
        <v>1</v>
      </c>
    </row>
    <row r="48" spans="2:38" s="11" customFormat="1" ht="20">
      <c r="B48" s="21"/>
      <c r="C48" s="21"/>
      <c r="D48" s="36"/>
      <c r="E48" s="821"/>
      <c r="F48" s="781"/>
      <c r="G48" s="782"/>
      <c r="H48" s="783"/>
      <c r="I48" s="783"/>
      <c r="J48" s="784"/>
      <c r="K48" s="784"/>
      <c r="L48" s="896"/>
      <c r="M48" s="897"/>
      <c r="N48" s="731"/>
      <c r="O48" s="788"/>
      <c r="P48" s="897"/>
      <c r="Q48" s="731"/>
      <c r="R48" s="788"/>
      <c r="S48" s="786" t="str">
        <f t="shared" si="11"/>
        <v/>
      </c>
      <c r="T48" s="779"/>
      <c r="U48" s="114"/>
      <c r="V48" s="787" t="str">
        <f t="shared" si="8"/>
        <v/>
      </c>
      <c r="X48" s="125" t="s">
        <v>411</v>
      </c>
      <c r="Y48" s="255">
        <f t="shared" si="3"/>
        <v>41</v>
      </c>
      <c r="Z48" s="255" t="str">
        <f>IF(AA48&lt;&gt;"//",COUNTA($AA$8:AA48)-COUNTIF($AA$8:AA48,"//"),"")</f>
        <v/>
      </c>
      <c r="AA48" s="255" t="str">
        <f t="shared" si="9"/>
        <v>//</v>
      </c>
      <c r="AB48" s="255" t="str">
        <f ca="1">_xlfn.IFNA(IF(COUNTIF('4.1(2)新規再エネ導入予定(FS調査、系統接続検討状況)'!$G:$G,OFFSET($AA$7,MATCH($Y48,$Z$8:$Z$167,0),0))=0,OFFSET($AA$7,MATCH($Y48,$Z$8:$Z$167,0),0),""),"")</f>
        <v/>
      </c>
      <c r="AC48" s="255" t="str">
        <f ca="1">_xlfn.IFNA(IF(COUNTIF('4.1(2)新規再エネ導入予定(合意形成)'!$G:$G,OFFSET($AA$7,MATCH($Y48,$Z$8:$Z$167,0),0))=0,OFFSET($AA$7,MATCH($Y48,$Z$8:$Z$167,0),0),""),"")</f>
        <v/>
      </c>
      <c r="AD48" s="255" t="str">
        <f ca="1">_xlfn.IFNA(OFFSET('4.1(2)新規再エネ導入予定(FS調査、系統接続検討状況)'!$W$1,MATCH(G48,'4.1(2)新規再エネ導入予定(FS調査、系統接続検討状況)'!G:G,0)-1,0),"//")</f>
        <v>//</v>
      </c>
      <c r="AE48" s="277" t="str">
        <f ca="1">_xlfn.IFNA(OFFSET('4.1(2)新規再エネ導入予定(合意形成)'!$AJ$1,MATCH(G48,'4.1(2)新規再エネ導入予定(合意形成)'!G:G,0)-1,0),"//")</f>
        <v>//</v>
      </c>
      <c r="AF48" s="255">
        <f t="shared" ca="1" si="4"/>
        <v>0</v>
      </c>
      <c r="AG48" s="129" t="str" cm="1">
        <f t="array" aca="1" ref="AG48" ca="1">IFERROR(_xlfn.IFS(COUNTIF($AB$8:$AC$167,G48)&gt;0,"",AF48&lt;=1,"D",AF48=2,"C",AF48=3,"B",AF48=4,"A"),"")</f>
        <v/>
      </c>
      <c r="AH48" s="255" t="str">
        <f ca="1">_xlfn.IFNA(OFFSET('4.1(2)新規再エネ導入予定(合意形成)'!$Z$1,MATCH($G48,'4.1(2)新規再エネ導入予定(合意形成)'!$G:$G,0)-1,0),"")</f>
        <v/>
      </c>
      <c r="AI48" s="129" t="str">
        <f t="shared" si="10"/>
        <v/>
      </c>
      <c r="AJ48" s="255" t="str">
        <f t="shared" si="2"/>
        <v/>
      </c>
      <c r="AK48" s="125" t="str">
        <f>IF(V48&lt;&gt;1,"",SUM($V$8:V48))</f>
        <v/>
      </c>
      <c r="AL48" s="255">
        <f t="shared" si="5"/>
        <v>1</v>
      </c>
    </row>
    <row r="49" spans="2:38" s="11" customFormat="1" ht="20">
      <c r="B49" s="21"/>
      <c r="C49" s="21"/>
      <c r="D49" s="36"/>
      <c r="E49" s="821"/>
      <c r="F49" s="781"/>
      <c r="G49" s="782"/>
      <c r="H49" s="783"/>
      <c r="I49" s="783"/>
      <c r="J49" s="784"/>
      <c r="K49" s="784"/>
      <c r="L49" s="896"/>
      <c r="M49" s="897"/>
      <c r="N49" s="731"/>
      <c r="O49" s="788"/>
      <c r="P49" s="897"/>
      <c r="Q49" s="731"/>
      <c r="R49" s="788"/>
      <c r="S49" s="786" t="str">
        <f t="shared" si="11"/>
        <v/>
      </c>
      <c r="T49" s="779"/>
      <c r="U49" s="114"/>
      <c r="V49" s="787" t="str">
        <f t="shared" si="8"/>
        <v/>
      </c>
      <c r="X49" s="125" t="s">
        <v>411</v>
      </c>
      <c r="Y49" s="255">
        <f t="shared" si="3"/>
        <v>42</v>
      </c>
      <c r="Z49" s="255" t="str">
        <f>IF(AA49&lt;&gt;"//",COUNTA($AA$8:AA49)-COUNTIF($AA$8:AA49,"//"),"")</f>
        <v/>
      </c>
      <c r="AA49" s="255" t="str">
        <f t="shared" si="9"/>
        <v>//</v>
      </c>
      <c r="AB49" s="255" t="str">
        <f ca="1">_xlfn.IFNA(IF(COUNTIF('4.1(2)新規再エネ導入予定(FS調査、系統接続検討状況)'!$G:$G,OFFSET($AA$7,MATCH($Y49,$Z$8:$Z$167,0),0))=0,OFFSET($AA$7,MATCH($Y49,$Z$8:$Z$167,0),0),""),"")</f>
        <v/>
      </c>
      <c r="AC49" s="255" t="str">
        <f ca="1">_xlfn.IFNA(IF(COUNTIF('4.1(2)新規再エネ導入予定(合意形成)'!$G:$G,OFFSET($AA$7,MATCH($Y49,$Z$8:$Z$167,0),0))=0,OFFSET($AA$7,MATCH($Y49,$Z$8:$Z$167,0),0),""),"")</f>
        <v/>
      </c>
      <c r="AD49" s="255" t="str">
        <f ca="1">_xlfn.IFNA(OFFSET('4.1(2)新規再エネ導入予定(FS調査、系統接続検討状況)'!$W$1,MATCH(G49,'4.1(2)新規再エネ導入予定(FS調査、系統接続検討状況)'!G:G,0)-1,0),"//")</f>
        <v>//</v>
      </c>
      <c r="AE49" s="277" t="str">
        <f ca="1">_xlfn.IFNA(OFFSET('4.1(2)新規再エネ導入予定(合意形成)'!$AJ$1,MATCH(G49,'4.1(2)新規再エネ導入予定(合意形成)'!G:G,0)-1,0),"//")</f>
        <v>//</v>
      </c>
      <c r="AF49" s="255">
        <f t="shared" ca="1" si="4"/>
        <v>0</v>
      </c>
      <c r="AG49" s="129" t="str" cm="1">
        <f t="array" aca="1" ref="AG49" ca="1">IFERROR(_xlfn.IFS(COUNTIF($AB$8:$AC$167,G49)&gt;0,"",AF49&lt;=1,"D",AF49=2,"C",AF49=3,"B",AF49=4,"A"),"")</f>
        <v/>
      </c>
      <c r="AH49" s="255" t="str">
        <f ca="1">_xlfn.IFNA(OFFSET('4.1(2)新規再エネ導入予定(合意形成)'!$Z$1,MATCH($G49,'4.1(2)新規再エネ導入予定(合意形成)'!$G:$G,0)-1,0),"")</f>
        <v/>
      </c>
      <c r="AI49" s="129" t="str">
        <f t="shared" si="10"/>
        <v/>
      </c>
      <c r="AJ49" s="255" t="str">
        <f t="shared" si="2"/>
        <v/>
      </c>
      <c r="AK49" s="125" t="str">
        <f>IF(V49&lt;&gt;1,"",SUM($V$8:V49))</f>
        <v/>
      </c>
      <c r="AL49" s="255">
        <f t="shared" si="5"/>
        <v>1</v>
      </c>
    </row>
    <row r="50" spans="2:38" ht="17.25" customHeight="1">
      <c r="D50" s="188"/>
      <c r="E50" s="822" t="s">
        <v>20</v>
      </c>
      <c r="F50" s="789"/>
      <c r="G50" s="769"/>
      <c r="H50" s="770"/>
      <c r="I50" s="770"/>
      <c r="J50" s="770"/>
      <c r="K50" s="770"/>
      <c r="L50" s="723"/>
      <c r="M50" s="726"/>
      <c r="N50" s="892" t="str">
        <f>IF(AND(COUNTBLANK(M50:M57)&lt;=3,COUNTA(M50:M57)=0),0,IF(SUM(M50:M57)=0,"",SUM(M50:M57)))</f>
        <v/>
      </c>
      <c r="O50" s="898"/>
      <c r="P50" s="729"/>
      <c r="Q50" s="892" t="str">
        <f>IF(AND(COUNTBLANK(P50:P57)&lt;=3,COUNTA(P50:P57)=0),0,IF(SUM(P50:P57)=0,"",SUM(P50:P57)))</f>
        <v/>
      </c>
      <c r="R50" s="771"/>
      <c r="S50" s="772" t="str">
        <f t="shared" si="11"/>
        <v/>
      </c>
      <c r="T50" s="764"/>
      <c r="V50" s="790"/>
      <c r="X50" s="222" t="s">
        <v>411</v>
      </c>
      <c r="Y50" s="175">
        <f t="shared" si="3"/>
        <v>43</v>
      </c>
      <c r="Z50" s="175" t="str">
        <f>IF(AA50&lt;&gt;"//",COUNTA($AA$8:AA50)-COUNTIF($AA$8:AA50,"//"),"")</f>
        <v/>
      </c>
      <c r="AA50" s="175" t="str">
        <f t="shared" si="9"/>
        <v>//</v>
      </c>
      <c r="AB50" s="175" t="str">
        <f ca="1">_xlfn.IFNA(IF(COUNTIF('4.1(2)新規再エネ導入予定(FS調査、系統接続検討状況)'!$G:$G,OFFSET($AA$7,MATCH($Y50,$Z$8:$Z$167,0),0))=0,OFFSET($AA$7,MATCH($Y50,$Z$8:$Z$167,0),0),""),"")</f>
        <v/>
      </c>
      <c r="AC50" s="175" t="str">
        <f ca="1">_xlfn.IFNA(IF(COUNTIF('4.1(2)新規再エネ導入予定(合意形成)'!$G:$G,OFFSET($AA$7,MATCH($Y50,$Z$8:$Z$167,0),0))=0,OFFSET($AA$7,MATCH($Y50,$Z$8:$Z$167,0),0),""),"")</f>
        <v/>
      </c>
      <c r="AD50" s="175" t="str">
        <f ca="1">_xlfn.IFNA(OFFSET('4.1(2)新規再エネ導入予定(FS調査、系統接続検討状況)'!$W$1,MATCH(G50,'4.1(2)新規再エネ導入予定(FS調査、系統接続検討状況)'!G:G,0)-1,0),"//")</f>
        <v>//</v>
      </c>
      <c r="AE50" s="262" t="str">
        <f ca="1">_xlfn.IFNA(OFFSET('4.1(2)新規再エネ導入予定(合意形成)'!$AJ$1,MATCH(G50,'4.1(2)新規再エネ導入予定(合意形成)'!G:G,0)-1,0),"//")</f>
        <v>//</v>
      </c>
      <c r="AF50" s="175">
        <f t="shared" ca="1" si="4"/>
        <v>0</v>
      </c>
      <c r="AG50" s="215" t="str" cm="1">
        <f t="array" aca="1" ref="AG50" ca="1">IFERROR(_xlfn.IFS(COUNTIF($AB$8:$AC$167,G50)&gt;0,"",AF50&lt;=1,"D",AF50=2,"C",AF50=3,"B",AF50=4,"A"),"")</f>
        <v/>
      </c>
      <c r="AH50" s="175" t="str">
        <f ca="1">_xlfn.IFNA(OFFSET('4.1(2)新規再エネ導入予定(合意形成)'!$Z$1,MATCH($G50,'4.1(2)新規再エネ導入予定(合意形成)'!$G:$G,0)-1,0),"")</f>
        <v/>
      </c>
      <c r="AI50" s="215" t="str">
        <f t="shared" si="10"/>
        <v/>
      </c>
      <c r="AJ50" s="175" t="str">
        <f t="shared" si="2"/>
        <v/>
      </c>
      <c r="AK50" s="222" t="str">
        <f>IF(V50&lt;&gt;1,"",SUM($V$8:V50))</f>
        <v/>
      </c>
      <c r="AL50" s="175">
        <f t="shared" si="5"/>
        <v>1</v>
      </c>
    </row>
    <row r="51" spans="2:38" s="11" customFormat="1" ht="20" hidden="1">
      <c r="B51" s="21"/>
      <c r="C51" s="21"/>
      <c r="D51" s="36"/>
      <c r="E51" s="821"/>
      <c r="F51" s="774"/>
      <c r="G51" s="775"/>
      <c r="H51" s="776"/>
      <c r="I51" s="776"/>
      <c r="J51" s="777"/>
      <c r="K51" s="777"/>
      <c r="L51" s="894"/>
      <c r="M51" s="895"/>
      <c r="N51" s="730"/>
      <c r="O51" s="791"/>
      <c r="P51" s="895"/>
      <c r="Q51" s="730"/>
      <c r="R51" s="791"/>
      <c r="S51" s="778" t="str">
        <f t="shared" si="11"/>
        <v/>
      </c>
      <c r="T51" s="779"/>
      <c r="U51" s="114"/>
      <c r="V51" s="780"/>
      <c r="X51" s="125" t="s">
        <v>411</v>
      </c>
      <c r="Y51" s="255">
        <f t="shared" si="3"/>
        <v>44</v>
      </c>
      <c r="Z51" s="255" t="str">
        <f>IF(AA51&lt;&gt;"//",COUNTA($AA$8:AA51)-COUNTIF($AA$8:AA51,"//"),"")</f>
        <v/>
      </c>
      <c r="AA51" s="255" t="str">
        <f t="shared" si="9"/>
        <v>//</v>
      </c>
      <c r="AB51" s="255" t="str">
        <f ca="1">_xlfn.IFNA(IF(COUNTIF('4.1(2)新規再エネ導入予定(FS調査、系統接続検討状況)'!$G:$G,OFFSET($AA$7,MATCH($Y51,$Z$8:$Z$167,0),0))=0,OFFSET($AA$7,MATCH($Y51,$Z$8:$Z$167,0),0),""),"")</f>
        <v/>
      </c>
      <c r="AC51" s="255" t="str">
        <f ca="1">_xlfn.IFNA(IF(COUNTIF('4.1(2)新規再エネ導入予定(合意形成)'!$G:$G,OFFSET($AA$7,MATCH($Y51,$Z$8:$Z$167,0),0))=0,OFFSET($AA$7,MATCH($Y51,$Z$8:$Z$167,0),0),""),"")</f>
        <v/>
      </c>
      <c r="AD51" s="255" t="str">
        <f ca="1">_xlfn.IFNA(OFFSET('4.1(2)新規再エネ導入予定(FS調査、系統接続検討状況)'!$W$1,MATCH(G51,'4.1(2)新規再エネ導入予定(FS調査、系統接続検討状況)'!G:G,0)-1,0),"//")</f>
        <v>//</v>
      </c>
      <c r="AE51" s="277" t="str">
        <f ca="1">_xlfn.IFNA(OFFSET('4.1(2)新規再エネ導入予定(合意形成)'!$AJ$1,MATCH(G51,'4.1(2)新規再エネ導入予定(合意形成)'!G:G,0)-1,0),"//")</f>
        <v>//</v>
      </c>
      <c r="AF51" s="255">
        <f t="shared" ca="1" si="4"/>
        <v>0</v>
      </c>
      <c r="AG51" s="129" t="str" cm="1">
        <f t="array" aca="1" ref="AG51" ca="1">IFERROR(_xlfn.IFS(COUNTIF($AB$8:$AC$167,G51)&gt;0,"",AF51&lt;=1,"D",AF51=2,"C",AF51=3,"B",AF51=4,"A"),"")</f>
        <v/>
      </c>
      <c r="AH51" s="255" t="str">
        <f ca="1">_xlfn.IFNA(OFFSET('4.1(2)新規再エネ導入予定(合意形成)'!$Z$1,MATCH($G51,'4.1(2)新規再エネ導入予定(合意形成)'!$G:$G,0)-1,0),"")</f>
        <v/>
      </c>
      <c r="AI51" s="129" t="str">
        <f t="shared" si="10"/>
        <v/>
      </c>
      <c r="AJ51" s="255" t="str">
        <f t="shared" si="2"/>
        <v/>
      </c>
      <c r="AK51" s="125" t="str">
        <f>IF(V51&lt;&gt;1,"",SUM($V$8:V51))</f>
        <v/>
      </c>
      <c r="AL51" s="255">
        <f t="shared" si="5"/>
        <v>1</v>
      </c>
    </row>
    <row r="52" spans="2:38" s="11" customFormat="1" ht="20">
      <c r="B52" s="21"/>
      <c r="C52" s="21"/>
      <c r="D52" s="36"/>
      <c r="E52" s="821"/>
      <c r="F52" s="781"/>
      <c r="G52" s="782"/>
      <c r="H52" s="783"/>
      <c r="I52" s="783"/>
      <c r="J52" s="784"/>
      <c r="K52" s="784"/>
      <c r="L52" s="896"/>
      <c r="M52" s="897"/>
      <c r="N52" s="731"/>
      <c r="O52" s="788"/>
      <c r="P52" s="897"/>
      <c r="Q52" s="731"/>
      <c r="R52" s="788"/>
      <c r="S52" s="786" t="str">
        <f t="shared" si="11"/>
        <v/>
      </c>
      <c r="T52" s="779"/>
      <c r="U52" s="114"/>
      <c r="V52" s="787" t="str">
        <f t="shared" si="8"/>
        <v/>
      </c>
      <c r="X52" s="125" t="s">
        <v>411</v>
      </c>
      <c r="Y52" s="255">
        <f t="shared" si="3"/>
        <v>45</v>
      </c>
      <c r="Z52" s="255" t="str">
        <f>IF(AA52&lt;&gt;"//",COUNTA($AA$8:AA52)-COUNTIF($AA$8:AA52,"//"),"")</f>
        <v/>
      </c>
      <c r="AA52" s="255" t="str">
        <f t="shared" si="9"/>
        <v>//</v>
      </c>
      <c r="AB52" s="255" t="str">
        <f ca="1">_xlfn.IFNA(IF(COUNTIF('4.1(2)新規再エネ導入予定(FS調査、系統接続検討状況)'!$G:$G,OFFSET($AA$7,MATCH($Y52,$Z$8:$Z$167,0),0))=0,OFFSET($AA$7,MATCH($Y52,$Z$8:$Z$167,0),0),""),"")</f>
        <v/>
      </c>
      <c r="AC52" s="255" t="str">
        <f ca="1">_xlfn.IFNA(IF(COUNTIF('4.1(2)新規再エネ導入予定(合意形成)'!$G:$G,OFFSET($AA$7,MATCH($Y52,$Z$8:$Z$167,0),0))=0,OFFSET($AA$7,MATCH($Y52,$Z$8:$Z$167,0),0),""),"")</f>
        <v/>
      </c>
      <c r="AD52" s="255" t="str">
        <f ca="1">_xlfn.IFNA(OFFSET('4.1(2)新規再エネ導入予定(FS調査、系統接続検討状況)'!$W$1,MATCH(G52,'4.1(2)新規再エネ導入予定(FS調査、系統接続検討状況)'!G:G,0)-1,0),"//")</f>
        <v>//</v>
      </c>
      <c r="AE52" s="277" t="str">
        <f ca="1">_xlfn.IFNA(OFFSET('4.1(2)新規再エネ導入予定(合意形成)'!$AJ$1,MATCH(G52,'4.1(2)新規再エネ導入予定(合意形成)'!G:G,0)-1,0),"//")</f>
        <v>//</v>
      </c>
      <c r="AF52" s="255">
        <f t="shared" ca="1" si="4"/>
        <v>0</v>
      </c>
      <c r="AG52" s="129" t="str" cm="1">
        <f t="array" aca="1" ref="AG52" ca="1">IFERROR(_xlfn.IFS(COUNTIF($AB$8:$AC$167,G52)&gt;0,"",AF52&lt;=1,"D",AF52=2,"C",AF52=3,"B",AF52=4,"A"),"")</f>
        <v/>
      </c>
      <c r="AH52" s="255" t="str">
        <f ca="1">_xlfn.IFNA(OFFSET('4.1(2)新規再エネ導入予定(合意形成)'!$Z$1,MATCH($G52,'4.1(2)新規再エネ導入予定(合意形成)'!$G:$G,0)-1,0),"")</f>
        <v/>
      </c>
      <c r="AI52" s="129" t="str">
        <f t="shared" si="10"/>
        <v/>
      </c>
      <c r="AJ52" s="255" t="str">
        <f t="shared" si="2"/>
        <v/>
      </c>
      <c r="AK52" s="125" t="str">
        <f>IF(V52&lt;&gt;1,"",SUM($V$8:V52))</f>
        <v/>
      </c>
      <c r="AL52" s="255">
        <f t="shared" si="5"/>
        <v>1</v>
      </c>
    </row>
    <row r="53" spans="2:38" s="11" customFormat="1" ht="20">
      <c r="B53" s="21"/>
      <c r="C53" s="21"/>
      <c r="D53" s="36"/>
      <c r="E53" s="821"/>
      <c r="F53" s="781"/>
      <c r="G53" s="782"/>
      <c r="H53" s="783"/>
      <c r="I53" s="783"/>
      <c r="J53" s="784"/>
      <c r="K53" s="784"/>
      <c r="L53" s="896"/>
      <c r="M53" s="897"/>
      <c r="N53" s="731"/>
      <c r="O53" s="788"/>
      <c r="P53" s="897"/>
      <c r="Q53" s="731"/>
      <c r="R53" s="788"/>
      <c r="S53" s="786" t="str">
        <f t="shared" si="11"/>
        <v/>
      </c>
      <c r="T53" s="779"/>
      <c r="U53" s="114"/>
      <c r="V53" s="787" t="str">
        <f t="shared" si="8"/>
        <v/>
      </c>
      <c r="X53" s="125" t="s">
        <v>411</v>
      </c>
      <c r="Y53" s="255">
        <f t="shared" si="3"/>
        <v>46</v>
      </c>
      <c r="Z53" s="255" t="str">
        <f>IF(AA53&lt;&gt;"//",COUNTA($AA$8:AA53)-COUNTIF($AA$8:AA53,"//"),"")</f>
        <v/>
      </c>
      <c r="AA53" s="255" t="str">
        <f t="shared" si="9"/>
        <v>//</v>
      </c>
      <c r="AB53" s="255" t="str">
        <f ca="1">_xlfn.IFNA(IF(COUNTIF('4.1(2)新規再エネ導入予定(FS調査、系統接続検討状況)'!$G:$G,OFFSET($AA$7,MATCH($Y53,$Z$8:$Z$167,0),0))=0,OFFSET($AA$7,MATCH($Y53,$Z$8:$Z$167,0),0),""),"")</f>
        <v/>
      </c>
      <c r="AC53" s="255" t="str">
        <f ca="1">_xlfn.IFNA(IF(COUNTIF('4.1(2)新規再エネ導入予定(合意形成)'!$G:$G,OFFSET($AA$7,MATCH($Y53,$Z$8:$Z$167,0),0))=0,OFFSET($AA$7,MATCH($Y53,$Z$8:$Z$167,0),0),""),"")</f>
        <v/>
      </c>
      <c r="AD53" s="255" t="str">
        <f ca="1">_xlfn.IFNA(OFFSET('4.1(2)新規再エネ導入予定(FS調査、系統接続検討状況)'!$W$1,MATCH(G53,'4.1(2)新規再エネ導入予定(FS調査、系統接続検討状況)'!G:G,0)-1,0),"//")</f>
        <v>//</v>
      </c>
      <c r="AE53" s="277" t="str">
        <f ca="1">_xlfn.IFNA(OFFSET('4.1(2)新規再エネ導入予定(合意形成)'!$AJ$1,MATCH(G53,'4.1(2)新規再エネ導入予定(合意形成)'!G:G,0)-1,0),"//")</f>
        <v>//</v>
      </c>
      <c r="AF53" s="255">
        <f t="shared" ca="1" si="4"/>
        <v>0</v>
      </c>
      <c r="AG53" s="129" t="str" cm="1">
        <f t="array" aca="1" ref="AG53" ca="1">IFERROR(_xlfn.IFS(COUNTIF($AB$8:$AC$167,G53)&gt;0,"",AF53&lt;=1,"D",AF53=2,"C",AF53=3,"B",AF53=4,"A"),"")</f>
        <v/>
      </c>
      <c r="AH53" s="255" t="str">
        <f ca="1">_xlfn.IFNA(OFFSET('4.1(2)新規再エネ導入予定(合意形成)'!$Z$1,MATCH($G53,'4.1(2)新規再エネ導入予定(合意形成)'!$G:$G,0)-1,0),"")</f>
        <v/>
      </c>
      <c r="AI53" s="129" t="str">
        <f t="shared" si="10"/>
        <v/>
      </c>
      <c r="AJ53" s="255" t="str">
        <f t="shared" si="2"/>
        <v/>
      </c>
      <c r="AK53" s="125" t="str">
        <f>IF(V53&lt;&gt;1,"",SUM($V$8:V53))</f>
        <v/>
      </c>
      <c r="AL53" s="255">
        <f t="shared" si="5"/>
        <v>1</v>
      </c>
    </row>
    <row r="54" spans="2:38" s="11" customFormat="1" ht="20">
      <c r="B54" s="21"/>
      <c r="C54" s="21"/>
      <c r="D54" s="36"/>
      <c r="E54" s="821"/>
      <c r="F54" s="781"/>
      <c r="G54" s="782"/>
      <c r="H54" s="783"/>
      <c r="I54" s="783"/>
      <c r="J54" s="784"/>
      <c r="K54" s="784"/>
      <c r="L54" s="896"/>
      <c r="M54" s="897"/>
      <c r="N54" s="731"/>
      <c r="O54" s="788"/>
      <c r="P54" s="897"/>
      <c r="Q54" s="731"/>
      <c r="R54" s="788"/>
      <c r="S54" s="786" t="str">
        <f t="shared" si="11"/>
        <v/>
      </c>
      <c r="T54" s="779"/>
      <c r="U54" s="114"/>
      <c r="V54" s="787" t="str">
        <f t="shared" si="8"/>
        <v/>
      </c>
      <c r="X54" s="125" t="s">
        <v>411</v>
      </c>
      <c r="Y54" s="255">
        <f t="shared" si="3"/>
        <v>47</v>
      </c>
      <c r="Z54" s="255" t="str">
        <f>IF(AA54&lt;&gt;"//",COUNTA($AA$8:AA54)-COUNTIF($AA$8:AA54,"//"),"")</f>
        <v/>
      </c>
      <c r="AA54" s="255" t="str">
        <f t="shared" si="9"/>
        <v>//</v>
      </c>
      <c r="AB54" s="255" t="str">
        <f ca="1">_xlfn.IFNA(IF(COUNTIF('4.1(2)新規再エネ導入予定(FS調査、系統接続検討状況)'!$G:$G,OFFSET($AA$7,MATCH($Y54,$Z$8:$Z$167,0),0))=0,OFFSET($AA$7,MATCH($Y54,$Z$8:$Z$167,0),0),""),"")</f>
        <v/>
      </c>
      <c r="AC54" s="255" t="str">
        <f ca="1">_xlfn.IFNA(IF(COUNTIF('4.1(2)新規再エネ導入予定(合意形成)'!$G:$G,OFFSET($AA$7,MATCH($Y54,$Z$8:$Z$167,0),0))=0,OFFSET($AA$7,MATCH($Y54,$Z$8:$Z$167,0),0),""),"")</f>
        <v/>
      </c>
      <c r="AD54" s="255" t="str">
        <f ca="1">_xlfn.IFNA(OFFSET('4.1(2)新規再エネ導入予定(FS調査、系統接続検討状況)'!$W$1,MATCH(G54,'4.1(2)新規再エネ導入予定(FS調査、系統接続検討状況)'!G:G,0)-1,0),"//")</f>
        <v>//</v>
      </c>
      <c r="AE54" s="277" t="str">
        <f ca="1">_xlfn.IFNA(OFFSET('4.1(2)新規再エネ導入予定(合意形成)'!$AJ$1,MATCH(G54,'4.1(2)新規再エネ導入予定(合意形成)'!G:G,0)-1,0),"//")</f>
        <v>//</v>
      </c>
      <c r="AF54" s="255">
        <f t="shared" ca="1" si="4"/>
        <v>0</v>
      </c>
      <c r="AG54" s="129" t="str" cm="1">
        <f t="array" aca="1" ref="AG54" ca="1">IFERROR(_xlfn.IFS(COUNTIF($AB$8:$AC$167,G54)&gt;0,"",AF54&lt;=1,"D",AF54=2,"C",AF54=3,"B",AF54=4,"A"),"")</f>
        <v/>
      </c>
      <c r="AH54" s="255" t="str">
        <f ca="1">_xlfn.IFNA(OFFSET('4.1(2)新規再エネ導入予定(合意形成)'!$Z$1,MATCH($G54,'4.1(2)新規再エネ導入予定(合意形成)'!$G:$G,0)-1,0),"")</f>
        <v/>
      </c>
      <c r="AI54" s="129" t="str">
        <f t="shared" si="10"/>
        <v/>
      </c>
      <c r="AJ54" s="255" t="str">
        <f t="shared" si="2"/>
        <v/>
      </c>
      <c r="AK54" s="125" t="str">
        <f>IF(V54&lt;&gt;1,"",SUM($V$8:V54))</f>
        <v/>
      </c>
      <c r="AL54" s="255">
        <f t="shared" si="5"/>
        <v>1</v>
      </c>
    </row>
    <row r="55" spans="2:38" s="11" customFormat="1" ht="20">
      <c r="B55" s="21"/>
      <c r="C55" s="21"/>
      <c r="D55" s="36"/>
      <c r="E55" s="821"/>
      <c r="F55" s="781"/>
      <c r="G55" s="782"/>
      <c r="H55" s="783"/>
      <c r="I55" s="783"/>
      <c r="J55" s="784"/>
      <c r="K55" s="784"/>
      <c r="L55" s="896"/>
      <c r="M55" s="897"/>
      <c r="N55" s="731"/>
      <c r="O55" s="788"/>
      <c r="P55" s="897"/>
      <c r="Q55" s="731"/>
      <c r="R55" s="788"/>
      <c r="S55" s="786" t="str">
        <f t="shared" si="11"/>
        <v/>
      </c>
      <c r="T55" s="779"/>
      <c r="U55" s="114"/>
      <c r="V55" s="787" t="str">
        <f t="shared" si="8"/>
        <v/>
      </c>
      <c r="X55" s="125" t="s">
        <v>411</v>
      </c>
      <c r="Y55" s="255">
        <f t="shared" si="3"/>
        <v>48</v>
      </c>
      <c r="Z55" s="255" t="str">
        <f>IF(AA55&lt;&gt;"//",COUNTA($AA$8:AA55)-COUNTIF($AA$8:AA55,"//"),"")</f>
        <v/>
      </c>
      <c r="AA55" s="255" t="str">
        <f t="shared" si="9"/>
        <v>//</v>
      </c>
      <c r="AB55" s="255" t="str">
        <f ca="1">_xlfn.IFNA(IF(COUNTIF('4.1(2)新規再エネ導入予定(FS調査、系統接続検討状況)'!$G:$G,OFFSET($AA$7,MATCH($Y55,$Z$8:$Z$167,0),0))=0,OFFSET($AA$7,MATCH($Y55,$Z$8:$Z$167,0),0),""),"")</f>
        <v/>
      </c>
      <c r="AC55" s="255" t="str">
        <f ca="1">_xlfn.IFNA(IF(COUNTIF('4.1(2)新規再エネ導入予定(合意形成)'!$G:$G,OFFSET($AA$7,MATCH($Y55,$Z$8:$Z$167,0),0))=0,OFFSET($AA$7,MATCH($Y55,$Z$8:$Z$167,0),0),""),"")</f>
        <v/>
      </c>
      <c r="AD55" s="255" t="str">
        <f ca="1">_xlfn.IFNA(OFFSET('4.1(2)新規再エネ導入予定(FS調査、系統接続検討状況)'!$W$1,MATCH(G55,'4.1(2)新規再エネ導入予定(FS調査、系統接続検討状況)'!G:G,0)-1,0),"//")</f>
        <v>//</v>
      </c>
      <c r="AE55" s="277" t="str">
        <f ca="1">_xlfn.IFNA(OFFSET('4.1(2)新規再エネ導入予定(合意形成)'!$AJ$1,MATCH(G55,'4.1(2)新規再エネ導入予定(合意形成)'!G:G,0)-1,0),"//")</f>
        <v>//</v>
      </c>
      <c r="AF55" s="255">
        <f t="shared" ca="1" si="4"/>
        <v>0</v>
      </c>
      <c r="AG55" s="129" t="str" cm="1">
        <f t="array" aca="1" ref="AG55" ca="1">IFERROR(_xlfn.IFS(COUNTIF($AB$8:$AC$167,G55)&gt;0,"",AF55&lt;=1,"D",AF55=2,"C",AF55=3,"B",AF55=4,"A"),"")</f>
        <v/>
      </c>
      <c r="AH55" s="255" t="str">
        <f ca="1">_xlfn.IFNA(OFFSET('4.1(2)新規再エネ導入予定(合意形成)'!$Z$1,MATCH($G55,'4.1(2)新規再エネ導入予定(合意形成)'!$G:$G,0)-1,0),"")</f>
        <v/>
      </c>
      <c r="AI55" s="129" t="str">
        <f t="shared" si="10"/>
        <v/>
      </c>
      <c r="AJ55" s="255" t="str">
        <f t="shared" si="2"/>
        <v/>
      </c>
      <c r="AK55" s="125" t="str">
        <f>IF(V55&lt;&gt;1,"",SUM($V$8:V55))</f>
        <v/>
      </c>
      <c r="AL55" s="255">
        <f t="shared" si="5"/>
        <v>1</v>
      </c>
    </row>
    <row r="56" spans="2:38" s="11" customFormat="1" ht="20">
      <c r="B56" s="21"/>
      <c r="C56" s="21"/>
      <c r="D56" s="36"/>
      <c r="E56" s="821"/>
      <c r="F56" s="781"/>
      <c r="G56" s="782"/>
      <c r="H56" s="783"/>
      <c r="I56" s="783"/>
      <c r="J56" s="784"/>
      <c r="K56" s="784"/>
      <c r="L56" s="896"/>
      <c r="M56" s="897"/>
      <c r="N56" s="731"/>
      <c r="O56" s="788"/>
      <c r="P56" s="897"/>
      <c r="Q56" s="731"/>
      <c r="R56" s="788"/>
      <c r="S56" s="786" t="str">
        <f t="shared" si="11"/>
        <v/>
      </c>
      <c r="T56" s="779"/>
      <c r="U56" s="114"/>
      <c r="V56" s="787" t="str">
        <f t="shared" si="8"/>
        <v/>
      </c>
      <c r="X56" s="125" t="s">
        <v>411</v>
      </c>
      <c r="Y56" s="255">
        <f t="shared" si="3"/>
        <v>49</v>
      </c>
      <c r="Z56" s="255" t="str">
        <f>IF(AA56&lt;&gt;"//",COUNTA($AA$8:AA56)-COUNTIF($AA$8:AA56,"//"),"")</f>
        <v/>
      </c>
      <c r="AA56" s="255" t="str">
        <f t="shared" si="9"/>
        <v>//</v>
      </c>
      <c r="AB56" s="255" t="str">
        <f ca="1">_xlfn.IFNA(IF(COUNTIF('4.1(2)新規再エネ導入予定(FS調査、系統接続検討状況)'!$G:$G,OFFSET($AA$7,MATCH($Y56,$Z$8:$Z$167,0),0))=0,OFFSET($AA$7,MATCH($Y56,$Z$8:$Z$167,0),0),""),"")</f>
        <v/>
      </c>
      <c r="AC56" s="255" t="str">
        <f ca="1">_xlfn.IFNA(IF(COUNTIF('4.1(2)新規再エネ導入予定(合意形成)'!$G:$G,OFFSET($AA$7,MATCH($Y56,$Z$8:$Z$167,0),0))=0,OFFSET($AA$7,MATCH($Y56,$Z$8:$Z$167,0),0),""),"")</f>
        <v/>
      </c>
      <c r="AD56" s="255" t="str">
        <f ca="1">_xlfn.IFNA(OFFSET('4.1(2)新規再エネ導入予定(FS調査、系統接続検討状況)'!$W$1,MATCH(G56,'4.1(2)新規再エネ導入予定(FS調査、系統接続検討状況)'!G:G,0)-1,0),"//")</f>
        <v>//</v>
      </c>
      <c r="AE56" s="277" t="str">
        <f ca="1">_xlfn.IFNA(OFFSET('4.1(2)新規再エネ導入予定(合意形成)'!$AJ$1,MATCH(G56,'4.1(2)新規再エネ導入予定(合意形成)'!G:G,0)-1,0),"//")</f>
        <v>//</v>
      </c>
      <c r="AF56" s="255">
        <f t="shared" ca="1" si="4"/>
        <v>0</v>
      </c>
      <c r="AG56" s="129" t="str" cm="1">
        <f t="array" aca="1" ref="AG56" ca="1">IFERROR(_xlfn.IFS(COUNTIF($AB$8:$AC$167,G56)&gt;0,"",AF56&lt;=1,"D",AF56=2,"C",AF56=3,"B",AF56=4,"A"),"")</f>
        <v/>
      </c>
      <c r="AH56" s="255" t="str">
        <f ca="1">_xlfn.IFNA(OFFSET('4.1(2)新規再エネ導入予定(合意形成)'!$Z$1,MATCH($G56,'4.1(2)新規再エネ導入予定(合意形成)'!$G:$G,0)-1,0),"")</f>
        <v/>
      </c>
      <c r="AI56" s="129" t="str">
        <f t="shared" si="10"/>
        <v/>
      </c>
      <c r="AJ56" s="255" t="str">
        <f t="shared" si="2"/>
        <v/>
      </c>
      <c r="AK56" s="125" t="str">
        <f>IF(V56&lt;&gt;1,"",SUM($V$8:V56))</f>
        <v/>
      </c>
      <c r="AL56" s="255">
        <f t="shared" si="5"/>
        <v>1</v>
      </c>
    </row>
    <row r="57" spans="2:38" ht="20">
      <c r="D57" s="188"/>
      <c r="E57" s="822" t="s">
        <v>21</v>
      </c>
      <c r="F57" s="789"/>
      <c r="G57" s="769"/>
      <c r="H57" s="770"/>
      <c r="I57" s="770"/>
      <c r="J57" s="770"/>
      <c r="K57" s="770"/>
      <c r="L57" s="723"/>
      <c r="M57" s="726"/>
      <c r="N57" s="892" t="str">
        <f>IF(AND(COUNTBLANK(M57:M64)&lt;=3,COUNTA(M57:M64)=0),0,IF(SUM(M57:M64)=0,"",SUM(M57:M64)))</f>
        <v/>
      </c>
      <c r="O57" s="898"/>
      <c r="P57" s="729"/>
      <c r="Q57" s="892" t="str">
        <f>IF(AND(COUNTBLANK(P57:P64)&lt;=3,COUNTA(P57:P64)=0),0,IF(SUM(P57:P64)=0,"",SUM(P57:P64)))</f>
        <v/>
      </c>
      <c r="R57" s="771"/>
      <c r="S57" s="772" t="str">
        <f t="shared" si="11"/>
        <v/>
      </c>
      <c r="T57" s="764"/>
      <c r="V57" s="790"/>
      <c r="X57" s="222" t="s">
        <v>411</v>
      </c>
      <c r="Y57" s="175">
        <f t="shared" si="3"/>
        <v>50</v>
      </c>
      <c r="Z57" s="175" t="str">
        <f>IF(AA57&lt;&gt;"//",COUNTA($AA$8:AA57)-COUNTIF($AA$8:AA57,"//"),"")</f>
        <v/>
      </c>
      <c r="AA57" s="175" t="str">
        <f t="shared" si="9"/>
        <v>//</v>
      </c>
      <c r="AB57" s="175" t="str">
        <f ca="1">_xlfn.IFNA(IF(COUNTIF('4.1(2)新規再エネ導入予定(FS調査、系統接続検討状況)'!$G:$G,OFFSET($AA$7,MATCH($Y57,$Z$8:$Z$167,0),0))=0,OFFSET($AA$7,MATCH($Y57,$Z$8:$Z$167,0),0),""),"")</f>
        <v/>
      </c>
      <c r="AC57" s="175" t="str">
        <f ca="1">_xlfn.IFNA(IF(COUNTIF('4.1(2)新規再エネ導入予定(合意形成)'!$G:$G,OFFSET($AA$7,MATCH($Y57,$Z$8:$Z$167,0),0))=0,OFFSET($AA$7,MATCH($Y57,$Z$8:$Z$167,0),0),""),"")</f>
        <v/>
      </c>
      <c r="AD57" s="175" t="str">
        <f ca="1">_xlfn.IFNA(OFFSET('4.1(2)新規再エネ導入予定(FS調査、系統接続検討状況)'!$W$1,MATCH(G57,'4.1(2)新規再エネ導入予定(FS調査、系統接続検討状況)'!G:G,0)-1,0),"//")</f>
        <v>//</v>
      </c>
      <c r="AE57" s="262" t="str">
        <f ca="1">_xlfn.IFNA(OFFSET('4.1(2)新規再エネ導入予定(合意形成)'!$AJ$1,MATCH(G57,'4.1(2)新規再エネ導入予定(合意形成)'!G:G,0)-1,0),"//")</f>
        <v>//</v>
      </c>
      <c r="AF57" s="175">
        <f t="shared" ca="1" si="4"/>
        <v>0</v>
      </c>
      <c r="AG57" s="215" t="str" cm="1">
        <f t="array" aca="1" ref="AG57" ca="1">IFERROR(_xlfn.IFS(COUNTIF($AB$8:$AC$167,G57)&gt;0,"",AF57&lt;=1,"D",AF57=2,"C",AF57=3,"B",AF57=4,"A"),"")</f>
        <v/>
      </c>
      <c r="AH57" s="175" t="str">
        <f ca="1">_xlfn.IFNA(OFFSET('4.1(2)新規再エネ導入予定(合意形成)'!$Z$1,MATCH($G57,'4.1(2)新規再エネ導入予定(合意形成)'!$G:$G,0)-1,0),"")</f>
        <v/>
      </c>
      <c r="AI57" s="215" t="str">
        <f t="shared" si="10"/>
        <v/>
      </c>
      <c r="AJ57" s="175" t="str">
        <f t="shared" si="2"/>
        <v/>
      </c>
      <c r="AK57" s="222" t="str">
        <f>IF(V57&lt;&gt;1,"",SUM($V$8:V57))</f>
        <v/>
      </c>
      <c r="AL57" s="175">
        <f t="shared" si="5"/>
        <v>1</v>
      </c>
    </row>
    <row r="58" spans="2:38" s="11" customFormat="1" ht="20" hidden="1">
      <c r="B58" s="21"/>
      <c r="C58" s="21"/>
      <c r="D58" s="36"/>
      <c r="E58" s="821"/>
      <c r="F58" s="774"/>
      <c r="G58" s="775"/>
      <c r="H58" s="776"/>
      <c r="I58" s="776"/>
      <c r="J58" s="777"/>
      <c r="K58" s="777"/>
      <c r="L58" s="894"/>
      <c r="M58" s="895"/>
      <c r="N58" s="730"/>
      <c r="O58" s="791"/>
      <c r="P58" s="895"/>
      <c r="Q58" s="730"/>
      <c r="R58" s="791"/>
      <c r="S58" s="778" t="str">
        <f t="shared" si="11"/>
        <v/>
      </c>
      <c r="T58" s="779"/>
      <c r="U58" s="114"/>
      <c r="V58" s="780"/>
      <c r="X58" s="125" t="s">
        <v>411</v>
      </c>
      <c r="Y58" s="255">
        <f t="shared" si="3"/>
        <v>51</v>
      </c>
      <c r="Z58" s="255" t="str">
        <f>IF(AA58&lt;&gt;"//",COUNTA($AA$8:AA58)-COUNTIF($AA$8:AA58,"//"),"")</f>
        <v/>
      </c>
      <c r="AA58" s="255" t="str">
        <f t="shared" si="9"/>
        <v>//</v>
      </c>
      <c r="AB58" s="255" t="str">
        <f ca="1">_xlfn.IFNA(IF(COUNTIF('4.1(2)新規再エネ導入予定(FS調査、系統接続検討状況)'!$G:$G,OFFSET($AA$7,MATCH($Y58,$Z$8:$Z$167,0),0))=0,OFFSET($AA$7,MATCH($Y58,$Z$8:$Z$167,0),0),""),"")</f>
        <v/>
      </c>
      <c r="AC58" s="255" t="str">
        <f ca="1">_xlfn.IFNA(IF(COUNTIF('4.1(2)新規再エネ導入予定(合意形成)'!$G:$G,OFFSET($AA$7,MATCH($Y58,$Z$8:$Z$167,0),0))=0,OFFSET($AA$7,MATCH($Y58,$Z$8:$Z$167,0),0),""),"")</f>
        <v/>
      </c>
      <c r="AD58" s="255" t="str">
        <f ca="1">_xlfn.IFNA(OFFSET('4.1(2)新規再エネ導入予定(FS調査、系統接続検討状況)'!$W$1,MATCH(G58,'4.1(2)新規再エネ導入予定(FS調査、系統接続検討状況)'!G:G,0)-1,0),"//")</f>
        <v>//</v>
      </c>
      <c r="AE58" s="277" t="str">
        <f ca="1">_xlfn.IFNA(OFFSET('4.1(2)新規再エネ導入予定(合意形成)'!$AJ$1,MATCH(G58,'4.1(2)新規再エネ導入予定(合意形成)'!G:G,0)-1,0),"//")</f>
        <v>//</v>
      </c>
      <c r="AF58" s="255">
        <f t="shared" ca="1" si="4"/>
        <v>0</v>
      </c>
      <c r="AG58" s="129" t="str" cm="1">
        <f t="array" aca="1" ref="AG58" ca="1">IFERROR(_xlfn.IFS(COUNTIF($AB$8:$AC$167,G58)&gt;0,"",AF58&lt;=1,"D",AF58=2,"C",AF58=3,"B",AF58=4,"A"),"")</f>
        <v/>
      </c>
      <c r="AH58" s="255" t="str">
        <f ca="1">_xlfn.IFNA(OFFSET('4.1(2)新規再エネ導入予定(合意形成)'!$Z$1,MATCH($G58,'4.1(2)新規再エネ導入予定(合意形成)'!$G:$G,0)-1,0),"")</f>
        <v/>
      </c>
      <c r="AI58" s="129" t="str">
        <f t="shared" si="10"/>
        <v/>
      </c>
      <c r="AJ58" s="255" t="str">
        <f t="shared" si="2"/>
        <v/>
      </c>
      <c r="AK58" s="125" t="str">
        <f>IF(V58&lt;&gt;1,"",SUM($V$8:V58))</f>
        <v/>
      </c>
      <c r="AL58" s="255">
        <f t="shared" si="5"/>
        <v>1</v>
      </c>
    </row>
    <row r="59" spans="2:38" s="11" customFormat="1" ht="20">
      <c r="B59" s="21"/>
      <c r="C59" s="21"/>
      <c r="D59" s="36"/>
      <c r="E59" s="821"/>
      <c r="F59" s="781"/>
      <c r="G59" s="782"/>
      <c r="H59" s="783"/>
      <c r="I59" s="783"/>
      <c r="J59" s="784"/>
      <c r="K59" s="784"/>
      <c r="L59" s="896"/>
      <c r="M59" s="897"/>
      <c r="N59" s="731"/>
      <c r="O59" s="788"/>
      <c r="P59" s="897"/>
      <c r="Q59" s="731"/>
      <c r="R59" s="788"/>
      <c r="S59" s="786" t="str">
        <f t="shared" si="11"/>
        <v/>
      </c>
      <c r="T59" s="779"/>
      <c r="U59" s="114"/>
      <c r="V59" s="787" t="str">
        <f t="shared" si="8"/>
        <v/>
      </c>
      <c r="X59" s="125" t="s">
        <v>411</v>
      </c>
      <c r="Y59" s="255">
        <f t="shared" si="3"/>
        <v>52</v>
      </c>
      <c r="Z59" s="255" t="str">
        <f>IF(AA59&lt;&gt;"//",COUNTA($AA$8:AA59)-COUNTIF($AA$8:AA59,"//"),"")</f>
        <v/>
      </c>
      <c r="AA59" s="255" t="str">
        <f t="shared" si="9"/>
        <v>//</v>
      </c>
      <c r="AB59" s="255" t="str">
        <f ca="1">_xlfn.IFNA(IF(COUNTIF('4.1(2)新規再エネ導入予定(FS調査、系統接続検討状況)'!$G:$G,OFFSET($AA$7,MATCH($Y59,$Z$8:$Z$167,0),0))=0,OFFSET($AA$7,MATCH($Y59,$Z$8:$Z$167,0),0),""),"")</f>
        <v/>
      </c>
      <c r="AC59" s="255" t="str">
        <f ca="1">_xlfn.IFNA(IF(COUNTIF('4.1(2)新規再エネ導入予定(合意形成)'!$G:$G,OFFSET($AA$7,MATCH($Y59,$Z$8:$Z$167,0),0))=0,OFFSET($AA$7,MATCH($Y59,$Z$8:$Z$167,0),0),""),"")</f>
        <v/>
      </c>
      <c r="AD59" s="255" t="str">
        <f ca="1">_xlfn.IFNA(OFFSET('4.1(2)新規再エネ導入予定(FS調査、系統接続検討状況)'!$W$1,MATCH(G59,'4.1(2)新規再エネ導入予定(FS調査、系統接続検討状況)'!G:G,0)-1,0),"//")</f>
        <v>//</v>
      </c>
      <c r="AE59" s="277" t="str">
        <f ca="1">_xlfn.IFNA(OFFSET('4.1(2)新規再エネ導入予定(合意形成)'!$AJ$1,MATCH(G59,'4.1(2)新規再エネ導入予定(合意形成)'!G:G,0)-1,0),"//")</f>
        <v>//</v>
      </c>
      <c r="AF59" s="255">
        <f t="shared" ca="1" si="4"/>
        <v>0</v>
      </c>
      <c r="AG59" s="129" t="str" cm="1">
        <f t="array" aca="1" ref="AG59" ca="1">IFERROR(_xlfn.IFS(COUNTIF($AB$8:$AC$167,G59)&gt;0,"",AF59&lt;=1,"D",AF59=2,"C",AF59=3,"B",AF59=4,"A"),"")</f>
        <v/>
      </c>
      <c r="AH59" s="255" t="str">
        <f ca="1">_xlfn.IFNA(OFFSET('4.1(2)新規再エネ導入予定(合意形成)'!$Z$1,MATCH($G59,'4.1(2)新規再エネ導入予定(合意形成)'!$G:$G,0)-1,0),"")</f>
        <v/>
      </c>
      <c r="AI59" s="129" t="str">
        <f t="shared" si="10"/>
        <v/>
      </c>
      <c r="AJ59" s="255" t="str">
        <f t="shared" si="2"/>
        <v/>
      </c>
      <c r="AK59" s="125" t="str">
        <f>IF(V59&lt;&gt;1,"",SUM($V$8:V59))</f>
        <v/>
      </c>
      <c r="AL59" s="255">
        <f t="shared" si="5"/>
        <v>1</v>
      </c>
    </row>
    <row r="60" spans="2:38" s="11" customFormat="1" ht="20">
      <c r="B60" s="21"/>
      <c r="C60" s="21"/>
      <c r="D60" s="36"/>
      <c r="E60" s="821"/>
      <c r="F60" s="781"/>
      <c r="G60" s="782"/>
      <c r="H60" s="783"/>
      <c r="I60" s="783"/>
      <c r="J60" s="784"/>
      <c r="K60" s="784"/>
      <c r="L60" s="724"/>
      <c r="M60" s="727"/>
      <c r="N60" s="731"/>
      <c r="O60" s="788"/>
      <c r="P60" s="897"/>
      <c r="Q60" s="731"/>
      <c r="R60" s="788"/>
      <c r="S60" s="786" t="str">
        <f t="shared" si="11"/>
        <v/>
      </c>
      <c r="T60" s="779"/>
      <c r="U60" s="114"/>
      <c r="V60" s="787" t="str">
        <f t="shared" si="8"/>
        <v/>
      </c>
      <c r="X60" s="125" t="s">
        <v>411</v>
      </c>
      <c r="Y60" s="255">
        <f t="shared" si="3"/>
        <v>53</v>
      </c>
      <c r="Z60" s="255" t="str">
        <f>IF(AA60&lt;&gt;"//",COUNTA($AA$8:AA60)-COUNTIF($AA$8:AA60,"//"),"")</f>
        <v/>
      </c>
      <c r="AA60" s="255" t="str">
        <f t="shared" si="9"/>
        <v>//</v>
      </c>
      <c r="AB60" s="255" t="str">
        <f ca="1">_xlfn.IFNA(IF(COUNTIF('4.1(2)新規再エネ導入予定(FS調査、系統接続検討状況)'!$G:$G,OFFSET($AA$7,MATCH($Y60,$Z$8:$Z$167,0),0))=0,OFFSET($AA$7,MATCH($Y60,$Z$8:$Z$167,0),0),""),"")</f>
        <v/>
      </c>
      <c r="AC60" s="255" t="str">
        <f ca="1">_xlfn.IFNA(IF(COUNTIF('4.1(2)新規再エネ導入予定(合意形成)'!$G:$G,OFFSET($AA$7,MATCH($Y60,$Z$8:$Z$167,0),0))=0,OFFSET($AA$7,MATCH($Y60,$Z$8:$Z$167,0),0),""),"")</f>
        <v/>
      </c>
      <c r="AD60" s="255" t="str">
        <f ca="1">_xlfn.IFNA(OFFSET('4.1(2)新規再エネ導入予定(FS調査、系統接続検討状況)'!$W$1,MATCH(G60,'4.1(2)新規再エネ導入予定(FS調査、系統接続検討状況)'!G:G,0)-1,0),"//")</f>
        <v>//</v>
      </c>
      <c r="AE60" s="277" t="str">
        <f ca="1">_xlfn.IFNA(OFFSET('4.1(2)新規再エネ導入予定(合意形成)'!$AJ$1,MATCH(G60,'4.1(2)新規再エネ導入予定(合意形成)'!G:G,0)-1,0),"//")</f>
        <v>//</v>
      </c>
      <c r="AF60" s="255">
        <f t="shared" ref="AF60:AF123" ca="1" si="12">IF(COUNTBLANK($AD60:$AE60)=0,MIN($AD60:$AE60),"")</f>
        <v>0</v>
      </c>
      <c r="AG60" s="129" t="str" cm="1">
        <f t="array" aca="1" ref="AG60" ca="1">IFERROR(_xlfn.IFS(COUNTIF($AB$8:$AC$167,G60)&gt;0,"",AF60&lt;=1,"D",AF60=2,"C",AF60=3,"B",AF60=4,"A"),"")</f>
        <v/>
      </c>
      <c r="AH60" s="255" t="str">
        <f ca="1">_xlfn.IFNA(OFFSET('4.1(2)新規再エネ導入予定(合意形成)'!$Z$1,MATCH($G60,'4.1(2)新規再エネ導入予定(合意形成)'!$G:$G,0)-1,0),"")</f>
        <v/>
      </c>
      <c r="AI60" s="129" t="str">
        <f t="shared" si="10"/>
        <v/>
      </c>
      <c r="AJ60" s="255" t="str">
        <f t="shared" si="2"/>
        <v/>
      </c>
      <c r="AK60" s="125" t="str">
        <f>IF(V60&lt;&gt;1,"",SUM($V$8:V60))</f>
        <v/>
      </c>
      <c r="AL60" s="255">
        <f t="shared" si="5"/>
        <v>1</v>
      </c>
    </row>
    <row r="61" spans="2:38" s="11" customFormat="1" ht="20">
      <c r="B61" s="21"/>
      <c r="C61" s="21"/>
      <c r="D61" s="36"/>
      <c r="E61" s="821"/>
      <c r="F61" s="781"/>
      <c r="G61" s="782"/>
      <c r="H61" s="783"/>
      <c r="I61" s="783"/>
      <c r="J61" s="784"/>
      <c r="K61" s="784"/>
      <c r="L61" s="724"/>
      <c r="M61" s="727"/>
      <c r="N61" s="731"/>
      <c r="O61" s="788"/>
      <c r="P61" s="897"/>
      <c r="Q61" s="731"/>
      <c r="R61" s="788"/>
      <c r="S61" s="786" t="str">
        <f t="shared" si="11"/>
        <v/>
      </c>
      <c r="T61" s="779"/>
      <c r="U61" s="114"/>
      <c r="V61" s="787" t="str">
        <f t="shared" si="8"/>
        <v/>
      </c>
      <c r="X61" s="125" t="s">
        <v>411</v>
      </c>
      <c r="Y61" s="255">
        <f t="shared" si="3"/>
        <v>54</v>
      </c>
      <c r="Z61" s="255" t="str">
        <f>IF(AA61&lt;&gt;"//",COUNTA($AA$8:AA61)-COUNTIF($AA$8:AA61,"//"),"")</f>
        <v/>
      </c>
      <c r="AA61" s="255" t="str">
        <f t="shared" si="9"/>
        <v>//</v>
      </c>
      <c r="AB61" s="255" t="str">
        <f ca="1">_xlfn.IFNA(IF(COUNTIF('4.1(2)新規再エネ導入予定(FS調査、系統接続検討状況)'!$G:$G,OFFSET($AA$7,MATCH($Y61,$Z$8:$Z$167,0),0))=0,OFFSET($AA$7,MATCH($Y61,$Z$8:$Z$167,0),0),""),"")</f>
        <v/>
      </c>
      <c r="AC61" s="255" t="str">
        <f ca="1">_xlfn.IFNA(IF(COUNTIF('4.1(2)新規再エネ導入予定(合意形成)'!$G:$G,OFFSET($AA$7,MATCH($Y61,$Z$8:$Z$167,0),0))=0,OFFSET($AA$7,MATCH($Y61,$Z$8:$Z$167,0),0),""),"")</f>
        <v/>
      </c>
      <c r="AD61" s="255" t="str">
        <f ca="1">_xlfn.IFNA(OFFSET('4.1(2)新規再エネ導入予定(FS調査、系統接続検討状況)'!$W$1,MATCH(G61,'4.1(2)新規再エネ導入予定(FS調査、系統接続検討状況)'!G:G,0)-1,0),"//")</f>
        <v>//</v>
      </c>
      <c r="AE61" s="277" t="str">
        <f ca="1">_xlfn.IFNA(OFFSET('4.1(2)新規再エネ導入予定(合意形成)'!$AJ$1,MATCH(G61,'4.1(2)新規再エネ導入予定(合意形成)'!G:G,0)-1,0),"//")</f>
        <v>//</v>
      </c>
      <c r="AF61" s="255">
        <f t="shared" ca="1" si="12"/>
        <v>0</v>
      </c>
      <c r="AG61" s="129" t="str" cm="1">
        <f t="array" aca="1" ref="AG61" ca="1">IFERROR(_xlfn.IFS(COUNTIF($AB$8:$AC$167,G61)&gt;0,"",AF61&lt;=1,"D",AF61=2,"C",AF61=3,"B",AF61=4,"A"),"")</f>
        <v/>
      </c>
      <c r="AH61" s="255" t="str">
        <f ca="1">_xlfn.IFNA(OFFSET('4.1(2)新規再エネ導入予定(合意形成)'!$Z$1,MATCH($G61,'4.1(2)新規再エネ導入予定(合意形成)'!$G:$G,0)-1,0),"")</f>
        <v/>
      </c>
      <c r="AI61" s="129" t="str">
        <f t="shared" si="10"/>
        <v/>
      </c>
      <c r="AJ61" s="255" t="str">
        <f t="shared" si="2"/>
        <v/>
      </c>
      <c r="AK61" s="125" t="str">
        <f>IF(V61&lt;&gt;1,"",SUM($V$8:V61))</f>
        <v/>
      </c>
      <c r="AL61" s="255">
        <f t="shared" si="5"/>
        <v>1</v>
      </c>
    </row>
    <row r="62" spans="2:38" s="11" customFormat="1" ht="20">
      <c r="B62" s="21"/>
      <c r="C62" s="21"/>
      <c r="D62" s="36"/>
      <c r="E62" s="821"/>
      <c r="F62" s="781"/>
      <c r="G62" s="782"/>
      <c r="H62" s="783"/>
      <c r="I62" s="783"/>
      <c r="J62" s="784"/>
      <c r="K62" s="784"/>
      <c r="L62" s="899"/>
      <c r="M62" s="897"/>
      <c r="N62" s="731"/>
      <c r="O62" s="788"/>
      <c r="P62" s="897"/>
      <c r="Q62" s="731"/>
      <c r="R62" s="788"/>
      <c r="S62" s="786" t="str">
        <f t="shared" si="11"/>
        <v/>
      </c>
      <c r="T62" s="779"/>
      <c r="U62" s="114"/>
      <c r="V62" s="787" t="str">
        <f t="shared" si="8"/>
        <v/>
      </c>
      <c r="X62" s="125" t="s">
        <v>411</v>
      </c>
      <c r="Y62" s="255">
        <f t="shared" si="3"/>
        <v>55</v>
      </c>
      <c r="Z62" s="255" t="str">
        <f>IF(AA62&lt;&gt;"//",COUNTA($AA$8:AA62)-COUNTIF($AA$8:AA62,"//"),"")</f>
        <v/>
      </c>
      <c r="AA62" s="255" t="str">
        <f t="shared" si="9"/>
        <v>//</v>
      </c>
      <c r="AB62" s="255" t="str">
        <f ca="1">_xlfn.IFNA(IF(COUNTIF('4.1(2)新規再エネ導入予定(FS調査、系統接続検討状況)'!$G:$G,OFFSET($AA$7,MATCH($Y62,$Z$8:$Z$167,0),0))=0,OFFSET($AA$7,MATCH($Y62,$Z$8:$Z$167,0),0),""),"")</f>
        <v/>
      </c>
      <c r="AC62" s="255" t="str">
        <f ca="1">_xlfn.IFNA(IF(COUNTIF('4.1(2)新規再エネ導入予定(合意形成)'!$G:$G,OFFSET($AA$7,MATCH($Y62,$Z$8:$Z$167,0),0))=0,OFFSET($AA$7,MATCH($Y62,$Z$8:$Z$167,0),0),""),"")</f>
        <v/>
      </c>
      <c r="AD62" s="255" t="str">
        <f ca="1">_xlfn.IFNA(OFFSET('4.1(2)新規再エネ導入予定(FS調査、系統接続検討状況)'!$W$1,MATCH(G62,'4.1(2)新規再エネ導入予定(FS調査、系統接続検討状況)'!G:G,0)-1,0),"//")</f>
        <v>//</v>
      </c>
      <c r="AE62" s="277" t="str">
        <f ca="1">_xlfn.IFNA(OFFSET('4.1(2)新規再エネ導入予定(合意形成)'!$AJ$1,MATCH(G62,'4.1(2)新規再エネ導入予定(合意形成)'!G:G,0)-1,0),"//")</f>
        <v>//</v>
      </c>
      <c r="AF62" s="255">
        <f t="shared" ca="1" si="12"/>
        <v>0</v>
      </c>
      <c r="AG62" s="129" t="str" cm="1">
        <f t="array" aca="1" ref="AG62" ca="1">IFERROR(_xlfn.IFS(COUNTIF($AB$8:$AC$167,G62)&gt;0,"",AF62&lt;=1,"D",AF62=2,"C",AF62=3,"B",AF62=4,"A"),"")</f>
        <v/>
      </c>
      <c r="AH62" s="255" t="str">
        <f ca="1">_xlfn.IFNA(OFFSET('4.1(2)新規再エネ導入予定(合意形成)'!$Z$1,MATCH($G62,'4.1(2)新規再エネ導入予定(合意形成)'!$G:$G,0)-1,0),"")</f>
        <v/>
      </c>
      <c r="AI62" s="129" t="str">
        <f t="shared" si="10"/>
        <v/>
      </c>
      <c r="AJ62" s="255" t="str">
        <f t="shared" si="2"/>
        <v/>
      </c>
      <c r="AK62" s="125" t="str">
        <f>IF(V62&lt;&gt;1,"",SUM($V$8:V62))</f>
        <v/>
      </c>
      <c r="AL62" s="255">
        <f t="shared" si="5"/>
        <v>1</v>
      </c>
    </row>
    <row r="63" spans="2:38" s="11" customFormat="1" ht="20">
      <c r="B63" s="21"/>
      <c r="C63" s="21"/>
      <c r="D63" s="36"/>
      <c r="E63" s="821"/>
      <c r="F63" s="781"/>
      <c r="G63" s="782"/>
      <c r="H63" s="783"/>
      <c r="I63" s="783"/>
      <c r="J63" s="784"/>
      <c r="K63" s="784"/>
      <c r="L63" s="724"/>
      <c r="M63" s="727"/>
      <c r="N63" s="731"/>
      <c r="O63" s="788"/>
      <c r="P63" s="897"/>
      <c r="Q63" s="731"/>
      <c r="R63" s="788"/>
      <c r="S63" s="786" t="str">
        <f t="shared" si="11"/>
        <v/>
      </c>
      <c r="T63" s="779"/>
      <c r="U63" s="114"/>
      <c r="V63" s="787" t="str">
        <f t="shared" si="8"/>
        <v/>
      </c>
      <c r="X63" s="125" t="s">
        <v>411</v>
      </c>
      <c r="Y63" s="255">
        <f t="shared" si="3"/>
        <v>56</v>
      </c>
      <c r="Z63" s="255" t="str">
        <f>IF(AA63&lt;&gt;"//",COUNTA($AA$8:AA63)-COUNTIF($AA$8:AA63,"//"),"")</f>
        <v/>
      </c>
      <c r="AA63" s="255" t="str">
        <f t="shared" si="9"/>
        <v>//</v>
      </c>
      <c r="AB63" s="255" t="str">
        <f ca="1">_xlfn.IFNA(IF(COUNTIF('4.1(2)新規再エネ導入予定(FS調査、系統接続検討状況)'!$G:$G,OFFSET($AA$7,MATCH($Y63,$Z$8:$Z$167,0),0))=0,OFFSET($AA$7,MATCH($Y63,$Z$8:$Z$167,0),0),""),"")</f>
        <v/>
      </c>
      <c r="AC63" s="255" t="str">
        <f ca="1">_xlfn.IFNA(IF(COUNTIF('4.1(2)新規再エネ導入予定(合意形成)'!$G:$G,OFFSET($AA$7,MATCH($Y63,$Z$8:$Z$167,0),0))=0,OFFSET($AA$7,MATCH($Y63,$Z$8:$Z$167,0),0),""),"")</f>
        <v/>
      </c>
      <c r="AD63" s="255" t="str">
        <f ca="1">_xlfn.IFNA(OFFSET('4.1(2)新規再エネ導入予定(FS調査、系統接続検討状況)'!$W$1,MATCH(G63,'4.1(2)新規再エネ導入予定(FS調査、系統接続検討状況)'!G:G,0)-1,0),"//")</f>
        <v>//</v>
      </c>
      <c r="AE63" s="277" t="str">
        <f ca="1">_xlfn.IFNA(OFFSET('4.1(2)新規再エネ導入予定(合意形成)'!$AJ$1,MATCH(G63,'4.1(2)新規再エネ導入予定(合意形成)'!G:G,0)-1,0),"//")</f>
        <v>//</v>
      </c>
      <c r="AF63" s="255">
        <f t="shared" ca="1" si="12"/>
        <v>0</v>
      </c>
      <c r="AG63" s="129" t="str" cm="1">
        <f t="array" aca="1" ref="AG63" ca="1">IFERROR(_xlfn.IFS(COUNTIF($AB$8:$AC$167,G63)&gt;0,"",AF63&lt;=1,"D",AF63=2,"C",AF63=3,"B",AF63=4,"A"),"")</f>
        <v/>
      </c>
      <c r="AH63" s="255" t="str">
        <f ca="1">_xlfn.IFNA(OFFSET('4.1(2)新規再エネ導入予定(合意形成)'!$Z$1,MATCH($G63,'4.1(2)新規再エネ導入予定(合意形成)'!$G:$G,0)-1,0),"")</f>
        <v/>
      </c>
      <c r="AI63" s="129" t="str">
        <f t="shared" si="10"/>
        <v/>
      </c>
      <c r="AJ63" s="255" t="str">
        <f t="shared" si="2"/>
        <v/>
      </c>
      <c r="AK63" s="125" t="str">
        <f>IF(V63&lt;&gt;1,"",SUM($V$8:V63))</f>
        <v/>
      </c>
      <c r="AL63" s="255">
        <f t="shared" si="5"/>
        <v>1</v>
      </c>
    </row>
    <row r="64" spans="2:38" ht="18" customHeight="1">
      <c r="D64" s="188"/>
      <c r="E64" s="822" t="s">
        <v>22</v>
      </c>
      <c r="F64" s="789"/>
      <c r="G64" s="769"/>
      <c r="H64" s="770"/>
      <c r="I64" s="770"/>
      <c r="J64" s="770"/>
      <c r="K64" s="770"/>
      <c r="L64" s="723"/>
      <c r="M64" s="726"/>
      <c r="N64" s="892" t="str">
        <f>IF(AND(COUNTBLANK(M64:M71)&lt;=3,COUNTA(M64:M71)=0),0,IF(SUM(M64:M71)=0,"",SUM(M64:M71)))</f>
        <v/>
      </c>
      <c r="O64" s="898"/>
      <c r="P64" s="729"/>
      <c r="Q64" s="892" t="str">
        <f>IF(AND(COUNTBLANK(P64:P71)&lt;=3,COUNTA(P64:P71)=0),0,IF(SUM(P64:P71)=0,"",SUM(P64:P71)))</f>
        <v/>
      </c>
      <c r="R64" s="771"/>
      <c r="S64" s="772" t="str">
        <f t="shared" si="11"/>
        <v/>
      </c>
      <c r="T64" s="764"/>
      <c r="V64" s="790"/>
      <c r="X64" s="222" t="s">
        <v>411</v>
      </c>
      <c r="Y64" s="175">
        <f t="shared" si="3"/>
        <v>57</v>
      </c>
      <c r="Z64" s="175" t="str">
        <f>IF(AA64&lt;&gt;"//",COUNTA($AA$8:AA64)-COUNTIF($AA$8:AA64,"//"),"")</f>
        <v/>
      </c>
      <c r="AA64" s="175" t="str">
        <f t="shared" si="9"/>
        <v>//</v>
      </c>
      <c r="AB64" s="175" t="str">
        <f ca="1">_xlfn.IFNA(IF(COUNTIF('4.1(2)新規再エネ導入予定(FS調査、系統接続検討状況)'!$G:$G,OFFSET($AA$7,MATCH($Y64,$Z$8:$Z$167,0),0))=0,OFFSET($AA$7,MATCH($Y64,$Z$8:$Z$167,0),0),""),"")</f>
        <v/>
      </c>
      <c r="AC64" s="175" t="str">
        <f ca="1">_xlfn.IFNA(IF(COUNTIF('4.1(2)新規再エネ導入予定(合意形成)'!$G:$G,OFFSET($AA$7,MATCH($Y64,$Z$8:$Z$167,0),0))=0,OFFSET($AA$7,MATCH($Y64,$Z$8:$Z$167,0),0),""),"")</f>
        <v/>
      </c>
      <c r="AD64" s="175" t="str">
        <f ca="1">_xlfn.IFNA(OFFSET('4.1(2)新規再エネ導入予定(FS調査、系統接続検討状況)'!$W$1,MATCH(G64,'4.1(2)新規再エネ導入予定(FS調査、系統接続検討状況)'!G:G,0)-1,0),"//")</f>
        <v>//</v>
      </c>
      <c r="AE64" s="262" t="str">
        <f ca="1">_xlfn.IFNA(OFFSET('4.1(2)新規再エネ導入予定(合意形成)'!$AJ$1,MATCH(G64,'4.1(2)新規再エネ導入予定(合意形成)'!G:G,0)-1,0),"//")</f>
        <v>//</v>
      </c>
      <c r="AF64" s="175">
        <f t="shared" ca="1" si="12"/>
        <v>0</v>
      </c>
      <c r="AG64" s="215" t="str" cm="1">
        <f t="array" aca="1" ref="AG64" ca="1">IFERROR(_xlfn.IFS(COUNTIF($AB$8:$AC$167,G64)&gt;0,"",AF64&lt;=1,"D",AF64=2,"C",AF64=3,"B",AF64=4,"A"),"")</f>
        <v/>
      </c>
      <c r="AH64" s="175" t="str">
        <f ca="1">_xlfn.IFNA(OFFSET('4.1(2)新規再エネ導入予定(合意形成)'!$Z$1,MATCH($G64,'4.1(2)新規再エネ導入予定(合意形成)'!$G:$G,0)-1,0),"")</f>
        <v/>
      </c>
      <c r="AI64" s="215" t="str">
        <f t="shared" si="10"/>
        <v/>
      </c>
      <c r="AJ64" s="175" t="str">
        <f t="shared" si="2"/>
        <v/>
      </c>
      <c r="AK64" s="222" t="str">
        <f>IF(V64&lt;&gt;1,"",SUM($V$8:V64))</f>
        <v/>
      </c>
      <c r="AL64" s="175">
        <f t="shared" si="5"/>
        <v>1</v>
      </c>
    </row>
    <row r="65" spans="2:38" s="11" customFormat="1" ht="20" hidden="1">
      <c r="B65" s="21"/>
      <c r="C65" s="21"/>
      <c r="D65" s="36"/>
      <c r="E65" s="821"/>
      <c r="F65" s="774"/>
      <c r="G65" s="775"/>
      <c r="H65" s="776"/>
      <c r="I65" s="776"/>
      <c r="J65" s="777"/>
      <c r="K65" s="777"/>
      <c r="L65" s="894"/>
      <c r="M65" s="895"/>
      <c r="N65" s="730"/>
      <c r="O65" s="791"/>
      <c r="P65" s="895"/>
      <c r="Q65" s="730"/>
      <c r="R65" s="791"/>
      <c r="S65" s="778" t="str">
        <f t="shared" si="11"/>
        <v/>
      </c>
      <c r="T65" s="779"/>
      <c r="U65" s="114"/>
      <c r="V65" s="780"/>
      <c r="X65" s="125" t="s">
        <v>411</v>
      </c>
      <c r="Y65" s="255">
        <f t="shared" si="3"/>
        <v>58</v>
      </c>
      <c r="Z65" s="255" t="str">
        <f>IF(AA65&lt;&gt;"//",COUNTA($AA$8:AA65)-COUNTIF($AA$8:AA65,"//"),"")</f>
        <v/>
      </c>
      <c r="AA65" s="255" t="str">
        <f t="shared" si="9"/>
        <v>//</v>
      </c>
      <c r="AB65" s="255" t="str">
        <f ca="1">_xlfn.IFNA(IF(COUNTIF('4.1(2)新規再エネ導入予定(FS調査、系統接続検討状況)'!$G:$G,OFFSET($AA$7,MATCH($Y65,$Z$8:$Z$167,0),0))=0,OFFSET($AA$7,MATCH($Y65,$Z$8:$Z$167,0),0),""),"")</f>
        <v/>
      </c>
      <c r="AC65" s="255" t="str">
        <f ca="1">_xlfn.IFNA(IF(COUNTIF('4.1(2)新規再エネ導入予定(合意形成)'!$G:$G,OFFSET($AA$7,MATCH($Y65,$Z$8:$Z$167,0),0))=0,OFFSET($AA$7,MATCH($Y65,$Z$8:$Z$167,0),0),""),"")</f>
        <v/>
      </c>
      <c r="AD65" s="255" t="str">
        <f ca="1">_xlfn.IFNA(OFFSET('4.1(2)新規再エネ導入予定(FS調査、系統接続検討状況)'!$W$1,MATCH(G65,'4.1(2)新規再エネ導入予定(FS調査、系統接続検討状況)'!G:G,0)-1,0),"//")</f>
        <v>//</v>
      </c>
      <c r="AE65" s="277" t="str">
        <f ca="1">_xlfn.IFNA(OFFSET('4.1(2)新規再エネ導入予定(合意形成)'!$AJ$1,MATCH(G65,'4.1(2)新規再エネ導入予定(合意形成)'!G:G,0)-1,0),"//")</f>
        <v>//</v>
      </c>
      <c r="AF65" s="255">
        <f t="shared" ca="1" si="12"/>
        <v>0</v>
      </c>
      <c r="AG65" s="129" t="str" cm="1">
        <f t="array" aca="1" ref="AG65" ca="1">IFERROR(_xlfn.IFS(COUNTIF($AB$8:$AC$167,G65)&gt;0,"",AF65&lt;=1,"D",AF65=2,"C",AF65=3,"B",AF65=4,"A"),"")</f>
        <v/>
      </c>
      <c r="AH65" s="255" t="str">
        <f ca="1">_xlfn.IFNA(OFFSET('4.1(2)新規再エネ導入予定(合意形成)'!$Z$1,MATCH($G65,'4.1(2)新規再エネ導入予定(合意形成)'!$G:$G,0)-1,0),"")</f>
        <v/>
      </c>
      <c r="AI65" s="129" t="str">
        <f t="shared" si="10"/>
        <v/>
      </c>
      <c r="AJ65" s="255" t="str">
        <f t="shared" si="2"/>
        <v/>
      </c>
      <c r="AK65" s="125" t="str">
        <f>IF(V65&lt;&gt;1,"",SUM($V$8:V65))</f>
        <v/>
      </c>
      <c r="AL65" s="255">
        <f t="shared" si="5"/>
        <v>1</v>
      </c>
    </row>
    <row r="66" spans="2:38" s="11" customFormat="1" ht="20">
      <c r="B66" s="21"/>
      <c r="C66" s="21"/>
      <c r="D66" s="36"/>
      <c r="E66" s="821"/>
      <c r="F66" s="781"/>
      <c r="G66" s="782"/>
      <c r="H66" s="783"/>
      <c r="I66" s="783"/>
      <c r="J66" s="784"/>
      <c r="K66" s="784"/>
      <c r="L66" s="896"/>
      <c r="M66" s="897"/>
      <c r="N66" s="731"/>
      <c r="O66" s="788"/>
      <c r="P66" s="897"/>
      <c r="Q66" s="731"/>
      <c r="R66" s="788"/>
      <c r="S66" s="786" t="str">
        <f t="shared" si="11"/>
        <v/>
      </c>
      <c r="T66" s="779"/>
      <c r="U66" s="114"/>
      <c r="V66" s="787" t="str">
        <f t="shared" si="8"/>
        <v/>
      </c>
      <c r="X66" s="125" t="s">
        <v>411</v>
      </c>
      <c r="Y66" s="255">
        <f t="shared" si="3"/>
        <v>59</v>
      </c>
      <c r="Z66" s="255" t="str">
        <f>IF(AA66&lt;&gt;"//",COUNTA($AA$8:AA66)-COUNTIF($AA$8:AA66,"//"),"")</f>
        <v/>
      </c>
      <c r="AA66" s="255" t="str">
        <f t="shared" si="9"/>
        <v>//</v>
      </c>
      <c r="AB66" s="255" t="str">
        <f ca="1">_xlfn.IFNA(IF(COUNTIF('4.1(2)新規再エネ導入予定(FS調査、系統接続検討状況)'!$G:$G,OFFSET($AA$7,MATCH($Y66,$Z$8:$Z$167,0),0))=0,OFFSET($AA$7,MATCH($Y66,$Z$8:$Z$167,0),0),""),"")</f>
        <v/>
      </c>
      <c r="AC66" s="255" t="str">
        <f ca="1">_xlfn.IFNA(IF(COUNTIF('4.1(2)新規再エネ導入予定(合意形成)'!$G:$G,OFFSET($AA$7,MATCH($Y66,$Z$8:$Z$167,0),0))=0,OFFSET($AA$7,MATCH($Y66,$Z$8:$Z$167,0),0),""),"")</f>
        <v/>
      </c>
      <c r="AD66" s="255" t="str">
        <f ca="1">_xlfn.IFNA(OFFSET('4.1(2)新規再エネ導入予定(FS調査、系統接続検討状況)'!$W$1,MATCH(G66,'4.1(2)新規再エネ導入予定(FS調査、系統接続検討状況)'!G:G,0)-1,0),"//")</f>
        <v>//</v>
      </c>
      <c r="AE66" s="277" t="str">
        <f ca="1">_xlfn.IFNA(OFFSET('4.1(2)新規再エネ導入予定(合意形成)'!$AJ$1,MATCH(G66,'4.1(2)新規再エネ導入予定(合意形成)'!G:G,0)-1,0),"//")</f>
        <v>//</v>
      </c>
      <c r="AF66" s="255">
        <f t="shared" ca="1" si="12"/>
        <v>0</v>
      </c>
      <c r="AG66" s="129" t="str" cm="1">
        <f t="array" aca="1" ref="AG66" ca="1">IFERROR(_xlfn.IFS(COUNTIF($AB$8:$AC$167,G66)&gt;0,"",AF66&lt;=1,"D",AF66=2,"C",AF66=3,"B",AF66=4,"A"),"")</f>
        <v/>
      </c>
      <c r="AH66" s="255" t="str">
        <f ca="1">_xlfn.IFNA(OFFSET('4.1(2)新規再エネ導入予定(合意形成)'!$Z$1,MATCH($G66,'4.1(2)新規再エネ導入予定(合意形成)'!$G:$G,0)-1,0),"")</f>
        <v/>
      </c>
      <c r="AI66" s="129" t="str">
        <f t="shared" si="10"/>
        <v/>
      </c>
      <c r="AJ66" s="255" t="str">
        <f t="shared" si="2"/>
        <v/>
      </c>
      <c r="AK66" s="125" t="str">
        <f>IF(V66&lt;&gt;1,"",SUM($V$8:V66))</f>
        <v/>
      </c>
      <c r="AL66" s="255">
        <f t="shared" si="5"/>
        <v>1</v>
      </c>
    </row>
    <row r="67" spans="2:38" s="11" customFormat="1" ht="20">
      <c r="B67" s="21"/>
      <c r="C67" s="21"/>
      <c r="D67" s="36"/>
      <c r="E67" s="821"/>
      <c r="F67" s="781"/>
      <c r="G67" s="782"/>
      <c r="H67" s="783"/>
      <c r="I67" s="783"/>
      <c r="J67" s="784"/>
      <c r="K67" s="784"/>
      <c r="L67" s="724"/>
      <c r="M67" s="727"/>
      <c r="N67" s="731"/>
      <c r="O67" s="788"/>
      <c r="P67" s="897"/>
      <c r="Q67" s="731"/>
      <c r="R67" s="788"/>
      <c r="S67" s="786" t="str">
        <f t="shared" si="11"/>
        <v/>
      </c>
      <c r="T67" s="779"/>
      <c r="U67" s="114"/>
      <c r="V67" s="787" t="str">
        <f t="shared" si="8"/>
        <v/>
      </c>
      <c r="X67" s="125" t="s">
        <v>411</v>
      </c>
      <c r="Y67" s="255">
        <f t="shared" si="3"/>
        <v>60</v>
      </c>
      <c r="Z67" s="255" t="str">
        <f>IF(AA67&lt;&gt;"//",COUNTA($AA$8:AA67)-COUNTIF($AA$8:AA67,"//"),"")</f>
        <v/>
      </c>
      <c r="AA67" s="255" t="str">
        <f t="shared" si="9"/>
        <v>//</v>
      </c>
      <c r="AB67" s="255" t="str">
        <f ca="1">_xlfn.IFNA(IF(COUNTIF('4.1(2)新規再エネ導入予定(FS調査、系統接続検討状況)'!$G:$G,OFFSET($AA$7,MATCH($Y67,$Z$8:$Z$167,0),0))=0,OFFSET($AA$7,MATCH($Y67,$Z$8:$Z$167,0),0),""),"")</f>
        <v/>
      </c>
      <c r="AC67" s="255" t="str">
        <f ca="1">_xlfn.IFNA(IF(COUNTIF('4.1(2)新規再エネ導入予定(合意形成)'!$G:$G,OFFSET($AA$7,MATCH($Y67,$Z$8:$Z$167,0),0))=0,OFFSET($AA$7,MATCH($Y67,$Z$8:$Z$167,0),0),""),"")</f>
        <v/>
      </c>
      <c r="AD67" s="255" t="str">
        <f ca="1">_xlfn.IFNA(OFFSET('4.1(2)新規再エネ導入予定(FS調査、系統接続検討状況)'!$W$1,MATCH(G67,'4.1(2)新規再エネ導入予定(FS調査、系統接続検討状況)'!G:G,0)-1,0),"//")</f>
        <v>//</v>
      </c>
      <c r="AE67" s="277" t="str">
        <f ca="1">_xlfn.IFNA(OFFSET('4.1(2)新規再エネ導入予定(合意形成)'!$AJ$1,MATCH(G67,'4.1(2)新規再エネ導入予定(合意形成)'!G:G,0)-1,0),"//")</f>
        <v>//</v>
      </c>
      <c r="AF67" s="255">
        <f t="shared" ca="1" si="12"/>
        <v>0</v>
      </c>
      <c r="AG67" s="129" t="str" cm="1">
        <f t="array" aca="1" ref="AG67" ca="1">IFERROR(_xlfn.IFS(COUNTIF($AB$8:$AC$167,G67)&gt;0,"",AF67&lt;=1,"D",AF67=2,"C",AF67=3,"B",AF67=4,"A"),"")</f>
        <v/>
      </c>
      <c r="AH67" s="255" t="str">
        <f ca="1">_xlfn.IFNA(OFFSET('4.1(2)新規再エネ導入予定(合意形成)'!$Z$1,MATCH($G67,'4.1(2)新規再エネ導入予定(合意形成)'!$G:$G,0)-1,0),"")</f>
        <v/>
      </c>
      <c r="AI67" s="129" t="str">
        <f t="shared" si="10"/>
        <v/>
      </c>
      <c r="AJ67" s="255" t="str">
        <f t="shared" si="2"/>
        <v/>
      </c>
      <c r="AK67" s="125" t="str">
        <f>IF(V67&lt;&gt;1,"",SUM($V$8:V67))</f>
        <v/>
      </c>
      <c r="AL67" s="255">
        <f t="shared" si="5"/>
        <v>1</v>
      </c>
    </row>
    <row r="68" spans="2:38" s="11" customFormat="1" ht="20">
      <c r="B68" s="21"/>
      <c r="C68" s="21"/>
      <c r="D68" s="36"/>
      <c r="E68" s="821"/>
      <c r="F68" s="781"/>
      <c r="G68" s="782"/>
      <c r="H68" s="783"/>
      <c r="I68" s="783"/>
      <c r="J68" s="784"/>
      <c r="K68" s="784"/>
      <c r="L68" s="724"/>
      <c r="M68" s="727"/>
      <c r="N68" s="731"/>
      <c r="O68" s="788"/>
      <c r="P68" s="897"/>
      <c r="Q68" s="731"/>
      <c r="R68" s="788"/>
      <c r="S68" s="786" t="str">
        <f t="shared" si="11"/>
        <v/>
      </c>
      <c r="T68" s="779"/>
      <c r="U68" s="114"/>
      <c r="V68" s="787" t="str">
        <f t="shared" si="8"/>
        <v/>
      </c>
      <c r="X68" s="125" t="s">
        <v>411</v>
      </c>
      <c r="Y68" s="255">
        <f t="shared" si="3"/>
        <v>61</v>
      </c>
      <c r="Z68" s="255" t="str">
        <f>IF(AA68&lt;&gt;"//",COUNTA($AA$8:AA68)-COUNTIF($AA$8:AA68,"//"),"")</f>
        <v/>
      </c>
      <c r="AA68" s="255" t="str">
        <f t="shared" si="9"/>
        <v>//</v>
      </c>
      <c r="AB68" s="255" t="str">
        <f ca="1">_xlfn.IFNA(IF(COUNTIF('4.1(2)新規再エネ導入予定(FS調査、系統接続検討状況)'!$G:$G,OFFSET($AA$7,MATCH($Y68,$Z$8:$Z$167,0),0))=0,OFFSET($AA$7,MATCH($Y68,$Z$8:$Z$167,0),0),""),"")</f>
        <v/>
      </c>
      <c r="AC68" s="255" t="str">
        <f ca="1">_xlfn.IFNA(IF(COUNTIF('4.1(2)新規再エネ導入予定(合意形成)'!$G:$G,OFFSET($AA$7,MATCH($Y68,$Z$8:$Z$167,0),0))=0,OFFSET($AA$7,MATCH($Y68,$Z$8:$Z$167,0),0),""),"")</f>
        <v/>
      </c>
      <c r="AD68" s="255" t="str">
        <f ca="1">_xlfn.IFNA(OFFSET('4.1(2)新規再エネ導入予定(FS調査、系統接続検討状況)'!$W$1,MATCH(G68,'4.1(2)新規再エネ導入予定(FS調査、系統接続検討状況)'!G:G,0)-1,0),"//")</f>
        <v>//</v>
      </c>
      <c r="AE68" s="277" t="str">
        <f ca="1">_xlfn.IFNA(OFFSET('4.1(2)新規再エネ導入予定(合意形成)'!$AJ$1,MATCH(G68,'4.1(2)新規再エネ導入予定(合意形成)'!G:G,0)-1,0),"//")</f>
        <v>//</v>
      </c>
      <c r="AF68" s="255">
        <f t="shared" ca="1" si="12"/>
        <v>0</v>
      </c>
      <c r="AG68" s="129" t="str" cm="1">
        <f t="array" aca="1" ref="AG68" ca="1">IFERROR(_xlfn.IFS(COUNTIF($AB$8:$AC$167,G68)&gt;0,"",AF68&lt;=1,"D",AF68=2,"C",AF68=3,"B",AF68=4,"A"),"")</f>
        <v/>
      </c>
      <c r="AH68" s="255" t="str">
        <f ca="1">_xlfn.IFNA(OFFSET('4.1(2)新規再エネ導入予定(合意形成)'!$Z$1,MATCH($G68,'4.1(2)新規再エネ導入予定(合意形成)'!$G:$G,0)-1,0),"")</f>
        <v/>
      </c>
      <c r="AI68" s="129" t="str">
        <f t="shared" si="10"/>
        <v/>
      </c>
      <c r="AJ68" s="255" t="str">
        <f t="shared" si="2"/>
        <v/>
      </c>
      <c r="AK68" s="125" t="str">
        <f>IF(V68&lt;&gt;1,"",SUM($V$8:V68))</f>
        <v/>
      </c>
      <c r="AL68" s="255">
        <f t="shared" si="5"/>
        <v>1</v>
      </c>
    </row>
    <row r="69" spans="2:38" s="11" customFormat="1" ht="20">
      <c r="B69" s="21"/>
      <c r="C69" s="21"/>
      <c r="D69" s="36"/>
      <c r="E69" s="821"/>
      <c r="F69" s="781"/>
      <c r="G69" s="782"/>
      <c r="H69" s="783"/>
      <c r="I69" s="783"/>
      <c r="J69" s="784"/>
      <c r="K69" s="784"/>
      <c r="L69" s="899"/>
      <c r="M69" s="897"/>
      <c r="N69" s="731"/>
      <c r="O69" s="788"/>
      <c r="P69" s="897"/>
      <c r="Q69" s="731"/>
      <c r="R69" s="788"/>
      <c r="S69" s="786" t="str">
        <f t="shared" si="11"/>
        <v/>
      </c>
      <c r="T69" s="779"/>
      <c r="U69" s="114"/>
      <c r="V69" s="787" t="str">
        <f t="shared" si="8"/>
        <v/>
      </c>
      <c r="X69" s="125" t="s">
        <v>411</v>
      </c>
      <c r="Y69" s="255">
        <f t="shared" si="3"/>
        <v>62</v>
      </c>
      <c r="Z69" s="255" t="str">
        <f>IF(AA69&lt;&gt;"//",COUNTA($AA$8:AA69)-COUNTIF($AA$8:AA69,"//"),"")</f>
        <v/>
      </c>
      <c r="AA69" s="255" t="str">
        <f t="shared" si="9"/>
        <v>//</v>
      </c>
      <c r="AB69" s="255" t="str">
        <f ca="1">_xlfn.IFNA(IF(COUNTIF('4.1(2)新規再エネ導入予定(FS調査、系統接続検討状況)'!$G:$G,OFFSET($AA$7,MATCH($Y69,$Z$8:$Z$167,0),0))=0,OFFSET($AA$7,MATCH($Y69,$Z$8:$Z$167,0),0),""),"")</f>
        <v/>
      </c>
      <c r="AC69" s="255" t="str">
        <f ca="1">_xlfn.IFNA(IF(COUNTIF('4.1(2)新規再エネ導入予定(合意形成)'!$G:$G,OFFSET($AA$7,MATCH($Y69,$Z$8:$Z$167,0),0))=0,OFFSET($AA$7,MATCH($Y69,$Z$8:$Z$167,0),0),""),"")</f>
        <v/>
      </c>
      <c r="AD69" s="255" t="str">
        <f ca="1">_xlfn.IFNA(OFFSET('4.1(2)新規再エネ導入予定(FS調査、系統接続検討状況)'!$W$1,MATCH(G69,'4.1(2)新規再エネ導入予定(FS調査、系統接続検討状況)'!G:G,0)-1,0),"//")</f>
        <v>//</v>
      </c>
      <c r="AE69" s="277" t="str">
        <f ca="1">_xlfn.IFNA(OFFSET('4.1(2)新規再エネ導入予定(合意形成)'!$AJ$1,MATCH(G69,'4.1(2)新規再エネ導入予定(合意形成)'!G:G,0)-1,0),"//")</f>
        <v>//</v>
      </c>
      <c r="AF69" s="255">
        <f t="shared" ca="1" si="12"/>
        <v>0</v>
      </c>
      <c r="AG69" s="129" t="str" cm="1">
        <f t="array" aca="1" ref="AG69" ca="1">IFERROR(_xlfn.IFS(COUNTIF($AB$8:$AC$167,G69)&gt;0,"",AF69&lt;=1,"D",AF69=2,"C",AF69=3,"B",AF69=4,"A"),"")</f>
        <v/>
      </c>
      <c r="AH69" s="255" t="str">
        <f ca="1">_xlfn.IFNA(OFFSET('4.1(2)新規再エネ導入予定(合意形成)'!$Z$1,MATCH($G69,'4.1(2)新規再エネ導入予定(合意形成)'!$G:$G,0)-1,0),"")</f>
        <v/>
      </c>
      <c r="AI69" s="129" t="str">
        <f t="shared" si="10"/>
        <v/>
      </c>
      <c r="AJ69" s="255" t="str">
        <f t="shared" si="2"/>
        <v/>
      </c>
      <c r="AK69" s="125" t="str">
        <f>IF(V69&lt;&gt;1,"",SUM($V$8:V69))</f>
        <v/>
      </c>
      <c r="AL69" s="255">
        <f t="shared" si="5"/>
        <v>1</v>
      </c>
    </row>
    <row r="70" spans="2:38" s="11" customFormat="1" ht="20">
      <c r="B70" s="21"/>
      <c r="C70" s="21"/>
      <c r="D70" s="36"/>
      <c r="E70" s="821"/>
      <c r="F70" s="781"/>
      <c r="G70" s="782"/>
      <c r="H70" s="783"/>
      <c r="I70" s="783"/>
      <c r="J70" s="784"/>
      <c r="K70" s="784"/>
      <c r="L70" s="724"/>
      <c r="M70" s="727"/>
      <c r="N70" s="731"/>
      <c r="O70" s="788"/>
      <c r="P70" s="897"/>
      <c r="Q70" s="731"/>
      <c r="R70" s="788"/>
      <c r="S70" s="786" t="str">
        <f t="shared" si="11"/>
        <v/>
      </c>
      <c r="T70" s="779"/>
      <c r="U70" s="114"/>
      <c r="V70" s="787" t="str">
        <f t="shared" ref="V70:V91" si="13">IF(H70&lt;&gt;"",1,"")</f>
        <v/>
      </c>
      <c r="X70" s="125" t="s">
        <v>411</v>
      </c>
      <c r="Y70" s="255">
        <f t="shared" si="3"/>
        <v>63</v>
      </c>
      <c r="Z70" s="255" t="str">
        <f>IF(AA70&lt;&gt;"//",COUNTA($AA$8:AA70)-COUNTIF($AA$8:AA70,"//"),"")</f>
        <v/>
      </c>
      <c r="AA70" s="255" t="str">
        <f t="shared" si="9"/>
        <v>//</v>
      </c>
      <c r="AB70" s="255" t="str">
        <f ca="1">_xlfn.IFNA(IF(COUNTIF('4.1(2)新規再エネ導入予定(FS調査、系統接続検討状況)'!$G:$G,OFFSET($AA$7,MATCH($Y70,$Z$8:$Z$167,0),0))=0,OFFSET($AA$7,MATCH($Y70,$Z$8:$Z$167,0),0),""),"")</f>
        <v/>
      </c>
      <c r="AC70" s="255" t="str">
        <f ca="1">_xlfn.IFNA(IF(COUNTIF('4.1(2)新規再エネ導入予定(合意形成)'!$G:$G,OFFSET($AA$7,MATCH($Y70,$Z$8:$Z$167,0),0))=0,OFFSET($AA$7,MATCH($Y70,$Z$8:$Z$167,0),0),""),"")</f>
        <v/>
      </c>
      <c r="AD70" s="255" t="str">
        <f ca="1">_xlfn.IFNA(OFFSET('4.1(2)新規再エネ導入予定(FS調査、系統接続検討状況)'!$W$1,MATCH(G70,'4.1(2)新規再エネ導入予定(FS調査、系統接続検討状況)'!G:G,0)-1,0),"//")</f>
        <v>//</v>
      </c>
      <c r="AE70" s="277" t="str">
        <f ca="1">_xlfn.IFNA(OFFSET('4.1(2)新規再エネ導入予定(合意形成)'!$AJ$1,MATCH(G70,'4.1(2)新規再エネ導入予定(合意形成)'!G:G,0)-1,0),"//")</f>
        <v>//</v>
      </c>
      <c r="AF70" s="255">
        <f t="shared" ca="1" si="12"/>
        <v>0</v>
      </c>
      <c r="AG70" s="129" t="str" cm="1">
        <f t="array" aca="1" ref="AG70" ca="1">IFERROR(_xlfn.IFS(COUNTIF($AB$8:$AC$167,G70)&gt;0,"",AF70&lt;=1,"D",AF70=2,"C",AF70=3,"B",AF70=4,"A"),"")</f>
        <v/>
      </c>
      <c r="AH70" s="255" t="str">
        <f ca="1">_xlfn.IFNA(OFFSET('4.1(2)新規再エネ導入予定(合意形成)'!$Z$1,MATCH($G70,'4.1(2)新規再エネ導入予定(合意形成)'!$G:$G,0)-1,0),"")</f>
        <v/>
      </c>
      <c r="AI70" s="129" t="str">
        <f t="shared" si="10"/>
        <v/>
      </c>
      <c r="AJ70" s="255" t="str">
        <f t="shared" si="2"/>
        <v/>
      </c>
      <c r="AK70" s="125" t="str">
        <f>IF(V70&lt;&gt;1,"",SUM($V$8:V70))</f>
        <v/>
      </c>
      <c r="AL70" s="255">
        <f t="shared" si="5"/>
        <v>1</v>
      </c>
    </row>
    <row r="71" spans="2:38" ht="20">
      <c r="D71" s="188"/>
      <c r="E71" s="822" t="s">
        <v>23</v>
      </c>
      <c r="F71" s="789"/>
      <c r="G71" s="769"/>
      <c r="H71" s="770"/>
      <c r="I71" s="770"/>
      <c r="J71" s="770"/>
      <c r="K71" s="770"/>
      <c r="L71" s="723"/>
      <c r="M71" s="726"/>
      <c r="N71" s="892" t="str">
        <f>IF(AND(COUNTBLANK(M71:M78)&lt;=3,COUNTA(M71:M78)=0),0,IF(SUM(M71:M78)=0,"",SUM(M71:M78)))</f>
        <v/>
      </c>
      <c r="O71" s="898"/>
      <c r="P71" s="729"/>
      <c r="Q71" s="892" t="str">
        <f>IF(AND(COUNTBLANK(P71:P78)&lt;=3,COUNTA(P71:P78)=0),0,IF(SUM(P71:P78)=0,"",SUM(P71:P78)))</f>
        <v/>
      </c>
      <c r="R71" s="771"/>
      <c r="S71" s="772" t="str">
        <f t="shared" si="11"/>
        <v/>
      </c>
      <c r="T71" s="764"/>
      <c r="V71" s="790"/>
      <c r="X71" s="222" t="s">
        <v>411</v>
      </c>
      <c r="Y71" s="175">
        <f t="shared" ref="Y71:Y134" si="14">ROW()-ROW($Y$7)</f>
        <v>64</v>
      </c>
      <c r="Z71" s="175" t="str">
        <f>IF(AA71&lt;&gt;"//",COUNTA($AA$8:AA71)-COUNTIF($AA$8:AA71,"//"),"")</f>
        <v/>
      </c>
      <c r="AA71" s="175" t="str">
        <f t="shared" si="9"/>
        <v>//</v>
      </c>
      <c r="AB71" s="175" t="str">
        <f ca="1">_xlfn.IFNA(IF(COUNTIF('4.1(2)新規再エネ導入予定(FS調査、系統接続検討状況)'!$G:$G,OFFSET($AA$7,MATCH($Y71,$Z$8:$Z$167,0),0))=0,OFFSET($AA$7,MATCH($Y71,$Z$8:$Z$167,0),0),""),"")</f>
        <v/>
      </c>
      <c r="AC71" s="175" t="str">
        <f ca="1">_xlfn.IFNA(IF(COUNTIF('4.1(2)新規再エネ導入予定(合意形成)'!$G:$G,OFFSET($AA$7,MATCH($Y71,$Z$8:$Z$167,0),0))=0,OFFSET($AA$7,MATCH($Y71,$Z$8:$Z$167,0),0),""),"")</f>
        <v/>
      </c>
      <c r="AD71" s="175" t="str">
        <f ca="1">_xlfn.IFNA(OFFSET('4.1(2)新規再エネ導入予定(FS調査、系統接続検討状況)'!$W$1,MATCH(G71,'4.1(2)新規再エネ導入予定(FS調査、系統接続検討状況)'!G:G,0)-1,0),"//")</f>
        <v>//</v>
      </c>
      <c r="AE71" s="262" t="str">
        <f ca="1">_xlfn.IFNA(OFFSET('4.1(2)新規再エネ導入予定(合意形成)'!$AJ$1,MATCH(G71,'4.1(2)新規再エネ導入予定(合意形成)'!G:G,0)-1,0),"//")</f>
        <v>//</v>
      </c>
      <c r="AF71" s="175">
        <f t="shared" ca="1" si="12"/>
        <v>0</v>
      </c>
      <c r="AG71" s="215" t="str" cm="1">
        <f t="array" aca="1" ref="AG71" ca="1">IFERROR(_xlfn.IFS(COUNTIF($AB$8:$AC$167,G71)&gt;0,"",AF71&lt;=1,"D",AF71=2,"C",AF71=3,"B",AF71=4,"A"),"")</f>
        <v/>
      </c>
      <c r="AH71" s="175" t="str">
        <f ca="1">_xlfn.IFNA(OFFSET('4.1(2)新規再エネ導入予定(合意形成)'!$Z$1,MATCH($G71,'4.1(2)新規再エネ導入予定(合意形成)'!$G:$G,0)-1,0),"")</f>
        <v/>
      </c>
      <c r="AI71" s="215" t="str">
        <f t="shared" si="10"/>
        <v/>
      </c>
      <c r="AJ71" s="175" t="str">
        <f t="shared" si="2"/>
        <v/>
      </c>
      <c r="AK71" s="222" t="str">
        <f>IF(V71&lt;&gt;1,"",SUM($V$8:V71))</f>
        <v/>
      </c>
      <c r="AL71" s="175">
        <f t="shared" si="5"/>
        <v>1</v>
      </c>
    </row>
    <row r="72" spans="2:38" s="11" customFormat="1" ht="20" hidden="1">
      <c r="B72" s="21"/>
      <c r="C72" s="21"/>
      <c r="D72" s="36"/>
      <c r="E72" s="821"/>
      <c r="F72" s="774"/>
      <c r="G72" s="775"/>
      <c r="H72" s="776"/>
      <c r="I72" s="776"/>
      <c r="J72" s="777"/>
      <c r="K72" s="777"/>
      <c r="L72" s="894"/>
      <c r="M72" s="895"/>
      <c r="N72" s="730"/>
      <c r="O72" s="791"/>
      <c r="P72" s="895"/>
      <c r="Q72" s="730"/>
      <c r="R72" s="791"/>
      <c r="S72" s="778" t="str">
        <f t="shared" si="11"/>
        <v/>
      </c>
      <c r="T72" s="779"/>
      <c r="U72" s="114"/>
      <c r="V72" s="780"/>
      <c r="X72" s="125" t="s">
        <v>411</v>
      </c>
      <c r="Y72" s="255">
        <f t="shared" si="14"/>
        <v>65</v>
      </c>
      <c r="Z72" s="255" t="str">
        <f>IF(AA72&lt;&gt;"//",COUNTA($AA$8:AA72)-COUNTIF($AA$8:AA72,"//"),"")</f>
        <v/>
      </c>
      <c r="AA72" s="255" t="str">
        <f t="shared" ref="AA72:AA103" si="15">IF(OR(G72="",G72="施設番号"),"//",G72)</f>
        <v>//</v>
      </c>
      <c r="AB72" s="255" t="str">
        <f ca="1">_xlfn.IFNA(IF(COUNTIF('4.1(2)新規再エネ導入予定(FS調査、系統接続検討状況)'!$G:$G,OFFSET($AA$7,MATCH($Y72,$Z$8:$Z$167,0),0))=0,OFFSET($AA$7,MATCH($Y72,$Z$8:$Z$167,0),0),""),"")</f>
        <v/>
      </c>
      <c r="AC72" s="255" t="str">
        <f ca="1">_xlfn.IFNA(IF(COUNTIF('4.1(2)新規再エネ導入予定(合意形成)'!$G:$G,OFFSET($AA$7,MATCH($Y72,$Z$8:$Z$167,0),0))=0,OFFSET($AA$7,MATCH($Y72,$Z$8:$Z$167,0),0),""),"")</f>
        <v/>
      </c>
      <c r="AD72" s="255" t="str">
        <f ca="1">_xlfn.IFNA(OFFSET('4.1(2)新規再エネ導入予定(FS調査、系統接続検討状況)'!$W$1,MATCH(G72,'4.1(2)新規再エネ導入予定(FS調査、系統接続検討状況)'!G:G,0)-1,0),"//")</f>
        <v>//</v>
      </c>
      <c r="AE72" s="277" t="str">
        <f ca="1">_xlfn.IFNA(OFFSET('4.1(2)新規再エネ導入予定(合意形成)'!$AJ$1,MATCH(G72,'4.1(2)新規再エネ導入予定(合意形成)'!G:G,0)-1,0),"//")</f>
        <v>//</v>
      </c>
      <c r="AF72" s="255">
        <f t="shared" ca="1" si="12"/>
        <v>0</v>
      </c>
      <c r="AG72" s="129" t="str" cm="1">
        <f t="array" aca="1" ref="AG72" ca="1">IFERROR(_xlfn.IFS(COUNTIF($AB$8:$AC$167,G72)&gt;0,"",AF72&lt;=1,"D",AF72=2,"C",AF72=3,"B",AF72=4,"A"),"")</f>
        <v/>
      </c>
      <c r="AH72" s="255" t="str">
        <f ca="1">_xlfn.IFNA(OFFSET('4.1(2)新規再エネ導入予定(合意形成)'!$Z$1,MATCH($G72,'4.1(2)新規再エネ導入予定(合意形成)'!$G:$G,0)-1,0),"")</f>
        <v/>
      </c>
      <c r="AI72" s="129" t="str">
        <f t="shared" ref="AI72:AI103" si="16">IF(G72="","",AG72)</f>
        <v/>
      </c>
      <c r="AJ72" s="255" t="str">
        <f t="shared" ref="AJ72:AJ135" si="17">IF(D72="【その他発電】","",IF(H72&lt;&gt;"",1,""))</f>
        <v/>
      </c>
      <c r="AK72" s="125" t="str">
        <f>IF(V72&lt;&gt;1,"",SUM($V$8:V72))</f>
        <v/>
      </c>
      <c r="AL72" s="255">
        <f t="shared" si="5"/>
        <v>1</v>
      </c>
    </row>
    <row r="73" spans="2:38" s="11" customFormat="1" ht="20">
      <c r="B73" s="21"/>
      <c r="C73" s="21"/>
      <c r="D73" s="36"/>
      <c r="E73" s="821"/>
      <c r="F73" s="781"/>
      <c r="G73" s="782"/>
      <c r="H73" s="783"/>
      <c r="I73" s="783"/>
      <c r="J73" s="784"/>
      <c r="K73" s="784"/>
      <c r="L73" s="896"/>
      <c r="M73" s="897"/>
      <c r="N73" s="731"/>
      <c r="O73" s="788"/>
      <c r="P73" s="897"/>
      <c r="Q73" s="731"/>
      <c r="R73" s="788"/>
      <c r="S73" s="786" t="str">
        <f t="shared" si="11"/>
        <v/>
      </c>
      <c r="T73" s="779"/>
      <c r="U73" s="114"/>
      <c r="V73" s="787" t="str">
        <f t="shared" si="13"/>
        <v/>
      </c>
      <c r="X73" s="125" t="s">
        <v>411</v>
      </c>
      <c r="Y73" s="255">
        <f t="shared" si="14"/>
        <v>66</v>
      </c>
      <c r="Z73" s="255" t="str">
        <f>IF(AA73&lt;&gt;"//",COUNTA($AA$8:AA73)-COUNTIF($AA$8:AA73,"//"),"")</f>
        <v/>
      </c>
      <c r="AA73" s="255" t="str">
        <f t="shared" si="15"/>
        <v>//</v>
      </c>
      <c r="AB73" s="255" t="str">
        <f ca="1">_xlfn.IFNA(IF(COUNTIF('4.1(2)新規再エネ導入予定(FS調査、系統接続検討状況)'!$G:$G,OFFSET($AA$7,MATCH($Y73,$Z$8:$Z$167,0),0))=0,OFFSET($AA$7,MATCH($Y73,$Z$8:$Z$167,0),0),""),"")</f>
        <v/>
      </c>
      <c r="AC73" s="255" t="str">
        <f ca="1">_xlfn.IFNA(IF(COUNTIF('4.1(2)新規再エネ導入予定(合意形成)'!$G:$G,OFFSET($AA$7,MATCH($Y73,$Z$8:$Z$167,0),0))=0,OFFSET($AA$7,MATCH($Y73,$Z$8:$Z$167,0),0),""),"")</f>
        <v/>
      </c>
      <c r="AD73" s="255" t="str">
        <f ca="1">_xlfn.IFNA(OFFSET('4.1(2)新規再エネ導入予定(FS調査、系統接続検討状況)'!$W$1,MATCH(G73,'4.1(2)新規再エネ導入予定(FS調査、系統接続検討状況)'!G:G,0)-1,0),"//")</f>
        <v>//</v>
      </c>
      <c r="AE73" s="277" t="str">
        <f ca="1">_xlfn.IFNA(OFFSET('4.1(2)新規再エネ導入予定(合意形成)'!$AJ$1,MATCH(G73,'4.1(2)新規再エネ導入予定(合意形成)'!G:G,0)-1,0),"//")</f>
        <v>//</v>
      </c>
      <c r="AF73" s="255">
        <f t="shared" ca="1" si="12"/>
        <v>0</v>
      </c>
      <c r="AG73" s="129" t="str" cm="1">
        <f t="array" aca="1" ref="AG73" ca="1">IFERROR(_xlfn.IFS(COUNTIF($AB$8:$AC$167,G73)&gt;0,"",AF73&lt;=1,"D",AF73=2,"C",AF73=3,"B",AF73=4,"A"),"")</f>
        <v/>
      </c>
      <c r="AH73" s="255" t="str">
        <f ca="1">_xlfn.IFNA(OFFSET('4.1(2)新規再エネ導入予定(合意形成)'!$Z$1,MATCH($G73,'4.1(2)新規再エネ導入予定(合意形成)'!$G:$G,0)-1,0),"")</f>
        <v/>
      </c>
      <c r="AI73" s="129" t="str">
        <f t="shared" si="16"/>
        <v/>
      </c>
      <c r="AJ73" s="255" t="str">
        <f t="shared" si="17"/>
        <v/>
      </c>
      <c r="AK73" s="125" t="str">
        <f>IF(V73&lt;&gt;1,"",SUM($V$8:V73))</f>
        <v/>
      </c>
      <c r="AL73" s="255">
        <f t="shared" ref="AL73:AL136" si="18">IF(S73="設備導入の実現可能性",1,IF(AND(S73=AI73,V73=AJ73),1,0))</f>
        <v>1</v>
      </c>
    </row>
    <row r="74" spans="2:38" s="11" customFormat="1" ht="20">
      <c r="B74" s="21"/>
      <c r="C74" s="21"/>
      <c r="D74" s="36"/>
      <c r="E74" s="821"/>
      <c r="F74" s="781"/>
      <c r="G74" s="782"/>
      <c r="H74" s="783"/>
      <c r="I74" s="783"/>
      <c r="J74" s="784"/>
      <c r="K74" s="784"/>
      <c r="L74" s="724"/>
      <c r="M74" s="727"/>
      <c r="N74" s="731"/>
      <c r="O74" s="788"/>
      <c r="P74" s="897"/>
      <c r="Q74" s="731"/>
      <c r="R74" s="788"/>
      <c r="S74" s="786" t="str">
        <f t="shared" ref="S74:S91" si="19">IF(G74="","",AG74)</f>
        <v/>
      </c>
      <c r="T74" s="779"/>
      <c r="U74" s="114"/>
      <c r="V74" s="787" t="str">
        <f t="shared" si="13"/>
        <v/>
      </c>
      <c r="X74" s="125" t="s">
        <v>411</v>
      </c>
      <c r="Y74" s="255">
        <f t="shared" si="14"/>
        <v>67</v>
      </c>
      <c r="Z74" s="255" t="str">
        <f>IF(AA74&lt;&gt;"//",COUNTA($AA$8:AA74)-COUNTIF($AA$8:AA74,"//"),"")</f>
        <v/>
      </c>
      <c r="AA74" s="255" t="str">
        <f t="shared" si="15"/>
        <v>//</v>
      </c>
      <c r="AB74" s="255" t="str">
        <f ca="1">_xlfn.IFNA(IF(COUNTIF('4.1(2)新規再エネ導入予定(FS調査、系統接続検討状況)'!$G:$G,OFFSET($AA$7,MATCH($Y74,$Z$8:$Z$167,0),0))=0,OFFSET($AA$7,MATCH($Y74,$Z$8:$Z$167,0),0),""),"")</f>
        <v/>
      </c>
      <c r="AC74" s="255" t="str">
        <f ca="1">_xlfn.IFNA(IF(COUNTIF('4.1(2)新規再エネ導入予定(合意形成)'!$G:$G,OFFSET($AA$7,MATCH($Y74,$Z$8:$Z$167,0),0))=0,OFFSET($AA$7,MATCH($Y74,$Z$8:$Z$167,0),0),""),"")</f>
        <v/>
      </c>
      <c r="AD74" s="255" t="str">
        <f ca="1">_xlfn.IFNA(OFFSET('4.1(2)新規再エネ導入予定(FS調査、系統接続検討状況)'!$W$1,MATCH(G74,'4.1(2)新規再エネ導入予定(FS調査、系統接続検討状況)'!G:G,0)-1,0),"//")</f>
        <v>//</v>
      </c>
      <c r="AE74" s="277" t="str">
        <f ca="1">_xlfn.IFNA(OFFSET('4.1(2)新規再エネ導入予定(合意形成)'!$AJ$1,MATCH(G74,'4.1(2)新規再エネ導入予定(合意形成)'!G:G,0)-1,0),"//")</f>
        <v>//</v>
      </c>
      <c r="AF74" s="255">
        <f t="shared" ca="1" si="12"/>
        <v>0</v>
      </c>
      <c r="AG74" s="129" t="str" cm="1">
        <f t="array" aca="1" ref="AG74" ca="1">IFERROR(_xlfn.IFS(COUNTIF($AB$8:$AC$167,G74)&gt;0,"",AF74&lt;=1,"D",AF74=2,"C",AF74=3,"B",AF74=4,"A"),"")</f>
        <v/>
      </c>
      <c r="AH74" s="255" t="str">
        <f ca="1">_xlfn.IFNA(OFFSET('4.1(2)新規再エネ導入予定(合意形成)'!$Z$1,MATCH($G74,'4.1(2)新規再エネ導入予定(合意形成)'!$G:$G,0)-1,0),"")</f>
        <v/>
      </c>
      <c r="AI74" s="129" t="str">
        <f t="shared" si="16"/>
        <v/>
      </c>
      <c r="AJ74" s="255" t="str">
        <f t="shared" si="17"/>
        <v/>
      </c>
      <c r="AK74" s="125" t="str">
        <f>IF(V74&lt;&gt;1,"",SUM($V$8:V74))</f>
        <v/>
      </c>
      <c r="AL74" s="255">
        <f t="shared" si="18"/>
        <v>1</v>
      </c>
    </row>
    <row r="75" spans="2:38" s="11" customFormat="1" ht="20">
      <c r="B75" s="21"/>
      <c r="C75" s="21"/>
      <c r="D75" s="36"/>
      <c r="E75" s="821"/>
      <c r="F75" s="781"/>
      <c r="G75" s="782"/>
      <c r="H75" s="783"/>
      <c r="I75" s="783"/>
      <c r="J75" s="784"/>
      <c r="K75" s="784"/>
      <c r="L75" s="724"/>
      <c r="M75" s="727"/>
      <c r="N75" s="731"/>
      <c r="O75" s="788"/>
      <c r="P75" s="897"/>
      <c r="Q75" s="731"/>
      <c r="R75" s="788"/>
      <c r="S75" s="786" t="str">
        <f t="shared" si="19"/>
        <v/>
      </c>
      <c r="T75" s="779"/>
      <c r="U75" s="114"/>
      <c r="V75" s="787" t="str">
        <f t="shared" si="13"/>
        <v/>
      </c>
      <c r="X75" s="125" t="s">
        <v>411</v>
      </c>
      <c r="Y75" s="255">
        <f t="shared" si="14"/>
        <v>68</v>
      </c>
      <c r="Z75" s="255" t="str">
        <f>IF(AA75&lt;&gt;"//",COUNTA($AA$8:AA75)-COUNTIF($AA$8:AA75,"//"),"")</f>
        <v/>
      </c>
      <c r="AA75" s="255" t="str">
        <f t="shared" si="15"/>
        <v>//</v>
      </c>
      <c r="AB75" s="255" t="str">
        <f ca="1">_xlfn.IFNA(IF(COUNTIF('4.1(2)新規再エネ導入予定(FS調査、系統接続検討状況)'!$G:$G,OFFSET($AA$7,MATCH($Y75,$Z$8:$Z$167,0),0))=0,OFFSET($AA$7,MATCH($Y75,$Z$8:$Z$167,0),0),""),"")</f>
        <v/>
      </c>
      <c r="AC75" s="255" t="str">
        <f ca="1">_xlfn.IFNA(IF(COUNTIF('4.1(2)新規再エネ導入予定(合意形成)'!$G:$G,OFFSET($AA$7,MATCH($Y75,$Z$8:$Z$167,0),0))=0,OFFSET($AA$7,MATCH($Y75,$Z$8:$Z$167,0),0),""),"")</f>
        <v/>
      </c>
      <c r="AD75" s="255" t="str">
        <f ca="1">_xlfn.IFNA(OFFSET('4.1(2)新規再エネ導入予定(FS調査、系統接続検討状況)'!$W$1,MATCH(G75,'4.1(2)新規再エネ導入予定(FS調査、系統接続検討状況)'!G:G,0)-1,0),"//")</f>
        <v>//</v>
      </c>
      <c r="AE75" s="277" t="str">
        <f ca="1">_xlfn.IFNA(OFFSET('4.1(2)新規再エネ導入予定(合意形成)'!$AJ$1,MATCH(G75,'4.1(2)新規再エネ導入予定(合意形成)'!G:G,0)-1,0),"//")</f>
        <v>//</v>
      </c>
      <c r="AF75" s="255">
        <f t="shared" ca="1" si="12"/>
        <v>0</v>
      </c>
      <c r="AG75" s="129" t="str" cm="1">
        <f t="array" aca="1" ref="AG75" ca="1">IFERROR(_xlfn.IFS(COUNTIF($AB$8:$AC$167,G75)&gt;0,"",AF75&lt;=1,"D",AF75=2,"C",AF75=3,"B",AF75=4,"A"),"")</f>
        <v/>
      </c>
      <c r="AH75" s="255" t="str">
        <f ca="1">_xlfn.IFNA(OFFSET('4.1(2)新規再エネ導入予定(合意形成)'!$Z$1,MATCH($G75,'4.1(2)新規再エネ導入予定(合意形成)'!$G:$G,0)-1,0),"")</f>
        <v/>
      </c>
      <c r="AI75" s="129" t="str">
        <f t="shared" si="16"/>
        <v/>
      </c>
      <c r="AJ75" s="255" t="str">
        <f t="shared" si="17"/>
        <v/>
      </c>
      <c r="AK75" s="125" t="str">
        <f>IF(V75&lt;&gt;1,"",SUM($V$8:V75))</f>
        <v/>
      </c>
      <c r="AL75" s="255">
        <f t="shared" si="18"/>
        <v>1</v>
      </c>
    </row>
    <row r="76" spans="2:38" s="11" customFormat="1" ht="20">
      <c r="B76" s="21"/>
      <c r="C76" s="21"/>
      <c r="D76" s="36"/>
      <c r="E76" s="821"/>
      <c r="F76" s="781"/>
      <c r="G76" s="782"/>
      <c r="H76" s="783"/>
      <c r="I76" s="783"/>
      <c r="J76" s="784"/>
      <c r="K76" s="784"/>
      <c r="L76" s="899"/>
      <c r="M76" s="897"/>
      <c r="N76" s="731"/>
      <c r="O76" s="788"/>
      <c r="P76" s="897"/>
      <c r="Q76" s="731"/>
      <c r="R76" s="788"/>
      <c r="S76" s="786" t="str">
        <f t="shared" si="19"/>
        <v/>
      </c>
      <c r="T76" s="779"/>
      <c r="U76" s="114"/>
      <c r="V76" s="787" t="str">
        <f t="shared" si="13"/>
        <v/>
      </c>
      <c r="X76" s="125" t="s">
        <v>411</v>
      </c>
      <c r="Y76" s="255">
        <f t="shared" si="14"/>
        <v>69</v>
      </c>
      <c r="Z76" s="255" t="str">
        <f>IF(AA76&lt;&gt;"//",COUNTA($AA$8:AA76)-COUNTIF($AA$8:AA76,"//"),"")</f>
        <v/>
      </c>
      <c r="AA76" s="255" t="str">
        <f t="shared" si="15"/>
        <v>//</v>
      </c>
      <c r="AB76" s="255" t="str">
        <f ca="1">_xlfn.IFNA(IF(COUNTIF('4.1(2)新規再エネ導入予定(FS調査、系統接続検討状況)'!$G:$G,OFFSET($AA$7,MATCH($Y76,$Z$8:$Z$167,0),0))=0,OFFSET($AA$7,MATCH($Y76,$Z$8:$Z$167,0),0),""),"")</f>
        <v/>
      </c>
      <c r="AC76" s="255" t="str">
        <f ca="1">_xlfn.IFNA(IF(COUNTIF('4.1(2)新規再エネ導入予定(合意形成)'!$G:$G,OFFSET($AA$7,MATCH($Y76,$Z$8:$Z$167,0),0))=0,OFFSET($AA$7,MATCH($Y76,$Z$8:$Z$167,0),0),""),"")</f>
        <v/>
      </c>
      <c r="AD76" s="255" t="str">
        <f ca="1">_xlfn.IFNA(OFFSET('4.1(2)新規再エネ導入予定(FS調査、系統接続検討状況)'!$W$1,MATCH(G76,'4.1(2)新規再エネ導入予定(FS調査、系統接続検討状況)'!G:G,0)-1,0),"//")</f>
        <v>//</v>
      </c>
      <c r="AE76" s="277" t="str">
        <f ca="1">_xlfn.IFNA(OFFSET('4.1(2)新規再エネ導入予定(合意形成)'!$AJ$1,MATCH(G76,'4.1(2)新規再エネ導入予定(合意形成)'!G:G,0)-1,0),"//")</f>
        <v>//</v>
      </c>
      <c r="AF76" s="255">
        <f t="shared" ca="1" si="12"/>
        <v>0</v>
      </c>
      <c r="AG76" s="129" t="str" cm="1">
        <f t="array" aca="1" ref="AG76" ca="1">IFERROR(_xlfn.IFS(COUNTIF($AB$8:$AC$167,G76)&gt;0,"",AF76&lt;=1,"D",AF76=2,"C",AF76=3,"B",AF76=4,"A"),"")</f>
        <v/>
      </c>
      <c r="AH76" s="255" t="str">
        <f ca="1">_xlfn.IFNA(OFFSET('4.1(2)新規再エネ導入予定(合意形成)'!$Z$1,MATCH($G76,'4.1(2)新規再エネ導入予定(合意形成)'!$G:$G,0)-1,0),"")</f>
        <v/>
      </c>
      <c r="AI76" s="129" t="str">
        <f t="shared" si="16"/>
        <v/>
      </c>
      <c r="AJ76" s="255" t="str">
        <f t="shared" si="17"/>
        <v/>
      </c>
      <c r="AK76" s="125" t="str">
        <f>IF(V76&lt;&gt;1,"",SUM($V$8:V76))</f>
        <v/>
      </c>
      <c r="AL76" s="255">
        <f t="shared" si="18"/>
        <v>1</v>
      </c>
    </row>
    <row r="77" spans="2:38" s="11" customFormat="1" ht="20">
      <c r="B77" s="21"/>
      <c r="C77" s="21"/>
      <c r="D77" s="36"/>
      <c r="E77" s="821"/>
      <c r="F77" s="781"/>
      <c r="G77" s="782"/>
      <c r="H77" s="783"/>
      <c r="I77" s="783"/>
      <c r="J77" s="784"/>
      <c r="K77" s="784"/>
      <c r="L77" s="724"/>
      <c r="M77" s="727"/>
      <c r="N77" s="731"/>
      <c r="O77" s="788"/>
      <c r="P77" s="897"/>
      <c r="Q77" s="731"/>
      <c r="R77" s="788"/>
      <c r="S77" s="786" t="str">
        <f t="shared" si="19"/>
        <v/>
      </c>
      <c r="T77" s="779"/>
      <c r="U77" s="114"/>
      <c r="V77" s="787" t="str">
        <f t="shared" si="13"/>
        <v/>
      </c>
      <c r="X77" s="125" t="s">
        <v>411</v>
      </c>
      <c r="Y77" s="255">
        <f t="shared" si="14"/>
        <v>70</v>
      </c>
      <c r="Z77" s="255" t="str">
        <f>IF(AA77&lt;&gt;"//",COUNTA($AA$8:AA77)-COUNTIF($AA$8:AA77,"//"),"")</f>
        <v/>
      </c>
      <c r="AA77" s="255" t="str">
        <f t="shared" si="15"/>
        <v>//</v>
      </c>
      <c r="AB77" s="255" t="str">
        <f ca="1">_xlfn.IFNA(IF(COUNTIF('4.1(2)新規再エネ導入予定(FS調査、系統接続検討状況)'!$G:$G,OFFSET($AA$7,MATCH($Y77,$Z$8:$Z$167,0),0))=0,OFFSET($AA$7,MATCH($Y77,$Z$8:$Z$167,0),0),""),"")</f>
        <v/>
      </c>
      <c r="AC77" s="255" t="str">
        <f ca="1">_xlfn.IFNA(IF(COUNTIF('4.1(2)新規再エネ導入予定(合意形成)'!$G:$G,OFFSET($AA$7,MATCH($Y77,$Z$8:$Z$167,0),0))=0,OFFSET($AA$7,MATCH($Y77,$Z$8:$Z$167,0),0),""),"")</f>
        <v/>
      </c>
      <c r="AD77" s="255" t="str">
        <f ca="1">_xlfn.IFNA(OFFSET('4.1(2)新規再エネ導入予定(FS調査、系統接続検討状況)'!$W$1,MATCH(G77,'4.1(2)新規再エネ導入予定(FS調査、系統接続検討状況)'!G:G,0)-1,0),"//")</f>
        <v>//</v>
      </c>
      <c r="AE77" s="277" t="str">
        <f ca="1">_xlfn.IFNA(OFFSET('4.1(2)新規再エネ導入予定(合意形成)'!$AJ$1,MATCH(G77,'4.1(2)新規再エネ導入予定(合意形成)'!G:G,0)-1,0),"//")</f>
        <v>//</v>
      </c>
      <c r="AF77" s="255">
        <f t="shared" ca="1" si="12"/>
        <v>0</v>
      </c>
      <c r="AG77" s="129" t="str" cm="1">
        <f t="array" aca="1" ref="AG77" ca="1">IFERROR(_xlfn.IFS(COUNTIF($AB$8:$AC$167,G77)&gt;0,"",AF77&lt;=1,"D",AF77=2,"C",AF77=3,"B",AF77=4,"A"),"")</f>
        <v/>
      </c>
      <c r="AH77" s="255" t="str">
        <f ca="1">_xlfn.IFNA(OFFSET('4.1(2)新規再エネ導入予定(合意形成)'!$Z$1,MATCH($G77,'4.1(2)新規再エネ導入予定(合意形成)'!$G:$G,0)-1,0),"")</f>
        <v/>
      </c>
      <c r="AI77" s="129" t="str">
        <f t="shared" si="16"/>
        <v/>
      </c>
      <c r="AJ77" s="255" t="str">
        <f t="shared" si="17"/>
        <v/>
      </c>
      <c r="AK77" s="125" t="str">
        <f>IF(V77&lt;&gt;1,"",SUM($V$8:V77))</f>
        <v/>
      </c>
      <c r="AL77" s="255">
        <f t="shared" si="18"/>
        <v>1</v>
      </c>
    </row>
    <row r="78" spans="2:38" ht="20">
      <c r="D78" s="188"/>
      <c r="E78" s="822" t="s">
        <v>24</v>
      </c>
      <c r="F78" s="789"/>
      <c r="G78" s="769"/>
      <c r="H78" s="770"/>
      <c r="I78" s="770"/>
      <c r="J78" s="770"/>
      <c r="K78" s="770"/>
      <c r="L78" s="723"/>
      <c r="M78" s="726"/>
      <c r="N78" s="892" t="str">
        <f>IF(AND(COUNTBLANK(M78:M85)&lt;=3,COUNTA(M78:M85)=0),0,IF(SUM(M78:M85)=0,"",SUM(M78:M85)))</f>
        <v/>
      </c>
      <c r="O78" s="898"/>
      <c r="P78" s="729"/>
      <c r="Q78" s="892" t="str">
        <f>IF(AND(COUNTBLANK(P78:P85)&lt;=3,COUNTA(P78:P85)=0),0,IF(SUM(P78:P85)=0,"",SUM(P78:P85)))</f>
        <v/>
      </c>
      <c r="R78" s="771"/>
      <c r="S78" s="772" t="str">
        <f t="shared" si="19"/>
        <v/>
      </c>
      <c r="T78" s="764"/>
      <c r="V78" s="790"/>
      <c r="X78" s="222" t="s">
        <v>411</v>
      </c>
      <c r="Y78" s="175">
        <f t="shared" si="14"/>
        <v>71</v>
      </c>
      <c r="Z78" s="175" t="str">
        <f>IF(AA78&lt;&gt;"//",COUNTA($AA$8:AA78)-COUNTIF($AA$8:AA78,"//"),"")</f>
        <v/>
      </c>
      <c r="AA78" s="175" t="str">
        <f t="shared" si="15"/>
        <v>//</v>
      </c>
      <c r="AB78" s="175" t="str">
        <f ca="1">_xlfn.IFNA(IF(COUNTIF('4.1(2)新規再エネ導入予定(FS調査、系統接続検討状況)'!$G:$G,OFFSET($AA$7,MATCH($Y78,$Z$8:$Z$167,0),0))=0,OFFSET($AA$7,MATCH($Y78,$Z$8:$Z$167,0),0),""),"")</f>
        <v/>
      </c>
      <c r="AC78" s="175" t="str">
        <f ca="1">_xlfn.IFNA(IF(COUNTIF('4.1(2)新規再エネ導入予定(合意形成)'!$G:$G,OFFSET($AA$7,MATCH($Y78,$Z$8:$Z$167,0),0))=0,OFFSET($AA$7,MATCH($Y78,$Z$8:$Z$167,0),0),""),"")</f>
        <v/>
      </c>
      <c r="AD78" s="175" t="str">
        <f ca="1">_xlfn.IFNA(OFFSET('4.1(2)新規再エネ導入予定(FS調査、系統接続検討状況)'!$W$1,MATCH(G78,'4.1(2)新規再エネ導入予定(FS調査、系統接続検討状況)'!G:G,0)-1,0),"//")</f>
        <v>//</v>
      </c>
      <c r="AE78" s="262" t="str">
        <f ca="1">_xlfn.IFNA(OFFSET('4.1(2)新規再エネ導入予定(合意形成)'!$AJ$1,MATCH(G78,'4.1(2)新規再エネ導入予定(合意形成)'!G:G,0)-1,0),"//")</f>
        <v>//</v>
      </c>
      <c r="AF78" s="175">
        <f t="shared" ca="1" si="12"/>
        <v>0</v>
      </c>
      <c r="AG78" s="215" t="str" cm="1">
        <f t="array" aca="1" ref="AG78" ca="1">IFERROR(_xlfn.IFS(COUNTIF($AB$8:$AC$167,G78)&gt;0,"",AF78&lt;=1,"D",AF78=2,"C",AF78=3,"B",AF78=4,"A"),"")</f>
        <v/>
      </c>
      <c r="AH78" s="175" t="str">
        <f ca="1">_xlfn.IFNA(OFFSET('4.1(2)新規再エネ導入予定(合意形成)'!$Z$1,MATCH($G78,'4.1(2)新規再エネ導入予定(合意形成)'!$G:$G,0)-1,0),"")</f>
        <v/>
      </c>
      <c r="AI78" s="215" t="str">
        <f t="shared" si="16"/>
        <v/>
      </c>
      <c r="AJ78" s="175" t="str">
        <f t="shared" si="17"/>
        <v/>
      </c>
      <c r="AK78" s="222" t="str">
        <f>IF(V78&lt;&gt;1,"",SUM($V$8:V78))</f>
        <v/>
      </c>
      <c r="AL78" s="175">
        <f t="shared" si="18"/>
        <v>1</v>
      </c>
    </row>
    <row r="79" spans="2:38" s="11" customFormat="1" ht="20" hidden="1">
      <c r="B79" s="21"/>
      <c r="C79" s="21"/>
      <c r="D79" s="36"/>
      <c r="E79" s="821"/>
      <c r="F79" s="774"/>
      <c r="G79" s="775"/>
      <c r="H79" s="776"/>
      <c r="I79" s="776"/>
      <c r="J79" s="777"/>
      <c r="K79" s="777"/>
      <c r="L79" s="894"/>
      <c r="M79" s="895"/>
      <c r="N79" s="730"/>
      <c r="O79" s="791"/>
      <c r="P79" s="895"/>
      <c r="Q79" s="730"/>
      <c r="R79" s="791"/>
      <c r="S79" s="778" t="str">
        <f t="shared" si="19"/>
        <v/>
      </c>
      <c r="T79" s="779"/>
      <c r="U79" s="114"/>
      <c r="V79" s="780"/>
      <c r="X79" s="125" t="s">
        <v>411</v>
      </c>
      <c r="Y79" s="255">
        <f t="shared" si="14"/>
        <v>72</v>
      </c>
      <c r="Z79" s="255" t="str">
        <f>IF(AA79&lt;&gt;"//",COUNTA($AA$8:AA79)-COUNTIF($AA$8:AA79,"//"),"")</f>
        <v/>
      </c>
      <c r="AA79" s="255" t="str">
        <f t="shared" si="15"/>
        <v>//</v>
      </c>
      <c r="AB79" s="255" t="str">
        <f ca="1">_xlfn.IFNA(IF(COUNTIF('4.1(2)新規再エネ導入予定(FS調査、系統接続検討状況)'!$G:$G,OFFSET($AA$7,MATCH($Y79,$Z$8:$Z$167,0),0))=0,OFFSET($AA$7,MATCH($Y79,$Z$8:$Z$167,0),0),""),"")</f>
        <v/>
      </c>
      <c r="AC79" s="255" t="str">
        <f ca="1">_xlfn.IFNA(IF(COUNTIF('4.1(2)新規再エネ導入予定(合意形成)'!$G:$G,OFFSET($AA$7,MATCH($Y79,$Z$8:$Z$167,0),0))=0,OFFSET($AA$7,MATCH($Y79,$Z$8:$Z$167,0),0),""),"")</f>
        <v/>
      </c>
      <c r="AD79" s="255" t="str">
        <f ca="1">_xlfn.IFNA(OFFSET('4.1(2)新規再エネ導入予定(FS調査、系統接続検討状況)'!$W$1,MATCH(G79,'4.1(2)新規再エネ導入予定(FS調査、系統接続検討状況)'!G:G,0)-1,0),"//")</f>
        <v>//</v>
      </c>
      <c r="AE79" s="277" t="str">
        <f ca="1">_xlfn.IFNA(OFFSET('4.1(2)新規再エネ導入予定(合意形成)'!$AJ$1,MATCH(G79,'4.1(2)新規再エネ導入予定(合意形成)'!G:G,0)-1,0),"//")</f>
        <v>//</v>
      </c>
      <c r="AF79" s="255">
        <f t="shared" ca="1" si="12"/>
        <v>0</v>
      </c>
      <c r="AG79" s="129" t="str" cm="1">
        <f t="array" aca="1" ref="AG79" ca="1">IFERROR(_xlfn.IFS(COUNTIF($AB$8:$AC$167,G79)&gt;0,"",AF79&lt;=1,"D",AF79=2,"C",AF79=3,"B",AF79=4,"A"),"")</f>
        <v/>
      </c>
      <c r="AH79" s="255" t="str">
        <f ca="1">_xlfn.IFNA(OFFSET('4.1(2)新規再エネ導入予定(合意形成)'!$Z$1,MATCH($G79,'4.1(2)新規再エネ導入予定(合意形成)'!$G:$G,0)-1,0),"")</f>
        <v/>
      </c>
      <c r="AI79" s="129" t="str">
        <f t="shared" si="16"/>
        <v/>
      </c>
      <c r="AJ79" s="255" t="str">
        <f t="shared" si="17"/>
        <v/>
      </c>
      <c r="AK79" s="125" t="str">
        <f>IF(V79&lt;&gt;1,"",SUM($V$8:V79))</f>
        <v/>
      </c>
      <c r="AL79" s="255">
        <f t="shared" si="18"/>
        <v>1</v>
      </c>
    </row>
    <row r="80" spans="2:38" s="11" customFormat="1" ht="20">
      <c r="B80" s="21"/>
      <c r="C80" s="21"/>
      <c r="D80" s="36"/>
      <c r="E80" s="821"/>
      <c r="F80" s="781"/>
      <c r="G80" s="782"/>
      <c r="H80" s="783"/>
      <c r="I80" s="783"/>
      <c r="J80" s="784"/>
      <c r="K80" s="784"/>
      <c r="L80" s="896"/>
      <c r="M80" s="897"/>
      <c r="N80" s="731"/>
      <c r="O80" s="788"/>
      <c r="P80" s="897"/>
      <c r="Q80" s="731"/>
      <c r="R80" s="788"/>
      <c r="S80" s="786" t="str">
        <f t="shared" si="19"/>
        <v/>
      </c>
      <c r="T80" s="779"/>
      <c r="U80" s="114"/>
      <c r="V80" s="787" t="str">
        <f t="shared" si="13"/>
        <v/>
      </c>
      <c r="X80" s="125" t="s">
        <v>411</v>
      </c>
      <c r="Y80" s="255">
        <f t="shared" si="14"/>
        <v>73</v>
      </c>
      <c r="Z80" s="255" t="str">
        <f>IF(AA80&lt;&gt;"//",COUNTA($AA$8:AA80)-COUNTIF($AA$8:AA80,"//"),"")</f>
        <v/>
      </c>
      <c r="AA80" s="255" t="str">
        <f t="shared" si="15"/>
        <v>//</v>
      </c>
      <c r="AB80" s="255" t="str">
        <f ca="1">_xlfn.IFNA(IF(COUNTIF('4.1(2)新規再エネ導入予定(FS調査、系統接続検討状況)'!$G:$G,OFFSET($AA$7,MATCH($Y80,$Z$8:$Z$167,0),0))=0,OFFSET($AA$7,MATCH($Y80,$Z$8:$Z$167,0),0),""),"")</f>
        <v/>
      </c>
      <c r="AC80" s="255" t="str">
        <f ca="1">_xlfn.IFNA(IF(COUNTIF('4.1(2)新規再エネ導入予定(合意形成)'!$G:$G,OFFSET($AA$7,MATCH($Y80,$Z$8:$Z$167,0),0))=0,OFFSET($AA$7,MATCH($Y80,$Z$8:$Z$167,0),0),""),"")</f>
        <v/>
      </c>
      <c r="AD80" s="255" t="str">
        <f ca="1">_xlfn.IFNA(OFFSET('4.1(2)新規再エネ導入予定(FS調査、系統接続検討状況)'!$W$1,MATCH(G80,'4.1(2)新規再エネ導入予定(FS調査、系統接続検討状況)'!G:G,0)-1,0),"//")</f>
        <v>//</v>
      </c>
      <c r="AE80" s="277" t="str">
        <f ca="1">_xlfn.IFNA(OFFSET('4.1(2)新規再エネ導入予定(合意形成)'!$AJ$1,MATCH(G80,'4.1(2)新規再エネ導入予定(合意形成)'!G:G,0)-1,0),"//")</f>
        <v>//</v>
      </c>
      <c r="AF80" s="255">
        <f t="shared" ca="1" si="12"/>
        <v>0</v>
      </c>
      <c r="AG80" s="129" t="str" cm="1">
        <f t="array" aca="1" ref="AG80" ca="1">IFERROR(_xlfn.IFS(COUNTIF($AB$8:$AC$167,G80)&gt;0,"",AF80&lt;=1,"D",AF80=2,"C",AF80=3,"B",AF80=4,"A"),"")</f>
        <v/>
      </c>
      <c r="AH80" s="255" t="str">
        <f ca="1">_xlfn.IFNA(OFFSET('4.1(2)新規再エネ導入予定(合意形成)'!$Z$1,MATCH($G80,'4.1(2)新規再エネ導入予定(合意形成)'!$G:$G,0)-1,0),"")</f>
        <v/>
      </c>
      <c r="AI80" s="129" t="str">
        <f t="shared" si="16"/>
        <v/>
      </c>
      <c r="AJ80" s="255" t="str">
        <f t="shared" si="17"/>
        <v/>
      </c>
      <c r="AK80" s="125" t="str">
        <f>IF(V80&lt;&gt;1,"",SUM($V$8:V80))</f>
        <v/>
      </c>
      <c r="AL80" s="255">
        <f t="shared" si="18"/>
        <v>1</v>
      </c>
    </row>
    <row r="81" spans="2:38" s="11" customFormat="1" ht="20">
      <c r="B81" s="21"/>
      <c r="C81" s="21"/>
      <c r="D81" s="36"/>
      <c r="E81" s="821"/>
      <c r="F81" s="781"/>
      <c r="G81" s="782"/>
      <c r="H81" s="783"/>
      <c r="I81" s="783"/>
      <c r="J81" s="784"/>
      <c r="K81" s="784"/>
      <c r="L81" s="724"/>
      <c r="M81" s="727"/>
      <c r="N81" s="731"/>
      <c r="O81" s="788"/>
      <c r="P81" s="897"/>
      <c r="Q81" s="731"/>
      <c r="R81" s="788"/>
      <c r="S81" s="786" t="str">
        <f t="shared" si="19"/>
        <v/>
      </c>
      <c r="T81" s="779"/>
      <c r="U81" s="114"/>
      <c r="V81" s="787" t="str">
        <f t="shared" si="13"/>
        <v/>
      </c>
      <c r="X81" s="125" t="s">
        <v>411</v>
      </c>
      <c r="Y81" s="255">
        <f t="shared" si="14"/>
        <v>74</v>
      </c>
      <c r="Z81" s="255" t="str">
        <f>IF(AA81&lt;&gt;"//",COUNTA($AA$8:AA81)-COUNTIF($AA$8:AA81,"//"),"")</f>
        <v/>
      </c>
      <c r="AA81" s="255" t="str">
        <f t="shared" si="15"/>
        <v>//</v>
      </c>
      <c r="AB81" s="255" t="str">
        <f ca="1">_xlfn.IFNA(IF(COUNTIF('4.1(2)新規再エネ導入予定(FS調査、系統接続検討状況)'!$G:$G,OFFSET($AA$7,MATCH($Y81,$Z$8:$Z$167,0),0))=0,OFFSET($AA$7,MATCH($Y81,$Z$8:$Z$167,0),0),""),"")</f>
        <v/>
      </c>
      <c r="AC81" s="255" t="str">
        <f ca="1">_xlfn.IFNA(IF(COUNTIF('4.1(2)新規再エネ導入予定(合意形成)'!$G:$G,OFFSET($AA$7,MATCH($Y81,$Z$8:$Z$167,0),0))=0,OFFSET($AA$7,MATCH($Y81,$Z$8:$Z$167,0),0),""),"")</f>
        <v/>
      </c>
      <c r="AD81" s="255" t="str">
        <f ca="1">_xlfn.IFNA(OFFSET('4.1(2)新規再エネ導入予定(FS調査、系統接続検討状況)'!$W$1,MATCH(G81,'4.1(2)新規再エネ導入予定(FS調査、系統接続検討状況)'!G:G,0)-1,0),"//")</f>
        <v>//</v>
      </c>
      <c r="AE81" s="277" t="str">
        <f ca="1">_xlfn.IFNA(OFFSET('4.1(2)新規再エネ導入予定(合意形成)'!$AJ$1,MATCH(G81,'4.1(2)新規再エネ導入予定(合意形成)'!G:G,0)-1,0),"//")</f>
        <v>//</v>
      </c>
      <c r="AF81" s="255">
        <f t="shared" ca="1" si="12"/>
        <v>0</v>
      </c>
      <c r="AG81" s="129" t="str" cm="1">
        <f t="array" aca="1" ref="AG81" ca="1">IFERROR(_xlfn.IFS(COUNTIF($AB$8:$AC$167,G81)&gt;0,"",AF81&lt;=1,"D",AF81=2,"C",AF81=3,"B",AF81=4,"A"),"")</f>
        <v/>
      </c>
      <c r="AH81" s="255" t="str">
        <f ca="1">_xlfn.IFNA(OFFSET('4.1(2)新規再エネ導入予定(合意形成)'!$Z$1,MATCH($G81,'4.1(2)新規再エネ導入予定(合意形成)'!$G:$G,0)-1,0),"")</f>
        <v/>
      </c>
      <c r="AI81" s="129" t="str">
        <f t="shared" si="16"/>
        <v/>
      </c>
      <c r="AJ81" s="255" t="str">
        <f t="shared" si="17"/>
        <v/>
      </c>
      <c r="AK81" s="125" t="str">
        <f>IF(V81&lt;&gt;1,"",SUM($V$8:V81))</f>
        <v/>
      </c>
      <c r="AL81" s="255">
        <f t="shared" si="18"/>
        <v>1</v>
      </c>
    </row>
    <row r="82" spans="2:38" s="11" customFormat="1" ht="20">
      <c r="B82" s="21"/>
      <c r="C82" s="21"/>
      <c r="D82" s="36"/>
      <c r="E82" s="821"/>
      <c r="F82" s="781"/>
      <c r="G82" s="782"/>
      <c r="H82" s="783"/>
      <c r="I82" s="783"/>
      <c r="J82" s="784"/>
      <c r="K82" s="784"/>
      <c r="L82" s="724"/>
      <c r="M82" s="727"/>
      <c r="N82" s="731"/>
      <c r="O82" s="788"/>
      <c r="P82" s="897"/>
      <c r="Q82" s="731"/>
      <c r="R82" s="788"/>
      <c r="S82" s="786" t="str">
        <f t="shared" si="19"/>
        <v/>
      </c>
      <c r="T82" s="779"/>
      <c r="U82" s="114"/>
      <c r="V82" s="787" t="str">
        <f t="shared" si="13"/>
        <v/>
      </c>
      <c r="X82" s="125" t="s">
        <v>411</v>
      </c>
      <c r="Y82" s="255">
        <f t="shared" si="14"/>
        <v>75</v>
      </c>
      <c r="Z82" s="255" t="str">
        <f>IF(AA82&lt;&gt;"//",COUNTA($AA$8:AA82)-COUNTIF($AA$8:AA82,"//"),"")</f>
        <v/>
      </c>
      <c r="AA82" s="255" t="str">
        <f t="shared" si="15"/>
        <v>//</v>
      </c>
      <c r="AB82" s="255" t="str">
        <f ca="1">_xlfn.IFNA(IF(COUNTIF('4.1(2)新規再エネ導入予定(FS調査、系統接続検討状況)'!$G:$G,OFFSET($AA$7,MATCH($Y82,$Z$8:$Z$167,0),0))=0,OFFSET($AA$7,MATCH($Y82,$Z$8:$Z$167,0),0),""),"")</f>
        <v/>
      </c>
      <c r="AC82" s="255" t="str">
        <f ca="1">_xlfn.IFNA(IF(COUNTIF('4.1(2)新規再エネ導入予定(合意形成)'!$G:$G,OFFSET($AA$7,MATCH($Y82,$Z$8:$Z$167,0),0))=0,OFFSET($AA$7,MATCH($Y82,$Z$8:$Z$167,0),0),""),"")</f>
        <v/>
      </c>
      <c r="AD82" s="255" t="str">
        <f ca="1">_xlfn.IFNA(OFFSET('4.1(2)新規再エネ導入予定(FS調査、系統接続検討状況)'!$W$1,MATCH(G82,'4.1(2)新規再エネ導入予定(FS調査、系統接続検討状況)'!G:G,0)-1,0),"//")</f>
        <v>//</v>
      </c>
      <c r="AE82" s="277" t="str">
        <f ca="1">_xlfn.IFNA(OFFSET('4.1(2)新規再エネ導入予定(合意形成)'!$AJ$1,MATCH(G82,'4.1(2)新規再エネ導入予定(合意形成)'!G:G,0)-1,0),"//")</f>
        <v>//</v>
      </c>
      <c r="AF82" s="255">
        <f t="shared" ca="1" si="12"/>
        <v>0</v>
      </c>
      <c r="AG82" s="129" t="str" cm="1">
        <f t="array" aca="1" ref="AG82" ca="1">IFERROR(_xlfn.IFS(COUNTIF($AB$8:$AC$167,G82)&gt;0,"",AF82&lt;=1,"D",AF82=2,"C",AF82=3,"B",AF82=4,"A"),"")</f>
        <v/>
      </c>
      <c r="AH82" s="255" t="str">
        <f ca="1">_xlfn.IFNA(OFFSET('4.1(2)新規再エネ導入予定(合意形成)'!$Z$1,MATCH($G82,'4.1(2)新規再エネ導入予定(合意形成)'!$G:$G,0)-1,0),"")</f>
        <v/>
      </c>
      <c r="AI82" s="129" t="str">
        <f t="shared" si="16"/>
        <v/>
      </c>
      <c r="AJ82" s="255" t="str">
        <f t="shared" si="17"/>
        <v/>
      </c>
      <c r="AK82" s="125" t="str">
        <f>IF(V82&lt;&gt;1,"",SUM($V$8:V82))</f>
        <v/>
      </c>
      <c r="AL82" s="255">
        <f t="shared" si="18"/>
        <v>1</v>
      </c>
    </row>
    <row r="83" spans="2:38" s="11" customFormat="1" ht="20">
      <c r="B83" s="21"/>
      <c r="C83" s="21"/>
      <c r="D83" s="36"/>
      <c r="E83" s="821"/>
      <c r="F83" s="781"/>
      <c r="G83" s="782"/>
      <c r="H83" s="783"/>
      <c r="I83" s="783"/>
      <c r="J83" s="784"/>
      <c r="K83" s="784"/>
      <c r="L83" s="899"/>
      <c r="M83" s="897"/>
      <c r="N83" s="731"/>
      <c r="O83" s="788"/>
      <c r="P83" s="897"/>
      <c r="Q83" s="731"/>
      <c r="R83" s="788"/>
      <c r="S83" s="786" t="str">
        <f t="shared" si="19"/>
        <v/>
      </c>
      <c r="T83" s="779"/>
      <c r="U83" s="114"/>
      <c r="V83" s="787" t="str">
        <f t="shared" si="13"/>
        <v/>
      </c>
      <c r="X83" s="125" t="s">
        <v>411</v>
      </c>
      <c r="Y83" s="255">
        <f t="shared" si="14"/>
        <v>76</v>
      </c>
      <c r="Z83" s="255" t="str">
        <f>IF(AA83&lt;&gt;"//",COUNTA($AA$8:AA83)-COUNTIF($AA$8:AA83,"//"),"")</f>
        <v/>
      </c>
      <c r="AA83" s="255" t="str">
        <f t="shared" si="15"/>
        <v>//</v>
      </c>
      <c r="AB83" s="255" t="str">
        <f ca="1">_xlfn.IFNA(IF(COUNTIF('4.1(2)新規再エネ導入予定(FS調査、系統接続検討状況)'!$G:$G,OFFSET($AA$7,MATCH($Y83,$Z$8:$Z$167,0),0))=0,OFFSET($AA$7,MATCH($Y83,$Z$8:$Z$167,0),0),""),"")</f>
        <v/>
      </c>
      <c r="AC83" s="255" t="str">
        <f ca="1">_xlfn.IFNA(IF(COUNTIF('4.1(2)新規再エネ導入予定(合意形成)'!$G:$G,OFFSET($AA$7,MATCH($Y83,$Z$8:$Z$167,0),0))=0,OFFSET($AA$7,MATCH($Y83,$Z$8:$Z$167,0),0),""),"")</f>
        <v/>
      </c>
      <c r="AD83" s="255" t="str">
        <f ca="1">_xlfn.IFNA(OFFSET('4.1(2)新規再エネ導入予定(FS調査、系統接続検討状況)'!$W$1,MATCH(G83,'4.1(2)新規再エネ導入予定(FS調査、系統接続検討状況)'!G:G,0)-1,0),"//")</f>
        <v>//</v>
      </c>
      <c r="AE83" s="277" t="str">
        <f ca="1">_xlfn.IFNA(OFFSET('4.1(2)新規再エネ導入予定(合意形成)'!$AJ$1,MATCH(G83,'4.1(2)新規再エネ導入予定(合意形成)'!G:G,0)-1,0),"//")</f>
        <v>//</v>
      </c>
      <c r="AF83" s="255">
        <f t="shared" ca="1" si="12"/>
        <v>0</v>
      </c>
      <c r="AG83" s="129" t="str" cm="1">
        <f t="array" aca="1" ref="AG83" ca="1">IFERROR(_xlfn.IFS(COUNTIF($AB$8:$AC$167,G83)&gt;0,"",AF83&lt;=1,"D",AF83=2,"C",AF83=3,"B",AF83=4,"A"),"")</f>
        <v/>
      </c>
      <c r="AH83" s="255" t="str">
        <f ca="1">_xlfn.IFNA(OFFSET('4.1(2)新規再エネ導入予定(合意形成)'!$Z$1,MATCH($G83,'4.1(2)新規再エネ導入予定(合意形成)'!$G:$G,0)-1,0),"")</f>
        <v/>
      </c>
      <c r="AI83" s="129" t="str">
        <f t="shared" si="16"/>
        <v/>
      </c>
      <c r="AJ83" s="255" t="str">
        <f t="shared" si="17"/>
        <v/>
      </c>
      <c r="AK83" s="125" t="str">
        <f>IF(V83&lt;&gt;1,"",SUM($V$8:V83))</f>
        <v/>
      </c>
      <c r="AL83" s="255">
        <f t="shared" si="18"/>
        <v>1</v>
      </c>
    </row>
    <row r="84" spans="2:38" s="11" customFormat="1" ht="20">
      <c r="B84" s="21"/>
      <c r="C84" s="21"/>
      <c r="D84" s="36"/>
      <c r="E84" s="821"/>
      <c r="F84" s="781"/>
      <c r="G84" s="782"/>
      <c r="H84" s="783"/>
      <c r="I84" s="783"/>
      <c r="J84" s="784"/>
      <c r="K84" s="784"/>
      <c r="L84" s="724"/>
      <c r="M84" s="727"/>
      <c r="N84" s="731"/>
      <c r="O84" s="788"/>
      <c r="P84" s="897"/>
      <c r="Q84" s="731"/>
      <c r="R84" s="788"/>
      <c r="S84" s="786" t="str">
        <f t="shared" si="19"/>
        <v/>
      </c>
      <c r="T84" s="779"/>
      <c r="U84" s="114"/>
      <c r="V84" s="787" t="str">
        <f t="shared" si="13"/>
        <v/>
      </c>
      <c r="X84" s="125" t="s">
        <v>411</v>
      </c>
      <c r="Y84" s="255">
        <f t="shared" si="14"/>
        <v>77</v>
      </c>
      <c r="Z84" s="255" t="str">
        <f>IF(AA84&lt;&gt;"//",COUNTA($AA$8:AA84)-COUNTIF($AA$8:AA84,"//"),"")</f>
        <v/>
      </c>
      <c r="AA84" s="255" t="str">
        <f t="shared" si="15"/>
        <v>//</v>
      </c>
      <c r="AB84" s="255" t="str">
        <f ca="1">_xlfn.IFNA(IF(COUNTIF('4.1(2)新規再エネ導入予定(FS調査、系統接続検討状況)'!$G:$G,OFFSET($AA$7,MATCH($Y84,$Z$8:$Z$167,0),0))=0,OFFSET($AA$7,MATCH($Y84,$Z$8:$Z$167,0),0),""),"")</f>
        <v/>
      </c>
      <c r="AC84" s="255" t="str">
        <f ca="1">_xlfn.IFNA(IF(COUNTIF('4.1(2)新規再エネ導入予定(合意形成)'!$G:$G,OFFSET($AA$7,MATCH($Y84,$Z$8:$Z$167,0),0))=0,OFFSET($AA$7,MATCH($Y84,$Z$8:$Z$167,0),0),""),"")</f>
        <v/>
      </c>
      <c r="AD84" s="255" t="str">
        <f ca="1">_xlfn.IFNA(OFFSET('4.1(2)新規再エネ導入予定(FS調査、系統接続検討状況)'!$W$1,MATCH(G84,'4.1(2)新規再エネ導入予定(FS調査、系統接続検討状況)'!G:G,0)-1,0),"//")</f>
        <v>//</v>
      </c>
      <c r="AE84" s="277" t="str">
        <f ca="1">_xlfn.IFNA(OFFSET('4.1(2)新規再エネ導入予定(合意形成)'!$AJ$1,MATCH(G84,'4.1(2)新規再エネ導入予定(合意形成)'!G:G,0)-1,0),"//")</f>
        <v>//</v>
      </c>
      <c r="AF84" s="255">
        <f t="shared" ca="1" si="12"/>
        <v>0</v>
      </c>
      <c r="AG84" s="129" t="str" cm="1">
        <f t="array" aca="1" ref="AG84" ca="1">IFERROR(_xlfn.IFS(COUNTIF($AB$8:$AC$167,G84)&gt;0,"",AF84&lt;=1,"D",AF84=2,"C",AF84=3,"B",AF84=4,"A"),"")</f>
        <v/>
      </c>
      <c r="AH84" s="255" t="str">
        <f ca="1">_xlfn.IFNA(OFFSET('4.1(2)新規再エネ導入予定(合意形成)'!$Z$1,MATCH($G84,'4.1(2)新規再エネ導入予定(合意形成)'!$G:$G,0)-1,0),"")</f>
        <v/>
      </c>
      <c r="AI84" s="129" t="str">
        <f t="shared" si="16"/>
        <v/>
      </c>
      <c r="AJ84" s="255" t="str">
        <f t="shared" si="17"/>
        <v/>
      </c>
      <c r="AK84" s="125" t="str">
        <f>IF(V84&lt;&gt;1,"",SUM($V$8:V84))</f>
        <v/>
      </c>
      <c r="AL84" s="255">
        <f t="shared" si="18"/>
        <v>1</v>
      </c>
    </row>
    <row r="85" spans="2:38" ht="20">
      <c r="D85" s="188"/>
      <c r="E85" s="822" t="s">
        <v>25</v>
      </c>
      <c r="F85" s="789"/>
      <c r="G85" s="769"/>
      <c r="H85" s="770"/>
      <c r="I85" s="770"/>
      <c r="J85" s="770"/>
      <c r="K85" s="770"/>
      <c r="L85" s="723"/>
      <c r="M85" s="726"/>
      <c r="N85" s="892" t="str">
        <f>IF(AND(COUNTBLANK(M85:M92)&lt;=3,COUNTA(M85:M92)=0),0,IF(SUM(M85:M92)=0,"",SUM(M85:M92)))</f>
        <v/>
      </c>
      <c r="O85" s="898"/>
      <c r="P85" s="729"/>
      <c r="Q85" s="892" t="str">
        <f>IF(AND(COUNTBLANK(P85:P92)&lt;=3,COUNTA(P85:P92)=0),0,IF(SUM(P85:P92)=0,"",SUM(P85:P92)))</f>
        <v/>
      </c>
      <c r="R85" s="771"/>
      <c r="S85" s="772" t="str">
        <f t="shared" si="19"/>
        <v/>
      </c>
      <c r="T85" s="764"/>
      <c r="V85" s="790"/>
      <c r="X85" s="222" t="s">
        <v>411</v>
      </c>
      <c r="Y85" s="175">
        <f t="shared" si="14"/>
        <v>78</v>
      </c>
      <c r="Z85" s="175" t="str">
        <f>IF(AA85&lt;&gt;"//",COUNTA($AA$8:AA85)-COUNTIF($AA$8:AA85,"//"),"")</f>
        <v/>
      </c>
      <c r="AA85" s="175" t="str">
        <f t="shared" si="15"/>
        <v>//</v>
      </c>
      <c r="AB85" s="175" t="str">
        <f ca="1">_xlfn.IFNA(IF(COUNTIF('4.1(2)新規再エネ導入予定(FS調査、系統接続検討状況)'!$G:$G,OFFSET($AA$7,MATCH($Y85,$Z$8:$Z$167,0),0))=0,OFFSET($AA$7,MATCH($Y85,$Z$8:$Z$167,0),0),""),"")</f>
        <v/>
      </c>
      <c r="AC85" s="175" t="str">
        <f ca="1">_xlfn.IFNA(IF(COUNTIF('4.1(2)新規再エネ導入予定(合意形成)'!$G:$G,OFFSET($AA$7,MATCH($Y85,$Z$8:$Z$167,0),0))=0,OFFSET($AA$7,MATCH($Y85,$Z$8:$Z$167,0),0),""),"")</f>
        <v/>
      </c>
      <c r="AD85" s="175" t="str">
        <f ca="1">_xlfn.IFNA(OFFSET('4.1(2)新規再エネ導入予定(FS調査、系統接続検討状況)'!$W$1,MATCH(G85,'4.1(2)新規再エネ導入予定(FS調査、系統接続検討状況)'!G:G,0)-1,0),"//")</f>
        <v>//</v>
      </c>
      <c r="AE85" s="262" t="str">
        <f ca="1">_xlfn.IFNA(OFFSET('4.1(2)新規再エネ導入予定(合意形成)'!$AJ$1,MATCH(G85,'4.1(2)新規再エネ導入予定(合意形成)'!G:G,0)-1,0),"//")</f>
        <v>//</v>
      </c>
      <c r="AF85" s="175">
        <f t="shared" ca="1" si="12"/>
        <v>0</v>
      </c>
      <c r="AG85" s="215" t="str" cm="1">
        <f t="array" aca="1" ref="AG85" ca="1">IFERROR(_xlfn.IFS(COUNTIF($AB$8:$AC$167,G85)&gt;0,"",AF85&lt;=1,"D",AF85=2,"C",AF85=3,"B",AF85=4,"A"),"")</f>
        <v/>
      </c>
      <c r="AH85" s="175" t="str">
        <f ca="1">_xlfn.IFNA(OFFSET('4.1(2)新規再エネ導入予定(合意形成)'!$Z$1,MATCH($G85,'4.1(2)新規再エネ導入予定(合意形成)'!$G:$G,0)-1,0),"")</f>
        <v/>
      </c>
      <c r="AI85" s="215" t="str">
        <f t="shared" si="16"/>
        <v/>
      </c>
      <c r="AJ85" s="175" t="str">
        <f t="shared" si="17"/>
        <v/>
      </c>
      <c r="AK85" s="222" t="str">
        <f>IF(V85&lt;&gt;1,"",SUM($V$8:V85))</f>
        <v/>
      </c>
      <c r="AL85" s="175">
        <f t="shared" si="18"/>
        <v>1</v>
      </c>
    </row>
    <row r="86" spans="2:38" s="11" customFormat="1" ht="20" hidden="1">
      <c r="B86" s="21"/>
      <c r="C86" s="21"/>
      <c r="D86" s="36"/>
      <c r="E86" s="821"/>
      <c r="F86" s="774"/>
      <c r="G86" s="775"/>
      <c r="H86" s="776"/>
      <c r="I86" s="776"/>
      <c r="J86" s="777"/>
      <c r="K86" s="777"/>
      <c r="L86" s="894"/>
      <c r="M86" s="895"/>
      <c r="N86" s="730"/>
      <c r="O86" s="791"/>
      <c r="P86" s="895"/>
      <c r="Q86" s="730"/>
      <c r="R86" s="791"/>
      <c r="S86" s="778" t="str">
        <f t="shared" si="19"/>
        <v/>
      </c>
      <c r="T86" s="779"/>
      <c r="U86" s="114"/>
      <c r="V86" s="780"/>
      <c r="X86" s="125" t="s">
        <v>411</v>
      </c>
      <c r="Y86" s="255">
        <f t="shared" si="14"/>
        <v>79</v>
      </c>
      <c r="Z86" s="255" t="str">
        <f>IF(AA86&lt;&gt;"//",COUNTA($AA$8:AA86)-COUNTIF($AA$8:AA86,"//"),"")</f>
        <v/>
      </c>
      <c r="AA86" s="255" t="str">
        <f t="shared" si="15"/>
        <v>//</v>
      </c>
      <c r="AB86" s="255" t="str">
        <f ca="1">_xlfn.IFNA(IF(COUNTIF('4.1(2)新規再エネ導入予定(FS調査、系統接続検討状況)'!$G:$G,OFFSET($AA$7,MATCH($Y86,$Z$8:$Z$167,0),0))=0,OFFSET($AA$7,MATCH($Y86,$Z$8:$Z$167,0),0),""),"")</f>
        <v/>
      </c>
      <c r="AC86" s="255" t="str">
        <f ca="1">_xlfn.IFNA(IF(COUNTIF('4.1(2)新規再エネ導入予定(合意形成)'!$G:$G,OFFSET($AA$7,MATCH($Y86,$Z$8:$Z$167,0),0))=0,OFFSET($AA$7,MATCH($Y86,$Z$8:$Z$167,0),0),""),"")</f>
        <v/>
      </c>
      <c r="AD86" s="255" t="str">
        <f ca="1">_xlfn.IFNA(OFFSET('4.1(2)新規再エネ導入予定(FS調査、系統接続検討状況)'!$W$1,MATCH(G86,'4.1(2)新規再エネ導入予定(FS調査、系統接続検討状況)'!G:G,0)-1,0),"//")</f>
        <v>//</v>
      </c>
      <c r="AE86" s="277" t="str">
        <f ca="1">_xlfn.IFNA(OFFSET('4.1(2)新規再エネ導入予定(合意形成)'!$AJ$1,MATCH(G86,'4.1(2)新規再エネ導入予定(合意形成)'!G:G,0)-1,0),"//")</f>
        <v>//</v>
      </c>
      <c r="AF86" s="255">
        <f t="shared" ca="1" si="12"/>
        <v>0</v>
      </c>
      <c r="AG86" s="129" t="str" cm="1">
        <f t="array" aca="1" ref="AG86" ca="1">IFERROR(_xlfn.IFS(COUNTIF($AB$8:$AC$167,G86)&gt;0,"",AF86&lt;=1,"D",AF86=2,"C",AF86=3,"B",AF86=4,"A"),"")</f>
        <v/>
      </c>
      <c r="AH86" s="255" t="str">
        <f ca="1">_xlfn.IFNA(OFFSET('4.1(2)新規再エネ導入予定(合意形成)'!$Z$1,MATCH($G86,'4.1(2)新規再エネ導入予定(合意形成)'!$G:$G,0)-1,0),"")</f>
        <v/>
      </c>
      <c r="AI86" s="129" t="str">
        <f t="shared" si="16"/>
        <v/>
      </c>
      <c r="AJ86" s="255" t="str">
        <f t="shared" si="17"/>
        <v/>
      </c>
      <c r="AK86" s="125" t="str">
        <f>IF(V86&lt;&gt;1,"",SUM($V$8:V86))</f>
        <v/>
      </c>
      <c r="AL86" s="255">
        <f t="shared" si="18"/>
        <v>1</v>
      </c>
    </row>
    <row r="87" spans="2:38" s="11" customFormat="1" ht="20">
      <c r="B87" s="21"/>
      <c r="C87" s="21"/>
      <c r="D87" s="36"/>
      <c r="E87" s="821"/>
      <c r="F87" s="781"/>
      <c r="G87" s="782"/>
      <c r="H87" s="783"/>
      <c r="I87" s="783"/>
      <c r="J87" s="784"/>
      <c r="K87" s="784"/>
      <c r="L87" s="724"/>
      <c r="M87" s="897"/>
      <c r="N87" s="731"/>
      <c r="O87" s="788"/>
      <c r="P87" s="897"/>
      <c r="Q87" s="731"/>
      <c r="R87" s="788"/>
      <c r="S87" s="786" t="str">
        <f t="shared" si="19"/>
        <v/>
      </c>
      <c r="T87" s="779"/>
      <c r="U87" s="114"/>
      <c r="V87" s="787" t="str">
        <f t="shared" si="13"/>
        <v/>
      </c>
      <c r="X87" s="125" t="s">
        <v>411</v>
      </c>
      <c r="Y87" s="255">
        <f t="shared" si="14"/>
        <v>80</v>
      </c>
      <c r="Z87" s="255" t="str">
        <f>IF(AA87&lt;&gt;"//",COUNTA($AA$8:AA87)-COUNTIF($AA$8:AA87,"//"),"")</f>
        <v/>
      </c>
      <c r="AA87" s="255" t="str">
        <f t="shared" si="15"/>
        <v>//</v>
      </c>
      <c r="AB87" s="255" t="str">
        <f ca="1">_xlfn.IFNA(IF(COUNTIF('4.1(2)新規再エネ導入予定(FS調査、系統接続検討状況)'!$G:$G,OFFSET($AA$7,MATCH($Y87,$Z$8:$Z$167,0),0))=0,OFFSET($AA$7,MATCH($Y87,$Z$8:$Z$167,0),0),""),"")</f>
        <v/>
      </c>
      <c r="AC87" s="255" t="str">
        <f ca="1">_xlfn.IFNA(IF(COUNTIF('4.1(2)新規再エネ導入予定(合意形成)'!$G:$G,OFFSET($AA$7,MATCH($Y87,$Z$8:$Z$167,0),0))=0,OFFSET($AA$7,MATCH($Y87,$Z$8:$Z$167,0),0),""),"")</f>
        <v/>
      </c>
      <c r="AD87" s="255" t="str">
        <f ca="1">_xlfn.IFNA(OFFSET('4.1(2)新規再エネ導入予定(FS調査、系統接続検討状況)'!$W$1,MATCH(G87,'4.1(2)新規再エネ導入予定(FS調査、系統接続検討状況)'!G:G,0)-1,0),"//")</f>
        <v>//</v>
      </c>
      <c r="AE87" s="277" t="str">
        <f ca="1">_xlfn.IFNA(OFFSET('4.1(2)新規再エネ導入予定(合意形成)'!$AJ$1,MATCH(G87,'4.1(2)新規再エネ導入予定(合意形成)'!G:G,0)-1,0),"//")</f>
        <v>//</v>
      </c>
      <c r="AF87" s="255">
        <f t="shared" ca="1" si="12"/>
        <v>0</v>
      </c>
      <c r="AG87" s="129" t="str" cm="1">
        <f t="array" aca="1" ref="AG87" ca="1">IFERROR(_xlfn.IFS(COUNTIF($AB$8:$AC$167,G87)&gt;0,"",AF87&lt;=1,"D",AF87=2,"C",AF87=3,"B",AF87=4,"A"),"")</f>
        <v/>
      </c>
      <c r="AH87" s="255" t="str">
        <f ca="1">_xlfn.IFNA(OFFSET('4.1(2)新規再エネ導入予定(合意形成)'!$Z$1,MATCH($G87,'4.1(2)新規再エネ導入予定(合意形成)'!$G:$G,0)-1,0),"")</f>
        <v/>
      </c>
      <c r="AI87" s="129" t="str">
        <f t="shared" si="16"/>
        <v/>
      </c>
      <c r="AJ87" s="255" t="str">
        <f t="shared" si="17"/>
        <v/>
      </c>
      <c r="AK87" s="125" t="str">
        <f>IF(V87&lt;&gt;1,"",SUM($V$8:V87))</f>
        <v/>
      </c>
      <c r="AL87" s="255">
        <f t="shared" si="18"/>
        <v>1</v>
      </c>
    </row>
    <row r="88" spans="2:38" s="11" customFormat="1" ht="20">
      <c r="B88" s="21"/>
      <c r="C88" s="21"/>
      <c r="D88" s="36"/>
      <c r="E88" s="821"/>
      <c r="F88" s="781"/>
      <c r="G88" s="782"/>
      <c r="H88" s="783"/>
      <c r="I88" s="783"/>
      <c r="J88" s="784"/>
      <c r="K88" s="784"/>
      <c r="L88" s="899"/>
      <c r="M88" s="897"/>
      <c r="N88" s="731"/>
      <c r="O88" s="788"/>
      <c r="P88" s="897"/>
      <c r="Q88" s="731"/>
      <c r="R88" s="788"/>
      <c r="S88" s="786" t="str">
        <f t="shared" si="19"/>
        <v/>
      </c>
      <c r="T88" s="779"/>
      <c r="U88" s="114"/>
      <c r="V88" s="787" t="str">
        <f t="shared" si="13"/>
        <v/>
      </c>
      <c r="X88" s="125" t="s">
        <v>411</v>
      </c>
      <c r="Y88" s="255">
        <f t="shared" si="14"/>
        <v>81</v>
      </c>
      <c r="Z88" s="255" t="str">
        <f>IF(AA88&lt;&gt;"//",COUNTA($AA$8:AA88)-COUNTIF($AA$8:AA88,"//"),"")</f>
        <v/>
      </c>
      <c r="AA88" s="255" t="str">
        <f t="shared" si="15"/>
        <v>//</v>
      </c>
      <c r="AB88" s="255" t="str">
        <f ca="1">_xlfn.IFNA(IF(COUNTIF('4.1(2)新規再エネ導入予定(FS調査、系統接続検討状況)'!$G:$G,OFFSET($AA$7,MATCH($Y88,$Z$8:$Z$167,0),0))=0,OFFSET($AA$7,MATCH($Y88,$Z$8:$Z$167,0),0),""),"")</f>
        <v/>
      </c>
      <c r="AC88" s="255" t="str">
        <f ca="1">_xlfn.IFNA(IF(COUNTIF('4.1(2)新規再エネ導入予定(合意形成)'!$G:$G,OFFSET($AA$7,MATCH($Y88,$Z$8:$Z$167,0),0))=0,OFFSET($AA$7,MATCH($Y88,$Z$8:$Z$167,0),0),""),"")</f>
        <v/>
      </c>
      <c r="AD88" s="255" t="str">
        <f ca="1">_xlfn.IFNA(OFFSET('4.1(2)新規再エネ導入予定(FS調査、系統接続検討状況)'!$W$1,MATCH(G88,'4.1(2)新規再エネ導入予定(FS調査、系統接続検討状況)'!G:G,0)-1,0),"//")</f>
        <v>//</v>
      </c>
      <c r="AE88" s="277" t="str">
        <f ca="1">_xlfn.IFNA(OFFSET('4.1(2)新規再エネ導入予定(合意形成)'!$AJ$1,MATCH(G88,'4.1(2)新規再エネ導入予定(合意形成)'!G:G,0)-1,0),"//")</f>
        <v>//</v>
      </c>
      <c r="AF88" s="255">
        <f t="shared" ca="1" si="12"/>
        <v>0</v>
      </c>
      <c r="AG88" s="129" t="str" cm="1">
        <f t="array" aca="1" ref="AG88" ca="1">IFERROR(_xlfn.IFS(COUNTIF($AB$8:$AC$167,G88)&gt;0,"",AF88&lt;=1,"D",AF88=2,"C",AF88=3,"B",AF88=4,"A"),"")</f>
        <v/>
      </c>
      <c r="AH88" s="255" t="str">
        <f ca="1">_xlfn.IFNA(OFFSET('4.1(2)新規再エネ導入予定(合意形成)'!$Z$1,MATCH($G88,'4.1(2)新規再エネ導入予定(合意形成)'!$G:$G,0)-1,0),"")</f>
        <v/>
      </c>
      <c r="AI88" s="129" t="str">
        <f t="shared" si="16"/>
        <v/>
      </c>
      <c r="AJ88" s="255" t="str">
        <f t="shared" si="17"/>
        <v/>
      </c>
      <c r="AK88" s="125" t="str">
        <f>IF(V88&lt;&gt;1,"",SUM($V$8:V88))</f>
        <v/>
      </c>
      <c r="AL88" s="255">
        <f t="shared" si="18"/>
        <v>1</v>
      </c>
    </row>
    <row r="89" spans="2:38" s="11" customFormat="1" ht="20">
      <c r="B89" s="21"/>
      <c r="C89" s="21"/>
      <c r="D89" s="36"/>
      <c r="E89" s="821"/>
      <c r="F89" s="781"/>
      <c r="G89" s="782"/>
      <c r="H89" s="783"/>
      <c r="I89" s="783"/>
      <c r="J89" s="784"/>
      <c r="K89" s="784"/>
      <c r="L89" s="724"/>
      <c r="M89" s="727"/>
      <c r="N89" s="731"/>
      <c r="O89" s="788"/>
      <c r="P89" s="897"/>
      <c r="Q89" s="731"/>
      <c r="R89" s="788"/>
      <c r="S89" s="786" t="str">
        <f t="shared" si="19"/>
        <v/>
      </c>
      <c r="T89" s="779"/>
      <c r="U89" s="114"/>
      <c r="V89" s="787" t="str">
        <f t="shared" si="13"/>
        <v/>
      </c>
      <c r="X89" s="125" t="s">
        <v>411</v>
      </c>
      <c r="Y89" s="255">
        <f t="shared" si="14"/>
        <v>82</v>
      </c>
      <c r="Z89" s="255" t="str">
        <f>IF(AA89&lt;&gt;"//",COUNTA($AA$8:AA89)-COUNTIF($AA$8:AA89,"//"),"")</f>
        <v/>
      </c>
      <c r="AA89" s="255" t="str">
        <f t="shared" si="15"/>
        <v>//</v>
      </c>
      <c r="AB89" s="255" t="str">
        <f ca="1">_xlfn.IFNA(IF(COUNTIF('4.1(2)新規再エネ導入予定(FS調査、系統接続検討状況)'!$G:$G,OFFSET($AA$7,MATCH($Y89,$Z$8:$Z$167,0),0))=0,OFFSET($AA$7,MATCH($Y89,$Z$8:$Z$167,0),0),""),"")</f>
        <v/>
      </c>
      <c r="AC89" s="255" t="str">
        <f ca="1">_xlfn.IFNA(IF(COUNTIF('4.1(2)新規再エネ導入予定(合意形成)'!$G:$G,OFFSET($AA$7,MATCH($Y89,$Z$8:$Z$167,0),0))=0,OFFSET($AA$7,MATCH($Y89,$Z$8:$Z$167,0),0),""),"")</f>
        <v/>
      </c>
      <c r="AD89" s="255" t="str">
        <f ca="1">_xlfn.IFNA(OFFSET('4.1(2)新規再エネ導入予定(FS調査、系統接続検討状況)'!$W$1,MATCH(G89,'4.1(2)新規再エネ導入予定(FS調査、系統接続検討状況)'!G:G,0)-1,0),"//")</f>
        <v>//</v>
      </c>
      <c r="AE89" s="277" t="str">
        <f ca="1">_xlfn.IFNA(OFFSET('4.1(2)新規再エネ導入予定(合意形成)'!$AJ$1,MATCH(G89,'4.1(2)新規再エネ導入予定(合意形成)'!G:G,0)-1,0),"//")</f>
        <v>//</v>
      </c>
      <c r="AF89" s="255">
        <f t="shared" ca="1" si="12"/>
        <v>0</v>
      </c>
      <c r="AG89" s="129" t="str" cm="1">
        <f t="array" aca="1" ref="AG89" ca="1">IFERROR(_xlfn.IFS(COUNTIF($AB$8:$AC$167,G89)&gt;0,"",AF89&lt;=1,"D",AF89=2,"C",AF89=3,"B",AF89=4,"A"),"")</f>
        <v/>
      </c>
      <c r="AH89" s="255" t="str">
        <f ca="1">_xlfn.IFNA(OFFSET('4.1(2)新規再エネ導入予定(合意形成)'!$Z$1,MATCH($G89,'4.1(2)新規再エネ導入予定(合意形成)'!$G:$G,0)-1,0),"")</f>
        <v/>
      </c>
      <c r="AI89" s="129" t="str">
        <f t="shared" si="16"/>
        <v/>
      </c>
      <c r="AJ89" s="255" t="str">
        <f t="shared" si="17"/>
        <v/>
      </c>
      <c r="AK89" s="125" t="str">
        <f>IF(V89&lt;&gt;1,"",SUM($V$8:V89))</f>
        <v/>
      </c>
      <c r="AL89" s="255">
        <f t="shared" si="18"/>
        <v>1</v>
      </c>
    </row>
    <row r="90" spans="2:38" s="11" customFormat="1" ht="20">
      <c r="B90" s="21"/>
      <c r="C90" s="21"/>
      <c r="D90" s="36"/>
      <c r="E90" s="821"/>
      <c r="F90" s="781"/>
      <c r="G90" s="782"/>
      <c r="H90" s="783"/>
      <c r="I90" s="783"/>
      <c r="J90" s="784"/>
      <c r="K90" s="784"/>
      <c r="L90" s="899"/>
      <c r="M90" s="897"/>
      <c r="N90" s="731"/>
      <c r="O90" s="788"/>
      <c r="P90" s="897"/>
      <c r="Q90" s="731"/>
      <c r="R90" s="788"/>
      <c r="S90" s="786" t="str">
        <f t="shared" si="19"/>
        <v/>
      </c>
      <c r="T90" s="779"/>
      <c r="U90" s="114"/>
      <c r="V90" s="787" t="str">
        <f t="shared" si="13"/>
        <v/>
      </c>
      <c r="X90" s="125" t="s">
        <v>411</v>
      </c>
      <c r="Y90" s="255">
        <f t="shared" si="14"/>
        <v>83</v>
      </c>
      <c r="Z90" s="255" t="str">
        <f>IF(AA90&lt;&gt;"//",COUNTA($AA$8:AA90)-COUNTIF($AA$8:AA90,"//"),"")</f>
        <v/>
      </c>
      <c r="AA90" s="255" t="str">
        <f t="shared" si="15"/>
        <v>//</v>
      </c>
      <c r="AB90" s="255" t="str">
        <f ca="1">_xlfn.IFNA(IF(COUNTIF('4.1(2)新規再エネ導入予定(FS調査、系統接続検討状況)'!$G:$G,OFFSET($AA$7,MATCH($Y90,$Z$8:$Z$167,0),0))=0,OFFSET($AA$7,MATCH($Y90,$Z$8:$Z$167,0),0),""),"")</f>
        <v/>
      </c>
      <c r="AC90" s="255" t="str">
        <f ca="1">_xlfn.IFNA(IF(COUNTIF('4.1(2)新規再エネ導入予定(合意形成)'!$G:$G,OFFSET($AA$7,MATCH($Y90,$Z$8:$Z$167,0),0))=0,OFFSET($AA$7,MATCH($Y90,$Z$8:$Z$167,0),0),""),"")</f>
        <v/>
      </c>
      <c r="AD90" s="255" t="str">
        <f ca="1">_xlfn.IFNA(OFFSET('4.1(2)新規再エネ導入予定(FS調査、系統接続検討状況)'!$W$1,MATCH(G90,'4.1(2)新規再エネ導入予定(FS調査、系統接続検討状況)'!G:G,0)-1,0),"//")</f>
        <v>//</v>
      </c>
      <c r="AE90" s="277" t="str">
        <f ca="1">_xlfn.IFNA(OFFSET('4.1(2)新規再エネ導入予定(合意形成)'!$AJ$1,MATCH(G90,'4.1(2)新規再エネ導入予定(合意形成)'!G:G,0)-1,0),"//")</f>
        <v>//</v>
      </c>
      <c r="AF90" s="255">
        <f t="shared" ca="1" si="12"/>
        <v>0</v>
      </c>
      <c r="AG90" s="129" t="str" cm="1">
        <f t="array" aca="1" ref="AG90" ca="1">IFERROR(_xlfn.IFS(COUNTIF($AB$8:$AC$167,G90)&gt;0,"",AF90&lt;=1,"D",AF90=2,"C",AF90=3,"B",AF90=4,"A"),"")</f>
        <v/>
      </c>
      <c r="AH90" s="255" t="str">
        <f ca="1">_xlfn.IFNA(OFFSET('4.1(2)新規再エネ導入予定(合意形成)'!$Z$1,MATCH($G90,'4.1(2)新規再エネ導入予定(合意形成)'!$G:$G,0)-1,0),"")</f>
        <v/>
      </c>
      <c r="AI90" s="129" t="str">
        <f t="shared" si="16"/>
        <v/>
      </c>
      <c r="AJ90" s="255" t="str">
        <f t="shared" si="17"/>
        <v/>
      </c>
      <c r="AK90" s="125" t="str">
        <f>IF(V90&lt;&gt;1,"",SUM($V$8:V90))</f>
        <v/>
      </c>
      <c r="AL90" s="255">
        <f t="shared" si="18"/>
        <v>1</v>
      </c>
    </row>
    <row r="91" spans="2:38" s="11" customFormat="1" ht="20">
      <c r="B91" s="21"/>
      <c r="C91" s="21"/>
      <c r="D91" s="36"/>
      <c r="E91" s="821"/>
      <c r="F91" s="781"/>
      <c r="G91" s="782"/>
      <c r="H91" s="783"/>
      <c r="I91" s="783"/>
      <c r="J91" s="784"/>
      <c r="K91" s="784"/>
      <c r="L91" s="724"/>
      <c r="M91" s="727"/>
      <c r="N91" s="731"/>
      <c r="O91" s="788"/>
      <c r="P91" s="897"/>
      <c r="Q91" s="731"/>
      <c r="R91" s="788"/>
      <c r="S91" s="786" t="str">
        <f t="shared" si="19"/>
        <v/>
      </c>
      <c r="T91" s="779"/>
      <c r="U91" s="114"/>
      <c r="V91" s="787" t="str">
        <f t="shared" si="13"/>
        <v/>
      </c>
      <c r="X91" s="125" t="s">
        <v>411</v>
      </c>
      <c r="Y91" s="255">
        <f t="shared" si="14"/>
        <v>84</v>
      </c>
      <c r="Z91" s="255" t="str">
        <f>IF(AA91&lt;&gt;"//",COUNTA($AA$8:AA91)-COUNTIF($AA$8:AA91,"//"),"")</f>
        <v/>
      </c>
      <c r="AA91" s="255" t="str">
        <f t="shared" si="15"/>
        <v>//</v>
      </c>
      <c r="AB91" s="255" t="str">
        <f ca="1">_xlfn.IFNA(IF(COUNTIF('4.1(2)新規再エネ導入予定(FS調査、系統接続検討状況)'!$G:$G,OFFSET($AA$7,MATCH($Y91,$Z$8:$Z$167,0),0))=0,OFFSET($AA$7,MATCH($Y91,$Z$8:$Z$167,0),0),""),"")</f>
        <v/>
      </c>
      <c r="AC91" s="255" t="str">
        <f ca="1">_xlfn.IFNA(IF(COUNTIF('4.1(2)新規再エネ導入予定(合意形成)'!$G:$G,OFFSET($AA$7,MATCH($Y91,$Z$8:$Z$167,0),0))=0,OFFSET($AA$7,MATCH($Y91,$Z$8:$Z$167,0),0),""),"")</f>
        <v/>
      </c>
      <c r="AD91" s="255" t="str">
        <f ca="1">_xlfn.IFNA(OFFSET('4.1(2)新規再エネ導入予定(FS調査、系統接続検討状況)'!$W$1,MATCH(G91,'4.1(2)新規再エネ導入予定(FS調査、系統接続検討状況)'!G:G,0)-1,0),"//")</f>
        <v>//</v>
      </c>
      <c r="AE91" s="277" t="str">
        <f ca="1">_xlfn.IFNA(OFFSET('4.1(2)新規再エネ導入予定(合意形成)'!$AJ$1,MATCH(G91,'4.1(2)新規再エネ導入予定(合意形成)'!G:G,0)-1,0),"//")</f>
        <v>//</v>
      </c>
      <c r="AF91" s="255">
        <f t="shared" ca="1" si="12"/>
        <v>0</v>
      </c>
      <c r="AG91" s="129" t="str" cm="1">
        <f t="array" aca="1" ref="AG91" ca="1">IFERROR(_xlfn.IFS(COUNTIF($AB$8:$AC$167,G91)&gt;0,"",AF91&lt;=1,"D",AF91=2,"C",AF91=3,"B",AF91=4,"A"),"")</f>
        <v/>
      </c>
      <c r="AH91" s="255" t="str">
        <f ca="1">_xlfn.IFNA(OFFSET('4.1(2)新規再エネ導入予定(合意形成)'!$Z$1,MATCH($G91,'4.1(2)新規再エネ導入予定(合意形成)'!$G:$G,0)-1,0),"")</f>
        <v/>
      </c>
      <c r="AI91" s="129" t="str">
        <f t="shared" si="16"/>
        <v/>
      </c>
      <c r="AJ91" s="255" t="str">
        <f t="shared" si="17"/>
        <v/>
      </c>
      <c r="AK91" s="125" t="str">
        <f>IF(V91&lt;&gt;1,"",SUM($V$8:V91))</f>
        <v/>
      </c>
      <c r="AL91" s="255">
        <f t="shared" si="18"/>
        <v>1</v>
      </c>
    </row>
    <row r="92" spans="2:38" ht="20">
      <c r="D92" s="32"/>
      <c r="E92" s="823" t="s">
        <v>26</v>
      </c>
      <c r="F92" s="795"/>
      <c r="G92" s="795"/>
      <c r="H92" s="796"/>
      <c r="I92" s="796"/>
      <c r="J92" s="797"/>
      <c r="K92" s="797"/>
      <c r="L92" s="725"/>
      <c r="M92" s="728"/>
      <c r="N92" s="732">
        <f ca="1">SUM(OFFSET($N$8,0,0,ROW()-ROW($N$8),1))</f>
        <v>0</v>
      </c>
      <c r="O92" s="798"/>
      <c r="P92" s="728"/>
      <c r="Q92" s="732">
        <f ca="1">SUM(OFFSET($Q$8,0,0,ROW()-ROW($Q$8),1))</f>
        <v>0</v>
      </c>
      <c r="R92" s="799"/>
      <c r="S92" s="796"/>
      <c r="T92" s="764"/>
      <c r="V92" s="795"/>
      <c r="X92" s="222" t="s">
        <v>411</v>
      </c>
      <c r="Y92" s="175">
        <f t="shared" si="14"/>
        <v>85</v>
      </c>
      <c r="Z92" s="175" t="str">
        <f>IF(AA92&lt;&gt;"//",COUNTA($AA$8:AA92)-COUNTIF($AA$8:AA92,"//"),"")</f>
        <v/>
      </c>
      <c r="AA92" s="175" t="str">
        <f t="shared" si="15"/>
        <v>//</v>
      </c>
      <c r="AB92" s="175" t="str">
        <f ca="1">_xlfn.IFNA(IF(COUNTIF('4.1(2)新規再エネ導入予定(FS調査、系統接続検討状況)'!$G:$G,OFFSET($AA$7,MATCH($Y92,$Z$8:$Z$167,0),0))=0,OFFSET($AA$7,MATCH($Y92,$Z$8:$Z$167,0),0),""),"")</f>
        <v/>
      </c>
      <c r="AC92" s="175" t="str">
        <f ca="1">_xlfn.IFNA(IF(COUNTIF('4.1(2)新規再エネ導入予定(合意形成)'!$G:$G,OFFSET($AA$7,MATCH($Y92,$Z$8:$Z$167,0),0))=0,OFFSET($AA$7,MATCH($Y92,$Z$8:$Z$167,0),0),""),"")</f>
        <v/>
      </c>
      <c r="AD92" s="175" t="str">
        <f ca="1">_xlfn.IFNA(OFFSET('4.1(2)新規再エネ導入予定(FS調査、系統接続検討状況)'!$W$1,MATCH(G92,'4.1(2)新規再エネ導入予定(FS調査、系統接続検討状況)'!G:G,0)-1,0),"//")</f>
        <v>//</v>
      </c>
      <c r="AE92" s="262" t="str">
        <f ca="1">_xlfn.IFNA(OFFSET('4.1(2)新規再エネ導入予定(合意形成)'!$AJ$1,MATCH(G92,'4.1(2)新規再エネ導入予定(合意形成)'!G:G,0)-1,0),"//")</f>
        <v>//</v>
      </c>
      <c r="AF92" s="175">
        <f t="shared" ca="1" si="12"/>
        <v>0</v>
      </c>
      <c r="AG92" s="215" t="str" cm="1">
        <f t="array" aca="1" ref="AG92" ca="1">IFERROR(_xlfn.IFS(COUNTIF($AB$8:$AC$167,G92)&gt;0,"",AF92&lt;=1,"D",AF92=2,"C",AF92=3,"B",AF92=4,"A"),"")</f>
        <v/>
      </c>
      <c r="AH92" s="175" t="str">
        <f ca="1">_xlfn.IFNA(OFFSET('4.1(2)新規再エネ導入予定(合意形成)'!$Z$1,MATCH($G92,'4.1(2)新規再エネ導入予定(合意形成)'!$G:$G,0)-1,0),"")</f>
        <v/>
      </c>
      <c r="AI92" s="215" t="str">
        <f t="shared" si="16"/>
        <v/>
      </c>
      <c r="AJ92" s="175" t="str">
        <f t="shared" si="17"/>
        <v/>
      </c>
      <c r="AK92" s="222" t="str">
        <f>IF(V92&lt;&gt;1,"",SUM($V$8:V92))</f>
        <v/>
      </c>
      <c r="AL92" s="175">
        <f t="shared" si="18"/>
        <v>1</v>
      </c>
    </row>
    <row r="93" spans="2:38" ht="15" customHeight="1">
      <c r="D93" s="46"/>
      <c r="E93" s="467"/>
      <c r="F93" s="733"/>
      <c r="G93" s="733"/>
      <c r="H93" s="733"/>
      <c r="I93" s="733"/>
      <c r="J93" s="733"/>
      <c r="K93" s="733"/>
      <c r="L93" s="748"/>
      <c r="M93" s="733"/>
      <c r="N93" s="738"/>
      <c r="O93" s="800"/>
      <c r="P93" s="733"/>
      <c r="Q93" s="470"/>
      <c r="R93" s="801"/>
      <c r="S93" s="801"/>
      <c r="T93" s="802"/>
      <c r="X93" s="222" t="s">
        <v>411</v>
      </c>
      <c r="Y93" s="175">
        <f t="shared" si="14"/>
        <v>86</v>
      </c>
      <c r="Z93" s="175" t="str">
        <f>IF(AA93&lt;&gt;"//",COUNTA($AA$8:AA93)-COUNTIF($AA$8:AA93,"//"),"")</f>
        <v/>
      </c>
      <c r="AA93" s="175" t="str">
        <f t="shared" si="15"/>
        <v>//</v>
      </c>
      <c r="AB93" s="175" t="str">
        <f ca="1">_xlfn.IFNA(IF(COUNTIF('4.1(2)新規再エネ導入予定(FS調査、系統接続検討状況)'!$G:$G,OFFSET($AA$7,MATCH($Y93,$Z$8:$Z$167,0),0))=0,OFFSET($AA$7,MATCH($Y93,$Z$8:$Z$167,0),0),""),"")</f>
        <v/>
      </c>
      <c r="AC93" s="175" t="str">
        <f ca="1">_xlfn.IFNA(IF(COUNTIF('4.1(2)新規再エネ導入予定(合意形成)'!$G:$G,OFFSET($AA$7,MATCH($Y93,$Z$8:$Z$167,0),0))=0,OFFSET($AA$7,MATCH($Y93,$Z$8:$Z$167,0),0),""),"")</f>
        <v/>
      </c>
      <c r="AD93" s="175" t="str">
        <f ca="1">_xlfn.IFNA(OFFSET('4.1(2)新規再エネ導入予定(FS調査、系統接続検討状況)'!$W$1,MATCH(G93,'4.1(2)新規再エネ導入予定(FS調査、系統接続検討状況)'!G:G,0)-1,0),"//")</f>
        <v>//</v>
      </c>
      <c r="AE93" s="262" t="str">
        <f ca="1">_xlfn.IFNA(OFFSET('4.1(2)新規再エネ導入予定(合意形成)'!$AJ$1,MATCH(G93,'4.1(2)新規再エネ導入予定(合意形成)'!G:G,0)-1,0),"//")</f>
        <v>//</v>
      </c>
      <c r="AF93" s="175">
        <f t="shared" ca="1" si="12"/>
        <v>0</v>
      </c>
      <c r="AG93" s="215" t="str" cm="1">
        <f t="array" aca="1" ref="AG93" ca="1">IFERROR(_xlfn.IFS(COUNTIF($AB$8:$AC$167,G93)&gt;0,"",AF93&lt;=1,"D",AF93=2,"C",AF93=3,"B",AF93=4,"A"),"")</f>
        <v/>
      </c>
      <c r="AH93" s="175" t="str">
        <f ca="1">_xlfn.IFNA(OFFSET('4.1(2)新規再エネ導入予定(合意形成)'!$Z$1,MATCH($G93,'4.1(2)新規再エネ導入予定(合意形成)'!$G:$G,0)-1,0),"")</f>
        <v/>
      </c>
      <c r="AI93" s="215" t="str">
        <f t="shared" si="16"/>
        <v/>
      </c>
      <c r="AJ93" s="175" t="str">
        <f t="shared" si="17"/>
        <v/>
      </c>
      <c r="AK93" s="222" t="str">
        <f>IF(V93&lt;&gt;1,"",SUM($V$8:V93))</f>
        <v/>
      </c>
      <c r="AL93" s="175">
        <f t="shared" si="18"/>
        <v>1</v>
      </c>
    </row>
    <row r="94" spans="2:38">
      <c r="F94" s="734"/>
      <c r="G94" s="734"/>
      <c r="H94" s="734"/>
      <c r="I94" s="734"/>
      <c r="J94" s="734"/>
      <c r="K94" s="734"/>
      <c r="L94" s="749"/>
      <c r="M94" s="734"/>
      <c r="N94" s="739"/>
      <c r="O94" s="803"/>
      <c r="P94" s="734"/>
      <c r="X94" s="222" t="s">
        <v>411</v>
      </c>
      <c r="Y94" s="175">
        <f t="shared" si="14"/>
        <v>87</v>
      </c>
      <c r="Z94" s="175" t="str">
        <f>IF(AA94&lt;&gt;"//",COUNTA($AA$8:AA94)-COUNTIF($AA$8:AA94,"//"),"")</f>
        <v/>
      </c>
      <c r="AA94" s="175" t="str">
        <f t="shared" si="15"/>
        <v>//</v>
      </c>
      <c r="AB94" s="175" t="str">
        <f ca="1">_xlfn.IFNA(IF(COUNTIF('4.1(2)新規再エネ導入予定(FS調査、系統接続検討状況)'!$G:$G,OFFSET($AA$7,MATCH($Y94,$Z$8:$Z$167,0),0))=0,OFFSET($AA$7,MATCH($Y94,$Z$8:$Z$167,0),0),""),"")</f>
        <v/>
      </c>
      <c r="AC94" s="175" t="str">
        <f ca="1">_xlfn.IFNA(IF(COUNTIF('4.1(2)新規再エネ導入予定(合意形成)'!$G:$G,OFFSET($AA$7,MATCH($Y94,$Z$8:$Z$167,0),0))=0,OFFSET($AA$7,MATCH($Y94,$Z$8:$Z$167,0),0),""),"")</f>
        <v/>
      </c>
      <c r="AD94" s="175" t="str">
        <f ca="1">_xlfn.IFNA(OFFSET('4.1(2)新規再エネ導入予定(FS調査、系統接続検討状況)'!$W$1,MATCH(G94,'4.1(2)新規再エネ導入予定(FS調査、系統接続検討状況)'!G:G,0)-1,0),"//")</f>
        <v>//</v>
      </c>
      <c r="AE94" s="262" t="str">
        <f ca="1">_xlfn.IFNA(OFFSET('4.1(2)新規再エネ導入予定(合意形成)'!$AJ$1,MATCH(G94,'4.1(2)新規再エネ導入予定(合意形成)'!G:G,0)-1,0),"//")</f>
        <v>//</v>
      </c>
      <c r="AF94" s="175">
        <f t="shared" ca="1" si="12"/>
        <v>0</v>
      </c>
      <c r="AG94" s="215" t="str" cm="1">
        <f t="array" aca="1" ref="AG94" ca="1">IFERROR(_xlfn.IFS(COUNTIF($AB$8:$AC$167,G94)&gt;0,"",AF94&lt;=1,"D",AF94=2,"C",AF94=3,"B",AF94=4,"A"),"")</f>
        <v/>
      </c>
      <c r="AH94" s="175" t="str">
        <f ca="1">_xlfn.IFNA(OFFSET('4.1(2)新規再エネ導入予定(合意形成)'!$Z$1,MATCH($G94,'4.1(2)新規再エネ導入予定(合意形成)'!$G:$G,0)-1,0),"")</f>
        <v/>
      </c>
      <c r="AI94" s="215" t="str">
        <f t="shared" si="16"/>
        <v/>
      </c>
      <c r="AJ94" s="175" t="str">
        <f t="shared" si="17"/>
        <v/>
      </c>
      <c r="AK94" s="222" t="str">
        <f>IF(V94&lt;&gt;1,"",SUM($V$8:V94))</f>
        <v/>
      </c>
      <c r="AL94" s="175">
        <f t="shared" si="18"/>
        <v>1</v>
      </c>
    </row>
    <row r="95" spans="2:38">
      <c r="F95" s="734"/>
      <c r="G95" s="734"/>
      <c r="H95" s="734"/>
      <c r="I95" s="734"/>
      <c r="J95" s="734"/>
      <c r="K95" s="734"/>
      <c r="L95" s="749"/>
      <c r="M95" s="734"/>
      <c r="N95" s="739"/>
      <c r="O95" s="803"/>
      <c r="P95" s="734"/>
      <c r="X95" s="222" t="s">
        <v>411</v>
      </c>
      <c r="Y95" s="175">
        <f t="shared" si="14"/>
        <v>88</v>
      </c>
      <c r="Z95" s="175" t="str">
        <f>IF(AA95&lt;&gt;"//",COUNTA($AA$8:AA95)-COUNTIF($AA$8:AA95,"//"),"")</f>
        <v/>
      </c>
      <c r="AA95" s="175" t="str">
        <f t="shared" si="15"/>
        <v>//</v>
      </c>
      <c r="AB95" s="175" t="str">
        <f ca="1">_xlfn.IFNA(IF(COUNTIF('4.1(2)新規再エネ導入予定(FS調査、系統接続検討状況)'!$G:$G,OFFSET($AA$7,MATCH($Y95,$Z$8:$Z$167,0),0))=0,OFFSET($AA$7,MATCH($Y95,$Z$8:$Z$167,0),0),""),"")</f>
        <v/>
      </c>
      <c r="AC95" s="175" t="str">
        <f ca="1">_xlfn.IFNA(IF(COUNTIF('4.1(2)新規再エネ導入予定(合意形成)'!$G:$G,OFFSET($AA$7,MATCH($Y95,$Z$8:$Z$167,0),0))=0,OFFSET($AA$7,MATCH($Y95,$Z$8:$Z$167,0),0),""),"")</f>
        <v/>
      </c>
      <c r="AD95" s="175" t="str">
        <f ca="1">_xlfn.IFNA(OFFSET('4.1(2)新規再エネ導入予定(FS調査、系統接続検討状況)'!$W$1,MATCH(G95,'4.1(2)新規再エネ導入予定(FS調査、系統接続検討状況)'!G:G,0)-1,0),"//")</f>
        <v>//</v>
      </c>
      <c r="AE95" s="262" t="str">
        <f ca="1">_xlfn.IFNA(OFFSET('4.1(2)新規再エネ導入予定(合意形成)'!$AJ$1,MATCH(G95,'4.1(2)新規再エネ導入予定(合意形成)'!G:G,0)-1,0),"//")</f>
        <v>//</v>
      </c>
      <c r="AF95" s="175">
        <f t="shared" ca="1" si="12"/>
        <v>0</v>
      </c>
      <c r="AG95" s="215" t="str" cm="1">
        <f t="array" aca="1" ref="AG95" ca="1">IFERROR(_xlfn.IFS(COUNTIF($AB$8:$AC$167,G95)&gt;0,"",AF95&lt;=1,"D",AF95=2,"C",AF95=3,"B",AF95=4,"A"),"")</f>
        <v/>
      </c>
      <c r="AH95" s="175" t="str">
        <f ca="1">_xlfn.IFNA(OFFSET('4.1(2)新規再エネ導入予定(合意形成)'!$Z$1,MATCH($G95,'4.1(2)新規再エネ導入予定(合意形成)'!$G:$G,0)-1,0),"")</f>
        <v/>
      </c>
      <c r="AI95" s="215" t="str">
        <f t="shared" si="16"/>
        <v/>
      </c>
      <c r="AJ95" s="175" t="str">
        <f t="shared" si="17"/>
        <v/>
      </c>
      <c r="AK95" s="222" t="str">
        <f>IF(V95&lt;&gt;1,"",SUM($V$8:V95))</f>
        <v/>
      </c>
      <c r="AL95" s="175">
        <f t="shared" si="18"/>
        <v>1</v>
      </c>
    </row>
    <row r="96" spans="2:38" ht="9.75" customHeight="1">
      <c r="D96" s="14"/>
      <c r="E96" s="460"/>
      <c r="F96" s="460"/>
      <c r="G96" s="804"/>
      <c r="H96" s="460"/>
      <c r="I96" s="460"/>
      <c r="J96" s="460"/>
      <c r="K96" s="460"/>
      <c r="L96" s="746"/>
      <c r="M96" s="460"/>
      <c r="N96" s="740"/>
      <c r="O96" s="762"/>
      <c r="P96" s="460"/>
      <c r="Q96" s="463"/>
      <c r="R96" s="762"/>
      <c r="S96" s="460"/>
      <c r="T96" s="763"/>
      <c r="X96" s="222" t="s">
        <v>412</v>
      </c>
      <c r="Y96" s="175">
        <f t="shared" si="14"/>
        <v>89</v>
      </c>
      <c r="Z96" s="175" t="str">
        <f>IF(AA96&lt;&gt;"//",COUNTA($AA$8:AA96)-COUNTIF($AA$8:AA96,"//"),"")</f>
        <v/>
      </c>
      <c r="AA96" s="175" t="str">
        <f t="shared" si="15"/>
        <v>//</v>
      </c>
      <c r="AB96" s="175" t="str">
        <f ca="1">_xlfn.IFNA(IF(COUNTIF('4.1(2)新規再エネ導入予定(FS調査、系統接続検討状況)'!$G:$G,OFFSET($AA$7,MATCH($Y96,$Z$8:$Z$167,0),0))=0,OFFSET($AA$7,MATCH($Y96,$Z$8:$Z$167,0),0),""),"")</f>
        <v/>
      </c>
      <c r="AC96" s="175" t="str">
        <f ca="1">_xlfn.IFNA(IF(COUNTIF('4.1(2)新規再エネ導入予定(合意形成)'!$G:$G,OFFSET($AA$7,MATCH($Y96,$Z$8:$Z$167,0),0))=0,OFFSET($AA$7,MATCH($Y96,$Z$8:$Z$167,0),0),""),"")</f>
        <v/>
      </c>
      <c r="AD96" s="175" t="str">
        <f ca="1">_xlfn.IFNA(OFFSET('4.1(2)新規再エネ導入予定(FS調査、系統接続検討状況)'!$W$1,MATCH(G96,'4.1(2)新規再エネ導入予定(FS調査、系統接続検討状況)'!G:G,0)-1,0),"//")</f>
        <v>//</v>
      </c>
      <c r="AE96" s="262" t="str">
        <f ca="1">_xlfn.IFNA(OFFSET('4.1(2)新規再エネ導入予定(合意形成)'!$AJ$1,MATCH(G96,'4.1(2)新規再エネ導入予定(合意形成)'!G:G,0)-1,0),"//")</f>
        <v>//</v>
      </c>
      <c r="AF96" s="175">
        <f t="shared" ca="1" si="12"/>
        <v>0</v>
      </c>
      <c r="AG96" s="215" t="str" cm="1">
        <f t="array" aca="1" ref="AG96" ca="1">IFERROR(_xlfn.IFS(COUNTIF($AB$8:$AC$167,G96)&gt;0,"",AF96&lt;=1,"D",AF96=2,"C",AF96=3,"B",AF96=4,"A"),"")</f>
        <v/>
      </c>
      <c r="AH96" s="175" t="str">
        <f ca="1">_xlfn.IFNA(OFFSET('4.1(2)新規再エネ導入予定(合意形成)'!$Z$1,MATCH($G96,'4.1(2)新規再エネ導入予定(合意形成)'!$G:$G,0)-1,0),"")</f>
        <v/>
      </c>
      <c r="AI96" s="215" t="str">
        <f t="shared" si="16"/>
        <v/>
      </c>
      <c r="AJ96" s="175" t="str">
        <f t="shared" si="17"/>
        <v/>
      </c>
      <c r="AK96" s="222" t="str">
        <f>IF(V96&lt;&gt;1,"",SUM($V$8:V96))</f>
        <v/>
      </c>
      <c r="AL96" s="175">
        <f t="shared" si="18"/>
        <v>1</v>
      </c>
    </row>
    <row r="97" spans="2:38" ht="29">
      <c r="D97" s="237" t="s">
        <v>285</v>
      </c>
      <c r="F97" s="805"/>
      <c r="G97" s="806"/>
      <c r="N97" s="741"/>
      <c r="S97" s="323"/>
      <c r="T97" s="764"/>
      <c r="X97" s="222" t="s">
        <v>412</v>
      </c>
      <c r="Y97" s="175">
        <f t="shared" si="14"/>
        <v>90</v>
      </c>
      <c r="Z97" s="175" t="str">
        <f>IF(AA97&lt;&gt;"//",COUNTA($AA$8:AA97)-COUNTIF($AA$8:AA97,"//"),"")</f>
        <v/>
      </c>
      <c r="AA97" s="175" t="str">
        <f t="shared" si="15"/>
        <v>//</v>
      </c>
      <c r="AB97" s="175" t="str">
        <f ca="1">_xlfn.IFNA(IF(COUNTIF('4.1(2)新規再エネ導入予定(FS調査、系統接続検討状況)'!$G:$G,OFFSET($AA$7,MATCH($Y97,$Z$8:$Z$167,0),0))=0,OFFSET($AA$7,MATCH($Y97,$Z$8:$Z$167,0),0),""),"")</f>
        <v/>
      </c>
      <c r="AC97" s="175" t="str">
        <f ca="1">_xlfn.IFNA(IF(COUNTIF('4.1(2)新規再エネ導入予定(合意形成)'!$G:$G,OFFSET($AA$7,MATCH($Y97,$Z$8:$Z$167,0),0))=0,OFFSET($AA$7,MATCH($Y97,$Z$8:$Z$167,0),0),""),"")</f>
        <v/>
      </c>
      <c r="AD97" s="175" t="str">
        <f ca="1">_xlfn.IFNA(OFFSET('4.1(2)新規再エネ導入予定(FS調査、系統接続検討状況)'!$W$1,MATCH(G97,'4.1(2)新規再エネ導入予定(FS調査、系統接続検討状況)'!G:G,0)-1,0),"//")</f>
        <v>//</v>
      </c>
      <c r="AE97" s="262" t="str">
        <f ca="1">_xlfn.IFNA(OFFSET('4.1(2)新規再エネ導入予定(合意形成)'!$AJ$1,MATCH(G97,'4.1(2)新規再エネ導入予定(合意形成)'!G:G,0)-1,0),"//")</f>
        <v>//</v>
      </c>
      <c r="AF97" s="175">
        <f t="shared" ca="1" si="12"/>
        <v>0</v>
      </c>
      <c r="AG97" s="215" t="str" cm="1">
        <f t="array" aca="1" ref="AG97" ca="1">IFERROR(_xlfn.IFS(COUNTIF($AB$8:$AC$167,G97)&gt;0,"",AF97&lt;=1,"D",AF97=2,"C",AF97=3,"B",AF97=4,"A"),"")</f>
        <v/>
      </c>
      <c r="AH97" s="175" t="str">
        <f ca="1">_xlfn.IFNA(OFFSET('4.1(2)新規再エネ導入予定(合意形成)'!$Z$1,MATCH($G97,'4.1(2)新規再エネ導入予定(合意形成)'!$G:$G,0)-1,0),"")</f>
        <v/>
      </c>
      <c r="AI97" s="215" t="str">
        <f t="shared" si="16"/>
        <v/>
      </c>
      <c r="AJ97" s="175" t="str">
        <f t="shared" si="17"/>
        <v/>
      </c>
      <c r="AK97" s="222" t="str">
        <f>IF(V97&lt;&gt;1,"",SUM($V$8:V97))</f>
        <v/>
      </c>
      <c r="AL97" s="175">
        <f t="shared" si="18"/>
        <v>1</v>
      </c>
    </row>
    <row r="98" spans="2:38" ht="51.75" customHeight="1">
      <c r="D98" s="16"/>
      <c r="E98" s="824"/>
      <c r="F98" s="891" t="s">
        <v>8</v>
      </c>
      <c r="G98" s="735" t="s">
        <v>185</v>
      </c>
      <c r="H98" s="735" t="s">
        <v>180</v>
      </c>
      <c r="I98" s="735" t="s">
        <v>9</v>
      </c>
      <c r="J98" s="735" t="s">
        <v>10</v>
      </c>
      <c r="K98" s="808" t="s">
        <v>11</v>
      </c>
      <c r="L98" s="750" t="s">
        <v>31</v>
      </c>
      <c r="M98" s="735" t="s">
        <v>13</v>
      </c>
      <c r="N98" s="742" t="s">
        <v>82</v>
      </c>
      <c r="O98" s="735" t="s">
        <v>191</v>
      </c>
      <c r="P98" s="735" t="s">
        <v>81</v>
      </c>
      <c r="Q98" s="736" t="s">
        <v>83</v>
      </c>
      <c r="R98" s="735" t="s">
        <v>14</v>
      </c>
      <c r="S98" s="735" t="s">
        <v>297</v>
      </c>
      <c r="T98" s="764"/>
      <c r="V98" s="434" t="s">
        <v>193</v>
      </c>
      <c r="X98" s="222" t="s">
        <v>412</v>
      </c>
      <c r="Y98" s="175">
        <f t="shared" si="14"/>
        <v>91</v>
      </c>
      <c r="Z98" s="175" t="str">
        <f>IF(AA98&lt;&gt;"//",COUNTA($AA$8:AA98)-COUNTIF($AA$8:AA98,"//"),"")</f>
        <v/>
      </c>
      <c r="AA98" s="175" t="str">
        <f t="shared" si="15"/>
        <v>//</v>
      </c>
      <c r="AB98" s="175" t="str">
        <f ca="1">_xlfn.IFNA(IF(COUNTIF('4.1(2)新規再エネ導入予定(FS調査、系統接続検討状況)'!$G:$G,OFFSET($AA$7,MATCH($Y98,$Z$8:$Z$167,0),0))=0,OFFSET($AA$7,MATCH($Y98,$Z$8:$Z$167,0),0),""),"")</f>
        <v/>
      </c>
      <c r="AC98" s="175" t="str">
        <f ca="1">_xlfn.IFNA(IF(COUNTIF('4.1(2)新規再エネ導入予定(合意形成)'!$G:$G,OFFSET($AA$7,MATCH($Y98,$Z$8:$Z$167,0),0))=0,OFFSET($AA$7,MATCH($Y98,$Z$8:$Z$167,0),0),""),"")</f>
        <v/>
      </c>
      <c r="AD98" s="175" t="str">
        <f ca="1">_xlfn.IFNA(OFFSET('4.1(2)新規再エネ導入予定(FS調査、系統接続検討状況)'!$W$1,MATCH(G98,'4.1(2)新規再エネ導入予定(FS調査、系統接続検討状況)'!G:G,0)-1,0),"//")</f>
        <v>採点</v>
      </c>
      <c r="AE98" s="262" t="str">
        <f ca="1">_xlfn.IFNA(OFFSET('4.1(2)新規再エネ導入予定(合意形成)'!$AJ$1,MATCH(G98,'4.1(2)新規再エネ導入予定(合意形成)'!G:G,0)-1,0),"//")</f>
        <v>施設
スコア</v>
      </c>
      <c r="AF98" s="175">
        <f t="shared" ca="1" si="12"/>
        <v>0</v>
      </c>
      <c r="AG98" s="215" t="str" cm="1">
        <f t="array" aca="1" ref="AG98" ca="1">IFERROR(_xlfn.IFS(COUNTIF($AB$8:$AC$167,G98)&gt;0,"",AF98&lt;=1,"D",AF98=2,"C",AF98=3,"B",AF98=4,"A"),"")</f>
        <v>D</v>
      </c>
      <c r="AH98" s="175" t="str">
        <f ca="1">_xlfn.IFNA(OFFSET('4.1(2)新規再エネ導入予定(合意形成)'!$Z$1,MATCH($G98,'4.1(2)新規再エネ導入予定(合意形成)'!$G:$G,0)-1,0),"")</f>
        <v>代表者数</v>
      </c>
      <c r="AI98" s="215" t="str">
        <f t="shared" ca="1" si="16"/>
        <v>D</v>
      </c>
      <c r="AJ98" s="175">
        <f t="shared" si="17"/>
        <v>1</v>
      </c>
      <c r="AK98" s="222" t="str">
        <f>IF(V98&lt;&gt;1,"",SUM($V$8:V98))</f>
        <v/>
      </c>
      <c r="AL98" s="175">
        <f t="shared" si="18"/>
        <v>1</v>
      </c>
    </row>
    <row r="99" spans="2:38" s="11" customFormat="1" ht="20" hidden="1">
      <c r="B99" s="21"/>
      <c r="C99" s="21"/>
      <c r="D99" s="22"/>
      <c r="E99" s="825"/>
      <c r="F99" s="774"/>
      <c r="G99" s="775"/>
      <c r="H99" s="776"/>
      <c r="I99" s="776"/>
      <c r="J99" s="777"/>
      <c r="K99" s="777"/>
      <c r="L99" s="894"/>
      <c r="M99" s="895"/>
      <c r="N99" s="900"/>
      <c r="O99" s="791"/>
      <c r="P99" s="895"/>
      <c r="Q99" s="901"/>
      <c r="R99" s="791"/>
      <c r="S99" s="778" t="str">
        <f>IF(G99="","",AG99)</f>
        <v/>
      </c>
      <c r="T99" s="779"/>
      <c r="U99" s="114"/>
      <c r="V99" s="780"/>
      <c r="X99" s="125" t="s">
        <v>412</v>
      </c>
      <c r="Y99" s="255">
        <f t="shared" si="14"/>
        <v>92</v>
      </c>
      <c r="Z99" s="255" t="str">
        <f>IF(AA99&lt;&gt;"//",COUNTA($AA$8:AA99)-COUNTIF($AA$8:AA99,"//"),"")</f>
        <v/>
      </c>
      <c r="AA99" s="255" t="str">
        <f t="shared" si="15"/>
        <v>//</v>
      </c>
      <c r="AB99" s="255" t="str">
        <f ca="1">_xlfn.IFNA(IF(COUNTIF('4.1(2)新規再エネ導入予定(FS調査、系統接続検討状況)'!$G:$G,OFFSET($AA$7,MATCH($Y99,$Z$8:$Z$167,0),0))=0,OFFSET($AA$7,MATCH($Y99,$Z$8:$Z$167,0),0),""),"")</f>
        <v/>
      </c>
      <c r="AC99" s="255" t="str">
        <f ca="1">_xlfn.IFNA(IF(COUNTIF('4.1(2)新規再エネ導入予定(合意形成)'!$G:$G,OFFSET($AA$7,MATCH($Y99,$Z$8:$Z$167,0),0))=0,OFFSET($AA$7,MATCH($Y99,$Z$8:$Z$167,0),0),""),"")</f>
        <v/>
      </c>
      <c r="AD99" s="255" t="str">
        <f ca="1">_xlfn.IFNA(OFFSET('4.1(2)新規再エネ導入予定(FS調査、系統接続検討状況)'!$W$1,MATCH(G99,'4.1(2)新規再エネ導入予定(FS調査、系統接続検討状況)'!G:G,0)-1,0),"//")</f>
        <v>//</v>
      </c>
      <c r="AE99" s="277" t="str">
        <f ca="1">_xlfn.IFNA(OFFSET('4.1(2)新規再エネ導入予定(合意形成)'!$AJ$1,MATCH(G99,'4.1(2)新規再エネ導入予定(合意形成)'!G:G,0)-1,0),"//")</f>
        <v>//</v>
      </c>
      <c r="AF99" s="255">
        <f t="shared" ca="1" si="12"/>
        <v>0</v>
      </c>
      <c r="AG99" s="129" t="str" cm="1">
        <f t="array" aca="1" ref="AG99" ca="1">IFERROR(_xlfn.IFS(COUNTIF($AB$8:$AC$167,G99)&gt;0,"",AF99&lt;=1,"D",AF99=2,"C",AF99=3,"B",AF99=4,"A"),"")</f>
        <v/>
      </c>
      <c r="AH99" s="255" t="str">
        <f ca="1">_xlfn.IFNA(OFFSET('4.1(2)新規再エネ導入予定(合意形成)'!$Z$1,MATCH($G99,'4.1(2)新規再エネ導入予定(合意形成)'!$G:$G,0)-1,0),"")</f>
        <v/>
      </c>
      <c r="AI99" s="129" t="str">
        <f t="shared" si="16"/>
        <v/>
      </c>
      <c r="AJ99" s="255" t="str">
        <f t="shared" si="17"/>
        <v/>
      </c>
      <c r="AK99" s="125" t="str">
        <f>IF(V99&lt;&gt;1,"",SUM($V$8:V99))</f>
        <v/>
      </c>
      <c r="AL99" s="255">
        <f t="shared" si="18"/>
        <v>1</v>
      </c>
    </row>
    <row r="100" spans="2:38" s="11" customFormat="1" ht="20">
      <c r="B100" s="21"/>
      <c r="C100" s="21"/>
      <c r="D100" s="22"/>
      <c r="E100" s="825"/>
      <c r="F100" s="781"/>
      <c r="G100" s="782"/>
      <c r="H100" s="783"/>
      <c r="I100" s="783"/>
      <c r="J100" s="784"/>
      <c r="K100" s="784"/>
      <c r="L100" s="724"/>
      <c r="M100" s="897"/>
      <c r="N100" s="900"/>
      <c r="O100" s="788"/>
      <c r="P100" s="897"/>
      <c r="Q100" s="901"/>
      <c r="R100" s="788"/>
      <c r="S100" s="786" t="str">
        <f>IF(G100="","",AG100)</f>
        <v/>
      </c>
      <c r="T100" s="779"/>
      <c r="U100" s="114"/>
      <c r="V100" s="787" t="str">
        <f>IF(H100&lt;&gt;"",1,"")</f>
        <v/>
      </c>
      <c r="X100" s="125" t="s">
        <v>412</v>
      </c>
      <c r="Y100" s="255">
        <f t="shared" si="14"/>
        <v>93</v>
      </c>
      <c r="Z100" s="255" t="str">
        <f>IF(AA100&lt;&gt;"//",COUNTA($AA$8:AA100)-COUNTIF($AA$8:AA100,"//"),"")</f>
        <v/>
      </c>
      <c r="AA100" s="255" t="str">
        <f t="shared" si="15"/>
        <v>//</v>
      </c>
      <c r="AB100" s="255" t="str">
        <f ca="1">_xlfn.IFNA(IF(COUNTIF('4.1(2)新規再エネ導入予定(FS調査、系統接続検討状況)'!$G:$G,OFFSET($AA$7,MATCH($Y100,$Z$8:$Z$167,0),0))=0,OFFSET($AA$7,MATCH($Y100,$Z$8:$Z$167,0),0),""),"")</f>
        <v/>
      </c>
      <c r="AC100" s="255" t="str">
        <f ca="1">_xlfn.IFNA(IF(COUNTIF('4.1(2)新規再エネ導入予定(合意形成)'!$G:$G,OFFSET($AA$7,MATCH($Y100,$Z$8:$Z$167,0),0))=0,OFFSET($AA$7,MATCH($Y100,$Z$8:$Z$167,0),0),""),"")</f>
        <v/>
      </c>
      <c r="AD100" s="255" t="str">
        <f ca="1">_xlfn.IFNA(OFFSET('4.1(2)新規再エネ導入予定(FS調査、系統接続検討状況)'!$W$1,MATCH(G100,'4.1(2)新規再エネ導入予定(FS調査、系統接続検討状況)'!G:G,0)-1,0),"//")</f>
        <v>//</v>
      </c>
      <c r="AE100" s="277" t="str">
        <f ca="1">_xlfn.IFNA(OFFSET('4.1(2)新規再エネ導入予定(合意形成)'!$AJ$1,MATCH(G100,'4.1(2)新規再エネ導入予定(合意形成)'!G:G,0)-1,0),"//")</f>
        <v>//</v>
      </c>
      <c r="AF100" s="255">
        <f t="shared" ca="1" si="12"/>
        <v>0</v>
      </c>
      <c r="AG100" s="129" t="str" cm="1">
        <f t="array" aca="1" ref="AG100" ca="1">IFERROR(_xlfn.IFS(COUNTIF($AB$8:$AC$167,G100)&gt;0,"",AF100&lt;=1,"D",AF100=2,"C",AF100=3,"B",AF100=4,"A"),"")</f>
        <v/>
      </c>
      <c r="AH100" s="255" t="str">
        <f ca="1">_xlfn.IFNA(OFFSET('4.1(2)新規再エネ導入予定(合意形成)'!$Z$1,MATCH($G100,'4.1(2)新規再エネ導入予定(合意形成)'!$G:$G,0)-1,0),"")</f>
        <v/>
      </c>
      <c r="AI100" s="129" t="str">
        <f t="shared" si="16"/>
        <v/>
      </c>
      <c r="AJ100" s="255" t="str">
        <f t="shared" si="17"/>
        <v/>
      </c>
      <c r="AK100" s="125" t="str">
        <f>IF(V100&lt;&gt;1,"",SUM($V$8:V100))</f>
        <v/>
      </c>
      <c r="AL100" s="255">
        <f t="shared" si="18"/>
        <v>1</v>
      </c>
    </row>
    <row r="101" spans="2:38" s="11" customFormat="1" ht="20">
      <c r="B101" s="21"/>
      <c r="C101" s="21"/>
      <c r="D101" s="22"/>
      <c r="E101" s="825"/>
      <c r="F101" s="781"/>
      <c r="G101" s="782"/>
      <c r="H101" s="783"/>
      <c r="I101" s="783"/>
      <c r="J101" s="784"/>
      <c r="K101" s="784"/>
      <c r="L101" s="724"/>
      <c r="M101" s="897"/>
      <c r="N101" s="900"/>
      <c r="O101" s="788"/>
      <c r="P101" s="897"/>
      <c r="Q101" s="901"/>
      <c r="R101" s="788"/>
      <c r="S101" s="786" t="str">
        <f>IF(G101="","",AG101)</f>
        <v/>
      </c>
      <c r="T101" s="779"/>
      <c r="U101" s="114"/>
      <c r="V101" s="787" t="str">
        <f>IF(H101&lt;&gt;"",1,"")</f>
        <v/>
      </c>
      <c r="X101" s="125" t="s">
        <v>412</v>
      </c>
      <c r="Y101" s="255">
        <f t="shared" si="14"/>
        <v>94</v>
      </c>
      <c r="Z101" s="255" t="str">
        <f>IF(AA101&lt;&gt;"//",COUNTA($AA$8:AA101)-COUNTIF($AA$8:AA101,"//"),"")</f>
        <v/>
      </c>
      <c r="AA101" s="255" t="str">
        <f t="shared" si="15"/>
        <v>//</v>
      </c>
      <c r="AB101" s="255" t="str">
        <f ca="1">_xlfn.IFNA(IF(COUNTIF('4.1(2)新規再エネ導入予定(FS調査、系統接続検討状況)'!$G:$G,OFFSET($AA$7,MATCH($Y101,$Z$8:$Z$167,0),0))=0,OFFSET($AA$7,MATCH($Y101,$Z$8:$Z$167,0),0),""),"")</f>
        <v/>
      </c>
      <c r="AC101" s="255" t="str">
        <f ca="1">_xlfn.IFNA(IF(COUNTIF('4.1(2)新規再エネ導入予定(合意形成)'!$G:$G,OFFSET($AA$7,MATCH($Y101,$Z$8:$Z$167,0),0))=0,OFFSET($AA$7,MATCH($Y101,$Z$8:$Z$167,0),0),""),"")</f>
        <v/>
      </c>
      <c r="AD101" s="255" t="str">
        <f ca="1">_xlfn.IFNA(OFFSET('4.1(2)新規再エネ導入予定(FS調査、系統接続検討状況)'!$W$1,MATCH(G101,'4.1(2)新規再エネ導入予定(FS調査、系統接続検討状況)'!G:G,0)-1,0),"//")</f>
        <v>//</v>
      </c>
      <c r="AE101" s="277" t="str">
        <f ca="1">_xlfn.IFNA(OFFSET('4.1(2)新規再エネ導入予定(合意形成)'!$AJ$1,MATCH(G101,'4.1(2)新規再エネ導入予定(合意形成)'!G:G,0)-1,0),"//")</f>
        <v>//</v>
      </c>
      <c r="AF101" s="255">
        <f t="shared" ca="1" si="12"/>
        <v>0</v>
      </c>
      <c r="AG101" s="129" t="str" cm="1">
        <f t="array" aca="1" ref="AG101" ca="1">IFERROR(_xlfn.IFS(COUNTIF($AB$8:$AC$167,G101)&gt;0,"",AF101&lt;=1,"D",AF101=2,"C",AF101=3,"B",AF101=4,"A"),"")</f>
        <v/>
      </c>
      <c r="AH101" s="255" t="str">
        <f ca="1">_xlfn.IFNA(OFFSET('4.1(2)新規再エネ導入予定(合意形成)'!$Z$1,MATCH($G101,'4.1(2)新規再エネ導入予定(合意形成)'!$G:$G,0)-1,0),"")</f>
        <v/>
      </c>
      <c r="AI101" s="129" t="str">
        <f t="shared" si="16"/>
        <v/>
      </c>
      <c r="AJ101" s="255" t="str">
        <f t="shared" si="17"/>
        <v/>
      </c>
      <c r="AK101" s="125" t="str">
        <f>IF(V101&lt;&gt;1,"",SUM($V$8:V101))</f>
        <v/>
      </c>
      <c r="AL101" s="255">
        <f t="shared" si="18"/>
        <v>1</v>
      </c>
    </row>
    <row r="102" spans="2:38" s="11" customFormat="1" ht="20">
      <c r="B102" s="21"/>
      <c r="C102" s="21"/>
      <c r="D102" s="22"/>
      <c r="E102" s="825"/>
      <c r="F102" s="781"/>
      <c r="G102" s="782"/>
      <c r="H102" s="783"/>
      <c r="I102" s="783"/>
      <c r="J102" s="784"/>
      <c r="K102" s="784"/>
      <c r="L102" s="724"/>
      <c r="M102" s="727"/>
      <c r="N102" s="900"/>
      <c r="O102" s="788"/>
      <c r="P102" s="897"/>
      <c r="Q102" s="901"/>
      <c r="R102" s="788"/>
      <c r="S102" s="786" t="str">
        <f>IF(G102="","",AG102)</f>
        <v/>
      </c>
      <c r="T102" s="779"/>
      <c r="U102" s="114"/>
      <c r="V102" s="787" t="str">
        <f>IF(H102&lt;&gt;"",1,"")</f>
        <v/>
      </c>
      <c r="X102" s="125" t="s">
        <v>412</v>
      </c>
      <c r="Y102" s="255">
        <f t="shared" si="14"/>
        <v>95</v>
      </c>
      <c r="Z102" s="255" t="str">
        <f>IF(AA102&lt;&gt;"//",COUNTA($AA$8:AA102)-COUNTIF($AA$8:AA102,"//"),"")</f>
        <v/>
      </c>
      <c r="AA102" s="255" t="str">
        <f t="shared" si="15"/>
        <v>//</v>
      </c>
      <c r="AB102" s="255" t="str">
        <f ca="1">_xlfn.IFNA(IF(COUNTIF('4.1(2)新規再エネ導入予定(FS調査、系統接続検討状況)'!$G:$G,OFFSET($AA$7,MATCH($Y102,$Z$8:$Z$167,0),0))=0,OFFSET($AA$7,MATCH($Y102,$Z$8:$Z$167,0),0),""),"")</f>
        <v/>
      </c>
      <c r="AC102" s="255" t="str">
        <f ca="1">_xlfn.IFNA(IF(COUNTIF('4.1(2)新規再エネ導入予定(合意形成)'!$G:$G,OFFSET($AA$7,MATCH($Y102,$Z$8:$Z$167,0),0))=0,OFFSET($AA$7,MATCH($Y102,$Z$8:$Z$167,0),0),""),"")</f>
        <v/>
      </c>
      <c r="AD102" s="255" t="str">
        <f ca="1">_xlfn.IFNA(OFFSET('4.1(2)新規再エネ導入予定(FS調査、系統接続検討状況)'!$W$1,MATCH(G102,'4.1(2)新規再エネ導入予定(FS調査、系統接続検討状況)'!G:G,0)-1,0),"//")</f>
        <v>//</v>
      </c>
      <c r="AE102" s="277" t="str">
        <f ca="1">_xlfn.IFNA(OFFSET('4.1(2)新規再エネ導入予定(合意形成)'!$AJ$1,MATCH(G102,'4.1(2)新規再エネ導入予定(合意形成)'!G:G,0)-1,0),"//")</f>
        <v>//</v>
      </c>
      <c r="AF102" s="255">
        <f t="shared" ca="1" si="12"/>
        <v>0</v>
      </c>
      <c r="AG102" s="129" t="str" cm="1">
        <f t="array" aca="1" ref="AG102" ca="1">IFERROR(_xlfn.IFS(COUNTIF($AB$8:$AC$167,G102)&gt;0,"",AF102&lt;=1,"D",AF102=2,"C",AF102=3,"B",AF102=4,"A"),"")</f>
        <v/>
      </c>
      <c r="AH102" s="255" t="str">
        <f ca="1">_xlfn.IFNA(OFFSET('4.1(2)新規再エネ導入予定(合意形成)'!$Z$1,MATCH($G102,'4.1(2)新規再エネ導入予定(合意形成)'!$G:$G,0)-1,0),"")</f>
        <v/>
      </c>
      <c r="AI102" s="129" t="str">
        <f t="shared" si="16"/>
        <v/>
      </c>
      <c r="AJ102" s="255" t="str">
        <f t="shared" si="17"/>
        <v/>
      </c>
      <c r="AK102" s="125" t="str">
        <f>IF(V102&lt;&gt;1,"",SUM($V$8:V102))</f>
        <v/>
      </c>
      <c r="AL102" s="255">
        <f t="shared" si="18"/>
        <v>1</v>
      </c>
    </row>
    <row r="103" spans="2:38" ht="20">
      <c r="D103" s="16"/>
      <c r="E103" s="826"/>
      <c r="F103" s="809" t="s">
        <v>26</v>
      </c>
      <c r="G103" s="795"/>
      <c r="H103" s="795"/>
      <c r="I103" s="795"/>
      <c r="J103" s="795"/>
      <c r="K103" s="795"/>
      <c r="L103" s="751"/>
      <c r="M103" s="499">
        <f ca="1">SUM(INDIRECT("M"&amp;ROW(M98)&amp;":M"&amp;ROW()-1))</f>
        <v>0</v>
      </c>
      <c r="N103" s="743"/>
      <c r="O103" s="810"/>
      <c r="P103" s="703">
        <f ca="1">SUM(INDIRECT("P"&amp;ROW(P98)&amp;":P"&amp;ROW()-1))</f>
        <v>0</v>
      </c>
      <c r="Q103" s="737"/>
      <c r="R103" s="799"/>
      <c r="S103" s="796"/>
      <c r="T103" s="764"/>
      <c r="V103" s="222" t="str">
        <f t="shared" ref="V103" si="20">IF(H103&lt;&gt;"",1,"")</f>
        <v/>
      </c>
      <c r="X103" s="222" t="s">
        <v>412</v>
      </c>
      <c r="Y103" s="175">
        <f t="shared" si="14"/>
        <v>96</v>
      </c>
      <c r="Z103" s="175" t="str">
        <f>IF(AA103&lt;&gt;"//",COUNTA($AA$8:AA103)-COUNTIF($AA$8:AA103,"//"),"")</f>
        <v/>
      </c>
      <c r="AA103" s="175" t="str">
        <f t="shared" si="15"/>
        <v>//</v>
      </c>
      <c r="AB103" s="175" t="str">
        <f ca="1">_xlfn.IFNA(IF(COUNTIF('4.1(2)新規再エネ導入予定(FS調査、系統接続検討状況)'!$G:$G,OFFSET($AA$7,MATCH($Y103,$Z$8:$Z$167,0),0))=0,OFFSET($AA$7,MATCH($Y103,$Z$8:$Z$167,0),0),""),"")</f>
        <v/>
      </c>
      <c r="AC103" s="175" t="str">
        <f ca="1">_xlfn.IFNA(IF(COUNTIF('4.1(2)新規再エネ導入予定(合意形成)'!$G:$G,OFFSET($AA$7,MATCH($Y103,$Z$8:$Z$167,0),0))=0,OFFSET($AA$7,MATCH($Y103,$Z$8:$Z$167,0),0),""),"")</f>
        <v/>
      </c>
      <c r="AD103" s="175" t="str">
        <f ca="1">_xlfn.IFNA(OFFSET('4.1(2)新規再エネ導入予定(FS調査、系統接続検討状況)'!$W$1,MATCH(G103,'4.1(2)新規再エネ導入予定(FS調査、系統接続検討状況)'!G:G,0)-1,0),"//")</f>
        <v>//</v>
      </c>
      <c r="AE103" s="262" t="str">
        <f ca="1">_xlfn.IFNA(OFFSET('4.1(2)新規再エネ導入予定(合意形成)'!$AJ$1,MATCH(G103,'4.1(2)新規再エネ導入予定(合意形成)'!G:G,0)-1,0),"//")</f>
        <v>//</v>
      </c>
      <c r="AF103" s="175">
        <f t="shared" ca="1" si="12"/>
        <v>0</v>
      </c>
      <c r="AG103" s="215" t="str" cm="1">
        <f t="array" aca="1" ref="AG103" ca="1">IFERROR(_xlfn.IFS(COUNTIF($AB$8:$AC$167,G103)&gt;0,"",AF103&lt;=1,"D",AF103=2,"C",AF103=3,"B",AF103=4,"A"),"")</f>
        <v/>
      </c>
      <c r="AH103" s="175" t="str">
        <f ca="1">_xlfn.IFNA(OFFSET('4.1(2)新規再エネ導入予定(合意形成)'!$Z$1,MATCH($G103,'4.1(2)新規再エネ導入予定(合意形成)'!$G:$G,0)-1,0),"")</f>
        <v/>
      </c>
      <c r="AI103" s="215" t="str">
        <f t="shared" si="16"/>
        <v/>
      </c>
      <c r="AJ103" s="175" t="str">
        <f t="shared" si="17"/>
        <v/>
      </c>
      <c r="AK103" s="222" t="str">
        <f>IF(V103&lt;&gt;1,"",SUM($V$8:V103))</f>
        <v/>
      </c>
      <c r="AL103" s="175">
        <f t="shared" si="18"/>
        <v>1</v>
      </c>
    </row>
    <row r="104" spans="2:38">
      <c r="D104" s="46"/>
      <c r="E104" s="467"/>
      <c r="F104" s="467"/>
      <c r="G104" s="467"/>
      <c r="H104" s="467"/>
      <c r="I104" s="467"/>
      <c r="J104" s="467"/>
      <c r="K104" s="467"/>
      <c r="L104" s="752"/>
      <c r="M104" s="467"/>
      <c r="N104" s="470"/>
      <c r="O104" s="801"/>
      <c r="P104" s="467"/>
      <c r="Q104" s="470"/>
      <c r="R104" s="801"/>
      <c r="S104" s="467"/>
      <c r="T104" s="802"/>
      <c r="X104" s="222" t="s">
        <v>412</v>
      </c>
      <c r="Y104" s="175">
        <f t="shared" si="14"/>
        <v>97</v>
      </c>
      <c r="Z104" s="175" t="str">
        <f>IF(AA104&lt;&gt;"//",COUNTA($AA$8:AA104)-COUNTIF($AA$8:AA104,"//"),"")</f>
        <v/>
      </c>
      <c r="AA104" s="175" t="str">
        <f t="shared" ref="AA104:AA135" si="21">IF(OR(G104="",G104="施設番号"),"//",G104)</f>
        <v>//</v>
      </c>
      <c r="AB104" s="175" t="str">
        <f ca="1">_xlfn.IFNA(IF(COUNTIF('4.1(2)新規再エネ導入予定(FS調査、系統接続検討状況)'!$G:$G,OFFSET($AA$7,MATCH($Y104,$Z$8:$Z$167,0),0))=0,OFFSET($AA$7,MATCH($Y104,$Z$8:$Z$167,0),0),""),"")</f>
        <v/>
      </c>
      <c r="AC104" s="175" t="str">
        <f ca="1">_xlfn.IFNA(IF(COUNTIF('4.1(2)新規再エネ導入予定(合意形成)'!$G:$G,OFFSET($AA$7,MATCH($Y104,$Z$8:$Z$167,0),0))=0,OFFSET($AA$7,MATCH($Y104,$Z$8:$Z$167,0),0),""),"")</f>
        <v/>
      </c>
      <c r="AD104" s="175" t="str">
        <f ca="1">_xlfn.IFNA(OFFSET('4.1(2)新規再エネ導入予定(FS調査、系統接続検討状況)'!$W$1,MATCH(G104,'4.1(2)新規再エネ導入予定(FS調査、系統接続検討状況)'!G:G,0)-1,0),"//")</f>
        <v>//</v>
      </c>
      <c r="AE104" s="262" t="str">
        <f ca="1">_xlfn.IFNA(OFFSET('4.1(2)新規再エネ導入予定(合意形成)'!$AJ$1,MATCH(G104,'4.1(2)新規再エネ導入予定(合意形成)'!G:G,0)-1,0),"//")</f>
        <v>//</v>
      </c>
      <c r="AF104" s="175">
        <f t="shared" ca="1" si="12"/>
        <v>0</v>
      </c>
      <c r="AG104" s="215" t="str" cm="1">
        <f t="array" aca="1" ref="AG104" ca="1">IFERROR(_xlfn.IFS(COUNTIF($AB$8:$AC$167,G104)&gt;0,"",AF104&lt;=1,"D",AF104=2,"C",AF104=3,"B",AF104=4,"A"),"")</f>
        <v/>
      </c>
      <c r="AH104" s="175" t="str">
        <f ca="1">_xlfn.IFNA(OFFSET('4.1(2)新規再エネ導入予定(合意形成)'!$Z$1,MATCH($G104,'4.1(2)新規再エネ導入予定(合意形成)'!$G:$G,0)-1,0),"")</f>
        <v/>
      </c>
      <c r="AI104" s="215" t="str">
        <f t="shared" ref="AI104:AI135" si="22">IF(G104="","",AG104)</f>
        <v/>
      </c>
      <c r="AJ104" s="175" t="str">
        <f t="shared" si="17"/>
        <v/>
      </c>
      <c r="AK104" s="222" t="str">
        <f>IF(V104&lt;&gt;1,"",SUM($V$8:V104))</f>
        <v/>
      </c>
      <c r="AL104" s="175">
        <f t="shared" si="18"/>
        <v>1</v>
      </c>
    </row>
    <row r="105" spans="2:38">
      <c r="F105" s="734"/>
      <c r="G105" s="734"/>
      <c r="H105" s="734"/>
      <c r="I105" s="734"/>
      <c r="J105" s="734"/>
      <c r="K105" s="734"/>
      <c r="L105" s="749"/>
      <c r="M105" s="734"/>
      <c r="N105" s="739"/>
      <c r="O105" s="803"/>
      <c r="P105" s="734"/>
      <c r="X105" s="222" t="s">
        <v>412</v>
      </c>
      <c r="Y105" s="175">
        <f t="shared" si="14"/>
        <v>98</v>
      </c>
      <c r="Z105" s="175" t="str">
        <f>IF(AA105&lt;&gt;"//",COUNTA($AA$8:AA105)-COUNTIF($AA$8:AA105,"//"),"")</f>
        <v/>
      </c>
      <c r="AA105" s="175" t="str">
        <f t="shared" si="21"/>
        <v>//</v>
      </c>
      <c r="AB105" s="175" t="str">
        <f ca="1">_xlfn.IFNA(IF(COUNTIF('4.1(2)新規再エネ導入予定(FS調査、系統接続検討状況)'!$G:$G,OFFSET($AA$7,MATCH($Y105,$Z$8:$Z$167,0),0))=0,OFFSET($AA$7,MATCH($Y105,$Z$8:$Z$167,0),0),""),"")</f>
        <v/>
      </c>
      <c r="AC105" s="175" t="str">
        <f ca="1">_xlfn.IFNA(IF(COUNTIF('4.1(2)新規再エネ導入予定(合意形成)'!$G:$G,OFFSET($AA$7,MATCH($Y105,$Z$8:$Z$167,0),0))=0,OFFSET($AA$7,MATCH($Y105,$Z$8:$Z$167,0),0),""),"")</f>
        <v/>
      </c>
      <c r="AD105" s="175" t="str">
        <f ca="1">_xlfn.IFNA(OFFSET('4.1(2)新規再エネ導入予定(FS調査、系統接続検討状況)'!$W$1,MATCH(G105,'4.1(2)新規再エネ導入予定(FS調査、系統接続検討状況)'!G:G,0)-1,0),"//")</f>
        <v>//</v>
      </c>
      <c r="AE105" s="262" t="str">
        <f ca="1">_xlfn.IFNA(OFFSET('4.1(2)新規再エネ導入予定(合意形成)'!$AJ$1,MATCH(G105,'4.1(2)新規再エネ導入予定(合意形成)'!G:G,0)-1,0),"//")</f>
        <v>//</v>
      </c>
      <c r="AF105" s="175">
        <f t="shared" ca="1" si="12"/>
        <v>0</v>
      </c>
      <c r="AG105" s="215" t="str" cm="1">
        <f t="array" aca="1" ref="AG105" ca="1">IFERROR(_xlfn.IFS(COUNTIF($AB$8:$AC$167,G105)&gt;0,"",AF105&lt;=1,"D",AF105=2,"C",AF105=3,"B",AF105=4,"A"),"")</f>
        <v/>
      </c>
      <c r="AH105" s="175" t="str">
        <f ca="1">_xlfn.IFNA(OFFSET('4.1(2)新規再エネ導入予定(合意形成)'!$Z$1,MATCH($G105,'4.1(2)新規再エネ導入予定(合意形成)'!$G:$G,0)-1,0),"")</f>
        <v/>
      </c>
      <c r="AI105" s="215" t="str">
        <f t="shared" si="22"/>
        <v/>
      </c>
      <c r="AJ105" s="175" t="str">
        <f t="shared" si="17"/>
        <v/>
      </c>
      <c r="AK105" s="222" t="str">
        <f>IF(V105&lt;&gt;1,"",SUM($V$8:V105))</f>
        <v/>
      </c>
      <c r="AL105" s="175">
        <f t="shared" si="18"/>
        <v>1</v>
      </c>
    </row>
    <row r="106" spans="2:38" ht="9.75" customHeight="1">
      <c r="D106" s="14"/>
      <c r="E106" s="460"/>
      <c r="F106" s="460"/>
      <c r="G106" s="804"/>
      <c r="H106" s="460"/>
      <c r="I106" s="460"/>
      <c r="J106" s="460"/>
      <c r="K106" s="460"/>
      <c r="L106" s="746"/>
      <c r="M106" s="460"/>
      <c r="N106" s="740"/>
      <c r="O106" s="762"/>
      <c r="P106" s="460"/>
      <c r="Q106" s="463"/>
      <c r="R106" s="762"/>
      <c r="S106" s="460"/>
      <c r="T106" s="763"/>
      <c r="X106" s="222" t="s">
        <v>413</v>
      </c>
      <c r="Y106" s="175">
        <f t="shared" si="14"/>
        <v>99</v>
      </c>
      <c r="Z106" s="175" t="str">
        <f>IF(AA106&lt;&gt;"//",COUNTA($AA$8:AA106)-COUNTIF($AA$8:AA106,"//"),"")</f>
        <v/>
      </c>
      <c r="AA106" s="175" t="str">
        <f t="shared" si="21"/>
        <v>//</v>
      </c>
      <c r="AB106" s="175" t="str">
        <f ca="1">_xlfn.IFNA(IF(COUNTIF('4.1(2)新規再エネ導入予定(FS調査、系統接続検討状況)'!$G:$G,OFFSET($AA$7,MATCH($Y106,$Z$8:$Z$167,0),0))=0,OFFSET($AA$7,MATCH($Y106,$Z$8:$Z$167,0),0),""),"")</f>
        <v/>
      </c>
      <c r="AC106" s="175" t="str">
        <f ca="1">_xlfn.IFNA(IF(COUNTIF('4.1(2)新規再エネ導入予定(合意形成)'!$G:$G,OFFSET($AA$7,MATCH($Y106,$Z$8:$Z$167,0),0))=0,OFFSET($AA$7,MATCH($Y106,$Z$8:$Z$167,0),0),""),"")</f>
        <v/>
      </c>
      <c r="AD106" s="175" t="str">
        <f ca="1">_xlfn.IFNA(OFFSET('4.1(2)新規再エネ導入予定(FS調査、系統接続検討状況)'!$W$1,MATCH(G106,'4.1(2)新規再エネ導入予定(FS調査、系統接続検討状況)'!G:G,0)-1,0),"//")</f>
        <v>//</v>
      </c>
      <c r="AE106" s="262" t="str">
        <f ca="1">_xlfn.IFNA(OFFSET('4.1(2)新規再エネ導入予定(合意形成)'!$AJ$1,MATCH(G106,'4.1(2)新規再エネ導入予定(合意形成)'!G:G,0)-1,0),"//")</f>
        <v>//</v>
      </c>
      <c r="AF106" s="175">
        <f t="shared" ca="1" si="12"/>
        <v>0</v>
      </c>
      <c r="AG106" s="215" t="str" cm="1">
        <f t="array" aca="1" ref="AG106" ca="1">IFERROR(_xlfn.IFS(COUNTIF($AB$8:$AC$167,G106)&gt;0,"",AF106&lt;=1,"D",AF106=2,"C",AF106=3,"B",AF106=4,"A"),"")</f>
        <v/>
      </c>
      <c r="AH106" s="175" t="str">
        <f ca="1">_xlfn.IFNA(OFFSET('4.1(2)新規再エネ導入予定(合意形成)'!$Z$1,MATCH($G106,'4.1(2)新規再エネ導入予定(合意形成)'!$G:$G,0)-1,0),"")</f>
        <v/>
      </c>
      <c r="AI106" s="215" t="str">
        <f t="shared" si="22"/>
        <v/>
      </c>
      <c r="AJ106" s="175" t="str">
        <f t="shared" si="17"/>
        <v/>
      </c>
      <c r="AK106" s="222" t="str">
        <f>IF(V106&lt;&gt;1,"",SUM($V$8:V106))</f>
        <v/>
      </c>
      <c r="AL106" s="175">
        <f t="shared" si="18"/>
        <v>1</v>
      </c>
    </row>
    <row r="107" spans="2:38" ht="29">
      <c r="D107" s="237" t="s">
        <v>192</v>
      </c>
      <c r="F107" s="805"/>
      <c r="G107" s="806"/>
      <c r="N107" s="741"/>
      <c r="S107" s="323"/>
      <c r="T107" s="764"/>
      <c r="X107" s="222" t="s">
        <v>413</v>
      </c>
      <c r="Y107" s="175">
        <f t="shared" si="14"/>
        <v>100</v>
      </c>
      <c r="Z107" s="175" t="str">
        <f>IF(AA107&lt;&gt;"//",COUNTA($AA$8:AA107)-COUNTIF($AA$8:AA107,"//"),"")</f>
        <v/>
      </c>
      <c r="AA107" s="175" t="str">
        <f t="shared" si="21"/>
        <v>//</v>
      </c>
      <c r="AB107" s="175" t="str">
        <f ca="1">_xlfn.IFNA(IF(COUNTIF('4.1(2)新規再エネ導入予定(FS調査、系統接続検討状況)'!$G:$G,OFFSET($AA$7,MATCH($Y107,$Z$8:$Z$167,0),0))=0,OFFSET($AA$7,MATCH($Y107,$Z$8:$Z$167,0),0),""),"")</f>
        <v/>
      </c>
      <c r="AC107" s="175" t="str">
        <f ca="1">_xlfn.IFNA(IF(COUNTIF('4.1(2)新規再エネ導入予定(合意形成)'!$G:$G,OFFSET($AA$7,MATCH($Y107,$Z$8:$Z$167,0),0))=0,OFFSET($AA$7,MATCH($Y107,$Z$8:$Z$167,0),0),""),"")</f>
        <v/>
      </c>
      <c r="AD107" s="175" t="str">
        <f ca="1">_xlfn.IFNA(OFFSET('4.1(2)新規再エネ導入予定(FS調査、系統接続検討状況)'!$W$1,MATCH(G107,'4.1(2)新規再エネ導入予定(FS調査、系統接続検討状況)'!G:G,0)-1,0),"//")</f>
        <v>//</v>
      </c>
      <c r="AE107" s="262" t="str">
        <f ca="1">_xlfn.IFNA(OFFSET('4.1(2)新規再エネ導入予定(合意形成)'!$AJ$1,MATCH(G107,'4.1(2)新規再エネ導入予定(合意形成)'!G:G,0)-1,0),"//")</f>
        <v>//</v>
      </c>
      <c r="AF107" s="175">
        <f t="shared" ca="1" si="12"/>
        <v>0</v>
      </c>
      <c r="AG107" s="215" t="str" cm="1">
        <f t="array" aca="1" ref="AG107" ca="1">IFERROR(_xlfn.IFS(COUNTIF($AB$8:$AC$167,G107)&gt;0,"",AF107&lt;=1,"D",AF107=2,"C",AF107=3,"B",AF107=4,"A"),"")</f>
        <v/>
      </c>
      <c r="AH107" s="175" t="str">
        <f ca="1">_xlfn.IFNA(OFFSET('4.1(2)新規再エネ導入予定(合意形成)'!$Z$1,MATCH($G107,'4.1(2)新規再エネ導入予定(合意形成)'!$G:$G,0)-1,0),"")</f>
        <v/>
      </c>
      <c r="AI107" s="215" t="str">
        <f t="shared" si="22"/>
        <v/>
      </c>
      <c r="AJ107" s="175" t="str">
        <f t="shared" si="17"/>
        <v/>
      </c>
      <c r="AK107" s="222" t="str">
        <f>IF(V107&lt;&gt;1,"",SUM($V$8:V107))</f>
        <v/>
      </c>
      <c r="AL107" s="175">
        <f t="shared" si="18"/>
        <v>1</v>
      </c>
    </row>
    <row r="108" spans="2:38" ht="60">
      <c r="D108" s="16"/>
      <c r="E108" s="824"/>
      <c r="F108" s="891" t="s">
        <v>8</v>
      </c>
      <c r="G108" s="735" t="s">
        <v>185</v>
      </c>
      <c r="H108" s="735" t="s">
        <v>180</v>
      </c>
      <c r="I108" s="735" t="s">
        <v>9</v>
      </c>
      <c r="J108" s="735" t="s">
        <v>10</v>
      </c>
      <c r="K108" s="808" t="s">
        <v>11</v>
      </c>
      <c r="L108" s="750" t="s">
        <v>31</v>
      </c>
      <c r="M108" s="735" t="s">
        <v>13</v>
      </c>
      <c r="N108" s="742" t="s">
        <v>82</v>
      </c>
      <c r="O108" s="735" t="s">
        <v>191</v>
      </c>
      <c r="P108" s="735" t="s">
        <v>81</v>
      </c>
      <c r="Q108" s="736" t="s">
        <v>83</v>
      </c>
      <c r="R108" s="735" t="s">
        <v>14</v>
      </c>
      <c r="S108" s="735" t="s">
        <v>297</v>
      </c>
      <c r="T108" s="764"/>
      <c r="V108" s="434" t="s">
        <v>193</v>
      </c>
      <c r="X108" s="222" t="s">
        <v>413</v>
      </c>
      <c r="Y108" s="175">
        <f t="shared" si="14"/>
        <v>101</v>
      </c>
      <c r="Z108" s="175" t="str">
        <f>IF(AA108&lt;&gt;"//",COUNTA($AA$8:AA108)-COUNTIF($AA$8:AA108,"//"),"")</f>
        <v/>
      </c>
      <c r="AA108" s="175" t="str">
        <f t="shared" si="21"/>
        <v>//</v>
      </c>
      <c r="AB108" s="175" t="str">
        <f ca="1">_xlfn.IFNA(IF(COUNTIF('4.1(2)新規再エネ導入予定(FS調査、系統接続検討状況)'!$G:$G,OFFSET($AA$7,MATCH($Y108,$Z$8:$Z$167,0),0))=0,OFFSET($AA$7,MATCH($Y108,$Z$8:$Z$167,0),0),""),"")</f>
        <v/>
      </c>
      <c r="AC108" s="175" t="str">
        <f ca="1">_xlfn.IFNA(IF(COUNTIF('4.1(2)新規再エネ導入予定(合意形成)'!$G:$G,OFFSET($AA$7,MATCH($Y108,$Z$8:$Z$167,0),0))=0,OFFSET($AA$7,MATCH($Y108,$Z$8:$Z$167,0),0),""),"")</f>
        <v/>
      </c>
      <c r="AD108" s="175" t="str">
        <f ca="1">_xlfn.IFNA(OFFSET('4.1(2)新規再エネ導入予定(FS調査、系統接続検討状況)'!$W$1,MATCH(G108,'4.1(2)新規再エネ導入予定(FS調査、系統接続検討状況)'!G:G,0)-1,0),"//")</f>
        <v>採点</v>
      </c>
      <c r="AE108" s="262" t="str">
        <f ca="1">_xlfn.IFNA(OFFSET('4.1(2)新規再エネ導入予定(合意形成)'!$AJ$1,MATCH(G108,'4.1(2)新規再エネ導入予定(合意形成)'!G:G,0)-1,0),"//")</f>
        <v>施設
スコア</v>
      </c>
      <c r="AF108" s="175">
        <f t="shared" ca="1" si="12"/>
        <v>0</v>
      </c>
      <c r="AG108" s="215" t="str" cm="1">
        <f t="array" aca="1" ref="AG108" ca="1">IFERROR(_xlfn.IFS(COUNTIF($AB$8:$AC$167,G108)&gt;0,"",AF108&lt;=1,"D",AF108=2,"C",AF108=3,"B",AF108=4,"A"),"")</f>
        <v>D</v>
      </c>
      <c r="AH108" s="175" t="str">
        <f ca="1">_xlfn.IFNA(OFFSET('4.1(2)新規再エネ導入予定(合意形成)'!$Z$1,MATCH($G108,'4.1(2)新規再エネ導入予定(合意形成)'!$G:$G,0)-1,0),"")</f>
        <v>代表者数</v>
      </c>
      <c r="AI108" s="215" t="str">
        <f t="shared" ca="1" si="22"/>
        <v>D</v>
      </c>
      <c r="AJ108" s="175">
        <f t="shared" si="17"/>
        <v>1</v>
      </c>
      <c r="AK108" s="222" t="str">
        <f>IF(V108&lt;&gt;1,"",SUM($V$8:V108))</f>
        <v/>
      </c>
      <c r="AL108" s="175">
        <f t="shared" si="18"/>
        <v>1</v>
      </c>
    </row>
    <row r="109" spans="2:38" s="11" customFormat="1" ht="20" hidden="1">
      <c r="B109" s="21"/>
      <c r="C109" s="21"/>
      <c r="D109" s="22"/>
      <c r="E109" s="825"/>
      <c r="F109" s="774"/>
      <c r="G109" s="775"/>
      <c r="H109" s="776"/>
      <c r="I109" s="776"/>
      <c r="J109" s="777"/>
      <c r="K109" s="777"/>
      <c r="L109" s="894"/>
      <c r="M109" s="895"/>
      <c r="N109" s="900"/>
      <c r="O109" s="791"/>
      <c r="P109" s="895"/>
      <c r="Q109" s="901"/>
      <c r="R109" s="791"/>
      <c r="S109" s="778" t="str">
        <f>IF(G109="","",AG109)</f>
        <v/>
      </c>
      <c r="T109" s="779"/>
      <c r="U109" s="114"/>
      <c r="V109" s="780"/>
      <c r="X109" s="125" t="s">
        <v>413</v>
      </c>
      <c r="Y109" s="255">
        <f t="shared" si="14"/>
        <v>102</v>
      </c>
      <c r="Z109" s="255" t="str">
        <f>IF(AA109&lt;&gt;"//",COUNTA($AA$8:AA109)-COUNTIF($AA$8:AA109,"//"),"")</f>
        <v/>
      </c>
      <c r="AA109" s="255" t="str">
        <f t="shared" si="21"/>
        <v>//</v>
      </c>
      <c r="AB109" s="255" t="str">
        <f ca="1">_xlfn.IFNA(IF(COUNTIF('4.1(2)新規再エネ導入予定(FS調査、系統接続検討状況)'!$G:$G,OFFSET($AA$7,MATCH($Y109,$Z$8:$Z$167,0),0))=0,OFFSET($AA$7,MATCH($Y109,$Z$8:$Z$167,0),0),""),"")</f>
        <v/>
      </c>
      <c r="AC109" s="255" t="str">
        <f ca="1">_xlfn.IFNA(IF(COUNTIF('4.1(2)新規再エネ導入予定(合意形成)'!$G:$G,OFFSET($AA$7,MATCH($Y109,$Z$8:$Z$167,0),0))=0,OFFSET($AA$7,MATCH($Y109,$Z$8:$Z$167,0),0),""),"")</f>
        <v/>
      </c>
      <c r="AD109" s="255" t="str">
        <f ca="1">_xlfn.IFNA(OFFSET('4.1(2)新規再エネ導入予定(FS調査、系統接続検討状況)'!$W$1,MATCH(G109,'4.1(2)新規再エネ導入予定(FS調査、系統接続検討状況)'!G:G,0)-1,0),"//")</f>
        <v>//</v>
      </c>
      <c r="AE109" s="277" t="str">
        <f ca="1">_xlfn.IFNA(OFFSET('4.1(2)新規再エネ導入予定(合意形成)'!$AJ$1,MATCH(G109,'4.1(2)新規再エネ導入予定(合意形成)'!G:G,0)-1,0),"//")</f>
        <v>//</v>
      </c>
      <c r="AF109" s="255">
        <f t="shared" ca="1" si="12"/>
        <v>0</v>
      </c>
      <c r="AG109" s="129" t="str" cm="1">
        <f t="array" aca="1" ref="AG109" ca="1">IFERROR(_xlfn.IFS(COUNTIF($AB$8:$AC$167,G109)&gt;0,"",AF109&lt;=1,"D",AF109=2,"C",AF109=3,"B",AF109=4,"A"),"")</f>
        <v/>
      </c>
      <c r="AH109" s="255" t="str">
        <f ca="1">_xlfn.IFNA(OFFSET('4.1(2)新規再エネ導入予定(合意形成)'!$Z$1,MATCH($G109,'4.1(2)新規再エネ導入予定(合意形成)'!$G:$G,0)-1,0),"")</f>
        <v/>
      </c>
      <c r="AI109" s="129" t="str">
        <f t="shared" si="22"/>
        <v/>
      </c>
      <c r="AJ109" s="255" t="str">
        <f t="shared" si="17"/>
        <v/>
      </c>
      <c r="AK109" s="125" t="str">
        <f>IF(V109&lt;&gt;1,"",SUM($V$8:V109))</f>
        <v/>
      </c>
      <c r="AL109" s="255">
        <f t="shared" si="18"/>
        <v>1</v>
      </c>
    </row>
    <row r="110" spans="2:38" s="11" customFormat="1" ht="20">
      <c r="B110" s="21"/>
      <c r="C110" s="21"/>
      <c r="D110" s="22"/>
      <c r="E110" s="825"/>
      <c r="F110" s="781"/>
      <c r="G110" s="782"/>
      <c r="H110" s="783"/>
      <c r="I110" s="783"/>
      <c r="J110" s="784"/>
      <c r="K110" s="784"/>
      <c r="L110" s="724"/>
      <c r="M110" s="897"/>
      <c r="N110" s="900"/>
      <c r="O110" s="788"/>
      <c r="P110" s="897"/>
      <c r="Q110" s="901"/>
      <c r="R110" s="788"/>
      <c r="S110" s="786" t="str">
        <f>IF(G110="","",AG110)</f>
        <v/>
      </c>
      <c r="T110" s="779"/>
      <c r="U110" s="114"/>
      <c r="V110" s="787" t="str">
        <f>IF(H110&lt;&gt;"",1,"")</f>
        <v/>
      </c>
      <c r="X110" s="125" t="s">
        <v>413</v>
      </c>
      <c r="Y110" s="255">
        <f t="shared" si="14"/>
        <v>103</v>
      </c>
      <c r="Z110" s="255" t="str">
        <f>IF(AA110&lt;&gt;"//",COUNTA($AA$8:AA110)-COUNTIF($AA$8:AA110,"//"),"")</f>
        <v/>
      </c>
      <c r="AA110" s="255" t="str">
        <f t="shared" si="21"/>
        <v>//</v>
      </c>
      <c r="AB110" s="255" t="str">
        <f ca="1">_xlfn.IFNA(IF(COUNTIF('4.1(2)新規再エネ導入予定(FS調査、系統接続検討状況)'!$G:$G,OFFSET($AA$7,MATCH($Y110,$Z$8:$Z$167,0),0))=0,OFFSET($AA$7,MATCH($Y110,$Z$8:$Z$167,0),0),""),"")</f>
        <v/>
      </c>
      <c r="AC110" s="255" t="str">
        <f ca="1">_xlfn.IFNA(IF(COUNTIF('4.1(2)新規再エネ導入予定(合意形成)'!$G:$G,OFFSET($AA$7,MATCH($Y110,$Z$8:$Z$167,0),0))=0,OFFSET($AA$7,MATCH($Y110,$Z$8:$Z$167,0),0),""),"")</f>
        <v/>
      </c>
      <c r="AD110" s="255" t="str">
        <f ca="1">_xlfn.IFNA(OFFSET('4.1(2)新規再エネ導入予定(FS調査、系統接続検討状況)'!$W$1,MATCH(G110,'4.1(2)新規再エネ導入予定(FS調査、系統接続検討状況)'!G:G,0)-1,0),"//")</f>
        <v>//</v>
      </c>
      <c r="AE110" s="277" t="str">
        <f ca="1">_xlfn.IFNA(OFFSET('4.1(2)新規再エネ導入予定(合意形成)'!$AJ$1,MATCH(G110,'4.1(2)新規再エネ導入予定(合意形成)'!G:G,0)-1,0),"//")</f>
        <v>//</v>
      </c>
      <c r="AF110" s="255">
        <f t="shared" ca="1" si="12"/>
        <v>0</v>
      </c>
      <c r="AG110" s="129" t="str" cm="1">
        <f t="array" aca="1" ref="AG110" ca="1">IFERROR(_xlfn.IFS(COUNTIF($AB$8:$AC$167,G110)&gt;0,"",AF110&lt;=1,"D",AF110=2,"C",AF110=3,"B",AF110=4,"A"),"")</f>
        <v/>
      </c>
      <c r="AH110" s="255" t="str">
        <f ca="1">_xlfn.IFNA(OFFSET('4.1(2)新規再エネ導入予定(合意形成)'!$Z$1,MATCH($G110,'4.1(2)新規再エネ導入予定(合意形成)'!$G:$G,0)-1,0),"")</f>
        <v/>
      </c>
      <c r="AI110" s="129" t="str">
        <f t="shared" si="22"/>
        <v/>
      </c>
      <c r="AJ110" s="255" t="str">
        <f t="shared" si="17"/>
        <v/>
      </c>
      <c r="AK110" s="125" t="str">
        <f>IF(V110&lt;&gt;1,"",SUM($V$8:V110))</f>
        <v/>
      </c>
      <c r="AL110" s="255">
        <f t="shared" si="18"/>
        <v>1</v>
      </c>
    </row>
    <row r="111" spans="2:38" s="11" customFormat="1" ht="20">
      <c r="B111" s="21"/>
      <c r="C111" s="21"/>
      <c r="D111" s="22"/>
      <c r="E111" s="825"/>
      <c r="F111" s="781"/>
      <c r="G111" s="782"/>
      <c r="H111" s="783"/>
      <c r="I111" s="783"/>
      <c r="J111" s="784"/>
      <c r="K111" s="784"/>
      <c r="L111" s="724"/>
      <c r="M111" s="897"/>
      <c r="N111" s="900"/>
      <c r="O111" s="788"/>
      <c r="P111" s="897"/>
      <c r="Q111" s="901"/>
      <c r="R111" s="788"/>
      <c r="S111" s="786" t="str">
        <f>IF(G111="","",AG111)</f>
        <v/>
      </c>
      <c r="T111" s="779"/>
      <c r="U111" s="114"/>
      <c r="V111" s="787" t="str">
        <f>IF(H111&lt;&gt;"",1,"")</f>
        <v/>
      </c>
      <c r="X111" s="125" t="s">
        <v>413</v>
      </c>
      <c r="Y111" s="255">
        <f t="shared" si="14"/>
        <v>104</v>
      </c>
      <c r="Z111" s="255" t="str">
        <f>IF(AA111&lt;&gt;"//",COUNTA($AA$8:AA111)-COUNTIF($AA$8:AA111,"//"),"")</f>
        <v/>
      </c>
      <c r="AA111" s="255" t="str">
        <f t="shared" si="21"/>
        <v>//</v>
      </c>
      <c r="AB111" s="255" t="str">
        <f ca="1">_xlfn.IFNA(IF(COUNTIF('4.1(2)新規再エネ導入予定(FS調査、系統接続検討状況)'!$G:$G,OFFSET($AA$7,MATCH($Y111,$Z$8:$Z$167,0),0))=0,OFFSET($AA$7,MATCH($Y111,$Z$8:$Z$167,0),0),""),"")</f>
        <v/>
      </c>
      <c r="AC111" s="255" t="str">
        <f ca="1">_xlfn.IFNA(IF(COUNTIF('4.1(2)新規再エネ導入予定(合意形成)'!$G:$G,OFFSET($AA$7,MATCH($Y111,$Z$8:$Z$167,0),0))=0,OFFSET($AA$7,MATCH($Y111,$Z$8:$Z$167,0),0),""),"")</f>
        <v/>
      </c>
      <c r="AD111" s="255" t="str">
        <f ca="1">_xlfn.IFNA(OFFSET('4.1(2)新規再エネ導入予定(FS調査、系統接続検討状況)'!$W$1,MATCH(G111,'4.1(2)新規再エネ導入予定(FS調査、系統接続検討状況)'!G:G,0)-1,0),"//")</f>
        <v>//</v>
      </c>
      <c r="AE111" s="277" t="str">
        <f ca="1">_xlfn.IFNA(OFFSET('4.1(2)新規再エネ導入予定(合意形成)'!$AJ$1,MATCH(G111,'4.1(2)新規再エネ導入予定(合意形成)'!G:G,0)-1,0),"//")</f>
        <v>//</v>
      </c>
      <c r="AF111" s="255">
        <f t="shared" ca="1" si="12"/>
        <v>0</v>
      </c>
      <c r="AG111" s="129" t="str" cm="1">
        <f t="array" aca="1" ref="AG111" ca="1">IFERROR(_xlfn.IFS(COUNTIF($AB$8:$AC$167,G111)&gt;0,"",AF111&lt;=1,"D",AF111=2,"C",AF111=3,"B",AF111=4,"A"),"")</f>
        <v/>
      </c>
      <c r="AH111" s="255" t="str">
        <f ca="1">_xlfn.IFNA(OFFSET('4.1(2)新規再エネ導入予定(合意形成)'!$Z$1,MATCH($G111,'4.1(2)新規再エネ導入予定(合意形成)'!$G:$G,0)-1,0),"")</f>
        <v/>
      </c>
      <c r="AI111" s="129" t="str">
        <f t="shared" si="22"/>
        <v/>
      </c>
      <c r="AJ111" s="255" t="str">
        <f t="shared" si="17"/>
        <v/>
      </c>
      <c r="AK111" s="125" t="str">
        <f>IF(V111&lt;&gt;1,"",SUM($V$8:V111))</f>
        <v/>
      </c>
      <c r="AL111" s="255">
        <f t="shared" si="18"/>
        <v>1</v>
      </c>
    </row>
    <row r="112" spans="2:38" s="11" customFormat="1" ht="20">
      <c r="B112" s="21"/>
      <c r="C112" s="21"/>
      <c r="D112" s="22"/>
      <c r="E112" s="825"/>
      <c r="F112" s="781"/>
      <c r="G112" s="782"/>
      <c r="H112" s="783"/>
      <c r="I112" s="783"/>
      <c r="J112" s="784"/>
      <c r="K112" s="784"/>
      <c r="L112" s="724"/>
      <c r="M112" s="727"/>
      <c r="N112" s="900"/>
      <c r="O112" s="788"/>
      <c r="P112" s="897"/>
      <c r="Q112" s="901"/>
      <c r="R112" s="788"/>
      <c r="S112" s="786" t="str">
        <f>IF(G112="","",AG112)</f>
        <v/>
      </c>
      <c r="T112" s="779"/>
      <c r="U112" s="114"/>
      <c r="V112" s="787" t="str">
        <f>IF(H112&lt;&gt;"",1,"")</f>
        <v/>
      </c>
      <c r="X112" s="125" t="s">
        <v>413</v>
      </c>
      <c r="Y112" s="255">
        <f t="shared" si="14"/>
        <v>105</v>
      </c>
      <c r="Z112" s="255" t="str">
        <f>IF(AA112&lt;&gt;"//",COUNTA($AA$8:AA112)-COUNTIF($AA$8:AA112,"//"),"")</f>
        <v/>
      </c>
      <c r="AA112" s="255" t="str">
        <f t="shared" si="21"/>
        <v>//</v>
      </c>
      <c r="AB112" s="255" t="str">
        <f ca="1">_xlfn.IFNA(IF(COUNTIF('4.1(2)新規再エネ導入予定(FS調査、系統接続検討状況)'!$G:$G,OFFSET($AA$7,MATCH($Y112,$Z$8:$Z$167,0),0))=0,OFFSET($AA$7,MATCH($Y112,$Z$8:$Z$167,0),0),""),"")</f>
        <v/>
      </c>
      <c r="AC112" s="255" t="str">
        <f ca="1">_xlfn.IFNA(IF(COUNTIF('4.1(2)新規再エネ導入予定(合意形成)'!$G:$G,OFFSET($AA$7,MATCH($Y112,$Z$8:$Z$167,0),0))=0,OFFSET($AA$7,MATCH($Y112,$Z$8:$Z$167,0),0),""),"")</f>
        <v/>
      </c>
      <c r="AD112" s="255" t="str">
        <f ca="1">_xlfn.IFNA(OFFSET('4.1(2)新規再エネ導入予定(FS調査、系統接続検討状況)'!$W$1,MATCH(G112,'4.1(2)新規再エネ導入予定(FS調査、系統接続検討状況)'!G:G,0)-1,0),"//")</f>
        <v>//</v>
      </c>
      <c r="AE112" s="277" t="str">
        <f ca="1">_xlfn.IFNA(OFFSET('4.1(2)新規再エネ導入予定(合意形成)'!$AJ$1,MATCH(G112,'4.1(2)新規再エネ導入予定(合意形成)'!G:G,0)-1,0),"//")</f>
        <v>//</v>
      </c>
      <c r="AF112" s="255">
        <f t="shared" ca="1" si="12"/>
        <v>0</v>
      </c>
      <c r="AG112" s="129" t="str" cm="1">
        <f t="array" aca="1" ref="AG112" ca="1">IFERROR(_xlfn.IFS(COUNTIF($AB$8:$AC$167,G112)&gt;0,"",AF112&lt;=1,"D",AF112=2,"C",AF112=3,"B",AF112=4,"A"),"")</f>
        <v/>
      </c>
      <c r="AH112" s="255" t="str">
        <f ca="1">_xlfn.IFNA(OFFSET('4.1(2)新規再エネ導入予定(合意形成)'!$Z$1,MATCH($G112,'4.1(2)新規再エネ導入予定(合意形成)'!$G:$G,0)-1,0),"")</f>
        <v/>
      </c>
      <c r="AI112" s="129" t="str">
        <f t="shared" si="22"/>
        <v/>
      </c>
      <c r="AJ112" s="255" t="str">
        <f t="shared" si="17"/>
        <v/>
      </c>
      <c r="AK112" s="125" t="str">
        <f>IF(V112&lt;&gt;1,"",SUM($V$8:V112))</f>
        <v/>
      </c>
      <c r="AL112" s="255">
        <f t="shared" si="18"/>
        <v>1</v>
      </c>
    </row>
    <row r="113" spans="2:38" ht="20">
      <c r="D113" s="16"/>
      <c r="E113" s="826"/>
      <c r="F113" s="809" t="s">
        <v>26</v>
      </c>
      <c r="G113" s="795"/>
      <c r="H113" s="795"/>
      <c r="I113" s="795"/>
      <c r="J113" s="795"/>
      <c r="K113" s="795"/>
      <c r="L113" s="751"/>
      <c r="M113" s="499">
        <f ca="1">SUM(INDIRECT("M"&amp;ROW(M108)&amp;":M"&amp;ROW()-1))</f>
        <v>0</v>
      </c>
      <c r="N113" s="743"/>
      <c r="O113" s="810"/>
      <c r="P113" s="703">
        <f ca="1">SUM(INDIRECT("P"&amp;ROW(P108)&amp;":P"&amp;ROW()-1))</f>
        <v>0</v>
      </c>
      <c r="Q113" s="737" t="s">
        <v>90</v>
      </c>
      <c r="R113" s="799"/>
      <c r="S113" s="796"/>
      <c r="T113" s="764"/>
      <c r="V113" s="222" t="str">
        <f t="shared" ref="V113" si="23">IF(H113&lt;&gt;"",1,"")</f>
        <v/>
      </c>
      <c r="X113" s="222" t="s">
        <v>413</v>
      </c>
      <c r="Y113" s="175">
        <f t="shared" si="14"/>
        <v>106</v>
      </c>
      <c r="Z113" s="175" t="str">
        <f>IF(AA113&lt;&gt;"//",COUNTA($AA$8:AA113)-COUNTIF($AA$8:AA113,"//"),"")</f>
        <v/>
      </c>
      <c r="AA113" s="175" t="str">
        <f t="shared" si="21"/>
        <v>//</v>
      </c>
      <c r="AB113" s="175" t="str">
        <f ca="1">_xlfn.IFNA(IF(COUNTIF('4.1(2)新規再エネ導入予定(FS調査、系統接続検討状況)'!$G:$G,OFFSET($AA$7,MATCH($Y113,$Z$8:$Z$167,0),0))=0,OFFSET($AA$7,MATCH($Y113,$Z$8:$Z$167,0),0),""),"")</f>
        <v/>
      </c>
      <c r="AC113" s="175" t="str">
        <f ca="1">_xlfn.IFNA(IF(COUNTIF('4.1(2)新規再エネ導入予定(合意形成)'!$G:$G,OFFSET($AA$7,MATCH($Y113,$Z$8:$Z$167,0),0))=0,OFFSET($AA$7,MATCH($Y113,$Z$8:$Z$167,0),0),""),"")</f>
        <v/>
      </c>
      <c r="AD113" s="175" t="str">
        <f ca="1">_xlfn.IFNA(OFFSET('4.1(2)新規再エネ導入予定(FS調査、系統接続検討状況)'!$W$1,MATCH(G113,'4.1(2)新規再エネ導入予定(FS調査、系統接続検討状況)'!G:G,0)-1,0),"//")</f>
        <v>//</v>
      </c>
      <c r="AE113" s="262" t="str">
        <f ca="1">_xlfn.IFNA(OFFSET('4.1(2)新規再エネ導入予定(合意形成)'!$AJ$1,MATCH(G113,'4.1(2)新規再エネ導入予定(合意形成)'!G:G,0)-1,0),"//")</f>
        <v>//</v>
      </c>
      <c r="AF113" s="175">
        <f t="shared" ca="1" si="12"/>
        <v>0</v>
      </c>
      <c r="AG113" s="215" t="str" cm="1">
        <f t="array" aca="1" ref="AG113" ca="1">IFERROR(_xlfn.IFS(COUNTIF($AB$8:$AC$167,G113)&gt;0,"",AF113&lt;=1,"D",AF113=2,"C",AF113=3,"B",AF113=4,"A"),"")</f>
        <v/>
      </c>
      <c r="AH113" s="175" t="str">
        <f ca="1">_xlfn.IFNA(OFFSET('4.1(2)新規再エネ導入予定(合意形成)'!$Z$1,MATCH($G113,'4.1(2)新規再エネ導入予定(合意形成)'!$G:$G,0)-1,0),"")</f>
        <v/>
      </c>
      <c r="AI113" s="215" t="str">
        <f t="shared" si="22"/>
        <v/>
      </c>
      <c r="AJ113" s="175" t="str">
        <f t="shared" si="17"/>
        <v/>
      </c>
      <c r="AK113" s="222" t="str">
        <f>IF(V113&lt;&gt;1,"",SUM($V$8:V113))</f>
        <v/>
      </c>
      <c r="AL113" s="175">
        <f t="shared" si="18"/>
        <v>1</v>
      </c>
    </row>
    <row r="114" spans="2:38">
      <c r="D114" s="46"/>
      <c r="E114" s="467"/>
      <c r="F114" s="467"/>
      <c r="G114" s="467"/>
      <c r="H114" s="467"/>
      <c r="I114" s="467"/>
      <c r="J114" s="467"/>
      <c r="K114" s="467"/>
      <c r="L114" s="752"/>
      <c r="M114" s="467"/>
      <c r="N114" s="470"/>
      <c r="O114" s="801"/>
      <c r="P114" s="467"/>
      <c r="Q114" s="470"/>
      <c r="R114" s="801"/>
      <c r="S114" s="467"/>
      <c r="T114" s="802"/>
      <c r="X114" s="222" t="s">
        <v>413</v>
      </c>
      <c r="Y114" s="175">
        <f t="shared" si="14"/>
        <v>107</v>
      </c>
      <c r="Z114" s="175" t="str">
        <f>IF(AA114&lt;&gt;"//",COUNTA($AA$8:AA114)-COUNTIF($AA$8:AA114,"//"),"")</f>
        <v/>
      </c>
      <c r="AA114" s="175" t="str">
        <f t="shared" si="21"/>
        <v>//</v>
      </c>
      <c r="AB114" s="175" t="str">
        <f ca="1">_xlfn.IFNA(IF(COUNTIF('4.1(2)新規再エネ導入予定(FS調査、系統接続検討状況)'!$G:$G,OFFSET($AA$7,MATCH($Y114,$Z$8:$Z$167,0),0))=0,OFFSET($AA$7,MATCH($Y114,$Z$8:$Z$167,0),0),""),"")</f>
        <v/>
      </c>
      <c r="AC114" s="175" t="str">
        <f ca="1">_xlfn.IFNA(IF(COUNTIF('4.1(2)新規再エネ導入予定(合意形成)'!$G:$G,OFFSET($AA$7,MATCH($Y114,$Z$8:$Z$167,0),0))=0,OFFSET($AA$7,MATCH($Y114,$Z$8:$Z$167,0),0),""),"")</f>
        <v/>
      </c>
      <c r="AD114" s="175" t="str">
        <f ca="1">_xlfn.IFNA(OFFSET('4.1(2)新規再エネ導入予定(FS調査、系統接続検討状況)'!$W$1,MATCH(G114,'4.1(2)新規再エネ導入予定(FS調査、系統接続検討状況)'!G:G,0)-1,0),"//")</f>
        <v>//</v>
      </c>
      <c r="AE114" s="262" t="str">
        <f ca="1">_xlfn.IFNA(OFFSET('4.1(2)新規再エネ導入予定(合意形成)'!$AJ$1,MATCH(G114,'4.1(2)新規再エネ導入予定(合意形成)'!G:G,0)-1,0),"//")</f>
        <v>//</v>
      </c>
      <c r="AF114" s="175">
        <f t="shared" ca="1" si="12"/>
        <v>0</v>
      </c>
      <c r="AG114" s="215" t="str" cm="1">
        <f t="array" aca="1" ref="AG114" ca="1">IFERROR(_xlfn.IFS(COUNTIF($AB$8:$AC$167,G114)&gt;0,"",AF114&lt;=1,"D",AF114=2,"C",AF114=3,"B",AF114=4,"A"),"")</f>
        <v/>
      </c>
      <c r="AH114" s="175" t="str">
        <f ca="1">_xlfn.IFNA(OFFSET('4.1(2)新規再エネ導入予定(合意形成)'!$Z$1,MATCH($G114,'4.1(2)新規再エネ導入予定(合意形成)'!$G:$G,0)-1,0),"")</f>
        <v/>
      </c>
      <c r="AI114" s="215" t="str">
        <f t="shared" si="22"/>
        <v/>
      </c>
      <c r="AJ114" s="175" t="str">
        <f t="shared" si="17"/>
        <v/>
      </c>
      <c r="AK114" s="222" t="str">
        <f>IF(V114&lt;&gt;1,"",SUM($V$8:V114))</f>
        <v/>
      </c>
      <c r="AL114" s="175">
        <f t="shared" si="18"/>
        <v>1</v>
      </c>
    </row>
    <row r="115" spans="2:38">
      <c r="F115" s="734"/>
      <c r="G115" s="734"/>
      <c r="H115" s="734"/>
      <c r="I115" s="734"/>
      <c r="J115" s="734"/>
      <c r="K115" s="734"/>
      <c r="L115" s="749"/>
      <c r="M115" s="734"/>
      <c r="N115" s="739"/>
      <c r="O115" s="803"/>
      <c r="P115" s="734"/>
      <c r="X115" s="222" t="s">
        <v>413</v>
      </c>
      <c r="Y115" s="175">
        <f t="shared" si="14"/>
        <v>108</v>
      </c>
      <c r="Z115" s="175" t="str">
        <f>IF(AA115&lt;&gt;"//",COUNTA($AA$8:AA115)-COUNTIF($AA$8:AA115,"//"),"")</f>
        <v/>
      </c>
      <c r="AA115" s="175" t="str">
        <f t="shared" si="21"/>
        <v>//</v>
      </c>
      <c r="AB115" s="175" t="str">
        <f ca="1">_xlfn.IFNA(IF(COUNTIF('4.1(2)新規再エネ導入予定(FS調査、系統接続検討状況)'!$G:$G,OFFSET($AA$7,MATCH($Y115,$Z$8:$Z$167,0),0))=0,OFFSET($AA$7,MATCH($Y115,$Z$8:$Z$167,0),0),""),"")</f>
        <v/>
      </c>
      <c r="AC115" s="175" t="str">
        <f ca="1">_xlfn.IFNA(IF(COUNTIF('4.1(2)新規再エネ導入予定(合意形成)'!$G:$G,OFFSET($AA$7,MATCH($Y115,$Z$8:$Z$167,0),0))=0,OFFSET($AA$7,MATCH($Y115,$Z$8:$Z$167,0),0),""),"")</f>
        <v/>
      </c>
      <c r="AD115" s="175" t="str">
        <f ca="1">_xlfn.IFNA(OFFSET('4.1(2)新規再エネ導入予定(FS調査、系統接続検討状況)'!$W$1,MATCH(G115,'4.1(2)新規再エネ導入予定(FS調査、系統接続検討状況)'!G:G,0)-1,0),"//")</f>
        <v>//</v>
      </c>
      <c r="AE115" s="262" t="str">
        <f ca="1">_xlfn.IFNA(OFFSET('4.1(2)新規再エネ導入予定(合意形成)'!$AJ$1,MATCH(G115,'4.1(2)新規再エネ導入予定(合意形成)'!G:G,0)-1,0),"//")</f>
        <v>//</v>
      </c>
      <c r="AF115" s="175">
        <f t="shared" ca="1" si="12"/>
        <v>0</v>
      </c>
      <c r="AG115" s="215" t="str" cm="1">
        <f t="array" aca="1" ref="AG115" ca="1">IFERROR(_xlfn.IFS(COUNTIF($AB$8:$AC$167,G115)&gt;0,"",AF115&lt;=1,"D",AF115=2,"C",AF115=3,"B",AF115=4,"A"),"")</f>
        <v/>
      </c>
      <c r="AH115" s="175" t="str">
        <f ca="1">_xlfn.IFNA(OFFSET('4.1(2)新規再エネ導入予定(合意形成)'!$Z$1,MATCH($G115,'4.1(2)新規再エネ導入予定(合意形成)'!$G:$G,0)-1,0),"")</f>
        <v/>
      </c>
      <c r="AI115" s="215" t="str">
        <f t="shared" si="22"/>
        <v/>
      </c>
      <c r="AJ115" s="175" t="str">
        <f t="shared" si="17"/>
        <v/>
      </c>
      <c r="AK115" s="222" t="str">
        <f>IF(V115&lt;&gt;1,"",SUM($V$8:V115))</f>
        <v/>
      </c>
      <c r="AL115" s="175">
        <f t="shared" si="18"/>
        <v>1</v>
      </c>
    </row>
    <row r="116" spans="2:38" ht="9.75" customHeight="1">
      <c r="D116" s="14"/>
      <c r="E116" s="460"/>
      <c r="F116" s="460"/>
      <c r="G116" s="804"/>
      <c r="H116" s="460"/>
      <c r="I116" s="460"/>
      <c r="J116" s="460"/>
      <c r="K116" s="460"/>
      <c r="L116" s="746"/>
      <c r="M116" s="460"/>
      <c r="N116" s="740"/>
      <c r="O116" s="762"/>
      <c r="P116" s="460"/>
      <c r="Q116" s="463"/>
      <c r="R116" s="762"/>
      <c r="S116" s="460"/>
      <c r="T116" s="763"/>
      <c r="X116" s="222" t="s">
        <v>414</v>
      </c>
      <c r="Y116" s="175">
        <f t="shared" si="14"/>
        <v>109</v>
      </c>
      <c r="Z116" s="175" t="str">
        <f>IF(AA116&lt;&gt;"//",COUNTA($AA$8:AA116)-COUNTIF($AA$8:AA116,"//"),"")</f>
        <v/>
      </c>
      <c r="AA116" s="175" t="str">
        <f t="shared" si="21"/>
        <v>//</v>
      </c>
      <c r="AB116" s="175" t="str">
        <f ca="1">_xlfn.IFNA(IF(COUNTIF('4.1(2)新規再エネ導入予定(FS調査、系統接続検討状況)'!$G:$G,OFFSET($AA$7,MATCH($Y116,$Z$8:$Z$167,0),0))=0,OFFSET($AA$7,MATCH($Y116,$Z$8:$Z$167,0),0),""),"")</f>
        <v/>
      </c>
      <c r="AC116" s="175" t="str">
        <f ca="1">_xlfn.IFNA(IF(COUNTIF('4.1(2)新規再エネ導入予定(合意形成)'!$G:$G,OFFSET($AA$7,MATCH($Y116,$Z$8:$Z$167,0),0))=0,OFFSET($AA$7,MATCH($Y116,$Z$8:$Z$167,0),0),""),"")</f>
        <v/>
      </c>
      <c r="AD116" s="175" t="str">
        <f ca="1">_xlfn.IFNA(OFFSET('4.1(2)新規再エネ導入予定(FS調査、系統接続検討状況)'!$W$1,MATCH(G116,'4.1(2)新規再エネ導入予定(FS調査、系統接続検討状況)'!G:G,0)-1,0),"//")</f>
        <v>//</v>
      </c>
      <c r="AE116" s="262" t="str">
        <f ca="1">_xlfn.IFNA(OFFSET('4.1(2)新規再エネ導入予定(合意形成)'!$AJ$1,MATCH(G116,'4.1(2)新規再エネ導入予定(合意形成)'!G:G,0)-1,0),"//")</f>
        <v>//</v>
      </c>
      <c r="AF116" s="175">
        <f t="shared" ca="1" si="12"/>
        <v>0</v>
      </c>
      <c r="AG116" s="215" t="str" cm="1">
        <f t="array" aca="1" ref="AG116" ca="1">IFERROR(_xlfn.IFS(COUNTIF($AB$8:$AC$167,G116)&gt;0,"",AF116&lt;=1,"D",AF116=2,"C",AF116=3,"B",AF116=4,"A"),"")</f>
        <v/>
      </c>
      <c r="AH116" s="175" t="str">
        <f ca="1">_xlfn.IFNA(OFFSET('4.1(2)新規再エネ導入予定(合意形成)'!$Z$1,MATCH($G116,'4.1(2)新規再エネ導入予定(合意形成)'!$G:$G,0)-1,0),"")</f>
        <v/>
      </c>
      <c r="AI116" s="215" t="str">
        <f t="shared" si="22"/>
        <v/>
      </c>
      <c r="AJ116" s="175" t="str">
        <f t="shared" si="17"/>
        <v/>
      </c>
      <c r="AK116" s="222" t="str">
        <f>IF(V116&lt;&gt;1,"",SUM($V$8:V116))</f>
        <v/>
      </c>
      <c r="AL116" s="175">
        <f t="shared" si="18"/>
        <v>1</v>
      </c>
    </row>
    <row r="117" spans="2:38" ht="29">
      <c r="D117" s="237" t="s">
        <v>188</v>
      </c>
      <c r="F117" s="805"/>
      <c r="G117" s="806"/>
      <c r="N117" s="741"/>
      <c r="S117" s="323"/>
      <c r="T117" s="764"/>
      <c r="X117" s="222" t="s">
        <v>414</v>
      </c>
      <c r="Y117" s="175">
        <f t="shared" si="14"/>
        <v>110</v>
      </c>
      <c r="Z117" s="175" t="str">
        <f>IF(AA117&lt;&gt;"//",COUNTA($AA$8:AA117)-COUNTIF($AA$8:AA117,"//"),"")</f>
        <v/>
      </c>
      <c r="AA117" s="175" t="str">
        <f t="shared" si="21"/>
        <v>//</v>
      </c>
      <c r="AB117" s="175" t="str">
        <f ca="1">_xlfn.IFNA(IF(COUNTIF('4.1(2)新規再エネ導入予定(FS調査、系統接続検討状況)'!$G:$G,OFFSET($AA$7,MATCH($Y117,$Z$8:$Z$167,0),0))=0,OFFSET($AA$7,MATCH($Y117,$Z$8:$Z$167,0),0),""),"")</f>
        <v/>
      </c>
      <c r="AC117" s="175" t="str">
        <f ca="1">_xlfn.IFNA(IF(COUNTIF('4.1(2)新規再エネ導入予定(合意形成)'!$G:$G,OFFSET($AA$7,MATCH($Y117,$Z$8:$Z$167,0),0))=0,OFFSET($AA$7,MATCH($Y117,$Z$8:$Z$167,0),0),""),"")</f>
        <v/>
      </c>
      <c r="AD117" s="175" t="str">
        <f ca="1">_xlfn.IFNA(OFFSET('4.1(2)新規再エネ導入予定(FS調査、系統接続検討状況)'!$W$1,MATCH(G117,'4.1(2)新規再エネ導入予定(FS調査、系統接続検討状況)'!G:G,0)-1,0),"//")</f>
        <v>//</v>
      </c>
      <c r="AE117" s="262" t="str">
        <f ca="1">_xlfn.IFNA(OFFSET('4.1(2)新規再エネ導入予定(合意形成)'!$AJ$1,MATCH(G117,'4.1(2)新規再エネ導入予定(合意形成)'!G:G,0)-1,0),"//")</f>
        <v>//</v>
      </c>
      <c r="AF117" s="175">
        <f t="shared" ca="1" si="12"/>
        <v>0</v>
      </c>
      <c r="AG117" s="215" t="str" cm="1">
        <f t="array" aca="1" ref="AG117" ca="1">IFERROR(_xlfn.IFS(COUNTIF($AB$8:$AC$167,G117)&gt;0,"",AF117&lt;=1,"D",AF117=2,"C",AF117=3,"B",AF117=4,"A"),"")</f>
        <v/>
      </c>
      <c r="AH117" s="175" t="str">
        <f ca="1">_xlfn.IFNA(OFFSET('4.1(2)新規再エネ導入予定(合意形成)'!$Z$1,MATCH($G117,'4.1(2)新規再エネ導入予定(合意形成)'!$G:$G,0)-1,0),"")</f>
        <v/>
      </c>
      <c r="AI117" s="215" t="str">
        <f t="shared" si="22"/>
        <v/>
      </c>
      <c r="AJ117" s="175" t="str">
        <f t="shared" si="17"/>
        <v/>
      </c>
      <c r="AK117" s="222" t="str">
        <f>IF(V117&lt;&gt;1,"",SUM($V$8:V117))</f>
        <v/>
      </c>
      <c r="AL117" s="175">
        <f t="shared" si="18"/>
        <v>1</v>
      </c>
    </row>
    <row r="118" spans="2:38" ht="60">
      <c r="D118" s="16"/>
      <c r="E118" s="824"/>
      <c r="F118" s="807" t="s">
        <v>8</v>
      </c>
      <c r="G118" s="735" t="s">
        <v>185</v>
      </c>
      <c r="H118" s="735" t="s">
        <v>180</v>
      </c>
      <c r="I118" s="735" t="s">
        <v>9</v>
      </c>
      <c r="J118" s="735" t="s">
        <v>10</v>
      </c>
      <c r="K118" s="808" t="s">
        <v>11</v>
      </c>
      <c r="L118" s="750" t="s">
        <v>31</v>
      </c>
      <c r="M118" s="735" t="s">
        <v>13</v>
      </c>
      <c r="N118" s="811" t="s">
        <v>82</v>
      </c>
      <c r="O118" s="735" t="s">
        <v>191</v>
      </c>
      <c r="P118" s="735" t="s">
        <v>81</v>
      </c>
      <c r="Q118" s="736" t="s">
        <v>83</v>
      </c>
      <c r="R118" s="735" t="s">
        <v>14</v>
      </c>
      <c r="S118" s="735" t="s">
        <v>297</v>
      </c>
      <c r="T118" s="764"/>
      <c r="V118" s="434" t="s">
        <v>193</v>
      </c>
      <c r="X118" s="222" t="s">
        <v>414</v>
      </c>
      <c r="Y118" s="175">
        <f t="shared" si="14"/>
        <v>111</v>
      </c>
      <c r="Z118" s="175" t="str">
        <f>IF(AA118&lt;&gt;"//",COUNTA($AA$8:AA118)-COUNTIF($AA$8:AA118,"//"),"")</f>
        <v/>
      </c>
      <c r="AA118" s="175" t="str">
        <f t="shared" si="21"/>
        <v>//</v>
      </c>
      <c r="AB118" s="175" t="str">
        <f ca="1">_xlfn.IFNA(IF(COUNTIF('4.1(2)新規再エネ導入予定(FS調査、系統接続検討状況)'!$G:$G,OFFSET($AA$7,MATCH($Y118,$Z$8:$Z$167,0),0))=0,OFFSET($AA$7,MATCH($Y118,$Z$8:$Z$167,0),0),""),"")</f>
        <v/>
      </c>
      <c r="AC118" s="175" t="str">
        <f ca="1">_xlfn.IFNA(IF(COUNTIF('4.1(2)新規再エネ導入予定(合意形成)'!$G:$G,OFFSET($AA$7,MATCH($Y118,$Z$8:$Z$167,0),0))=0,OFFSET($AA$7,MATCH($Y118,$Z$8:$Z$167,0),0),""),"")</f>
        <v/>
      </c>
      <c r="AD118" s="175" t="str">
        <f ca="1">_xlfn.IFNA(OFFSET('4.1(2)新規再エネ導入予定(FS調査、系統接続検討状況)'!$W$1,MATCH(G118,'4.1(2)新規再エネ導入予定(FS調査、系統接続検討状況)'!G:G,0)-1,0),"//")</f>
        <v>採点</v>
      </c>
      <c r="AE118" s="262" t="str">
        <f ca="1">_xlfn.IFNA(OFFSET('4.1(2)新規再エネ導入予定(合意形成)'!$AJ$1,MATCH(G118,'4.1(2)新規再エネ導入予定(合意形成)'!G:G,0)-1,0),"//")</f>
        <v>施設
スコア</v>
      </c>
      <c r="AF118" s="175">
        <f t="shared" ca="1" si="12"/>
        <v>0</v>
      </c>
      <c r="AG118" s="215" t="str" cm="1">
        <f t="array" aca="1" ref="AG118" ca="1">IFERROR(_xlfn.IFS(COUNTIF($AB$8:$AC$167,G118)&gt;0,"",AF118&lt;=1,"D",AF118=2,"C",AF118=3,"B",AF118=4,"A"),"")</f>
        <v>D</v>
      </c>
      <c r="AH118" s="175" t="str">
        <f ca="1">_xlfn.IFNA(OFFSET('4.1(2)新規再エネ導入予定(合意形成)'!$Z$1,MATCH($G118,'4.1(2)新規再エネ導入予定(合意形成)'!$G:$G,0)-1,0),"")</f>
        <v>代表者数</v>
      </c>
      <c r="AI118" s="215" t="str">
        <f t="shared" ca="1" si="22"/>
        <v>D</v>
      </c>
      <c r="AJ118" s="175">
        <f t="shared" si="17"/>
        <v>1</v>
      </c>
      <c r="AK118" s="222" t="str">
        <f>IF(V118&lt;&gt;1,"",SUM($V$8:V118))</f>
        <v/>
      </c>
      <c r="AL118" s="175">
        <f t="shared" si="18"/>
        <v>1</v>
      </c>
    </row>
    <row r="119" spans="2:38" s="11" customFormat="1" ht="20" hidden="1">
      <c r="B119" s="21"/>
      <c r="C119" s="21"/>
      <c r="D119" s="22"/>
      <c r="E119" s="825"/>
      <c r="F119" s="774"/>
      <c r="G119" s="775"/>
      <c r="H119" s="776"/>
      <c r="I119" s="776"/>
      <c r="J119" s="777"/>
      <c r="K119" s="777"/>
      <c r="L119" s="894"/>
      <c r="M119" s="895"/>
      <c r="N119" s="900"/>
      <c r="O119" s="791"/>
      <c r="P119" s="895"/>
      <c r="Q119" s="901"/>
      <c r="R119" s="791"/>
      <c r="S119" s="778" t="str">
        <f>IF(G119="","",AG119)</f>
        <v/>
      </c>
      <c r="T119" s="779"/>
      <c r="U119" s="114"/>
      <c r="V119" s="780"/>
      <c r="X119" s="125" t="s">
        <v>414</v>
      </c>
      <c r="Y119" s="255">
        <f t="shared" si="14"/>
        <v>112</v>
      </c>
      <c r="Z119" s="255" t="str">
        <f>IF(AA119&lt;&gt;"//",COUNTA($AA$8:AA119)-COUNTIF($AA$8:AA119,"//"),"")</f>
        <v/>
      </c>
      <c r="AA119" s="255" t="str">
        <f t="shared" si="21"/>
        <v>//</v>
      </c>
      <c r="AB119" s="255" t="str">
        <f ca="1">_xlfn.IFNA(IF(COUNTIF('4.1(2)新規再エネ導入予定(FS調査、系統接続検討状況)'!$G:$G,OFFSET($AA$7,MATCH($Y119,$Z$8:$Z$167,0),0))=0,OFFSET($AA$7,MATCH($Y119,$Z$8:$Z$167,0),0),""),"")</f>
        <v/>
      </c>
      <c r="AC119" s="255" t="str">
        <f ca="1">_xlfn.IFNA(IF(COUNTIF('4.1(2)新規再エネ導入予定(合意形成)'!$G:$G,OFFSET($AA$7,MATCH($Y119,$Z$8:$Z$167,0),0))=0,OFFSET($AA$7,MATCH($Y119,$Z$8:$Z$167,0),0),""),"")</f>
        <v/>
      </c>
      <c r="AD119" s="255" t="str">
        <f ca="1">_xlfn.IFNA(OFFSET('4.1(2)新規再エネ導入予定(FS調査、系統接続検討状況)'!$W$1,MATCH(G119,'4.1(2)新規再エネ導入予定(FS調査、系統接続検討状況)'!G:G,0)-1,0),"//")</f>
        <v>//</v>
      </c>
      <c r="AE119" s="277" t="str">
        <f ca="1">_xlfn.IFNA(OFFSET('4.1(2)新規再エネ導入予定(合意形成)'!$AJ$1,MATCH(G119,'4.1(2)新規再エネ導入予定(合意形成)'!G:G,0)-1,0),"//")</f>
        <v>//</v>
      </c>
      <c r="AF119" s="255">
        <f t="shared" ca="1" si="12"/>
        <v>0</v>
      </c>
      <c r="AG119" s="129" t="str" cm="1">
        <f t="array" aca="1" ref="AG119" ca="1">IFERROR(_xlfn.IFS(COUNTIF($AB$8:$AC$167,G119)&gt;0,"",AF119&lt;=1,"D",AF119=2,"C",AF119=3,"B",AF119=4,"A"),"")</f>
        <v/>
      </c>
      <c r="AH119" s="255" t="str">
        <f ca="1">_xlfn.IFNA(OFFSET('4.1(2)新規再エネ導入予定(合意形成)'!$Z$1,MATCH($G119,'4.1(2)新規再エネ導入予定(合意形成)'!$G:$G,0)-1,0),"")</f>
        <v/>
      </c>
      <c r="AI119" s="129" t="str">
        <f t="shared" si="22"/>
        <v/>
      </c>
      <c r="AJ119" s="255" t="str">
        <f t="shared" si="17"/>
        <v/>
      </c>
      <c r="AK119" s="125" t="str">
        <f>IF(V119&lt;&gt;1,"",SUM($V$8:V119))</f>
        <v/>
      </c>
      <c r="AL119" s="255">
        <f t="shared" si="18"/>
        <v>1</v>
      </c>
    </row>
    <row r="120" spans="2:38" s="11" customFormat="1" ht="20">
      <c r="B120" s="21"/>
      <c r="C120" s="21"/>
      <c r="D120" s="22"/>
      <c r="E120" s="825"/>
      <c r="F120" s="781"/>
      <c r="G120" s="782"/>
      <c r="H120" s="783"/>
      <c r="I120" s="783"/>
      <c r="J120" s="784"/>
      <c r="K120" s="784"/>
      <c r="L120" s="896"/>
      <c r="M120" s="897"/>
      <c r="N120" s="900"/>
      <c r="O120" s="788"/>
      <c r="P120" s="897"/>
      <c r="Q120" s="901"/>
      <c r="R120" s="788"/>
      <c r="S120" s="786" t="str">
        <f>IF(G120="","",AG120)</f>
        <v/>
      </c>
      <c r="T120" s="779"/>
      <c r="U120" s="114"/>
      <c r="V120" s="787" t="str">
        <f>IF(H120&lt;&gt;"",1,"")</f>
        <v/>
      </c>
      <c r="X120" s="125" t="s">
        <v>414</v>
      </c>
      <c r="Y120" s="255">
        <f t="shared" si="14"/>
        <v>113</v>
      </c>
      <c r="Z120" s="255" t="str">
        <f>IF(AA120&lt;&gt;"//",COUNTA($AA$8:AA120)-COUNTIF($AA$8:AA120,"//"),"")</f>
        <v/>
      </c>
      <c r="AA120" s="255" t="str">
        <f t="shared" si="21"/>
        <v>//</v>
      </c>
      <c r="AB120" s="255" t="str">
        <f ca="1">_xlfn.IFNA(IF(COUNTIF('4.1(2)新規再エネ導入予定(FS調査、系統接続検討状況)'!$G:$G,OFFSET($AA$7,MATCH($Y120,$Z$8:$Z$167,0),0))=0,OFFSET($AA$7,MATCH($Y120,$Z$8:$Z$167,0),0),""),"")</f>
        <v/>
      </c>
      <c r="AC120" s="255" t="str">
        <f ca="1">_xlfn.IFNA(IF(COUNTIF('4.1(2)新規再エネ導入予定(合意形成)'!$G:$G,OFFSET($AA$7,MATCH($Y120,$Z$8:$Z$167,0),0))=0,OFFSET($AA$7,MATCH($Y120,$Z$8:$Z$167,0),0),""),"")</f>
        <v/>
      </c>
      <c r="AD120" s="255" t="str">
        <f ca="1">_xlfn.IFNA(OFFSET('4.1(2)新規再エネ導入予定(FS調査、系統接続検討状況)'!$W$1,MATCH(G120,'4.1(2)新規再エネ導入予定(FS調査、系統接続検討状況)'!G:G,0)-1,0),"//")</f>
        <v>//</v>
      </c>
      <c r="AE120" s="277" t="str">
        <f ca="1">_xlfn.IFNA(OFFSET('4.1(2)新規再エネ導入予定(合意形成)'!$AJ$1,MATCH(G120,'4.1(2)新規再エネ導入予定(合意形成)'!G:G,0)-1,0),"//")</f>
        <v>//</v>
      </c>
      <c r="AF120" s="255">
        <f t="shared" ca="1" si="12"/>
        <v>0</v>
      </c>
      <c r="AG120" s="129" t="str" cm="1">
        <f t="array" aca="1" ref="AG120" ca="1">IFERROR(_xlfn.IFS(COUNTIF($AB$8:$AC$167,G120)&gt;0,"",AF120&lt;=1,"D",AF120=2,"C",AF120=3,"B",AF120=4,"A"),"")</f>
        <v/>
      </c>
      <c r="AH120" s="255" t="str">
        <f ca="1">_xlfn.IFNA(OFFSET('4.1(2)新規再エネ導入予定(合意形成)'!$Z$1,MATCH($G120,'4.1(2)新規再エネ導入予定(合意形成)'!$G:$G,0)-1,0),"")</f>
        <v/>
      </c>
      <c r="AI120" s="129" t="str">
        <f t="shared" si="22"/>
        <v/>
      </c>
      <c r="AJ120" s="255" t="str">
        <f t="shared" si="17"/>
        <v/>
      </c>
      <c r="AK120" s="125" t="str">
        <f>IF(V120&lt;&gt;1,"",SUM($V$8:V120))</f>
        <v/>
      </c>
      <c r="AL120" s="255">
        <f t="shared" si="18"/>
        <v>1</v>
      </c>
    </row>
    <row r="121" spans="2:38" s="11" customFormat="1" ht="20">
      <c r="B121" s="21"/>
      <c r="C121" s="21"/>
      <c r="D121" s="22"/>
      <c r="E121" s="825"/>
      <c r="F121" s="781"/>
      <c r="G121" s="782"/>
      <c r="H121" s="783"/>
      <c r="I121" s="783"/>
      <c r="J121" s="784"/>
      <c r="K121" s="784"/>
      <c r="L121" s="896"/>
      <c r="M121" s="897"/>
      <c r="N121" s="900"/>
      <c r="O121" s="788"/>
      <c r="P121" s="897"/>
      <c r="Q121" s="901"/>
      <c r="R121" s="788"/>
      <c r="S121" s="786" t="str">
        <f>IF(G121="","",AG121)</f>
        <v/>
      </c>
      <c r="T121" s="779"/>
      <c r="U121" s="114"/>
      <c r="V121" s="787" t="str">
        <f>IF(H121&lt;&gt;"",1,"")</f>
        <v/>
      </c>
      <c r="X121" s="125" t="s">
        <v>414</v>
      </c>
      <c r="Y121" s="255">
        <f t="shared" si="14"/>
        <v>114</v>
      </c>
      <c r="Z121" s="255" t="str">
        <f>IF(AA121&lt;&gt;"//",COUNTA($AA$8:AA121)-COUNTIF($AA$8:AA121,"//"),"")</f>
        <v/>
      </c>
      <c r="AA121" s="255" t="str">
        <f t="shared" si="21"/>
        <v>//</v>
      </c>
      <c r="AB121" s="255" t="str">
        <f ca="1">_xlfn.IFNA(IF(COUNTIF('4.1(2)新規再エネ導入予定(FS調査、系統接続検討状況)'!$G:$G,OFFSET($AA$7,MATCH($Y121,$Z$8:$Z$167,0),0))=0,OFFSET($AA$7,MATCH($Y121,$Z$8:$Z$167,0),0),""),"")</f>
        <v/>
      </c>
      <c r="AC121" s="255" t="str">
        <f ca="1">_xlfn.IFNA(IF(COUNTIF('4.1(2)新規再エネ導入予定(合意形成)'!$G:$G,OFFSET($AA$7,MATCH($Y121,$Z$8:$Z$167,0),0))=0,OFFSET($AA$7,MATCH($Y121,$Z$8:$Z$167,0),0),""),"")</f>
        <v/>
      </c>
      <c r="AD121" s="255" t="str">
        <f ca="1">_xlfn.IFNA(OFFSET('4.1(2)新規再エネ導入予定(FS調査、系統接続検討状況)'!$W$1,MATCH(G121,'4.1(2)新規再エネ導入予定(FS調査、系統接続検討状況)'!G:G,0)-1,0),"//")</f>
        <v>//</v>
      </c>
      <c r="AE121" s="277" t="str">
        <f ca="1">_xlfn.IFNA(OFFSET('4.1(2)新規再エネ導入予定(合意形成)'!$AJ$1,MATCH(G121,'4.1(2)新規再エネ導入予定(合意形成)'!G:G,0)-1,0),"//")</f>
        <v>//</v>
      </c>
      <c r="AF121" s="255">
        <f t="shared" ca="1" si="12"/>
        <v>0</v>
      </c>
      <c r="AG121" s="129" t="str" cm="1">
        <f t="array" aca="1" ref="AG121" ca="1">IFERROR(_xlfn.IFS(COUNTIF($AB$8:$AC$167,G121)&gt;0,"",AF121&lt;=1,"D",AF121=2,"C",AF121=3,"B",AF121=4,"A"),"")</f>
        <v/>
      </c>
      <c r="AH121" s="255" t="str">
        <f ca="1">_xlfn.IFNA(OFFSET('4.1(2)新規再エネ導入予定(合意形成)'!$Z$1,MATCH($G121,'4.1(2)新規再エネ導入予定(合意形成)'!$G:$G,0)-1,0),"")</f>
        <v/>
      </c>
      <c r="AI121" s="129" t="str">
        <f t="shared" si="22"/>
        <v/>
      </c>
      <c r="AJ121" s="255" t="str">
        <f t="shared" si="17"/>
        <v/>
      </c>
      <c r="AK121" s="125" t="str">
        <f>IF(V121&lt;&gt;1,"",SUM($V$8:V121))</f>
        <v/>
      </c>
      <c r="AL121" s="255">
        <f t="shared" si="18"/>
        <v>1</v>
      </c>
    </row>
    <row r="122" spans="2:38" s="11" customFormat="1" ht="20">
      <c r="B122" s="21"/>
      <c r="C122" s="21"/>
      <c r="D122" s="22"/>
      <c r="E122" s="825"/>
      <c r="F122" s="781"/>
      <c r="G122" s="782"/>
      <c r="H122" s="783"/>
      <c r="I122" s="783"/>
      <c r="J122" s="784"/>
      <c r="K122" s="784"/>
      <c r="L122" s="896"/>
      <c r="M122" s="727"/>
      <c r="N122" s="900"/>
      <c r="O122" s="788"/>
      <c r="P122" s="897"/>
      <c r="Q122" s="901"/>
      <c r="R122" s="788"/>
      <c r="S122" s="786" t="str">
        <f>IF(G122="","",AG122)</f>
        <v/>
      </c>
      <c r="T122" s="779"/>
      <c r="U122" s="114"/>
      <c r="V122" s="787" t="str">
        <f>IF(H122&lt;&gt;"",1,"")</f>
        <v/>
      </c>
      <c r="X122" s="125" t="s">
        <v>414</v>
      </c>
      <c r="Y122" s="255">
        <f t="shared" si="14"/>
        <v>115</v>
      </c>
      <c r="Z122" s="255" t="str">
        <f>IF(AA122&lt;&gt;"//",COUNTA($AA$8:AA122)-COUNTIF($AA$8:AA122,"//"),"")</f>
        <v/>
      </c>
      <c r="AA122" s="255" t="str">
        <f t="shared" si="21"/>
        <v>//</v>
      </c>
      <c r="AB122" s="255" t="str">
        <f ca="1">_xlfn.IFNA(IF(COUNTIF('4.1(2)新規再エネ導入予定(FS調査、系統接続検討状況)'!$G:$G,OFFSET($AA$7,MATCH($Y122,$Z$8:$Z$167,0),0))=0,OFFSET($AA$7,MATCH($Y122,$Z$8:$Z$167,0),0),""),"")</f>
        <v/>
      </c>
      <c r="AC122" s="255" t="str">
        <f ca="1">_xlfn.IFNA(IF(COUNTIF('4.1(2)新規再エネ導入予定(合意形成)'!$G:$G,OFFSET($AA$7,MATCH($Y122,$Z$8:$Z$167,0),0))=0,OFFSET($AA$7,MATCH($Y122,$Z$8:$Z$167,0),0),""),"")</f>
        <v/>
      </c>
      <c r="AD122" s="255" t="str">
        <f ca="1">_xlfn.IFNA(OFFSET('4.1(2)新規再エネ導入予定(FS調査、系統接続検討状況)'!$W$1,MATCH(G122,'4.1(2)新規再エネ導入予定(FS調査、系統接続検討状況)'!G:G,0)-1,0),"//")</f>
        <v>//</v>
      </c>
      <c r="AE122" s="277" t="str">
        <f ca="1">_xlfn.IFNA(OFFSET('4.1(2)新規再エネ導入予定(合意形成)'!$AJ$1,MATCH(G122,'4.1(2)新規再エネ導入予定(合意形成)'!G:G,0)-1,0),"//")</f>
        <v>//</v>
      </c>
      <c r="AF122" s="255">
        <f t="shared" ca="1" si="12"/>
        <v>0</v>
      </c>
      <c r="AG122" s="129" t="str" cm="1">
        <f t="array" aca="1" ref="AG122" ca="1">IFERROR(_xlfn.IFS(COUNTIF($AB$8:$AC$167,G122)&gt;0,"",AF122&lt;=1,"D",AF122=2,"C",AF122=3,"B",AF122=4,"A"),"")</f>
        <v/>
      </c>
      <c r="AH122" s="255" t="str">
        <f ca="1">_xlfn.IFNA(OFFSET('4.1(2)新規再エネ導入予定(合意形成)'!$Z$1,MATCH($G122,'4.1(2)新規再エネ導入予定(合意形成)'!$G:$G,0)-1,0),"")</f>
        <v/>
      </c>
      <c r="AI122" s="129" t="str">
        <f t="shared" si="22"/>
        <v/>
      </c>
      <c r="AJ122" s="255" t="str">
        <f t="shared" si="17"/>
        <v/>
      </c>
      <c r="AK122" s="125" t="str">
        <f>IF(V122&lt;&gt;1,"",SUM($V$8:V122))</f>
        <v/>
      </c>
      <c r="AL122" s="255">
        <f t="shared" si="18"/>
        <v>1</v>
      </c>
    </row>
    <row r="123" spans="2:38" ht="20">
      <c r="D123" s="16"/>
      <c r="E123" s="826"/>
      <c r="F123" s="809" t="s">
        <v>26</v>
      </c>
      <c r="G123" s="795"/>
      <c r="H123" s="795"/>
      <c r="I123" s="795"/>
      <c r="J123" s="795"/>
      <c r="K123" s="795"/>
      <c r="L123" s="751"/>
      <c r="M123" s="499">
        <f ca="1">SUM(INDIRECT("M"&amp;ROW(M118)&amp;":M"&amp;ROW()-1))</f>
        <v>0</v>
      </c>
      <c r="N123" s="743"/>
      <c r="O123" s="810"/>
      <c r="P123" s="703">
        <f ca="1">SUM(INDIRECT("P"&amp;ROW(P118)&amp;":P"&amp;ROW()-1))</f>
        <v>0</v>
      </c>
      <c r="Q123" s="737"/>
      <c r="R123" s="799"/>
      <c r="S123" s="796"/>
      <c r="T123" s="764"/>
      <c r="V123" s="222" t="str">
        <f t="shared" ref="V123" si="24">IF(H123&lt;&gt;"",1,"")</f>
        <v/>
      </c>
      <c r="X123" s="222" t="s">
        <v>414</v>
      </c>
      <c r="Y123" s="175">
        <f t="shared" si="14"/>
        <v>116</v>
      </c>
      <c r="Z123" s="175" t="str">
        <f>IF(AA123&lt;&gt;"//",COUNTA($AA$8:AA123)-COUNTIF($AA$8:AA123,"//"),"")</f>
        <v/>
      </c>
      <c r="AA123" s="175" t="str">
        <f t="shared" si="21"/>
        <v>//</v>
      </c>
      <c r="AB123" s="175" t="str">
        <f ca="1">_xlfn.IFNA(IF(COUNTIF('4.1(2)新規再エネ導入予定(FS調査、系統接続検討状況)'!$G:$G,OFFSET($AA$7,MATCH($Y123,$Z$8:$Z$167,0),0))=0,OFFSET($AA$7,MATCH($Y123,$Z$8:$Z$167,0),0),""),"")</f>
        <v/>
      </c>
      <c r="AC123" s="175" t="str">
        <f ca="1">_xlfn.IFNA(IF(COUNTIF('4.1(2)新規再エネ導入予定(合意形成)'!$G:$G,OFFSET($AA$7,MATCH($Y123,$Z$8:$Z$167,0),0))=0,OFFSET($AA$7,MATCH($Y123,$Z$8:$Z$167,0),0),""),"")</f>
        <v/>
      </c>
      <c r="AD123" s="175" t="str">
        <f ca="1">_xlfn.IFNA(OFFSET('4.1(2)新規再エネ導入予定(FS調査、系統接続検討状況)'!$W$1,MATCH(G123,'4.1(2)新規再エネ導入予定(FS調査、系統接続検討状況)'!G:G,0)-1,0),"//")</f>
        <v>//</v>
      </c>
      <c r="AE123" s="262" t="str">
        <f ca="1">_xlfn.IFNA(OFFSET('4.1(2)新規再エネ導入予定(合意形成)'!$AJ$1,MATCH(G123,'4.1(2)新規再エネ導入予定(合意形成)'!G:G,0)-1,0),"//")</f>
        <v>//</v>
      </c>
      <c r="AF123" s="175">
        <f t="shared" ca="1" si="12"/>
        <v>0</v>
      </c>
      <c r="AG123" s="215" t="str" cm="1">
        <f t="array" aca="1" ref="AG123" ca="1">IFERROR(_xlfn.IFS(COUNTIF($AB$8:$AC$167,G123)&gt;0,"",AF123&lt;=1,"D",AF123=2,"C",AF123=3,"B",AF123=4,"A"),"")</f>
        <v/>
      </c>
      <c r="AH123" s="175" t="str">
        <f ca="1">_xlfn.IFNA(OFFSET('4.1(2)新規再エネ導入予定(合意形成)'!$Z$1,MATCH($G123,'4.1(2)新規再エネ導入予定(合意形成)'!$G:$G,0)-1,0),"")</f>
        <v/>
      </c>
      <c r="AI123" s="215" t="str">
        <f t="shared" si="22"/>
        <v/>
      </c>
      <c r="AJ123" s="175" t="str">
        <f t="shared" si="17"/>
        <v/>
      </c>
      <c r="AK123" s="222" t="str">
        <f>IF(V123&lt;&gt;1,"",SUM($V$8:V123))</f>
        <v/>
      </c>
      <c r="AL123" s="175">
        <f t="shared" si="18"/>
        <v>1</v>
      </c>
    </row>
    <row r="124" spans="2:38">
      <c r="D124" s="46"/>
      <c r="E124" s="467"/>
      <c r="F124" s="467"/>
      <c r="G124" s="467"/>
      <c r="H124" s="467"/>
      <c r="I124" s="467"/>
      <c r="J124" s="467"/>
      <c r="K124" s="467"/>
      <c r="L124" s="752"/>
      <c r="M124" s="467"/>
      <c r="N124" s="470"/>
      <c r="O124" s="801"/>
      <c r="P124" s="467"/>
      <c r="Q124" s="470"/>
      <c r="R124" s="801"/>
      <c r="S124" s="467"/>
      <c r="T124" s="802"/>
      <c r="X124" s="222" t="s">
        <v>414</v>
      </c>
      <c r="Y124" s="175">
        <f t="shared" si="14"/>
        <v>117</v>
      </c>
      <c r="Z124" s="175" t="str">
        <f>IF(AA124&lt;&gt;"//",COUNTA($AA$8:AA124)-COUNTIF($AA$8:AA124,"//"),"")</f>
        <v/>
      </c>
      <c r="AA124" s="175" t="str">
        <f t="shared" si="21"/>
        <v>//</v>
      </c>
      <c r="AB124" s="175" t="str">
        <f ca="1">_xlfn.IFNA(IF(COUNTIF('4.1(2)新規再エネ導入予定(FS調査、系統接続検討状況)'!$G:$G,OFFSET($AA$7,MATCH($Y124,$Z$8:$Z$167,0),0))=0,OFFSET($AA$7,MATCH($Y124,$Z$8:$Z$167,0),0),""),"")</f>
        <v/>
      </c>
      <c r="AC124" s="175" t="str">
        <f ca="1">_xlfn.IFNA(IF(COUNTIF('4.1(2)新規再エネ導入予定(合意形成)'!$G:$G,OFFSET($AA$7,MATCH($Y124,$Z$8:$Z$167,0),0))=0,OFFSET($AA$7,MATCH($Y124,$Z$8:$Z$167,0),0),""),"")</f>
        <v/>
      </c>
      <c r="AD124" s="175" t="str">
        <f ca="1">_xlfn.IFNA(OFFSET('4.1(2)新規再エネ導入予定(FS調査、系統接続検討状況)'!$W$1,MATCH(G124,'4.1(2)新規再エネ導入予定(FS調査、系統接続検討状況)'!G:G,0)-1,0),"//")</f>
        <v>//</v>
      </c>
      <c r="AE124" s="262" t="str">
        <f ca="1">_xlfn.IFNA(OFFSET('4.1(2)新規再エネ導入予定(合意形成)'!$AJ$1,MATCH(G124,'4.1(2)新規再エネ導入予定(合意形成)'!G:G,0)-1,0),"//")</f>
        <v>//</v>
      </c>
      <c r="AF124" s="175">
        <f t="shared" ref="AF124:AF167" ca="1" si="25">IF(COUNTBLANK($AD124:$AE124)=0,MIN($AD124:$AE124),"")</f>
        <v>0</v>
      </c>
      <c r="AG124" s="215" t="str" cm="1">
        <f t="array" aca="1" ref="AG124" ca="1">IFERROR(_xlfn.IFS(COUNTIF($AB$8:$AC$167,G124)&gt;0,"",AF124&lt;=1,"D",AF124=2,"C",AF124=3,"B",AF124=4,"A"),"")</f>
        <v/>
      </c>
      <c r="AH124" s="175" t="str">
        <f ca="1">_xlfn.IFNA(OFFSET('4.1(2)新規再エネ導入予定(合意形成)'!$Z$1,MATCH($G124,'4.1(2)新規再エネ導入予定(合意形成)'!$G:$G,0)-1,0),"")</f>
        <v/>
      </c>
      <c r="AI124" s="215" t="str">
        <f t="shared" si="22"/>
        <v/>
      </c>
      <c r="AJ124" s="175" t="str">
        <f t="shared" si="17"/>
        <v/>
      </c>
      <c r="AK124" s="222" t="str">
        <f>IF(V124&lt;&gt;1,"",SUM($V$8:V124))</f>
        <v/>
      </c>
      <c r="AL124" s="175">
        <f t="shared" si="18"/>
        <v>1</v>
      </c>
    </row>
    <row r="125" spans="2:38">
      <c r="F125" s="734"/>
      <c r="G125" s="734"/>
      <c r="H125" s="734"/>
      <c r="I125" s="734"/>
      <c r="J125" s="734"/>
      <c r="K125" s="734"/>
      <c r="L125" s="749"/>
      <c r="M125" s="734"/>
      <c r="N125" s="739"/>
      <c r="O125" s="803"/>
      <c r="P125" s="734"/>
      <c r="X125" s="222" t="s">
        <v>414</v>
      </c>
      <c r="Y125" s="175">
        <f t="shared" si="14"/>
        <v>118</v>
      </c>
      <c r="Z125" s="175" t="str">
        <f>IF(AA125&lt;&gt;"//",COUNTA($AA$8:AA125)-COUNTIF($AA$8:AA125,"//"),"")</f>
        <v/>
      </c>
      <c r="AA125" s="175" t="str">
        <f t="shared" si="21"/>
        <v>//</v>
      </c>
      <c r="AB125" s="175" t="str">
        <f ca="1">_xlfn.IFNA(IF(COUNTIF('4.1(2)新規再エネ導入予定(FS調査、系統接続検討状況)'!$G:$G,OFFSET($AA$7,MATCH($Y125,$Z$8:$Z$167,0),0))=0,OFFSET($AA$7,MATCH($Y125,$Z$8:$Z$167,0),0),""),"")</f>
        <v/>
      </c>
      <c r="AC125" s="175" t="str">
        <f ca="1">_xlfn.IFNA(IF(COUNTIF('4.1(2)新規再エネ導入予定(合意形成)'!$G:$G,OFFSET($AA$7,MATCH($Y125,$Z$8:$Z$167,0),0))=0,OFFSET($AA$7,MATCH($Y125,$Z$8:$Z$167,0),0),""),"")</f>
        <v/>
      </c>
      <c r="AD125" s="175" t="str">
        <f ca="1">_xlfn.IFNA(OFFSET('4.1(2)新規再エネ導入予定(FS調査、系統接続検討状況)'!$W$1,MATCH(G125,'4.1(2)新規再エネ導入予定(FS調査、系統接続検討状況)'!G:G,0)-1,0),"//")</f>
        <v>//</v>
      </c>
      <c r="AE125" s="262" t="str">
        <f ca="1">_xlfn.IFNA(OFFSET('4.1(2)新規再エネ導入予定(合意形成)'!$AJ$1,MATCH(G125,'4.1(2)新規再エネ導入予定(合意形成)'!G:G,0)-1,0),"//")</f>
        <v>//</v>
      </c>
      <c r="AF125" s="175">
        <f t="shared" ca="1" si="25"/>
        <v>0</v>
      </c>
      <c r="AG125" s="215" t="str" cm="1">
        <f t="array" aca="1" ref="AG125" ca="1">IFERROR(_xlfn.IFS(COUNTIF($AB$8:$AC$167,G125)&gt;0,"",AF125&lt;=1,"D",AF125=2,"C",AF125=3,"B",AF125=4,"A"),"")</f>
        <v/>
      </c>
      <c r="AH125" s="175" t="str">
        <f ca="1">_xlfn.IFNA(OFFSET('4.1(2)新規再エネ導入予定(合意形成)'!$Z$1,MATCH($G125,'4.1(2)新規再エネ導入予定(合意形成)'!$G:$G,0)-1,0),"")</f>
        <v/>
      </c>
      <c r="AI125" s="215" t="str">
        <f t="shared" si="22"/>
        <v/>
      </c>
      <c r="AJ125" s="175" t="str">
        <f t="shared" si="17"/>
        <v/>
      </c>
      <c r="AK125" s="222" t="str">
        <f>IF(V125&lt;&gt;1,"",SUM($V$8:V125))</f>
        <v/>
      </c>
      <c r="AL125" s="175">
        <f t="shared" si="18"/>
        <v>1</v>
      </c>
    </row>
    <row r="126" spans="2:38" ht="9.75" customHeight="1">
      <c r="D126" s="14"/>
      <c r="E126" s="460"/>
      <c r="F126" s="460"/>
      <c r="G126" s="804"/>
      <c r="H126" s="460"/>
      <c r="I126" s="460"/>
      <c r="J126" s="460"/>
      <c r="K126" s="460"/>
      <c r="L126" s="746"/>
      <c r="M126" s="460"/>
      <c r="N126" s="740"/>
      <c r="O126" s="762"/>
      <c r="P126" s="460"/>
      <c r="Q126" s="463"/>
      <c r="R126" s="762"/>
      <c r="S126" s="460"/>
      <c r="T126" s="763"/>
      <c r="X126" s="222" t="s">
        <v>415</v>
      </c>
      <c r="Y126" s="175">
        <f t="shared" si="14"/>
        <v>119</v>
      </c>
      <c r="Z126" s="175" t="str">
        <f>IF(AA126&lt;&gt;"//",COUNTA($AA$8:AA126)-COUNTIF($AA$8:AA126,"//"),"")</f>
        <v/>
      </c>
      <c r="AA126" s="175" t="str">
        <f t="shared" si="21"/>
        <v>//</v>
      </c>
      <c r="AB126" s="175" t="str">
        <f ca="1">_xlfn.IFNA(IF(COUNTIF('4.1(2)新規再エネ導入予定(FS調査、系統接続検討状況)'!$G:$G,OFFSET($AA$7,MATCH($Y126,$Z$8:$Z$167,0),0))=0,OFFSET($AA$7,MATCH($Y126,$Z$8:$Z$167,0),0),""),"")</f>
        <v/>
      </c>
      <c r="AC126" s="175" t="str">
        <f ca="1">_xlfn.IFNA(IF(COUNTIF('4.1(2)新規再エネ導入予定(合意形成)'!$G:$G,OFFSET($AA$7,MATCH($Y126,$Z$8:$Z$167,0),0))=0,OFFSET($AA$7,MATCH($Y126,$Z$8:$Z$167,0),0),""),"")</f>
        <v/>
      </c>
      <c r="AD126" s="175" t="str">
        <f ca="1">_xlfn.IFNA(OFFSET('4.1(2)新規再エネ導入予定(FS調査、系統接続検討状況)'!$W$1,MATCH(G126,'4.1(2)新規再エネ導入予定(FS調査、系統接続検討状況)'!G:G,0)-1,0),"//")</f>
        <v>//</v>
      </c>
      <c r="AE126" s="262" t="str">
        <f ca="1">_xlfn.IFNA(OFFSET('4.1(2)新規再エネ導入予定(合意形成)'!$AJ$1,MATCH(G126,'4.1(2)新規再エネ導入予定(合意形成)'!G:G,0)-1,0),"//")</f>
        <v>//</v>
      </c>
      <c r="AF126" s="175">
        <f t="shared" ca="1" si="25"/>
        <v>0</v>
      </c>
      <c r="AG126" s="215" t="str" cm="1">
        <f t="array" aca="1" ref="AG126" ca="1">IFERROR(_xlfn.IFS(COUNTIF($AB$8:$AC$167,G126)&gt;0,"",AF126&lt;=1,"D",AF126=2,"C",AF126=3,"B",AF126=4,"A"),"")</f>
        <v/>
      </c>
      <c r="AH126" s="175" t="str">
        <f ca="1">_xlfn.IFNA(OFFSET('4.1(2)新規再エネ導入予定(合意形成)'!$Z$1,MATCH($G126,'4.1(2)新規再エネ導入予定(合意形成)'!$G:$G,0)-1,0),"")</f>
        <v/>
      </c>
      <c r="AI126" s="215" t="str">
        <f t="shared" si="22"/>
        <v/>
      </c>
      <c r="AJ126" s="175" t="str">
        <f t="shared" si="17"/>
        <v/>
      </c>
      <c r="AK126" s="222" t="str">
        <f>IF(V126&lt;&gt;1,"",SUM($V$8:V126))</f>
        <v/>
      </c>
      <c r="AL126" s="175">
        <f t="shared" si="18"/>
        <v>1</v>
      </c>
    </row>
    <row r="127" spans="2:38" ht="29">
      <c r="D127" s="237" t="s">
        <v>189</v>
      </c>
      <c r="F127" s="805"/>
      <c r="G127" s="806"/>
      <c r="N127" s="741"/>
      <c r="S127" s="323"/>
      <c r="T127" s="764"/>
      <c r="X127" s="222" t="s">
        <v>415</v>
      </c>
      <c r="Y127" s="175">
        <f t="shared" si="14"/>
        <v>120</v>
      </c>
      <c r="Z127" s="175" t="str">
        <f>IF(AA127&lt;&gt;"//",COUNTA($AA$8:AA127)-COUNTIF($AA$8:AA127,"//"),"")</f>
        <v/>
      </c>
      <c r="AA127" s="175" t="str">
        <f t="shared" si="21"/>
        <v>//</v>
      </c>
      <c r="AB127" s="175" t="str">
        <f ca="1">_xlfn.IFNA(IF(COUNTIF('4.1(2)新規再エネ導入予定(FS調査、系統接続検討状況)'!$G:$G,OFFSET($AA$7,MATCH($Y127,$Z$8:$Z$167,0),0))=0,OFFSET($AA$7,MATCH($Y127,$Z$8:$Z$167,0),0),""),"")</f>
        <v/>
      </c>
      <c r="AC127" s="175" t="str">
        <f ca="1">_xlfn.IFNA(IF(COUNTIF('4.1(2)新規再エネ導入予定(合意形成)'!$G:$G,OFFSET($AA$7,MATCH($Y127,$Z$8:$Z$167,0),0))=0,OFFSET($AA$7,MATCH($Y127,$Z$8:$Z$167,0),0),""),"")</f>
        <v/>
      </c>
      <c r="AD127" s="175" t="str">
        <f ca="1">_xlfn.IFNA(OFFSET('4.1(2)新規再エネ導入予定(FS調査、系統接続検討状況)'!$W$1,MATCH(G127,'4.1(2)新規再エネ導入予定(FS調査、系統接続検討状況)'!G:G,0)-1,0),"//")</f>
        <v>//</v>
      </c>
      <c r="AE127" s="262" t="str">
        <f ca="1">_xlfn.IFNA(OFFSET('4.1(2)新規再エネ導入予定(合意形成)'!$AJ$1,MATCH(G127,'4.1(2)新規再エネ導入予定(合意形成)'!G:G,0)-1,0),"//")</f>
        <v>//</v>
      </c>
      <c r="AF127" s="175">
        <f t="shared" ca="1" si="25"/>
        <v>0</v>
      </c>
      <c r="AG127" s="215" t="str" cm="1">
        <f t="array" aca="1" ref="AG127" ca="1">IFERROR(_xlfn.IFS(COUNTIF($AB$8:$AC$167,G127)&gt;0,"",AF127&lt;=1,"D",AF127=2,"C",AF127=3,"B",AF127=4,"A"),"")</f>
        <v/>
      </c>
      <c r="AH127" s="175" t="str">
        <f ca="1">_xlfn.IFNA(OFFSET('4.1(2)新規再エネ導入予定(合意形成)'!$Z$1,MATCH($G127,'4.1(2)新規再エネ導入予定(合意形成)'!$G:$G,0)-1,0),"")</f>
        <v/>
      </c>
      <c r="AI127" s="215" t="str">
        <f t="shared" si="22"/>
        <v/>
      </c>
      <c r="AJ127" s="175" t="str">
        <f t="shared" si="17"/>
        <v/>
      </c>
      <c r="AK127" s="222" t="str">
        <f>IF(V127&lt;&gt;1,"",SUM($V$8:V127))</f>
        <v/>
      </c>
      <c r="AL127" s="175">
        <f t="shared" si="18"/>
        <v>1</v>
      </c>
    </row>
    <row r="128" spans="2:38" ht="60">
      <c r="D128" s="16"/>
      <c r="E128" s="824"/>
      <c r="F128" s="807" t="s">
        <v>8</v>
      </c>
      <c r="G128" s="735" t="s">
        <v>185</v>
      </c>
      <c r="H128" s="735" t="s">
        <v>180</v>
      </c>
      <c r="I128" s="735" t="s">
        <v>9</v>
      </c>
      <c r="J128" s="735" t="s">
        <v>10</v>
      </c>
      <c r="K128" s="808" t="s">
        <v>11</v>
      </c>
      <c r="L128" s="750" t="s">
        <v>31</v>
      </c>
      <c r="M128" s="735" t="s">
        <v>13</v>
      </c>
      <c r="N128" s="811" t="s">
        <v>82</v>
      </c>
      <c r="O128" s="735" t="s">
        <v>191</v>
      </c>
      <c r="P128" s="735" t="s">
        <v>81</v>
      </c>
      <c r="Q128" s="736" t="s">
        <v>83</v>
      </c>
      <c r="R128" s="735" t="s">
        <v>14</v>
      </c>
      <c r="S128" s="735" t="s">
        <v>297</v>
      </c>
      <c r="T128" s="764"/>
      <c r="V128" s="434" t="s">
        <v>193</v>
      </c>
      <c r="X128" s="222" t="s">
        <v>415</v>
      </c>
      <c r="Y128" s="175">
        <f t="shared" si="14"/>
        <v>121</v>
      </c>
      <c r="Z128" s="175" t="str">
        <f>IF(AA128&lt;&gt;"//",COUNTA($AA$8:AA128)-COUNTIF($AA$8:AA128,"//"),"")</f>
        <v/>
      </c>
      <c r="AA128" s="175" t="str">
        <f t="shared" si="21"/>
        <v>//</v>
      </c>
      <c r="AB128" s="175" t="str">
        <f ca="1">_xlfn.IFNA(IF(COUNTIF('4.1(2)新規再エネ導入予定(FS調査、系統接続検討状況)'!$G:$G,OFFSET($AA$7,MATCH($Y128,$Z$8:$Z$167,0),0))=0,OFFSET($AA$7,MATCH($Y128,$Z$8:$Z$167,0),0),""),"")</f>
        <v/>
      </c>
      <c r="AC128" s="175" t="str">
        <f ca="1">_xlfn.IFNA(IF(COUNTIF('4.1(2)新規再エネ導入予定(合意形成)'!$G:$G,OFFSET($AA$7,MATCH($Y128,$Z$8:$Z$167,0),0))=0,OFFSET($AA$7,MATCH($Y128,$Z$8:$Z$167,0),0),""),"")</f>
        <v/>
      </c>
      <c r="AD128" s="175" t="str">
        <f ca="1">_xlfn.IFNA(OFFSET('4.1(2)新規再エネ導入予定(FS調査、系統接続検討状況)'!$W$1,MATCH(G128,'4.1(2)新規再エネ導入予定(FS調査、系統接続検討状況)'!G:G,0)-1,0),"//")</f>
        <v>採点</v>
      </c>
      <c r="AE128" s="262" t="str">
        <f ca="1">_xlfn.IFNA(OFFSET('4.1(2)新規再エネ導入予定(合意形成)'!$AJ$1,MATCH(G128,'4.1(2)新規再エネ導入予定(合意形成)'!G:G,0)-1,0),"//")</f>
        <v>施設
スコア</v>
      </c>
      <c r="AF128" s="175">
        <f t="shared" ca="1" si="25"/>
        <v>0</v>
      </c>
      <c r="AG128" s="215" t="str" cm="1">
        <f t="array" aca="1" ref="AG128" ca="1">IFERROR(_xlfn.IFS(COUNTIF($AB$8:$AC$167,G128)&gt;0,"",AF128&lt;=1,"D",AF128=2,"C",AF128=3,"B",AF128=4,"A"),"")</f>
        <v>D</v>
      </c>
      <c r="AH128" s="175" t="str">
        <f ca="1">_xlfn.IFNA(OFFSET('4.1(2)新規再エネ導入予定(合意形成)'!$Z$1,MATCH($G128,'4.1(2)新規再エネ導入予定(合意形成)'!$G:$G,0)-1,0),"")</f>
        <v>代表者数</v>
      </c>
      <c r="AI128" s="215" t="str">
        <f t="shared" ca="1" si="22"/>
        <v>D</v>
      </c>
      <c r="AJ128" s="175">
        <f t="shared" si="17"/>
        <v>1</v>
      </c>
      <c r="AK128" s="222" t="str">
        <f>IF(V128&lt;&gt;1,"",SUM($V$8:V128))</f>
        <v/>
      </c>
      <c r="AL128" s="175">
        <f t="shared" si="18"/>
        <v>1</v>
      </c>
    </row>
    <row r="129" spans="2:38" s="11" customFormat="1" ht="20" hidden="1">
      <c r="B129" s="21"/>
      <c r="C129" s="21"/>
      <c r="D129" s="22"/>
      <c r="E129" s="825"/>
      <c r="F129" s="774"/>
      <c r="G129" s="775"/>
      <c r="H129" s="776"/>
      <c r="I129" s="776"/>
      <c r="J129" s="777"/>
      <c r="K129" s="777"/>
      <c r="L129" s="894"/>
      <c r="M129" s="895"/>
      <c r="N129" s="900"/>
      <c r="O129" s="791"/>
      <c r="P129" s="895"/>
      <c r="Q129" s="901"/>
      <c r="R129" s="791"/>
      <c r="S129" s="778" t="str">
        <f>IF(G129="","",AG129)</f>
        <v/>
      </c>
      <c r="T129" s="779"/>
      <c r="U129" s="114"/>
      <c r="V129" s="780"/>
      <c r="X129" s="125" t="s">
        <v>415</v>
      </c>
      <c r="Y129" s="255">
        <f t="shared" si="14"/>
        <v>122</v>
      </c>
      <c r="Z129" s="255" t="str">
        <f>IF(AA129&lt;&gt;"//",COUNTA($AA$8:AA129)-COUNTIF($AA$8:AA129,"//"),"")</f>
        <v/>
      </c>
      <c r="AA129" s="255" t="str">
        <f t="shared" si="21"/>
        <v>//</v>
      </c>
      <c r="AB129" s="255" t="str">
        <f ca="1">_xlfn.IFNA(IF(COUNTIF('4.1(2)新規再エネ導入予定(FS調査、系統接続検討状況)'!$G:$G,OFFSET($AA$7,MATCH($Y129,$Z$8:$Z$167,0),0))=0,OFFSET($AA$7,MATCH($Y129,$Z$8:$Z$167,0),0),""),"")</f>
        <v/>
      </c>
      <c r="AC129" s="255" t="str">
        <f ca="1">_xlfn.IFNA(IF(COUNTIF('4.1(2)新規再エネ導入予定(合意形成)'!$G:$G,OFFSET($AA$7,MATCH($Y129,$Z$8:$Z$167,0),0))=0,OFFSET($AA$7,MATCH($Y129,$Z$8:$Z$167,0),0),""),"")</f>
        <v/>
      </c>
      <c r="AD129" s="255" t="str">
        <f ca="1">_xlfn.IFNA(OFFSET('4.1(2)新規再エネ導入予定(FS調査、系統接続検討状況)'!$W$1,MATCH(G129,'4.1(2)新規再エネ導入予定(FS調査、系統接続検討状況)'!G:G,0)-1,0),"//")</f>
        <v>//</v>
      </c>
      <c r="AE129" s="277" t="str">
        <f ca="1">_xlfn.IFNA(OFFSET('4.1(2)新規再エネ導入予定(合意形成)'!$AJ$1,MATCH(G129,'4.1(2)新規再エネ導入予定(合意形成)'!G:G,0)-1,0),"//")</f>
        <v>//</v>
      </c>
      <c r="AF129" s="255">
        <f t="shared" ca="1" si="25"/>
        <v>0</v>
      </c>
      <c r="AG129" s="129" t="str" cm="1">
        <f t="array" aca="1" ref="AG129" ca="1">IFERROR(_xlfn.IFS(COUNTIF($AB$8:$AC$167,G129)&gt;0,"",AF129&lt;=1,"D",AF129=2,"C",AF129=3,"B",AF129=4,"A"),"")</f>
        <v/>
      </c>
      <c r="AH129" s="255" t="str">
        <f ca="1">_xlfn.IFNA(OFFSET('4.1(2)新規再エネ導入予定(合意形成)'!$Z$1,MATCH($G129,'4.1(2)新規再エネ導入予定(合意形成)'!$G:$G,0)-1,0),"")</f>
        <v/>
      </c>
      <c r="AI129" s="129" t="str">
        <f t="shared" si="22"/>
        <v/>
      </c>
      <c r="AJ129" s="255" t="str">
        <f t="shared" si="17"/>
        <v/>
      </c>
      <c r="AK129" s="125" t="str">
        <f>IF(V129&lt;&gt;1,"",SUM($V$8:V129))</f>
        <v/>
      </c>
      <c r="AL129" s="255">
        <f t="shared" si="18"/>
        <v>1</v>
      </c>
    </row>
    <row r="130" spans="2:38" s="11" customFormat="1" ht="20">
      <c r="B130" s="21"/>
      <c r="C130" s="21"/>
      <c r="D130" s="22"/>
      <c r="E130" s="825"/>
      <c r="F130" s="781"/>
      <c r="G130" s="782"/>
      <c r="H130" s="783"/>
      <c r="I130" s="783"/>
      <c r="J130" s="784"/>
      <c r="K130" s="784"/>
      <c r="L130" s="724"/>
      <c r="M130" s="897"/>
      <c r="N130" s="900"/>
      <c r="O130" s="788"/>
      <c r="P130" s="897"/>
      <c r="Q130" s="901"/>
      <c r="R130" s="788"/>
      <c r="S130" s="786" t="str">
        <f>IF(G130="","",AG130)</f>
        <v/>
      </c>
      <c r="T130" s="779"/>
      <c r="U130" s="114"/>
      <c r="V130" s="787" t="str">
        <f>IF(H130&lt;&gt;"",1,"")</f>
        <v/>
      </c>
      <c r="X130" s="125" t="s">
        <v>415</v>
      </c>
      <c r="Y130" s="255">
        <f t="shared" si="14"/>
        <v>123</v>
      </c>
      <c r="Z130" s="255" t="str">
        <f>IF(AA130&lt;&gt;"//",COUNTA($AA$8:AA130)-COUNTIF($AA$8:AA130,"//"),"")</f>
        <v/>
      </c>
      <c r="AA130" s="255" t="str">
        <f t="shared" si="21"/>
        <v>//</v>
      </c>
      <c r="AB130" s="255" t="str">
        <f ca="1">_xlfn.IFNA(IF(COUNTIF('4.1(2)新規再エネ導入予定(FS調査、系統接続検討状況)'!$G:$G,OFFSET($AA$7,MATCH($Y130,$Z$8:$Z$167,0),0))=0,OFFSET($AA$7,MATCH($Y130,$Z$8:$Z$167,0),0),""),"")</f>
        <v/>
      </c>
      <c r="AC130" s="255" t="str">
        <f ca="1">_xlfn.IFNA(IF(COUNTIF('4.1(2)新規再エネ導入予定(合意形成)'!$G:$G,OFFSET($AA$7,MATCH($Y130,$Z$8:$Z$167,0),0))=0,OFFSET($AA$7,MATCH($Y130,$Z$8:$Z$167,0),0),""),"")</f>
        <v/>
      </c>
      <c r="AD130" s="255" t="str">
        <f ca="1">_xlfn.IFNA(OFFSET('4.1(2)新規再エネ導入予定(FS調査、系統接続検討状況)'!$W$1,MATCH(G130,'4.1(2)新規再エネ導入予定(FS調査、系統接続検討状況)'!G:G,0)-1,0),"//")</f>
        <v>//</v>
      </c>
      <c r="AE130" s="277" t="str">
        <f ca="1">_xlfn.IFNA(OFFSET('4.1(2)新規再エネ導入予定(合意形成)'!$AJ$1,MATCH(G130,'4.1(2)新規再エネ導入予定(合意形成)'!G:G,0)-1,0),"//")</f>
        <v>//</v>
      </c>
      <c r="AF130" s="255">
        <f t="shared" ca="1" si="25"/>
        <v>0</v>
      </c>
      <c r="AG130" s="129" t="str" cm="1">
        <f t="array" aca="1" ref="AG130" ca="1">IFERROR(_xlfn.IFS(COUNTIF($AB$8:$AC$167,G130)&gt;0,"",AF130&lt;=1,"D",AF130=2,"C",AF130=3,"B",AF130=4,"A"),"")</f>
        <v/>
      </c>
      <c r="AH130" s="255" t="str">
        <f ca="1">_xlfn.IFNA(OFFSET('4.1(2)新規再エネ導入予定(合意形成)'!$Z$1,MATCH($G130,'4.1(2)新規再エネ導入予定(合意形成)'!$G:$G,0)-1,0),"")</f>
        <v/>
      </c>
      <c r="AI130" s="129" t="str">
        <f t="shared" si="22"/>
        <v/>
      </c>
      <c r="AJ130" s="255" t="str">
        <f t="shared" si="17"/>
        <v/>
      </c>
      <c r="AK130" s="125" t="str">
        <f>IF(V130&lt;&gt;1,"",SUM($V$8:V130))</f>
        <v/>
      </c>
      <c r="AL130" s="255">
        <f t="shared" si="18"/>
        <v>1</v>
      </c>
    </row>
    <row r="131" spans="2:38" s="11" customFormat="1" ht="20">
      <c r="B131" s="21"/>
      <c r="C131" s="21"/>
      <c r="D131" s="22"/>
      <c r="E131" s="825"/>
      <c r="F131" s="781"/>
      <c r="G131" s="782"/>
      <c r="H131" s="783"/>
      <c r="I131" s="783"/>
      <c r="J131" s="784"/>
      <c r="K131" s="784"/>
      <c r="L131" s="899"/>
      <c r="M131" s="897"/>
      <c r="N131" s="900"/>
      <c r="O131" s="788"/>
      <c r="P131" s="897"/>
      <c r="Q131" s="901"/>
      <c r="R131" s="788"/>
      <c r="S131" s="786" t="str">
        <f>IF(G131="","",AG131)</f>
        <v/>
      </c>
      <c r="T131" s="779"/>
      <c r="U131" s="114"/>
      <c r="V131" s="787" t="str">
        <f>IF(H131&lt;&gt;"",1,"")</f>
        <v/>
      </c>
      <c r="X131" s="125" t="s">
        <v>415</v>
      </c>
      <c r="Y131" s="255">
        <f t="shared" si="14"/>
        <v>124</v>
      </c>
      <c r="Z131" s="255" t="str">
        <f>IF(AA131&lt;&gt;"//",COUNTA($AA$8:AA131)-COUNTIF($AA$8:AA131,"//"),"")</f>
        <v/>
      </c>
      <c r="AA131" s="255" t="str">
        <f t="shared" si="21"/>
        <v>//</v>
      </c>
      <c r="AB131" s="255" t="str">
        <f ca="1">_xlfn.IFNA(IF(COUNTIF('4.1(2)新規再エネ導入予定(FS調査、系統接続検討状況)'!$G:$G,OFFSET($AA$7,MATCH($Y131,$Z$8:$Z$167,0),0))=0,OFFSET($AA$7,MATCH($Y131,$Z$8:$Z$167,0),0),""),"")</f>
        <v/>
      </c>
      <c r="AC131" s="255" t="str">
        <f ca="1">_xlfn.IFNA(IF(COUNTIF('4.1(2)新規再エネ導入予定(合意形成)'!$G:$G,OFFSET($AA$7,MATCH($Y131,$Z$8:$Z$167,0),0))=0,OFFSET($AA$7,MATCH($Y131,$Z$8:$Z$167,0),0),""),"")</f>
        <v/>
      </c>
      <c r="AD131" s="255" t="str">
        <f ca="1">_xlfn.IFNA(OFFSET('4.1(2)新規再エネ導入予定(FS調査、系統接続検討状況)'!$W$1,MATCH(G131,'4.1(2)新規再エネ導入予定(FS調査、系統接続検討状況)'!G:G,0)-1,0),"//")</f>
        <v>//</v>
      </c>
      <c r="AE131" s="277" t="str">
        <f ca="1">_xlfn.IFNA(OFFSET('4.1(2)新規再エネ導入予定(合意形成)'!$AJ$1,MATCH(G131,'4.1(2)新規再エネ導入予定(合意形成)'!G:G,0)-1,0),"//")</f>
        <v>//</v>
      </c>
      <c r="AF131" s="255">
        <f t="shared" ca="1" si="25"/>
        <v>0</v>
      </c>
      <c r="AG131" s="129" t="str" cm="1">
        <f t="array" aca="1" ref="AG131" ca="1">IFERROR(_xlfn.IFS(COUNTIF($AB$8:$AC$167,G131)&gt;0,"",AF131&lt;=1,"D",AF131=2,"C",AF131=3,"B",AF131=4,"A"),"")</f>
        <v/>
      </c>
      <c r="AH131" s="255" t="str">
        <f ca="1">_xlfn.IFNA(OFFSET('4.1(2)新規再エネ導入予定(合意形成)'!$Z$1,MATCH($G131,'4.1(2)新規再エネ導入予定(合意形成)'!$G:$G,0)-1,0),"")</f>
        <v/>
      </c>
      <c r="AI131" s="129" t="str">
        <f t="shared" si="22"/>
        <v/>
      </c>
      <c r="AJ131" s="255" t="str">
        <f t="shared" si="17"/>
        <v/>
      </c>
      <c r="AK131" s="125" t="str">
        <f>IF(V131&lt;&gt;1,"",SUM($V$8:V131))</f>
        <v/>
      </c>
      <c r="AL131" s="255">
        <f t="shared" si="18"/>
        <v>1</v>
      </c>
    </row>
    <row r="132" spans="2:38" s="11" customFormat="1" ht="20">
      <c r="B132" s="21"/>
      <c r="C132" s="21"/>
      <c r="D132" s="22"/>
      <c r="E132" s="825"/>
      <c r="F132" s="781"/>
      <c r="G132" s="782"/>
      <c r="H132" s="783"/>
      <c r="I132" s="783"/>
      <c r="J132" s="784"/>
      <c r="K132" s="784"/>
      <c r="L132" s="724"/>
      <c r="M132" s="727"/>
      <c r="N132" s="900"/>
      <c r="O132" s="788"/>
      <c r="P132" s="897"/>
      <c r="Q132" s="901"/>
      <c r="R132" s="788"/>
      <c r="S132" s="786" t="str">
        <f>IF(G132="","",AG132)</f>
        <v/>
      </c>
      <c r="T132" s="779"/>
      <c r="U132" s="114"/>
      <c r="V132" s="787" t="str">
        <f>IF(H132&lt;&gt;"",1,"")</f>
        <v/>
      </c>
      <c r="X132" s="125" t="s">
        <v>415</v>
      </c>
      <c r="Y132" s="255">
        <f t="shared" si="14"/>
        <v>125</v>
      </c>
      <c r="Z132" s="255" t="str">
        <f>IF(AA132&lt;&gt;"//",COUNTA($AA$8:AA132)-COUNTIF($AA$8:AA132,"//"),"")</f>
        <v/>
      </c>
      <c r="AA132" s="255" t="str">
        <f t="shared" si="21"/>
        <v>//</v>
      </c>
      <c r="AB132" s="255" t="str">
        <f ca="1">_xlfn.IFNA(IF(COUNTIF('4.1(2)新規再エネ導入予定(FS調査、系統接続検討状況)'!$G:$G,OFFSET($AA$7,MATCH($Y132,$Z$8:$Z$167,0),0))=0,OFFSET($AA$7,MATCH($Y132,$Z$8:$Z$167,0),0),""),"")</f>
        <v/>
      </c>
      <c r="AC132" s="255" t="str">
        <f ca="1">_xlfn.IFNA(IF(COUNTIF('4.1(2)新規再エネ導入予定(合意形成)'!$G:$G,OFFSET($AA$7,MATCH($Y132,$Z$8:$Z$167,0),0))=0,OFFSET($AA$7,MATCH($Y132,$Z$8:$Z$167,0),0),""),"")</f>
        <v/>
      </c>
      <c r="AD132" s="255" t="str">
        <f ca="1">_xlfn.IFNA(OFFSET('4.1(2)新規再エネ導入予定(FS調査、系統接続検討状況)'!$W$1,MATCH(G132,'4.1(2)新規再エネ導入予定(FS調査、系統接続検討状況)'!G:G,0)-1,0),"//")</f>
        <v>//</v>
      </c>
      <c r="AE132" s="277" t="str">
        <f ca="1">_xlfn.IFNA(OFFSET('4.1(2)新規再エネ導入予定(合意形成)'!$AJ$1,MATCH(G132,'4.1(2)新規再エネ導入予定(合意形成)'!G:G,0)-1,0),"//")</f>
        <v>//</v>
      </c>
      <c r="AF132" s="255">
        <f t="shared" ca="1" si="25"/>
        <v>0</v>
      </c>
      <c r="AG132" s="129" t="str" cm="1">
        <f t="array" aca="1" ref="AG132" ca="1">IFERROR(_xlfn.IFS(COUNTIF($AB$8:$AC$167,G132)&gt;0,"",AF132&lt;=1,"D",AF132=2,"C",AF132=3,"B",AF132=4,"A"),"")</f>
        <v/>
      </c>
      <c r="AH132" s="255" t="str">
        <f ca="1">_xlfn.IFNA(OFFSET('4.1(2)新規再エネ導入予定(合意形成)'!$Z$1,MATCH($G132,'4.1(2)新規再エネ導入予定(合意形成)'!$G:$G,0)-1,0),"")</f>
        <v/>
      </c>
      <c r="AI132" s="129" t="str">
        <f t="shared" si="22"/>
        <v/>
      </c>
      <c r="AJ132" s="255" t="str">
        <f t="shared" si="17"/>
        <v/>
      </c>
      <c r="AK132" s="125" t="str">
        <f>IF(V132&lt;&gt;1,"",SUM($V$8:V132))</f>
        <v/>
      </c>
      <c r="AL132" s="255">
        <f t="shared" si="18"/>
        <v>1</v>
      </c>
    </row>
    <row r="133" spans="2:38" ht="20">
      <c r="D133" s="16"/>
      <c r="E133" s="826"/>
      <c r="F133" s="809" t="s">
        <v>26</v>
      </c>
      <c r="G133" s="795"/>
      <c r="H133" s="795"/>
      <c r="I133" s="795"/>
      <c r="J133" s="795"/>
      <c r="K133" s="795"/>
      <c r="L133" s="751"/>
      <c r="M133" s="499">
        <f ca="1">SUM(INDIRECT("M"&amp;ROW(M128)&amp;":M"&amp;ROW()-1))</f>
        <v>0</v>
      </c>
      <c r="N133" s="743"/>
      <c r="O133" s="810"/>
      <c r="P133" s="703">
        <f ca="1">SUM(INDIRECT("P"&amp;ROW(P128)&amp;":P"&amp;ROW()-1))</f>
        <v>0</v>
      </c>
      <c r="Q133" s="737"/>
      <c r="R133" s="799"/>
      <c r="S133" s="796"/>
      <c r="T133" s="764"/>
      <c r="V133" s="222" t="str">
        <f t="shared" ref="V133" si="26">IF(H133&lt;&gt;"",1,"")</f>
        <v/>
      </c>
      <c r="X133" s="222" t="s">
        <v>415</v>
      </c>
      <c r="Y133" s="175">
        <f t="shared" si="14"/>
        <v>126</v>
      </c>
      <c r="Z133" s="175" t="str">
        <f>IF(AA133&lt;&gt;"//",COUNTA($AA$8:AA133)-COUNTIF($AA$8:AA133,"//"),"")</f>
        <v/>
      </c>
      <c r="AA133" s="175" t="str">
        <f t="shared" si="21"/>
        <v>//</v>
      </c>
      <c r="AB133" s="175" t="str">
        <f ca="1">_xlfn.IFNA(IF(COUNTIF('4.1(2)新規再エネ導入予定(FS調査、系統接続検討状況)'!$G:$G,OFFSET($AA$7,MATCH($Y133,$Z$8:$Z$167,0),0))=0,OFFSET($AA$7,MATCH($Y133,$Z$8:$Z$167,0),0),""),"")</f>
        <v/>
      </c>
      <c r="AC133" s="175" t="str">
        <f ca="1">_xlfn.IFNA(IF(COUNTIF('4.1(2)新規再エネ導入予定(合意形成)'!$G:$G,OFFSET($AA$7,MATCH($Y133,$Z$8:$Z$167,0),0))=0,OFFSET($AA$7,MATCH($Y133,$Z$8:$Z$167,0),0),""),"")</f>
        <v/>
      </c>
      <c r="AD133" s="175" t="str">
        <f ca="1">_xlfn.IFNA(OFFSET('4.1(2)新規再エネ導入予定(FS調査、系統接続検討状況)'!$W$1,MATCH(G133,'4.1(2)新規再エネ導入予定(FS調査、系統接続検討状況)'!G:G,0)-1,0),"//")</f>
        <v>//</v>
      </c>
      <c r="AE133" s="262" t="str">
        <f ca="1">_xlfn.IFNA(OFFSET('4.1(2)新規再エネ導入予定(合意形成)'!$AJ$1,MATCH(G133,'4.1(2)新規再エネ導入予定(合意形成)'!G:G,0)-1,0),"//")</f>
        <v>//</v>
      </c>
      <c r="AF133" s="175">
        <f t="shared" ca="1" si="25"/>
        <v>0</v>
      </c>
      <c r="AG133" s="215" t="str" cm="1">
        <f t="array" aca="1" ref="AG133" ca="1">IFERROR(_xlfn.IFS(COUNTIF($AB$8:$AC$167,G133)&gt;0,"",AF133&lt;=1,"D",AF133=2,"C",AF133=3,"B",AF133=4,"A"),"")</f>
        <v/>
      </c>
      <c r="AH133" s="175" t="str">
        <f ca="1">_xlfn.IFNA(OFFSET('4.1(2)新規再エネ導入予定(合意形成)'!$Z$1,MATCH($G133,'4.1(2)新規再エネ導入予定(合意形成)'!$G:$G,0)-1,0),"")</f>
        <v/>
      </c>
      <c r="AI133" s="215" t="str">
        <f t="shared" si="22"/>
        <v/>
      </c>
      <c r="AJ133" s="175" t="str">
        <f t="shared" si="17"/>
        <v/>
      </c>
      <c r="AK133" s="222" t="str">
        <f>IF(V133&lt;&gt;1,"",SUM($V$8:V133))</f>
        <v/>
      </c>
      <c r="AL133" s="175">
        <f t="shared" si="18"/>
        <v>1</v>
      </c>
    </row>
    <row r="134" spans="2:38">
      <c r="D134" s="46"/>
      <c r="E134" s="467"/>
      <c r="F134" s="467"/>
      <c r="G134" s="467"/>
      <c r="H134" s="467"/>
      <c r="I134" s="467"/>
      <c r="J134" s="467"/>
      <c r="K134" s="467"/>
      <c r="L134" s="752"/>
      <c r="M134" s="467"/>
      <c r="N134" s="470"/>
      <c r="O134" s="801"/>
      <c r="P134" s="467"/>
      <c r="Q134" s="470"/>
      <c r="R134" s="801"/>
      <c r="S134" s="467"/>
      <c r="T134" s="802"/>
      <c r="X134" s="222" t="s">
        <v>415</v>
      </c>
      <c r="Y134" s="175">
        <f t="shared" si="14"/>
        <v>127</v>
      </c>
      <c r="Z134" s="175" t="str">
        <f>IF(AA134&lt;&gt;"//",COUNTA($AA$8:AA134)-COUNTIF($AA$8:AA134,"//"),"")</f>
        <v/>
      </c>
      <c r="AA134" s="175" t="str">
        <f t="shared" si="21"/>
        <v>//</v>
      </c>
      <c r="AB134" s="175" t="str">
        <f ca="1">_xlfn.IFNA(IF(COUNTIF('4.1(2)新規再エネ導入予定(FS調査、系統接続検討状況)'!$G:$G,OFFSET($AA$7,MATCH($Y134,$Z$8:$Z$167,0),0))=0,OFFSET($AA$7,MATCH($Y134,$Z$8:$Z$167,0),0),""),"")</f>
        <v/>
      </c>
      <c r="AC134" s="175" t="str">
        <f ca="1">_xlfn.IFNA(IF(COUNTIF('4.1(2)新規再エネ導入予定(合意形成)'!$G:$G,OFFSET($AA$7,MATCH($Y134,$Z$8:$Z$167,0),0))=0,OFFSET($AA$7,MATCH($Y134,$Z$8:$Z$167,0),0),""),"")</f>
        <v/>
      </c>
      <c r="AD134" s="175" t="str">
        <f ca="1">_xlfn.IFNA(OFFSET('4.1(2)新規再エネ導入予定(FS調査、系統接続検討状況)'!$W$1,MATCH(G134,'4.1(2)新規再エネ導入予定(FS調査、系統接続検討状況)'!G:G,0)-1,0),"//")</f>
        <v>//</v>
      </c>
      <c r="AE134" s="262" t="str">
        <f ca="1">_xlfn.IFNA(OFFSET('4.1(2)新規再エネ導入予定(合意形成)'!$AJ$1,MATCH(G134,'4.1(2)新規再エネ導入予定(合意形成)'!G:G,0)-1,0),"//")</f>
        <v>//</v>
      </c>
      <c r="AF134" s="175">
        <f t="shared" ca="1" si="25"/>
        <v>0</v>
      </c>
      <c r="AG134" s="215" t="str" cm="1">
        <f t="array" aca="1" ref="AG134" ca="1">IFERROR(_xlfn.IFS(COUNTIF($AB$8:$AC$167,G134)&gt;0,"",AF134&lt;=1,"D",AF134=2,"C",AF134=3,"B",AF134=4,"A"),"")</f>
        <v/>
      </c>
      <c r="AH134" s="175" t="str">
        <f ca="1">_xlfn.IFNA(OFFSET('4.1(2)新規再エネ導入予定(合意形成)'!$Z$1,MATCH($G134,'4.1(2)新規再エネ導入予定(合意形成)'!$G:$G,0)-1,0),"")</f>
        <v/>
      </c>
      <c r="AI134" s="215" t="str">
        <f t="shared" si="22"/>
        <v/>
      </c>
      <c r="AJ134" s="175" t="str">
        <f t="shared" si="17"/>
        <v/>
      </c>
      <c r="AK134" s="222" t="str">
        <f>IF(V134&lt;&gt;1,"",SUM($V$8:V134))</f>
        <v/>
      </c>
      <c r="AL134" s="175">
        <f t="shared" si="18"/>
        <v>1</v>
      </c>
    </row>
    <row r="135" spans="2:38">
      <c r="F135" s="734"/>
      <c r="G135" s="734"/>
      <c r="H135" s="734"/>
      <c r="I135" s="734"/>
      <c r="J135" s="734"/>
      <c r="K135" s="734"/>
      <c r="L135" s="749"/>
      <c r="M135" s="734"/>
      <c r="N135" s="739"/>
      <c r="O135" s="803"/>
      <c r="P135" s="734"/>
      <c r="X135" s="222" t="s">
        <v>415</v>
      </c>
      <c r="Y135" s="175">
        <f t="shared" ref="Y135:Y167" si="27">ROW()-ROW($Y$7)</f>
        <v>128</v>
      </c>
      <c r="Z135" s="175" t="str">
        <f>IF(AA135&lt;&gt;"//",COUNTA($AA$8:AA135)-COUNTIF($AA$8:AA135,"//"),"")</f>
        <v/>
      </c>
      <c r="AA135" s="175" t="str">
        <f t="shared" si="21"/>
        <v>//</v>
      </c>
      <c r="AB135" s="175" t="str">
        <f ca="1">_xlfn.IFNA(IF(COUNTIF('4.1(2)新規再エネ導入予定(FS調査、系統接続検討状況)'!$G:$G,OFFSET($AA$7,MATCH($Y135,$Z$8:$Z$167,0),0))=0,OFFSET($AA$7,MATCH($Y135,$Z$8:$Z$167,0),0),""),"")</f>
        <v/>
      </c>
      <c r="AC135" s="175" t="str">
        <f ca="1">_xlfn.IFNA(IF(COUNTIF('4.1(2)新規再エネ導入予定(合意形成)'!$G:$G,OFFSET($AA$7,MATCH($Y135,$Z$8:$Z$167,0),0))=0,OFFSET($AA$7,MATCH($Y135,$Z$8:$Z$167,0),0),""),"")</f>
        <v/>
      </c>
      <c r="AD135" s="175" t="str">
        <f ca="1">_xlfn.IFNA(OFFSET('4.1(2)新規再エネ導入予定(FS調査、系統接続検討状況)'!$W$1,MATCH(G135,'4.1(2)新規再エネ導入予定(FS調査、系統接続検討状況)'!G:G,0)-1,0),"//")</f>
        <v>//</v>
      </c>
      <c r="AE135" s="262" t="str">
        <f ca="1">_xlfn.IFNA(OFFSET('4.1(2)新規再エネ導入予定(合意形成)'!$AJ$1,MATCH(G135,'4.1(2)新規再エネ導入予定(合意形成)'!G:G,0)-1,0),"//")</f>
        <v>//</v>
      </c>
      <c r="AF135" s="175">
        <f t="shared" ca="1" si="25"/>
        <v>0</v>
      </c>
      <c r="AG135" s="215" t="str" cm="1">
        <f t="array" aca="1" ref="AG135" ca="1">IFERROR(_xlfn.IFS(COUNTIF($AB$8:$AC$167,G135)&gt;0,"",AF135&lt;=1,"D",AF135=2,"C",AF135=3,"B",AF135=4,"A"),"")</f>
        <v/>
      </c>
      <c r="AH135" s="175" t="str">
        <f ca="1">_xlfn.IFNA(OFFSET('4.1(2)新規再エネ導入予定(合意形成)'!$Z$1,MATCH($G135,'4.1(2)新規再エネ導入予定(合意形成)'!$G:$G,0)-1,0),"")</f>
        <v/>
      </c>
      <c r="AI135" s="215" t="str">
        <f t="shared" si="22"/>
        <v/>
      </c>
      <c r="AJ135" s="175" t="str">
        <f t="shared" si="17"/>
        <v/>
      </c>
      <c r="AK135" s="222" t="str">
        <f>IF(V135&lt;&gt;1,"",SUM($V$8:V135))</f>
        <v/>
      </c>
      <c r="AL135" s="175">
        <f t="shared" si="18"/>
        <v>1</v>
      </c>
    </row>
    <row r="136" spans="2:38" ht="9.75" customHeight="1">
      <c r="D136" s="14"/>
      <c r="E136" s="460"/>
      <c r="F136" s="804"/>
      <c r="G136" s="460"/>
      <c r="H136" s="460"/>
      <c r="I136" s="460"/>
      <c r="J136" s="460"/>
      <c r="K136" s="460"/>
      <c r="L136" s="746"/>
      <c r="M136" s="460"/>
      <c r="N136" s="740"/>
      <c r="O136" s="762"/>
      <c r="P136" s="460"/>
      <c r="Q136" s="463"/>
      <c r="R136" s="762"/>
      <c r="S136" s="460"/>
      <c r="T136" s="763"/>
      <c r="X136" s="222" t="s">
        <v>416</v>
      </c>
      <c r="Y136" s="175">
        <f t="shared" si="27"/>
        <v>129</v>
      </c>
      <c r="Z136" s="175" t="str">
        <f>IF(AA136&lt;&gt;"//",COUNTA($AA$8:AA136)-COUNTIF($AA$8:AA136,"//"),"")</f>
        <v/>
      </c>
      <c r="AA136" s="175" t="str">
        <f t="shared" ref="AA136:AA167" si="28">IF(OR(G136="",G136="施設番号"),"//",G136)</f>
        <v>//</v>
      </c>
      <c r="AB136" s="175" t="str">
        <f ca="1">_xlfn.IFNA(IF(COUNTIF('4.1(2)新規再エネ導入予定(FS調査、系統接続検討状況)'!$G:$G,OFFSET($AA$7,MATCH($Y136,$Z$8:$Z$167,0),0))=0,OFFSET($AA$7,MATCH($Y136,$Z$8:$Z$167,0),0),""),"")</f>
        <v/>
      </c>
      <c r="AC136" s="175" t="str">
        <f ca="1">_xlfn.IFNA(IF(COUNTIF('4.1(2)新規再エネ導入予定(合意形成)'!$G:$G,OFFSET($AA$7,MATCH($Y136,$Z$8:$Z$167,0),0))=0,OFFSET($AA$7,MATCH($Y136,$Z$8:$Z$167,0),0),""),"")</f>
        <v/>
      </c>
      <c r="AD136" s="175" t="str">
        <f ca="1">_xlfn.IFNA(OFFSET('4.1(2)新規再エネ導入予定(FS調査、系統接続検討状況)'!$W$1,MATCH(G136,'4.1(2)新規再エネ導入予定(FS調査、系統接続検討状況)'!G:G,0)-1,0),"//")</f>
        <v>//</v>
      </c>
      <c r="AE136" s="262" t="str">
        <f ca="1">_xlfn.IFNA(OFFSET('4.1(2)新規再エネ導入予定(合意形成)'!$AJ$1,MATCH(G136,'4.1(2)新規再エネ導入予定(合意形成)'!G:G,0)-1,0),"//")</f>
        <v>//</v>
      </c>
      <c r="AF136" s="175">
        <f t="shared" ca="1" si="25"/>
        <v>0</v>
      </c>
      <c r="AG136" s="215" t="str" cm="1">
        <f t="array" aca="1" ref="AG136" ca="1">IFERROR(_xlfn.IFS(COUNTIF($AB$8:$AC$167,G136)&gt;0,"",AF136&lt;=1,"D",AF136=2,"C",AF136=3,"B",AF136=4,"A"),"")</f>
        <v/>
      </c>
      <c r="AH136" s="175" t="str">
        <f ca="1">_xlfn.IFNA(OFFSET('4.1(2)新規再エネ導入予定(合意形成)'!$Z$1,MATCH($G136,'4.1(2)新規再エネ導入予定(合意形成)'!$G:$G,0)-1,0),"")</f>
        <v/>
      </c>
      <c r="AI136" s="215" t="str">
        <f t="shared" ref="AI136:AI167" si="29">IF(G136="","",AG136)</f>
        <v/>
      </c>
      <c r="AJ136" s="175" t="str">
        <f t="shared" ref="AJ136:AJ146" si="30">IF(D136="【その他発電】","",IF(H136&lt;&gt;"",1,""))</f>
        <v/>
      </c>
      <c r="AK136" s="222" t="str">
        <f>IF(V136&lt;&gt;1,"",SUM($V$8:V136))</f>
        <v/>
      </c>
      <c r="AL136" s="175">
        <f t="shared" si="18"/>
        <v>1</v>
      </c>
    </row>
    <row r="137" spans="2:38" ht="29">
      <c r="D137" s="237" t="s">
        <v>92</v>
      </c>
      <c r="F137" s="806"/>
      <c r="N137" s="741"/>
      <c r="S137" s="323"/>
      <c r="T137" s="764"/>
      <c r="X137" s="222" t="s">
        <v>416</v>
      </c>
      <c r="Y137" s="175">
        <f t="shared" si="27"/>
        <v>130</v>
      </c>
      <c r="Z137" s="175" t="str">
        <f>IF(AA137&lt;&gt;"//",COUNTA($AA$8:AA137)-COUNTIF($AA$8:AA137,"//"),"")</f>
        <v/>
      </c>
      <c r="AA137" s="175" t="str">
        <f t="shared" si="28"/>
        <v>//</v>
      </c>
      <c r="AB137" s="175" t="str">
        <f ca="1">_xlfn.IFNA(IF(COUNTIF('4.1(2)新規再エネ導入予定(FS調査、系統接続検討状況)'!$G:$G,OFFSET($AA$7,MATCH($Y137,$Z$8:$Z$167,0),0))=0,OFFSET($AA$7,MATCH($Y137,$Z$8:$Z$167,0),0),""),"")</f>
        <v/>
      </c>
      <c r="AC137" s="175" t="str">
        <f ca="1">_xlfn.IFNA(IF(COUNTIF('4.1(2)新規再エネ導入予定(合意形成)'!$G:$G,OFFSET($AA$7,MATCH($Y137,$Z$8:$Z$167,0),0))=0,OFFSET($AA$7,MATCH($Y137,$Z$8:$Z$167,0),0),""),"")</f>
        <v/>
      </c>
      <c r="AD137" s="175" t="str">
        <f ca="1">_xlfn.IFNA(OFFSET('4.1(2)新規再エネ導入予定(FS調査、系統接続検討状況)'!$W$1,MATCH(G137,'4.1(2)新規再エネ導入予定(FS調査、系統接続検討状況)'!G:G,0)-1,0),"//")</f>
        <v>//</v>
      </c>
      <c r="AE137" s="262" t="str">
        <f ca="1">_xlfn.IFNA(OFFSET('4.1(2)新規再エネ導入予定(合意形成)'!$AJ$1,MATCH(G137,'4.1(2)新規再エネ導入予定(合意形成)'!G:G,0)-1,0),"//")</f>
        <v>//</v>
      </c>
      <c r="AF137" s="175">
        <f t="shared" ca="1" si="25"/>
        <v>0</v>
      </c>
      <c r="AG137" s="215" t="str" cm="1">
        <f t="array" aca="1" ref="AG137" ca="1">IFERROR(_xlfn.IFS(COUNTIF($AB$8:$AC$167,G137)&gt;0,"",AF137&lt;=1,"D",AF137=2,"C",AF137=3,"B",AF137=4,"A"),"")</f>
        <v/>
      </c>
      <c r="AH137" s="175" t="str">
        <f ca="1">_xlfn.IFNA(OFFSET('4.1(2)新規再エネ導入予定(合意形成)'!$Z$1,MATCH($G137,'4.1(2)新規再エネ導入予定(合意形成)'!$G:$G,0)-1,0),"")</f>
        <v/>
      </c>
      <c r="AI137" s="215" t="str">
        <f t="shared" si="29"/>
        <v/>
      </c>
      <c r="AJ137" s="175" t="str">
        <f t="shared" si="30"/>
        <v/>
      </c>
      <c r="AK137" s="222" t="str">
        <f>IF(V137&lt;&gt;1,"",SUM($V$8:V137))</f>
        <v/>
      </c>
      <c r="AL137" s="175">
        <f t="shared" ref="AL137:AL167" si="31">IF(S137="設備導入の実現可能性",1,IF(AND(S137=AI137,V137=AJ137),1,0))</f>
        <v>1</v>
      </c>
    </row>
    <row r="138" spans="2:38" ht="60">
      <c r="D138" s="16"/>
      <c r="E138" s="824"/>
      <c r="F138" s="735" t="s">
        <v>8</v>
      </c>
      <c r="G138" s="735" t="s">
        <v>185</v>
      </c>
      <c r="H138" s="735" t="s">
        <v>180</v>
      </c>
      <c r="I138" s="735" t="s">
        <v>9</v>
      </c>
      <c r="J138" s="735" t="s">
        <v>10</v>
      </c>
      <c r="K138" s="750" t="s">
        <v>97</v>
      </c>
      <c r="L138" s="735" t="s">
        <v>31</v>
      </c>
      <c r="M138" s="750" t="s">
        <v>13</v>
      </c>
      <c r="N138" s="750" t="s">
        <v>179</v>
      </c>
      <c r="O138" s="735" t="s">
        <v>191</v>
      </c>
      <c r="P138" s="735" t="s">
        <v>594</v>
      </c>
      <c r="Q138" s="735" t="s">
        <v>178</v>
      </c>
      <c r="R138" s="735" t="s">
        <v>14</v>
      </c>
      <c r="S138" s="735" t="s">
        <v>176</v>
      </c>
      <c r="T138" s="764"/>
      <c r="V138" s="434" t="s">
        <v>193</v>
      </c>
      <c r="X138" s="222" t="s">
        <v>416</v>
      </c>
      <c r="Y138" s="175">
        <f t="shared" si="27"/>
        <v>131</v>
      </c>
      <c r="Z138" s="175" t="str">
        <f>IF(AA138&lt;&gt;"//",COUNTA($AA$8:AA138)-COUNTIF($AA$8:AA138,"//"),"")</f>
        <v/>
      </c>
      <c r="AA138" s="175" t="str">
        <f t="shared" si="28"/>
        <v>//</v>
      </c>
      <c r="AB138" s="175" t="str">
        <f ca="1">_xlfn.IFNA(IF(COUNTIF('4.1(2)新規再エネ導入予定(FS調査、系統接続検討状況)'!$G:$G,OFFSET($AA$7,MATCH($Y138,$Z$8:$Z$167,0),0))=0,OFFSET($AA$7,MATCH($Y138,$Z$8:$Z$167,0),0),""),"")</f>
        <v/>
      </c>
      <c r="AC138" s="175" t="str">
        <f ca="1">_xlfn.IFNA(IF(COUNTIF('4.1(2)新規再エネ導入予定(合意形成)'!$G:$G,OFFSET($AA$7,MATCH($Y138,$Z$8:$Z$167,0),0))=0,OFFSET($AA$7,MATCH($Y138,$Z$8:$Z$167,0),0),""),"")</f>
        <v/>
      </c>
      <c r="AD138" s="175" t="str">
        <f ca="1">_xlfn.IFNA(OFFSET('4.1(2)新規再エネ導入予定(FS調査、系統接続検討状況)'!$W$1,MATCH(G138,'4.1(2)新規再エネ導入予定(FS調査、系統接続検討状況)'!G:G,0)-1,0),"//")</f>
        <v>採点</v>
      </c>
      <c r="AE138" s="262" t="str">
        <f ca="1">_xlfn.IFNA(OFFSET('4.1(2)新規再エネ導入予定(合意形成)'!$AJ$1,MATCH(G138,'4.1(2)新規再エネ導入予定(合意形成)'!G:G,0)-1,0),"//")</f>
        <v>施設
スコア</v>
      </c>
      <c r="AF138" s="175">
        <f t="shared" ca="1" si="25"/>
        <v>0</v>
      </c>
      <c r="AG138" s="215" t="str" cm="1">
        <f t="array" aca="1" ref="AG138" ca="1">IFERROR(_xlfn.IFS(COUNTIF($AB$8:$AC$167,G138)&gt;0,"",AF138&lt;=1,"D",AF138=2,"C",AF138=3,"B",AF138=4,"A"),"")</f>
        <v>D</v>
      </c>
      <c r="AH138" s="175" t="str">
        <f ca="1">_xlfn.IFNA(OFFSET('4.1(2)新規再エネ導入予定(合意形成)'!$Z$1,MATCH($G138,'4.1(2)新規再エネ導入予定(合意形成)'!$G:$G,0)-1,0),"")</f>
        <v>代表者数</v>
      </c>
      <c r="AI138" s="215" t="str">
        <f t="shared" ca="1" si="29"/>
        <v>D</v>
      </c>
      <c r="AJ138" s="175">
        <f t="shared" si="30"/>
        <v>1</v>
      </c>
      <c r="AK138" s="222" t="str">
        <f>IF(V138&lt;&gt;1,"",SUM($V$8:V138))</f>
        <v/>
      </c>
      <c r="AL138" s="175">
        <f t="shared" si="31"/>
        <v>1</v>
      </c>
    </row>
    <row r="139" spans="2:38" s="11" customFormat="1" ht="20" hidden="1">
      <c r="B139" s="21"/>
      <c r="C139" s="21"/>
      <c r="D139" s="22"/>
      <c r="E139" s="825"/>
      <c r="F139" s="774"/>
      <c r="G139" s="775"/>
      <c r="H139" s="776"/>
      <c r="I139" s="776"/>
      <c r="J139" s="777"/>
      <c r="K139" s="777"/>
      <c r="L139" s="894"/>
      <c r="M139" s="906"/>
      <c r="N139" s="902"/>
      <c r="O139" s="791"/>
      <c r="P139" s="895"/>
      <c r="Q139" s="903"/>
      <c r="R139" s="791"/>
      <c r="S139" s="778" t="str">
        <f>IF(G139="","",AG139)</f>
        <v/>
      </c>
      <c r="T139" s="779"/>
      <c r="U139" s="114"/>
      <c r="V139" s="780"/>
      <c r="X139" s="125" t="s">
        <v>416</v>
      </c>
      <c r="Y139" s="255">
        <f t="shared" si="27"/>
        <v>132</v>
      </c>
      <c r="Z139" s="255" t="str">
        <f>IF(AA139&lt;&gt;"//",COUNTA($AA$8:AA139)-COUNTIF($AA$8:AA139,"//"),"")</f>
        <v/>
      </c>
      <c r="AA139" s="255" t="str">
        <f t="shared" si="28"/>
        <v>//</v>
      </c>
      <c r="AB139" s="255" t="str">
        <f ca="1">_xlfn.IFNA(IF(COUNTIF('4.1(2)新規再エネ導入予定(FS調査、系統接続検討状況)'!$G:$G,OFFSET($AA$7,MATCH($Y139,$Z$8:$Z$167,0),0))=0,OFFSET($AA$7,MATCH($Y139,$Z$8:$Z$167,0),0),""),"")</f>
        <v/>
      </c>
      <c r="AC139" s="255" t="str">
        <f ca="1">_xlfn.IFNA(IF(COUNTIF('4.1(2)新規再エネ導入予定(合意形成)'!$G:$G,OFFSET($AA$7,MATCH($Y139,$Z$8:$Z$167,0),0))=0,OFFSET($AA$7,MATCH($Y139,$Z$8:$Z$167,0),0),""),"")</f>
        <v/>
      </c>
      <c r="AD139" s="255" t="str">
        <f ca="1">_xlfn.IFNA(OFFSET('4.1(2)新規再エネ導入予定(FS調査、系統接続検討状況)'!$W$1,MATCH(G139,'4.1(2)新規再エネ導入予定(FS調査、系統接続検討状況)'!G:G,0)-1,0),"//")</f>
        <v>//</v>
      </c>
      <c r="AE139" s="277" t="str">
        <f ca="1">_xlfn.IFNA(OFFSET('4.1(2)新規再エネ導入予定(合意形成)'!$AJ$1,MATCH(G139,'4.1(2)新規再エネ導入予定(合意形成)'!G:G,0)-1,0),"//")</f>
        <v>//</v>
      </c>
      <c r="AF139" s="255">
        <f t="shared" ca="1" si="25"/>
        <v>0</v>
      </c>
      <c r="AG139" s="129" t="str" cm="1">
        <f t="array" aca="1" ref="AG139" ca="1">IFERROR(_xlfn.IFS(COUNTIF($AB$8:$AC$167,G139)&gt;0,"",AF139&lt;=1,"D",AF139=2,"C",AF139=3,"B",AF139=4,"A"),"")</f>
        <v/>
      </c>
      <c r="AH139" s="255" t="str">
        <f ca="1">_xlfn.IFNA(OFFSET('4.1(2)新規再エネ導入予定(合意形成)'!$Z$1,MATCH($G139,'4.1(2)新規再エネ導入予定(合意形成)'!$G:$G,0)-1,0),"")</f>
        <v/>
      </c>
      <c r="AI139" s="129" t="str">
        <f t="shared" si="29"/>
        <v/>
      </c>
      <c r="AJ139" s="255" t="str">
        <f t="shared" si="30"/>
        <v/>
      </c>
      <c r="AK139" s="125" t="str">
        <f>IF(V139&lt;&gt;1,"",SUM($V$8:V139))</f>
        <v/>
      </c>
      <c r="AL139" s="255">
        <f t="shared" si="31"/>
        <v>1</v>
      </c>
    </row>
    <row r="140" spans="2:38" s="11" customFormat="1" ht="20">
      <c r="B140" s="21"/>
      <c r="C140" s="21"/>
      <c r="D140" s="22"/>
      <c r="E140" s="825"/>
      <c r="F140" s="781"/>
      <c r="G140" s="782"/>
      <c r="H140" s="783"/>
      <c r="I140" s="783"/>
      <c r="J140" s="784"/>
      <c r="K140" s="784"/>
      <c r="L140" s="724"/>
      <c r="M140" s="907"/>
      <c r="N140" s="904"/>
      <c r="O140" s="788"/>
      <c r="P140" s="897"/>
      <c r="Q140" s="905"/>
      <c r="R140" s="788"/>
      <c r="S140" s="786" t="str">
        <f>IF(G140="","",AG140)</f>
        <v/>
      </c>
      <c r="T140" s="779"/>
      <c r="U140" s="114"/>
      <c r="V140" s="787" t="str">
        <f>IF(H140&lt;&gt;"",1,"")</f>
        <v/>
      </c>
      <c r="X140" s="125" t="s">
        <v>416</v>
      </c>
      <c r="Y140" s="255">
        <f t="shared" si="27"/>
        <v>133</v>
      </c>
      <c r="Z140" s="255" t="str">
        <f>IF(AA140&lt;&gt;"//",COUNTA($AA$8:AA140)-COUNTIF($AA$8:AA140,"//"),"")</f>
        <v/>
      </c>
      <c r="AA140" s="255" t="str">
        <f t="shared" si="28"/>
        <v>//</v>
      </c>
      <c r="AB140" s="255" t="str">
        <f ca="1">_xlfn.IFNA(IF(COUNTIF('4.1(2)新規再エネ導入予定(FS調査、系統接続検討状況)'!$G:$G,OFFSET($AA$7,MATCH($Y140,$Z$8:$Z$167,0),0))=0,OFFSET($AA$7,MATCH($Y140,$Z$8:$Z$167,0),0),""),"")</f>
        <v/>
      </c>
      <c r="AC140" s="255" t="str">
        <f ca="1">_xlfn.IFNA(IF(COUNTIF('4.1(2)新規再エネ導入予定(合意形成)'!$G:$G,OFFSET($AA$7,MATCH($Y140,$Z$8:$Z$167,0),0))=0,OFFSET($AA$7,MATCH($Y140,$Z$8:$Z$167,0),0),""),"")</f>
        <v/>
      </c>
      <c r="AD140" s="255" t="str">
        <f ca="1">_xlfn.IFNA(OFFSET('4.1(2)新規再エネ導入予定(FS調査、系統接続検討状況)'!$W$1,MATCH(G140,'4.1(2)新規再エネ導入予定(FS調査、系統接続検討状況)'!G:G,0)-1,0),"//")</f>
        <v>//</v>
      </c>
      <c r="AE140" s="277" t="str">
        <f ca="1">_xlfn.IFNA(OFFSET('4.1(2)新規再エネ導入予定(合意形成)'!$AJ$1,MATCH(G140,'4.1(2)新規再エネ導入予定(合意形成)'!G:G,0)-1,0),"//")</f>
        <v>//</v>
      </c>
      <c r="AF140" s="255">
        <f t="shared" ca="1" si="25"/>
        <v>0</v>
      </c>
      <c r="AG140" s="129" t="str" cm="1">
        <f t="array" aca="1" ref="AG140" ca="1">IFERROR(_xlfn.IFS(COUNTIF($AB$8:$AC$167,G140)&gt;0,"",AF140&lt;=1,"D",AF140=2,"C",AF140=3,"B",AF140=4,"A"),"")</f>
        <v/>
      </c>
      <c r="AH140" s="255" t="str">
        <f ca="1">_xlfn.IFNA(OFFSET('4.1(2)新規再エネ導入予定(合意形成)'!$Z$1,MATCH($G140,'4.1(2)新規再エネ導入予定(合意形成)'!$G:$G,0)-1,0),"")</f>
        <v/>
      </c>
      <c r="AI140" s="129" t="str">
        <f t="shared" si="29"/>
        <v/>
      </c>
      <c r="AJ140" s="255" t="str">
        <f t="shared" si="30"/>
        <v/>
      </c>
      <c r="AK140" s="125" t="str">
        <f>IF(V140&lt;&gt;1,"",SUM($V$8:V140))</f>
        <v/>
      </c>
      <c r="AL140" s="255">
        <f t="shared" si="31"/>
        <v>1</v>
      </c>
    </row>
    <row r="141" spans="2:38" s="11" customFormat="1" ht="20">
      <c r="B141" s="21"/>
      <c r="C141" s="21"/>
      <c r="D141" s="22"/>
      <c r="E141" s="825"/>
      <c r="F141" s="781"/>
      <c r="G141" s="782"/>
      <c r="H141" s="783"/>
      <c r="I141" s="783"/>
      <c r="J141" s="784"/>
      <c r="K141" s="784"/>
      <c r="L141" s="724"/>
      <c r="M141" s="907"/>
      <c r="N141" s="904"/>
      <c r="O141" s="788"/>
      <c r="P141" s="897"/>
      <c r="Q141" s="905"/>
      <c r="R141" s="788"/>
      <c r="S141" s="786" t="str">
        <f>IF(G141="","",AG141)</f>
        <v/>
      </c>
      <c r="T141" s="779"/>
      <c r="U141" s="114"/>
      <c r="V141" s="787" t="str">
        <f>IF(H141&lt;&gt;"",1,"")</f>
        <v/>
      </c>
      <c r="X141" s="125" t="s">
        <v>416</v>
      </c>
      <c r="Y141" s="255">
        <f t="shared" si="27"/>
        <v>134</v>
      </c>
      <c r="Z141" s="255" t="str">
        <f>IF(AA141&lt;&gt;"//",COUNTA($AA$8:AA141)-COUNTIF($AA$8:AA141,"//"),"")</f>
        <v/>
      </c>
      <c r="AA141" s="255" t="str">
        <f t="shared" si="28"/>
        <v>//</v>
      </c>
      <c r="AB141" s="255" t="str">
        <f ca="1">_xlfn.IFNA(IF(COUNTIF('4.1(2)新規再エネ導入予定(FS調査、系統接続検討状況)'!$G:$G,OFFSET($AA$7,MATCH($Y141,$Z$8:$Z$167,0),0))=0,OFFSET($AA$7,MATCH($Y141,$Z$8:$Z$167,0),0),""),"")</f>
        <v/>
      </c>
      <c r="AC141" s="255" t="str">
        <f ca="1">_xlfn.IFNA(IF(COUNTIF('4.1(2)新規再エネ導入予定(合意形成)'!$G:$G,OFFSET($AA$7,MATCH($Y141,$Z$8:$Z$167,0),0))=0,OFFSET($AA$7,MATCH($Y141,$Z$8:$Z$167,0),0),""),"")</f>
        <v/>
      </c>
      <c r="AD141" s="255" t="str">
        <f ca="1">_xlfn.IFNA(OFFSET('4.1(2)新規再エネ導入予定(FS調査、系統接続検討状況)'!$W$1,MATCH(G141,'4.1(2)新規再エネ導入予定(FS調査、系統接続検討状況)'!G:G,0)-1,0),"//")</f>
        <v>//</v>
      </c>
      <c r="AE141" s="277" t="str">
        <f ca="1">_xlfn.IFNA(OFFSET('4.1(2)新規再エネ導入予定(合意形成)'!$AJ$1,MATCH(G141,'4.1(2)新規再エネ導入予定(合意形成)'!G:G,0)-1,0),"//")</f>
        <v>//</v>
      </c>
      <c r="AF141" s="255">
        <f t="shared" ca="1" si="25"/>
        <v>0</v>
      </c>
      <c r="AG141" s="129" t="str" cm="1">
        <f t="array" aca="1" ref="AG141" ca="1">IFERROR(_xlfn.IFS(COUNTIF($AB$8:$AC$167,G141)&gt;0,"",AF141&lt;=1,"D",AF141=2,"C",AF141=3,"B",AF141=4,"A"),"")</f>
        <v/>
      </c>
      <c r="AH141" s="255" t="str">
        <f ca="1">_xlfn.IFNA(OFFSET('4.1(2)新規再エネ導入予定(合意形成)'!$Z$1,MATCH($G141,'4.1(2)新規再エネ導入予定(合意形成)'!$G:$G,0)-1,0),"")</f>
        <v/>
      </c>
      <c r="AI141" s="129" t="str">
        <f t="shared" si="29"/>
        <v/>
      </c>
      <c r="AJ141" s="255" t="str">
        <f t="shared" si="30"/>
        <v/>
      </c>
      <c r="AK141" s="125" t="str">
        <f>IF(V141&lt;&gt;1,"",SUM($V$8:V141))</f>
        <v/>
      </c>
      <c r="AL141" s="255">
        <f t="shared" si="31"/>
        <v>1</v>
      </c>
    </row>
    <row r="142" spans="2:38" s="11" customFormat="1" ht="20">
      <c r="B142" s="21"/>
      <c r="C142" s="21"/>
      <c r="D142" s="22"/>
      <c r="E142" s="825"/>
      <c r="F142" s="781"/>
      <c r="G142" s="782"/>
      <c r="H142" s="783"/>
      <c r="I142" s="783"/>
      <c r="J142" s="784"/>
      <c r="K142" s="784"/>
      <c r="L142" s="724"/>
      <c r="M142" s="908"/>
      <c r="N142" s="904"/>
      <c r="O142" s="788"/>
      <c r="P142" s="897"/>
      <c r="Q142" s="905"/>
      <c r="R142" s="788"/>
      <c r="S142" s="786" t="str">
        <f>IF(G142="","",AG142)</f>
        <v/>
      </c>
      <c r="T142" s="779"/>
      <c r="U142" s="114"/>
      <c r="V142" s="787" t="str">
        <f>IF(H142&lt;&gt;"",1,"")</f>
        <v/>
      </c>
      <c r="X142" s="125" t="s">
        <v>416</v>
      </c>
      <c r="Y142" s="255">
        <f t="shared" si="27"/>
        <v>135</v>
      </c>
      <c r="Z142" s="255" t="str">
        <f>IF(AA142&lt;&gt;"//",COUNTA($AA$8:AA142)-COUNTIF($AA$8:AA142,"//"),"")</f>
        <v/>
      </c>
      <c r="AA142" s="255" t="str">
        <f t="shared" si="28"/>
        <v>//</v>
      </c>
      <c r="AB142" s="255" t="str">
        <f ca="1">_xlfn.IFNA(IF(COUNTIF('4.1(2)新規再エネ導入予定(FS調査、系統接続検討状況)'!$G:$G,OFFSET($AA$7,MATCH($Y142,$Z$8:$Z$167,0),0))=0,OFFSET($AA$7,MATCH($Y142,$Z$8:$Z$167,0),0),""),"")</f>
        <v/>
      </c>
      <c r="AC142" s="255" t="str">
        <f ca="1">_xlfn.IFNA(IF(COUNTIF('4.1(2)新規再エネ導入予定(合意形成)'!$G:$G,OFFSET($AA$7,MATCH($Y142,$Z$8:$Z$167,0),0))=0,OFFSET($AA$7,MATCH($Y142,$Z$8:$Z$167,0),0),""),"")</f>
        <v/>
      </c>
      <c r="AD142" s="255" t="str">
        <f ca="1">_xlfn.IFNA(OFFSET('4.1(2)新規再エネ導入予定(FS調査、系統接続検討状況)'!$W$1,MATCH(G142,'4.1(2)新規再エネ導入予定(FS調査、系統接続検討状況)'!G:G,0)-1,0),"//")</f>
        <v>//</v>
      </c>
      <c r="AE142" s="277" t="str">
        <f ca="1">_xlfn.IFNA(OFFSET('4.1(2)新規再エネ導入予定(合意形成)'!$AJ$1,MATCH(G142,'4.1(2)新規再エネ導入予定(合意形成)'!G:G,0)-1,0),"//")</f>
        <v>//</v>
      </c>
      <c r="AF142" s="255">
        <f t="shared" ca="1" si="25"/>
        <v>0</v>
      </c>
      <c r="AG142" s="129" t="str" cm="1">
        <f t="array" aca="1" ref="AG142" ca="1">IFERROR(_xlfn.IFS(COUNTIF($AB$8:$AC$167,G142)&gt;0,"",AF142&lt;=1,"D",AF142=2,"C",AF142=3,"B",AF142=4,"A"),"")</f>
        <v/>
      </c>
      <c r="AH142" s="255" t="str">
        <f ca="1">_xlfn.IFNA(OFFSET('4.1(2)新規再エネ導入予定(合意形成)'!$Z$1,MATCH($G142,'4.1(2)新規再エネ導入予定(合意形成)'!$G:$G,0)-1,0),"")</f>
        <v/>
      </c>
      <c r="AI142" s="129" t="str">
        <f t="shared" si="29"/>
        <v/>
      </c>
      <c r="AJ142" s="255" t="str">
        <f t="shared" si="30"/>
        <v/>
      </c>
      <c r="AK142" s="125" t="str">
        <f>IF(V142&lt;&gt;1,"",SUM($V$8:V142))</f>
        <v/>
      </c>
      <c r="AL142" s="255">
        <f t="shared" si="31"/>
        <v>1</v>
      </c>
    </row>
    <row r="143" spans="2:38" ht="20">
      <c r="D143" s="16"/>
      <c r="E143" s="824"/>
      <c r="F143" s="809" t="s">
        <v>26</v>
      </c>
      <c r="G143" s="795"/>
      <c r="H143" s="795"/>
      <c r="I143" s="795"/>
      <c r="J143" s="795"/>
      <c r="K143" s="795"/>
      <c r="L143" s="751"/>
      <c r="M143" s="499">
        <f ca="1">SUM(INDIRECT("M"&amp;ROW(M138)&amp;":M"&amp;ROW()-1))</f>
        <v>0</v>
      </c>
      <c r="N143" s="704">
        <f ca="1">SUM(INDIRECT("N"&amp;ROW(N138)&amp;":N"&amp;ROW()-1))</f>
        <v>0</v>
      </c>
      <c r="O143" s="810"/>
      <c r="P143" s="703">
        <f ca="1">SUM(INDIRECT("P"&amp;ROW(P138)&amp;":P"&amp;ROW()-1))</f>
        <v>0</v>
      </c>
      <c r="Q143" s="812"/>
      <c r="R143" s="799"/>
      <c r="S143" s="796"/>
      <c r="T143" s="764"/>
      <c r="V143" s="222" t="str">
        <f t="shared" ref="V143" si="32">IF(H143&lt;&gt;"",1,"")</f>
        <v/>
      </c>
      <c r="X143" s="222" t="s">
        <v>416</v>
      </c>
      <c r="Y143" s="175">
        <f t="shared" si="27"/>
        <v>136</v>
      </c>
      <c r="Z143" s="175" t="str">
        <f>IF(AA143&lt;&gt;"//",COUNTA($AA$8:AA143)-COUNTIF($AA$8:AA143,"//"),"")</f>
        <v/>
      </c>
      <c r="AA143" s="175" t="str">
        <f t="shared" si="28"/>
        <v>//</v>
      </c>
      <c r="AB143" s="175" t="str">
        <f ca="1">_xlfn.IFNA(IF(COUNTIF('4.1(2)新規再エネ導入予定(FS調査、系統接続検討状況)'!$G:$G,OFFSET($AA$7,MATCH($Y143,$Z$8:$Z$167,0),0))=0,OFFSET($AA$7,MATCH($Y143,$Z$8:$Z$167,0),0),""),"")</f>
        <v/>
      </c>
      <c r="AC143" s="175" t="str">
        <f ca="1">_xlfn.IFNA(IF(COUNTIF('4.1(2)新規再エネ導入予定(合意形成)'!$G:$G,OFFSET($AA$7,MATCH($Y143,$Z$8:$Z$167,0),0))=0,OFFSET($AA$7,MATCH($Y143,$Z$8:$Z$167,0),0),""),"")</f>
        <v/>
      </c>
      <c r="AD143" s="175" t="str">
        <f ca="1">_xlfn.IFNA(OFFSET('4.1(2)新規再エネ導入予定(FS調査、系統接続検討状況)'!$W$1,MATCH(G143,'4.1(2)新規再エネ導入予定(FS調査、系統接続検討状況)'!G:G,0)-1,0),"//")</f>
        <v>//</v>
      </c>
      <c r="AE143" s="262" t="str">
        <f ca="1">_xlfn.IFNA(OFFSET('4.1(2)新規再エネ導入予定(合意形成)'!$AJ$1,MATCH(G143,'4.1(2)新規再エネ導入予定(合意形成)'!G:G,0)-1,0),"//")</f>
        <v>//</v>
      </c>
      <c r="AF143" s="175">
        <f t="shared" ca="1" si="25"/>
        <v>0</v>
      </c>
      <c r="AG143" s="215" t="str" cm="1">
        <f t="array" aca="1" ref="AG143" ca="1">IFERROR(_xlfn.IFS(COUNTIF($AB$8:$AC$167,G143)&gt;0,"",AF143&lt;=1,"D",AF143=2,"C",AF143=3,"B",AF143=4,"A"),"")</f>
        <v/>
      </c>
      <c r="AH143" s="175" t="str">
        <f ca="1">_xlfn.IFNA(OFFSET('4.1(2)新規再エネ導入予定(合意形成)'!$Z$1,MATCH($G143,'4.1(2)新規再エネ導入予定(合意形成)'!$G:$G,0)-1,0),"")</f>
        <v/>
      </c>
      <c r="AI143" s="215" t="str">
        <f t="shared" si="29"/>
        <v/>
      </c>
      <c r="AJ143" s="175" t="str">
        <f t="shared" si="30"/>
        <v/>
      </c>
      <c r="AK143" s="222" t="str">
        <f>IF(V143&lt;&gt;1,"",SUM($V$8:V143))</f>
        <v/>
      </c>
      <c r="AL143" s="175">
        <f t="shared" si="31"/>
        <v>1</v>
      </c>
    </row>
    <row r="144" spans="2:38" ht="20">
      <c r="D144" s="46"/>
      <c r="E144" s="814"/>
      <c r="F144" s="813"/>
      <c r="G144" s="814"/>
      <c r="H144" s="815"/>
      <c r="I144" s="815"/>
      <c r="J144" s="815"/>
      <c r="K144" s="815"/>
      <c r="L144" s="753"/>
      <c r="M144" s="815"/>
      <c r="N144" s="470"/>
      <c r="O144" s="801"/>
      <c r="P144" s="467"/>
      <c r="Q144" s="470"/>
      <c r="R144" s="801"/>
      <c r="S144" s="467"/>
      <c r="T144" s="816"/>
      <c r="X144" s="222" t="s">
        <v>416</v>
      </c>
      <c r="Y144" s="175">
        <f t="shared" si="27"/>
        <v>137</v>
      </c>
      <c r="Z144" s="175" t="str">
        <f>IF(AA144&lt;&gt;"//",COUNTA($AA$8:AA144)-COUNTIF($AA$8:AA144,"//"),"")</f>
        <v/>
      </c>
      <c r="AA144" s="175" t="str">
        <f t="shared" si="28"/>
        <v>//</v>
      </c>
      <c r="AB144" s="175" t="str">
        <f ca="1">_xlfn.IFNA(IF(COUNTIF('4.1(2)新規再エネ導入予定(FS調査、系統接続検討状況)'!$G:$G,OFFSET($AA$7,MATCH($Y144,$Z$8:$Z$167,0),0))=0,OFFSET($AA$7,MATCH($Y144,$Z$8:$Z$167,0),0),""),"")</f>
        <v/>
      </c>
      <c r="AC144" s="175" t="str">
        <f ca="1">_xlfn.IFNA(IF(COUNTIF('4.1(2)新規再エネ導入予定(合意形成)'!$G:$G,OFFSET($AA$7,MATCH($Y144,$Z$8:$Z$167,0),0))=0,OFFSET($AA$7,MATCH($Y144,$Z$8:$Z$167,0),0),""),"")</f>
        <v/>
      </c>
      <c r="AD144" s="175" t="str">
        <f ca="1">_xlfn.IFNA(OFFSET('4.1(2)新規再エネ導入予定(FS調査、系統接続検討状況)'!$W$1,MATCH(G144,'4.1(2)新規再エネ導入予定(FS調査、系統接続検討状況)'!G:G,0)-1,0),"//")</f>
        <v>//</v>
      </c>
      <c r="AE144" s="262" t="str">
        <f ca="1">_xlfn.IFNA(OFFSET('4.1(2)新規再エネ導入予定(合意形成)'!$AJ$1,MATCH(G144,'4.1(2)新規再エネ導入予定(合意形成)'!G:G,0)-1,0),"//")</f>
        <v>//</v>
      </c>
      <c r="AF144" s="175">
        <f t="shared" ca="1" si="25"/>
        <v>0</v>
      </c>
      <c r="AG144" s="215" t="str" cm="1">
        <f t="array" aca="1" ref="AG144" ca="1">IFERROR(_xlfn.IFS(COUNTIF($AB$8:$AC$167,G144)&gt;0,"",AF144&lt;=1,"D",AF144=2,"C",AF144=3,"B",AF144=4,"A"),"")</f>
        <v/>
      </c>
      <c r="AH144" s="175" t="str">
        <f ca="1">_xlfn.IFNA(OFFSET('4.1(2)新規再エネ導入予定(合意形成)'!$Z$1,MATCH($G144,'4.1(2)新規再エネ導入予定(合意形成)'!$G:$G,0)-1,0),"")</f>
        <v/>
      </c>
      <c r="AI144" s="215" t="str">
        <f t="shared" si="29"/>
        <v/>
      </c>
      <c r="AJ144" s="175" t="str">
        <f t="shared" si="30"/>
        <v/>
      </c>
      <c r="AK144" s="222" t="str">
        <f>IF(V144&lt;&gt;1,"",SUM($V$8:V144))</f>
        <v/>
      </c>
      <c r="AL144" s="175">
        <f t="shared" si="31"/>
        <v>1</v>
      </c>
    </row>
    <row r="145" spans="2:38">
      <c r="F145" s="734"/>
      <c r="G145" s="734"/>
      <c r="H145" s="734"/>
      <c r="I145" s="734"/>
      <c r="J145" s="734"/>
      <c r="K145" s="734"/>
      <c r="L145" s="749"/>
      <c r="M145" s="734"/>
      <c r="N145" s="739"/>
      <c r="O145" s="803"/>
      <c r="P145" s="734"/>
      <c r="X145" s="222" t="s">
        <v>416</v>
      </c>
      <c r="Y145" s="175">
        <f t="shared" si="27"/>
        <v>138</v>
      </c>
      <c r="Z145" s="175" t="str">
        <f>IF(AA145&lt;&gt;"//",COUNTA($AA$8:AA145)-COUNTIF($AA$8:AA145,"//"),"")</f>
        <v/>
      </c>
      <c r="AA145" s="175" t="str">
        <f t="shared" si="28"/>
        <v>//</v>
      </c>
      <c r="AB145" s="175" t="str">
        <f ca="1">_xlfn.IFNA(IF(COUNTIF('4.1(2)新規再エネ導入予定(FS調査、系統接続検討状況)'!$G:$G,OFFSET($AA$7,MATCH($Y145,$Z$8:$Z$167,0),0))=0,OFFSET($AA$7,MATCH($Y145,$Z$8:$Z$167,0),0),""),"")</f>
        <v/>
      </c>
      <c r="AC145" s="175" t="str">
        <f ca="1">_xlfn.IFNA(IF(COUNTIF('4.1(2)新規再エネ導入予定(合意形成)'!$G:$G,OFFSET($AA$7,MATCH($Y145,$Z$8:$Z$167,0),0))=0,OFFSET($AA$7,MATCH($Y145,$Z$8:$Z$167,0),0),""),"")</f>
        <v/>
      </c>
      <c r="AD145" s="175" t="str">
        <f ca="1">_xlfn.IFNA(OFFSET('4.1(2)新規再エネ導入予定(FS調査、系統接続検討状況)'!$W$1,MATCH(G145,'4.1(2)新規再エネ導入予定(FS調査、系統接続検討状況)'!G:G,0)-1,0),"//")</f>
        <v>//</v>
      </c>
      <c r="AE145" s="262" t="str">
        <f ca="1">_xlfn.IFNA(OFFSET('4.1(2)新規再エネ導入予定(合意形成)'!$AJ$1,MATCH(G145,'4.1(2)新規再エネ導入予定(合意形成)'!G:G,0)-1,0),"//")</f>
        <v>//</v>
      </c>
      <c r="AF145" s="175">
        <f t="shared" ca="1" si="25"/>
        <v>0</v>
      </c>
      <c r="AG145" s="215" t="str" cm="1">
        <f t="array" aca="1" ref="AG145" ca="1">IFERROR(_xlfn.IFS(COUNTIF($AB$8:$AC$167,G145)&gt;0,"",AF145&lt;=1,"D",AF145=2,"C",AF145=3,"B",AF145=4,"A"),"")</f>
        <v/>
      </c>
      <c r="AH145" s="175" t="str">
        <f ca="1">_xlfn.IFNA(OFFSET('4.1(2)新規再エネ導入予定(合意形成)'!$Z$1,MATCH($G145,'4.1(2)新規再エネ導入予定(合意形成)'!$G:$G,0)-1,0),"")</f>
        <v/>
      </c>
      <c r="AI145" s="215" t="str">
        <f t="shared" si="29"/>
        <v/>
      </c>
      <c r="AJ145" s="175" t="str">
        <f t="shared" si="30"/>
        <v/>
      </c>
      <c r="AK145" s="222" t="str">
        <f>IF(V145&lt;&gt;1,"",SUM($V$8:V145))</f>
        <v/>
      </c>
      <c r="AL145" s="175">
        <f t="shared" si="31"/>
        <v>1</v>
      </c>
    </row>
    <row r="146" spans="2:38" ht="27.75" customHeight="1">
      <c r="D146" s="14"/>
      <c r="E146" s="827" t="s">
        <v>283</v>
      </c>
      <c r="F146" s="804"/>
      <c r="G146" s="460"/>
      <c r="H146" s="460"/>
      <c r="I146" s="460"/>
      <c r="J146" s="460"/>
      <c r="K146" s="460"/>
      <c r="L146" s="746"/>
      <c r="M146" s="460"/>
      <c r="N146" s="740"/>
      <c r="O146" s="762"/>
      <c r="P146" s="460"/>
      <c r="Q146" s="463"/>
      <c r="R146" s="460"/>
      <c r="S146" s="762"/>
      <c r="T146" s="763"/>
      <c r="X146" s="222" t="s">
        <v>417</v>
      </c>
      <c r="Y146" s="175">
        <f t="shared" si="27"/>
        <v>139</v>
      </c>
      <c r="Z146" s="175" t="str">
        <f>IF(AA146&lt;&gt;"//",COUNTA($AA$8:AA146)-COUNTIF($AA$8:AA146,"//"),"")</f>
        <v/>
      </c>
      <c r="AA146" s="175" t="str">
        <f t="shared" si="28"/>
        <v>//</v>
      </c>
      <c r="AB146" s="175" t="str">
        <f ca="1">_xlfn.IFNA(IF(COUNTIF('4.1(2)新規再エネ導入予定(FS調査、系統接続検討状況)'!$G:$G,OFFSET($AA$7,MATCH($Y146,$Z$8:$Z$167,0),0))=0,OFFSET($AA$7,MATCH($Y146,$Z$8:$Z$167,0),0),""),"")</f>
        <v/>
      </c>
      <c r="AC146" s="175" t="str">
        <f ca="1">_xlfn.IFNA(IF(COUNTIF('4.1(2)新規再エネ導入予定(合意形成)'!$G:$G,OFFSET($AA$7,MATCH($Y146,$Z$8:$Z$167,0),0))=0,OFFSET($AA$7,MATCH($Y146,$Z$8:$Z$167,0),0),""),"")</f>
        <v/>
      </c>
      <c r="AD146" s="175" t="str">
        <f ca="1">_xlfn.IFNA(OFFSET('4.1(2)新規再エネ導入予定(FS調査、系統接続検討状況)'!$W$1,MATCH(G146,'4.1(2)新規再エネ導入予定(FS調査、系統接続検討状況)'!G:G,0)-1,0),"//")</f>
        <v>//</v>
      </c>
      <c r="AE146" s="262" t="str">
        <f ca="1">_xlfn.IFNA(OFFSET('4.1(2)新規再エネ導入予定(合意形成)'!$AJ$1,MATCH(G146,'4.1(2)新規再エネ導入予定(合意形成)'!G:G,0)-1,0),"//")</f>
        <v>//</v>
      </c>
      <c r="AF146" s="175">
        <f t="shared" ca="1" si="25"/>
        <v>0</v>
      </c>
      <c r="AG146" s="215" t="str" cm="1">
        <f t="array" aca="1" ref="AG146" ca="1">IFERROR(_xlfn.IFS(COUNTIF($AB$8:$AC$167,G146)&gt;0,"",AF146&lt;=1,"D",AF146=2,"C",AF146=3,"B",AF146=4,"A"),"")</f>
        <v/>
      </c>
      <c r="AH146" s="175" t="str">
        <f ca="1">_xlfn.IFNA(OFFSET('4.1(2)新規再エネ導入予定(合意形成)'!$Z$1,MATCH($G146,'4.1(2)新規再エネ導入予定(合意形成)'!$G:$G,0)-1,0),"")</f>
        <v/>
      </c>
      <c r="AI146" s="215" t="str">
        <f t="shared" si="29"/>
        <v/>
      </c>
      <c r="AJ146" s="175" t="str">
        <f t="shared" si="30"/>
        <v/>
      </c>
      <c r="AK146" s="222" t="str">
        <f>IF(V146&lt;&gt;1,"",SUM($V$8:V146))</f>
        <v/>
      </c>
      <c r="AL146" s="175">
        <f t="shared" si="31"/>
        <v>1</v>
      </c>
    </row>
    <row r="147" spans="2:38" ht="27.75" customHeight="1">
      <c r="D147" s="237" t="s">
        <v>321</v>
      </c>
      <c r="F147" s="805"/>
      <c r="H147" s="837" t="s">
        <v>544</v>
      </c>
      <c r="I147" s="831"/>
      <c r="J147" s="831"/>
      <c r="K147" s="831"/>
      <c r="L147" s="832"/>
      <c r="M147" s="831"/>
      <c r="N147" s="833"/>
      <c r="O147" s="834"/>
      <c r="P147" s="831"/>
      <c r="Q147" s="835"/>
      <c r="R147" s="835"/>
      <c r="S147" s="836"/>
      <c r="T147" s="817"/>
      <c r="U147" s="121"/>
      <c r="V147" s="121"/>
      <c r="W147" s="121"/>
      <c r="X147" s="222" t="s">
        <v>417</v>
      </c>
      <c r="Y147" s="175">
        <f t="shared" si="27"/>
        <v>140</v>
      </c>
      <c r="Z147" s="175" t="str">
        <f>IF(AA147&lt;&gt;"//",COUNTA($AA$8:AA147)-COUNTIF($AA$8:AA147,"//"),"")</f>
        <v/>
      </c>
      <c r="AA147" s="175" t="str">
        <f t="shared" si="28"/>
        <v>//</v>
      </c>
      <c r="AB147" s="175" t="str">
        <f ca="1">_xlfn.IFNA(IF(COUNTIF('4.1(2)新規再エネ導入予定(FS調査、系統接続検討状況)'!$G:$G,OFFSET($AA$7,MATCH($Y147,$Z$8:$Z$167,0),0))=0,OFFSET($AA$7,MATCH($Y147,$Z$8:$Z$167,0),0),""),"")</f>
        <v/>
      </c>
      <c r="AC147" s="175" t="str">
        <f ca="1">_xlfn.IFNA(IF(COUNTIF('4.1(2)新規再エネ導入予定(合意形成)'!$G:$G,OFFSET($AA$7,MATCH($Y147,$Z$8:$Z$167,0),0))=0,OFFSET($AA$7,MATCH($Y147,$Z$8:$Z$167,0),0),""),"")</f>
        <v/>
      </c>
      <c r="AD147" s="175" t="str">
        <f ca="1">_xlfn.IFNA(OFFSET('4.1(2)新規再エネ導入予定(FS調査、系統接続検討状況)'!$W$1,MATCH(G147,'4.1(2)新規再エネ導入予定(FS調査、系統接続検討状況)'!G:G,0)-1,0),"//")</f>
        <v>//</v>
      </c>
      <c r="AE147" s="175" t="str">
        <f ca="1">_xlfn.IFNA(OFFSET('4.1(2)新規再エネ導入予定(合意形成)'!$AJ$1,MATCH(G147,'4.1(2)新規再エネ導入予定(合意形成)'!G:G,0)-1,0),"//")</f>
        <v>//</v>
      </c>
      <c r="AF147" s="175">
        <f t="shared" ca="1" si="25"/>
        <v>0</v>
      </c>
      <c r="AG147" s="215" t="str" cm="1">
        <f t="array" aca="1" ref="AG147" ca="1">IFERROR(_xlfn.IFS(COUNTIF($AB$8:$AC$167,G147)&gt;0,"",AF147&lt;=1,"D",AF147=2,"C",AF147=3,"B",AF147=4,"A"),"")</f>
        <v/>
      </c>
      <c r="AH147" s="175" t="str">
        <f ca="1">_xlfn.IFNA(OFFSET('4.1(2)新規再エネ導入予定(合意形成)'!$Z$1,MATCH($G147,'4.1(2)新規再エネ導入予定(合意形成)'!$G:$G,0)-1,0),"")</f>
        <v/>
      </c>
      <c r="AI147" s="215" t="str">
        <f t="shared" si="29"/>
        <v/>
      </c>
      <c r="AJ147" s="175" t="str">
        <f>IF(D147="【その他発電】","",IF(H147&lt;&gt;"",1,""))</f>
        <v/>
      </c>
      <c r="AK147" s="222" t="str">
        <f>IF(V147&lt;&gt;1,"",SUM($V$8:V147))</f>
        <v/>
      </c>
      <c r="AL147" s="175">
        <f>IF(S147="設備導入の実現可能性",1,IF(AND(S147=AI147,V147=AJ147),1,0))</f>
        <v>1</v>
      </c>
    </row>
    <row r="148" spans="2:38" ht="60">
      <c r="D148" s="16"/>
      <c r="E148" s="824"/>
      <c r="F148" s="891" t="s">
        <v>8</v>
      </c>
      <c r="G148" s="735" t="s">
        <v>185</v>
      </c>
      <c r="H148" s="735" t="s">
        <v>180</v>
      </c>
      <c r="I148" s="735" t="s">
        <v>9</v>
      </c>
      <c r="J148" s="735" t="s">
        <v>10</v>
      </c>
      <c r="K148" s="808" t="s">
        <v>11</v>
      </c>
      <c r="L148" s="750" t="s">
        <v>31</v>
      </c>
      <c r="M148" s="735" t="s">
        <v>13</v>
      </c>
      <c r="N148" s="742" t="s">
        <v>82</v>
      </c>
      <c r="O148" s="735" t="s">
        <v>191</v>
      </c>
      <c r="P148" s="735" t="s">
        <v>81</v>
      </c>
      <c r="Q148" s="736" t="s">
        <v>83</v>
      </c>
      <c r="R148" s="735" t="s">
        <v>273</v>
      </c>
      <c r="S148" s="735" t="s">
        <v>494</v>
      </c>
      <c r="T148" s="764"/>
      <c r="V148" s="434" t="s">
        <v>193</v>
      </c>
      <c r="X148" s="222" t="s">
        <v>417</v>
      </c>
      <c r="Y148" s="175">
        <f t="shared" si="27"/>
        <v>141</v>
      </c>
      <c r="Z148" s="175" t="str">
        <f>IF(AA148&lt;&gt;"//",COUNTA($AA$8:AA148)-COUNTIF($AA$8:AA148,"//"),"")</f>
        <v/>
      </c>
      <c r="AA148" s="175" t="str">
        <f t="shared" si="28"/>
        <v>//</v>
      </c>
      <c r="AB148" s="175" t="str">
        <f ca="1">_xlfn.IFNA(IF(COUNTIF('4.1(2)新規再エネ導入予定(FS調査、系統接続検討状況)'!$G:$G,OFFSET($AA$7,MATCH($Y148,$Z$8:$Z$167,0),0))=0,OFFSET($AA$7,MATCH($Y148,$Z$8:$Z$167,0),0),""),"")</f>
        <v/>
      </c>
      <c r="AC148" s="175" t="str">
        <f ca="1">_xlfn.IFNA(IF(COUNTIF('4.1(2)新規再エネ導入予定(合意形成)'!$G:$G,OFFSET($AA$7,MATCH($Y148,$Z$8:$Z$167,0),0))=0,OFFSET($AA$7,MATCH($Y148,$Z$8:$Z$167,0),0),""),"")</f>
        <v/>
      </c>
      <c r="AD148" s="175" t="str">
        <f ca="1">_xlfn.IFNA(OFFSET('4.1(2)新規再エネ導入予定(FS調査、系統接続検討状況)'!$W$1,MATCH(G148,'4.1(2)新規再エネ導入予定(FS調査、系統接続検討状況)'!G:G,0)-1,0),"//")</f>
        <v>採点</v>
      </c>
      <c r="AE148" s="262" t="str">
        <f ca="1">_xlfn.IFNA(OFFSET('4.1(2)新規再エネ導入予定(合意形成)'!$AJ$1,MATCH(G148,'4.1(2)新規再エネ導入予定(合意形成)'!G:G,0)-1,0),"//")</f>
        <v>施設
スコア</v>
      </c>
      <c r="AF148" s="175">
        <f t="shared" ca="1" si="25"/>
        <v>0</v>
      </c>
      <c r="AG148" s="215" t="str" cm="1">
        <f t="array" aca="1" ref="AG148" ca="1">IFERROR(_xlfn.IFS(COUNTIF($AB$8:$AC$167,G148)&gt;0,"",AF148&lt;=1,"D",AF148=2,"C",AF148=3,"B",AF148=4,"A"),"")</f>
        <v>D</v>
      </c>
      <c r="AH148" s="175" t="str">
        <f ca="1">_xlfn.IFNA(OFFSET('4.1(2)新規再エネ導入予定(合意形成)'!$Z$1,MATCH($G148,'4.1(2)新規再エネ導入予定(合意形成)'!$G:$G,0)-1,0),"")</f>
        <v>代表者数</v>
      </c>
      <c r="AI148" s="215" t="str">
        <f t="shared" ca="1" si="29"/>
        <v>D</v>
      </c>
      <c r="AJ148" s="175">
        <f>IF(D148="【その他発電】","",IF(H148&lt;&gt;"",1,""))</f>
        <v>1</v>
      </c>
      <c r="AK148" s="222" t="str">
        <f>IF(V148&lt;&gt;1,"",SUM($V$8:V148))</f>
        <v/>
      </c>
      <c r="AL148" s="175">
        <f t="shared" si="31"/>
        <v>1</v>
      </c>
    </row>
    <row r="149" spans="2:38" s="158" customFormat="1" ht="20" hidden="1">
      <c r="B149" s="157"/>
      <c r="C149" s="157"/>
      <c r="D149" s="196"/>
      <c r="E149" s="828"/>
      <c r="F149" s="774"/>
      <c r="G149" s="775"/>
      <c r="H149" s="776"/>
      <c r="I149" s="776"/>
      <c r="J149" s="777"/>
      <c r="K149" s="777"/>
      <c r="L149" s="894"/>
      <c r="M149" s="895"/>
      <c r="N149" s="900"/>
      <c r="O149" s="791"/>
      <c r="P149" s="895"/>
      <c r="Q149" s="901"/>
      <c r="R149" s="791"/>
      <c r="S149" s="778" t="str">
        <f>IF(G149="","",AG149)</f>
        <v/>
      </c>
      <c r="T149" s="779"/>
      <c r="U149" s="114"/>
      <c r="V149" s="780"/>
      <c r="X149" s="125" t="s">
        <v>417</v>
      </c>
      <c r="Y149" s="435">
        <f t="shared" si="27"/>
        <v>142</v>
      </c>
      <c r="Z149" s="435" t="str">
        <f>IF(AA149&lt;&gt;"//",COUNTA($AA$8:AA149)-COUNTIF($AA$8:AA149,"//"),"")</f>
        <v/>
      </c>
      <c r="AA149" s="435" t="str">
        <f t="shared" si="28"/>
        <v>//</v>
      </c>
      <c r="AB149" s="435" t="str">
        <f ca="1">_xlfn.IFNA(IF(COUNTIF('4.1(2)新規再エネ導入予定(FS調査、系統接続検討状況)'!$G:$G,OFFSET($AA$7,MATCH($Y149,$Z$8:$Z$167,0),0))=0,OFFSET($AA$7,MATCH($Y149,$Z$8:$Z$167,0),0),""),"")</f>
        <v/>
      </c>
      <c r="AC149" s="435" t="str">
        <f ca="1">_xlfn.IFNA(IF(COUNTIF('4.1(2)新規再エネ導入予定(合意形成)'!$G:$G,OFFSET($AA$7,MATCH($Y149,$Z$8:$Z$167,0),0))=0,OFFSET($AA$7,MATCH($Y149,$Z$8:$Z$167,0),0),""),"")</f>
        <v/>
      </c>
      <c r="AD149" s="435" t="str">
        <f ca="1">_xlfn.IFNA(OFFSET('4.1(2)新規再エネ導入予定(FS調査、系統接続検討状況)'!$W$1,MATCH(G149,'4.1(2)新規再エネ導入予定(FS調査、系統接続検討状況)'!G:G,0)-1,0),"//")</f>
        <v>//</v>
      </c>
      <c r="AE149" s="422" t="str">
        <f ca="1">_xlfn.IFNA(OFFSET('4.1(2)新規再エネ導入予定(合意形成)'!$AJ$1,MATCH(G149,'4.1(2)新規再エネ導入予定(合意形成)'!G:G,0)-1,0),"//")</f>
        <v>//</v>
      </c>
      <c r="AF149" s="435">
        <f t="shared" ca="1" si="25"/>
        <v>0</v>
      </c>
      <c r="AG149" s="129" t="str" cm="1">
        <f t="array" aca="1" ref="AG149" ca="1">IFERROR(_xlfn.IFS(COUNTIF($AB$8:$AC$167,G149)&gt;0,"",AF149&lt;=1,"D",AF149=2,"C",AF149=3,"B",AF149=4,"A"),"")</f>
        <v/>
      </c>
      <c r="AH149" s="435" t="str">
        <f ca="1">_xlfn.IFNA(OFFSET('4.1(2)新規再エネ導入予定(合意形成)'!$Z$1,MATCH($G149,'4.1(2)新規再エネ導入予定(合意形成)'!$G:$G,0)-1,0),"")</f>
        <v/>
      </c>
      <c r="AI149" s="129" t="str">
        <f t="shared" si="29"/>
        <v/>
      </c>
      <c r="AJ149" s="255" t="str">
        <f t="shared" ref="AJ149:AJ167" si="33">IF(H149&lt;&gt;"",1,"")</f>
        <v/>
      </c>
      <c r="AK149" s="197" t="str">
        <f>IF(V149&lt;&gt;1,"",SUM($V$8:V149))</f>
        <v/>
      </c>
      <c r="AL149" s="255">
        <f t="shared" si="31"/>
        <v>1</v>
      </c>
    </row>
    <row r="150" spans="2:38" s="158" customFormat="1" ht="20">
      <c r="B150" s="157"/>
      <c r="C150" s="157"/>
      <c r="D150" s="196"/>
      <c r="E150" s="828"/>
      <c r="F150" s="781"/>
      <c r="G150" s="782"/>
      <c r="H150" s="783"/>
      <c r="I150" s="783"/>
      <c r="J150" s="784"/>
      <c r="K150" s="784"/>
      <c r="L150" s="724"/>
      <c r="M150" s="897"/>
      <c r="N150" s="900"/>
      <c r="O150" s="788"/>
      <c r="P150" s="897"/>
      <c r="Q150" s="901"/>
      <c r="R150" s="788"/>
      <c r="S150" s="786" t="str">
        <f>IF(G150="","",AG150)</f>
        <v/>
      </c>
      <c r="T150" s="779"/>
      <c r="U150" s="114"/>
      <c r="V150" s="787" t="str">
        <f>IF(H150&lt;&gt;"",1,"")</f>
        <v/>
      </c>
      <c r="X150" s="125" t="s">
        <v>417</v>
      </c>
      <c r="Y150" s="435">
        <f t="shared" si="27"/>
        <v>143</v>
      </c>
      <c r="Z150" s="435" t="str">
        <f>IF(AA150&lt;&gt;"//",COUNTA($AA$8:AA150)-COUNTIF($AA$8:AA150,"//"),"")</f>
        <v/>
      </c>
      <c r="AA150" s="435" t="str">
        <f>IF(OR(G150="",G150="施設番号"),"//",G150)</f>
        <v>//</v>
      </c>
      <c r="AB150" s="435" t="str">
        <f ca="1">_xlfn.IFNA(IF(COUNTIF('4.1(2)新規再エネ導入予定(FS調査、系統接続検討状況)'!$G:$G,OFFSET($AA$7,MATCH($Y150,$Z$8:$Z$167,0),0))=0,OFFSET($AA$7,MATCH($Y150,$Z$8:$Z$167,0),0),""),"")</f>
        <v/>
      </c>
      <c r="AC150" s="435" t="str">
        <f ca="1">_xlfn.IFNA(IF(COUNTIF('4.1(2)新規再エネ導入予定(合意形成)'!$G:$G,OFFSET($AA$7,MATCH($Y150,$Z$8:$Z$167,0),0))=0,OFFSET($AA$7,MATCH($Y150,$Z$8:$Z$167,0),0),""),"")</f>
        <v/>
      </c>
      <c r="AD150" s="435" t="str">
        <f ca="1">_xlfn.IFNA(OFFSET('4.1(2)新規再エネ導入予定(FS調査、系統接続検討状況)'!$W$1,MATCH(G150,'4.1(2)新規再エネ導入予定(FS調査、系統接続検討状況)'!G:G,0)-1,0),"//")</f>
        <v>//</v>
      </c>
      <c r="AE150" s="422" t="str">
        <f ca="1">_xlfn.IFNA(OFFSET('4.1(2)新規再エネ導入予定(合意形成)'!$AJ$1,MATCH(G150,'4.1(2)新規再エネ導入予定(合意形成)'!G:G,0)-1,0),"//")</f>
        <v>//</v>
      </c>
      <c r="AF150" s="435">
        <f t="shared" ca="1" si="25"/>
        <v>0</v>
      </c>
      <c r="AG150" s="129" t="str" cm="1">
        <f t="array" aca="1" ref="AG150" ca="1">IFERROR(_xlfn.IFS(COUNTIF($AB$8:$AC$167,G150)&gt;0,"",AF150&lt;=1,"D",AF150=2,"C",AF150=3,"B",AF150=4,"A"),"")</f>
        <v/>
      </c>
      <c r="AH150" s="435" t="str">
        <f ca="1">_xlfn.IFNA(OFFSET('4.1(2)新規再エネ導入予定(合意形成)'!$Z$1,MATCH($G150,'4.1(2)新規再エネ導入予定(合意形成)'!$G:$G,0)-1,0),"")</f>
        <v/>
      </c>
      <c r="AI150" s="129" t="str">
        <f>IF(G150="","",AG150)</f>
        <v/>
      </c>
      <c r="AJ150" s="255" t="str">
        <f>IF(H150&lt;&gt;"",1,"")</f>
        <v/>
      </c>
      <c r="AK150" s="197" t="str">
        <f>IF(V150&lt;&gt;1,"",SUM($V$8:V150))</f>
        <v/>
      </c>
      <c r="AL150" s="255">
        <f t="shared" si="31"/>
        <v>1</v>
      </c>
    </row>
    <row r="151" spans="2:38" s="158" customFormat="1" ht="20">
      <c r="B151" s="157"/>
      <c r="C151" s="157"/>
      <c r="D151" s="196"/>
      <c r="E151" s="828"/>
      <c r="F151" s="781"/>
      <c r="G151" s="782"/>
      <c r="H151" s="783"/>
      <c r="I151" s="783"/>
      <c r="J151" s="784"/>
      <c r="K151" s="784"/>
      <c r="L151" s="724"/>
      <c r="M151" s="897"/>
      <c r="N151" s="900"/>
      <c r="O151" s="788"/>
      <c r="P151" s="897"/>
      <c r="Q151" s="901"/>
      <c r="R151" s="788"/>
      <c r="S151" s="786" t="str">
        <f>IF(G151="","",AG151)</f>
        <v/>
      </c>
      <c r="T151" s="779"/>
      <c r="U151" s="114"/>
      <c r="V151" s="787" t="str">
        <f>IF(H151&lt;&gt;"",1,"")</f>
        <v/>
      </c>
      <c r="X151" s="125" t="s">
        <v>417</v>
      </c>
      <c r="Y151" s="435">
        <f t="shared" si="27"/>
        <v>144</v>
      </c>
      <c r="Z151" s="435" t="str">
        <f>IF(AA151&lt;&gt;"//",COUNTA($AA$8:AA151)-COUNTIF($AA$8:AA151,"//"),"")</f>
        <v/>
      </c>
      <c r="AA151" s="435" t="str">
        <f>IF(OR(G151="",G151="施設番号"),"//",G151)</f>
        <v>//</v>
      </c>
      <c r="AB151" s="435" t="str">
        <f ca="1">_xlfn.IFNA(IF(COUNTIF('4.1(2)新規再エネ導入予定(FS調査、系統接続検討状況)'!$G:$G,OFFSET($AA$7,MATCH($Y151,$Z$8:$Z$167,0),0))=0,OFFSET($AA$7,MATCH($Y151,$Z$8:$Z$167,0),0),""),"")</f>
        <v/>
      </c>
      <c r="AC151" s="435" t="str">
        <f ca="1">_xlfn.IFNA(IF(COUNTIF('4.1(2)新規再エネ導入予定(合意形成)'!$G:$G,OFFSET($AA$7,MATCH($Y151,$Z$8:$Z$167,0),0))=0,OFFSET($AA$7,MATCH($Y151,$Z$8:$Z$167,0),0),""),"")</f>
        <v/>
      </c>
      <c r="AD151" s="435" t="str">
        <f ca="1">_xlfn.IFNA(OFFSET('4.1(2)新規再エネ導入予定(FS調査、系統接続検討状況)'!$W$1,MATCH(G151,'4.1(2)新規再エネ導入予定(FS調査、系統接続検討状況)'!G:G,0)-1,0),"//")</f>
        <v>//</v>
      </c>
      <c r="AE151" s="422" t="str">
        <f ca="1">_xlfn.IFNA(OFFSET('4.1(2)新規再エネ導入予定(合意形成)'!$AJ$1,MATCH(G151,'4.1(2)新規再エネ導入予定(合意形成)'!G:G,0)-1,0),"//")</f>
        <v>//</v>
      </c>
      <c r="AF151" s="435">
        <f t="shared" ca="1" si="25"/>
        <v>0</v>
      </c>
      <c r="AG151" s="129" t="str" cm="1">
        <f t="array" aca="1" ref="AG151" ca="1">IFERROR(_xlfn.IFS(COUNTIF($AB$8:$AC$167,G151)&gt;0,"",AF151&lt;=1,"D",AF151=2,"C",AF151=3,"B",AF151=4,"A"),"")</f>
        <v/>
      </c>
      <c r="AH151" s="435" t="str">
        <f ca="1">_xlfn.IFNA(OFFSET('4.1(2)新規再エネ導入予定(合意形成)'!$Z$1,MATCH($G151,'4.1(2)新規再エネ導入予定(合意形成)'!$G:$G,0)-1,0),"")</f>
        <v/>
      </c>
      <c r="AI151" s="129" t="str">
        <f>IF(G151="","",AG151)</f>
        <v/>
      </c>
      <c r="AJ151" s="255" t="str">
        <f>IF(H151&lt;&gt;"",1,"")</f>
        <v/>
      </c>
      <c r="AK151" s="197" t="str">
        <f>IF(V151&lt;&gt;1,"",SUM($V$8:V151))</f>
        <v/>
      </c>
      <c r="AL151" s="255">
        <f t="shared" si="31"/>
        <v>1</v>
      </c>
    </row>
    <row r="152" spans="2:38" s="158" customFormat="1" ht="20">
      <c r="B152" s="157"/>
      <c r="C152" s="157"/>
      <c r="D152" s="196"/>
      <c r="E152" s="828"/>
      <c r="F152" s="781"/>
      <c r="G152" s="782"/>
      <c r="H152" s="783"/>
      <c r="I152" s="783"/>
      <c r="J152" s="784"/>
      <c r="K152" s="784"/>
      <c r="L152" s="724"/>
      <c r="M152" s="727"/>
      <c r="N152" s="900"/>
      <c r="O152" s="788"/>
      <c r="P152" s="897"/>
      <c r="Q152" s="901"/>
      <c r="R152" s="788"/>
      <c r="S152" s="786" t="str">
        <f>IF(G152="","",AG152)</f>
        <v/>
      </c>
      <c r="T152" s="779"/>
      <c r="U152" s="114"/>
      <c r="V152" s="787" t="str">
        <f>IF(H152&lt;&gt;"",1,"")</f>
        <v/>
      </c>
      <c r="X152" s="125" t="s">
        <v>417</v>
      </c>
      <c r="Y152" s="435">
        <f t="shared" si="27"/>
        <v>145</v>
      </c>
      <c r="Z152" s="435" t="str">
        <f>IF(AA152&lt;&gt;"//",COUNTA($AA$8:AA152)-COUNTIF($AA$8:AA152,"//"),"")</f>
        <v/>
      </c>
      <c r="AA152" s="435" t="str">
        <f t="shared" si="28"/>
        <v>//</v>
      </c>
      <c r="AB152" s="435" t="str">
        <f ca="1">_xlfn.IFNA(IF(COUNTIF('4.1(2)新規再エネ導入予定(FS調査、系統接続検討状況)'!$G:$G,OFFSET($AA$7,MATCH($Y152,$Z$8:$Z$167,0),0))=0,OFFSET($AA$7,MATCH($Y152,$Z$8:$Z$167,0),0),""),"")</f>
        <v/>
      </c>
      <c r="AC152" s="435" t="str">
        <f ca="1">_xlfn.IFNA(IF(COUNTIF('4.1(2)新規再エネ導入予定(合意形成)'!$G:$G,OFFSET($AA$7,MATCH($Y152,$Z$8:$Z$167,0),0))=0,OFFSET($AA$7,MATCH($Y152,$Z$8:$Z$167,0),0),""),"")</f>
        <v/>
      </c>
      <c r="AD152" s="435" t="str">
        <f ca="1">_xlfn.IFNA(OFFSET('4.1(2)新規再エネ導入予定(FS調査、系統接続検討状況)'!$W$1,MATCH(G152,'4.1(2)新規再エネ導入予定(FS調査、系統接続検討状況)'!G:G,0)-1,0),"//")</f>
        <v>//</v>
      </c>
      <c r="AE152" s="422" t="str">
        <f ca="1">_xlfn.IFNA(OFFSET('4.1(2)新規再エネ導入予定(合意形成)'!$AJ$1,MATCH(G152,'4.1(2)新規再エネ導入予定(合意形成)'!G:G,0)-1,0),"//")</f>
        <v>//</v>
      </c>
      <c r="AF152" s="435">
        <f t="shared" ca="1" si="25"/>
        <v>0</v>
      </c>
      <c r="AG152" s="129" t="str" cm="1">
        <f t="array" aca="1" ref="AG152" ca="1">IFERROR(_xlfn.IFS(COUNTIF($AB$8:$AC$167,G152)&gt;0,"",AF152&lt;=1,"D",AF152=2,"C",AF152=3,"B",AF152=4,"A"),"")</f>
        <v/>
      </c>
      <c r="AH152" s="435" t="str">
        <f ca="1">_xlfn.IFNA(OFFSET('4.1(2)新規再エネ導入予定(合意形成)'!$Z$1,MATCH($G152,'4.1(2)新規再エネ導入予定(合意形成)'!$G:$G,0)-1,0),"")</f>
        <v/>
      </c>
      <c r="AI152" s="129" t="str">
        <f t="shared" si="29"/>
        <v/>
      </c>
      <c r="AJ152" s="255" t="str">
        <f t="shared" si="33"/>
        <v/>
      </c>
      <c r="AK152" s="197" t="str">
        <f>IF(V152&lt;&gt;1,"",SUM($V$8:V152))</f>
        <v/>
      </c>
      <c r="AL152" s="255">
        <f t="shared" si="31"/>
        <v>1</v>
      </c>
    </row>
    <row r="153" spans="2:38" ht="20">
      <c r="D153" s="16"/>
      <c r="E153" s="826"/>
      <c r="F153" s="809" t="s">
        <v>26</v>
      </c>
      <c r="G153" s="795"/>
      <c r="H153" s="795"/>
      <c r="I153" s="795"/>
      <c r="J153" s="795"/>
      <c r="K153" s="795"/>
      <c r="L153" s="751"/>
      <c r="M153" s="499">
        <f ca="1">SUM(INDIRECT("M"&amp;ROW(M148)&amp;":M"&amp;ROW()-1))</f>
        <v>0</v>
      </c>
      <c r="N153" s="743"/>
      <c r="O153" s="810"/>
      <c r="P153" s="703">
        <f ca="1">SUM(INDIRECT("P"&amp;ROW(P148)&amp;":P"&amp;ROW()-1))</f>
        <v>0</v>
      </c>
      <c r="Q153" s="737"/>
      <c r="R153" s="799"/>
      <c r="S153" s="796"/>
      <c r="T153" s="764"/>
      <c r="V153" s="222" t="str">
        <f t="shared" ref="V153" si="34">IF(H153&lt;&gt;"",1,"")</f>
        <v/>
      </c>
      <c r="X153" s="222" t="s">
        <v>417</v>
      </c>
      <c r="Y153" s="175">
        <f t="shared" si="27"/>
        <v>146</v>
      </c>
      <c r="Z153" s="175" t="str">
        <f>IF(AA153&lt;&gt;"//",COUNTA($AA$8:AA153)-COUNTIF($AA$8:AA153,"//"),"")</f>
        <v/>
      </c>
      <c r="AA153" s="175" t="str">
        <f t="shared" si="28"/>
        <v>//</v>
      </c>
      <c r="AB153" s="175" t="str">
        <f ca="1">_xlfn.IFNA(IF(COUNTIF('4.1(2)新規再エネ導入予定(FS調査、系統接続検討状況)'!$G:$G,OFFSET($AA$7,MATCH($Y153,$Z$8:$Z$167,0),0))=0,OFFSET($AA$7,MATCH($Y153,$Z$8:$Z$167,0),0),""),"")</f>
        <v/>
      </c>
      <c r="AC153" s="175" t="str">
        <f ca="1">_xlfn.IFNA(IF(COUNTIF('4.1(2)新規再エネ導入予定(合意形成)'!$G:$G,OFFSET($AA$7,MATCH($Y153,$Z$8:$Z$167,0),0))=0,OFFSET($AA$7,MATCH($Y153,$Z$8:$Z$167,0),0),""),"")</f>
        <v/>
      </c>
      <c r="AD153" s="175" t="str">
        <f ca="1">_xlfn.IFNA(OFFSET('4.1(2)新規再エネ導入予定(FS調査、系統接続検討状況)'!$W$1,MATCH(G153,'4.1(2)新規再エネ導入予定(FS調査、系統接続検討状況)'!G:G,0)-1,0),"//")</f>
        <v>//</v>
      </c>
      <c r="AE153" s="262" t="str">
        <f ca="1">_xlfn.IFNA(OFFSET('4.1(2)新規再エネ導入予定(合意形成)'!$AJ$1,MATCH(G153,'4.1(2)新規再エネ導入予定(合意形成)'!G:G,0)-1,0),"//")</f>
        <v>//</v>
      </c>
      <c r="AF153" s="175">
        <f t="shared" ca="1" si="25"/>
        <v>0</v>
      </c>
      <c r="AG153" s="215" t="str" cm="1">
        <f t="array" aca="1" ref="AG153" ca="1">IFERROR(_xlfn.IFS(COUNTIF($AB$8:$AC$167,G153)&gt;0,"",AF153&lt;=1,"D",AF153=2,"C",AF153=3,"B",AF153=4,"A"),"")</f>
        <v/>
      </c>
      <c r="AH153" s="175" t="str">
        <f ca="1">_xlfn.IFNA(OFFSET('4.1(2)新規再エネ導入予定(合意形成)'!$Z$1,MATCH($G153,'4.1(2)新規再エネ導入予定(合意形成)'!$G:$G,0)-1,0),"")</f>
        <v/>
      </c>
      <c r="AI153" s="215" t="str">
        <f t="shared" si="29"/>
        <v/>
      </c>
      <c r="AJ153" s="175" t="str">
        <f t="shared" si="33"/>
        <v/>
      </c>
      <c r="AK153" s="222" t="str">
        <f>IF(V153&lt;&gt;1,"",SUM($V$8:V153))</f>
        <v/>
      </c>
      <c r="AL153" s="175">
        <f t="shared" si="31"/>
        <v>1</v>
      </c>
    </row>
    <row r="154" spans="2:38">
      <c r="D154" s="46"/>
      <c r="E154" s="467"/>
      <c r="F154" s="467"/>
      <c r="G154" s="467"/>
      <c r="H154" s="467"/>
      <c r="I154" s="467"/>
      <c r="J154" s="467"/>
      <c r="K154" s="467"/>
      <c r="L154" s="752"/>
      <c r="M154" s="467"/>
      <c r="N154" s="470"/>
      <c r="O154" s="801"/>
      <c r="P154" s="467"/>
      <c r="Q154" s="470"/>
      <c r="R154" s="801"/>
      <c r="S154" s="467"/>
      <c r="T154" s="802"/>
      <c r="X154" s="222" t="s">
        <v>417</v>
      </c>
      <c r="Y154" s="175">
        <f t="shared" si="27"/>
        <v>147</v>
      </c>
      <c r="Z154" s="175" t="str">
        <f>IF(AA154&lt;&gt;"//",COUNTA($AA$8:AA154)-COUNTIF($AA$8:AA154,"//"),"")</f>
        <v/>
      </c>
      <c r="AA154" s="175" t="str">
        <f t="shared" si="28"/>
        <v>//</v>
      </c>
      <c r="AB154" s="175" t="str">
        <f ca="1">_xlfn.IFNA(IF(COUNTIF('4.1(2)新規再エネ導入予定(FS調査、系統接続検討状況)'!$G:$G,OFFSET($AA$7,MATCH($Y154,$Z$8:$Z$167,0),0))=0,OFFSET($AA$7,MATCH($Y154,$Z$8:$Z$167,0),0),""),"")</f>
        <v/>
      </c>
      <c r="AC154" s="175" t="str">
        <f ca="1">_xlfn.IFNA(IF(COUNTIF('4.1(2)新規再エネ導入予定(合意形成)'!$G:$G,OFFSET($AA$7,MATCH($Y154,$Z$8:$Z$167,0),0))=0,OFFSET($AA$7,MATCH($Y154,$Z$8:$Z$167,0),0),""),"")</f>
        <v/>
      </c>
      <c r="AD154" s="175" t="str">
        <f ca="1">_xlfn.IFNA(OFFSET('4.1(2)新規再エネ導入予定(FS調査、系統接続検討状況)'!$W$1,MATCH(G154,'4.1(2)新規再エネ導入予定(FS調査、系統接続検討状況)'!G:G,0)-1,0),"//")</f>
        <v>//</v>
      </c>
      <c r="AE154" s="262" t="str">
        <f ca="1">_xlfn.IFNA(OFFSET('4.1(2)新規再エネ導入予定(合意形成)'!$AJ$1,MATCH(G154,'4.1(2)新規再エネ導入予定(合意形成)'!G:G,0)-1,0),"//")</f>
        <v>//</v>
      </c>
      <c r="AF154" s="175">
        <f t="shared" ca="1" si="25"/>
        <v>0</v>
      </c>
      <c r="AG154" s="215" t="str" cm="1">
        <f t="array" aca="1" ref="AG154" ca="1">IFERROR(_xlfn.IFS(COUNTIF($AB$8:$AC$167,G154)&gt;0,"",AF154&lt;=1,"D",AF154=2,"C",AF154=3,"B",AF154=4,"A"),"")</f>
        <v/>
      </c>
      <c r="AH154" s="175" t="str">
        <f ca="1">_xlfn.IFNA(OFFSET('4.1(2)新規再エネ導入予定(合意形成)'!$Z$1,MATCH($G154,'4.1(2)新規再エネ導入予定(合意形成)'!$G:$G,0)-1,0),"")</f>
        <v/>
      </c>
      <c r="AI154" s="215" t="str">
        <f t="shared" si="29"/>
        <v/>
      </c>
      <c r="AJ154" s="175" t="str">
        <f t="shared" si="33"/>
        <v/>
      </c>
      <c r="AK154" s="222" t="str">
        <f>IF(V154&lt;&gt;1,"",SUM($V$8:V154))</f>
        <v/>
      </c>
      <c r="AL154" s="175">
        <f t="shared" si="31"/>
        <v>1</v>
      </c>
    </row>
    <row r="155" spans="2:38">
      <c r="F155" s="734"/>
      <c r="G155" s="734"/>
      <c r="H155" s="734"/>
      <c r="I155" s="734"/>
      <c r="J155" s="734"/>
      <c r="K155" s="734"/>
      <c r="L155" s="749"/>
      <c r="M155" s="734"/>
      <c r="N155" s="739"/>
      <c r="O155" s="803"/>
      <c r="P155" s="734"/>
      <c r="T155" s="757"/>
      <c r="X155" s="222" t="s">
        <v>417</v>
      </c>
      <c r="Y155" s="175">
        <f t="shared" si="27"/>
        <v>148</v>
      </c>
      <c r="Z155" s="175" t="str">
        <f>IF(AA155&lt;&gt;"//",COUNTA($AA$8:AA155)-COUNTIF($AA$8:AA155,"//"),"")</f>
        <v/>
      </c>
      <c r="AA155" s="175" t="str">
        <f t="shared" si="28"/>
        <v>//</v>
      </c>
      <c r="AB155" s="175" t="str">
        <f ca="1">_xlfn.IFNA(IF(COUNTIF('4.1(2)新規再エネ導入予定(FS調査、系統接続検討状況)'!$G:$G,OFFSET($AA$7,MATCH($Y155,$Z$8:$Z$167,0),0))=0,OFFSET($AA$7,MATCH($Y155,$Z$8:$Z$167,0),0),""),"")</f>
        <v/>
      </c>
      <c r="AC155" s="175" t="str">
        <f ca="1">_xlfn.IFNA(IF(COUNTIF('4.1(2)新規再エネ導入予定(合意形成)'!$G:$G,OFFSET($AA$7,MATCH($Y155,$Z$8:$Z$167,0),0))=0,OFFSET($AA$7,MATCH($Y155,$Z$8:$Z$167,0),0),""),"")</f>
        <v/>
      </c>
      <c r="AD155" s="175" t="str">
        <f ca="1">_xlfn.IFNA(OFFSET('4.1(2)新規再エネ導入予定(FS調査、系統接続検討状況)'!$W$1,MATCH(G155,'4.1(2)新規再エネ導入予定(FS調査、系統接続検討状況)'!G:G,0)-1,0),"//")</f>
        <v>//</v>
      </c>
      <c r="AE155" s="262" t="str">
        <f ca="1">_xlfn.IFNA(OFFSET('4.1(2)新規再エネ導入予定(合意形成)'!$AJ$1,MATCH(G155,'4.1(2)新規再エネ導入予定(合意形成)'!G:G,0)-1,0),"//")</f>
        <v>//</v>
      </c>
      <c r="AF155" s="175">
        <f t="shared" ca="1" si="25"/>
        <v>0</v>
      </c>
      <c r="AG155" s="215" t="str" cm="1">
        <f t="array" aca="1" ref="AG155" ca="1">IFERROR(_xlfn.IFS(COUNTIF($AB$8:$AC$167,G155)&gt;0,"",AF155&lt;=1,"D",AF155=2,"C",AF155=3,"B",AF155=4,"A"),"")</f>
        <v/>
      </c>
      <c r="AH155" s="175" t="str">
        <f ca="1">_xlfn.IFNA(OFFSET('4.1(2)新規再エネ導入予定(合意形成)'!$Z$1,MATCH($G155,'4.1(2)新規再エネ導入予定(合意形成)'!$G:$G,0)-1,0),"")</f>
        <v/>
      </c>
      <c r="AI155" s="215" t="str">
        <f t="shared" si="29"/>
        <v/>
      </c>
      <c r="AJ155" s="175" t="str">
        <f t="shared" si="33"/>
        <v/>
      </c>
      <c r="AK155" s="222" t="str">
        <f>IF(V155&lt;&gt;1,"",SUM($V$8:V155))</f>
        <v/>
      </c>
      <c r="AL155" s="175">
        <f t="shared" si="31"/>
        <v>1</v>
      </c>
    </row>
    <row r="156" spans="2:38">
      <c r="F156" s="734"/>
      <c r="G156" s="734"/>
      <c r="H156" s="734"/>
      <c r="I156" s="734"/>
      <c r="J156" s="734"/>
      <c r="K156" s="734"/>
      <c r="L156" s="749"/>
      <c r="M156" s="734"/>
      <c r="N156" s="739"/>
      <c r="O156" s="803"/>
      <c r="P156" s="734"/>
      <c r="T156" s="757"/>
      <c r="U156" s="757"/>
      <c r="V156" s="757"/>
      <c r="W156" s="229"/>
      <c r="X156" s="222" t="s">
        <v>417</v>
      </c>
      <c r="Y156" s="175">
        <f t="shared" si="27"/>
        <v>149</v>
      </c>
      <c r="Z156" s="175" t="str">
        <f>IF(AA156&lt;&gt;"//",COUNTA($AA$8:AA156)-COUNTIF($AA$8:AA156,"//"),"")</f>
        <v/>
      </c>
      <c r="AA156" s="175" t="str">
        <f t="shared" si="28"/>
        <v>//</v>
      </c>
      <c r="AB156" s="175" t="str">
        <f ca="1">_xlfn.IFNA(IF(COUNTIF('4.1(2)新規再エネ導入予定(FS調査、系統接続検討状況)'!$G:$G,OFFSET($AA$7,MATCH($Y156,$Z$8:$Z$167,0),0))=0,OFFSET($AA$7,MATCH($Y156,$Z$8:$Z$167,0),0),""),"")</f>
        <v/>
      </c>
      <c r="AC156" s="175" t="str">
        <f ca="1">_xlfn.IFNA(IF(COUNTIF('4.1(2)新規再エネ導入予定(合意形成)'!$G:$G,OFFSET($AA$7,MATCH($Y156,$Z$8:$Z$167,0),0))=0,OFFSET($AA$7,MATCH($Y156,$Z$8:$Z$167,0),0),""),"")</f>
        <v/>
      </c>
      <c r="AD156" s="175" t="str">
        <f ca="1">_xlfn.IFNA(OFFSET('4.1(2)新規再エネ導入予定(FS調査、系統接続検討状況)'!$W$1,MATCH(G156,'4.1(2)新規再エネ導入予定(FS調査、系統接続検討状況)'!G:G,0)-1,0),"//")</f>
        <v>//</v>
      </c>
      <c r="AE156" s="222" t="str">
        <f ca="1">_xlfn.IFNA(OFFSET('4.1(2)新規再エネ導入予定(合意形成)'!$AJ$1,MATCH(G156,'4.1(2)新規再エネ導入予定(合意形成)'!G:G,0)-1,0),"//")</f>
        <v>//</v>
      </c>
      <c r="AF156" s="175">
        <f t="shared" ca="1" si="25"/>
        <v>0</v>
      </c>
      <c r="AG156" s="215" t="str" cm="1">
        <f t="array" aca="1" ref="AG156" ca="1">IFERROR(_xlfn.IFS(COUNTIF($AB$8:$AC$167,G156)&gt;0,"",AF156&lt;=1,"D",AF156=2,"C",AF156=3,"B",AF156=4,"A"),"")</f>
        <v/>
      </c>
      <c r="AH156" s="175" t="str">
        <f ca="1">_xlfn.IFNA(OFFSET('4.1(2)新規再エネ導入予定(合意形成)'!$Z$1,MATCH($G156,'4.1(2)新規再エネ導入予定(合意形成)'!$G:$G,0)-1,0),"")</f>
        <v/>
      </c>
      <c r="AI156" s="215" t="str">
        <f t="shared" si="29"/>
        <v/>
      </c>
      <c r="AJ156" s="175" t="str">
        <f t="shared" si="33"/>
        <v/>
      </c>
      <c r="AK156" s="222" t="str">
        <f>IF(V156&lt;&gt;1,"",SUM($V$8:V156))</f>
        <v/>
      </c>
      <c r="AL156" s="175">
        <f t="shared" si="31"/>
        <v>1</v>
      </c>
    </row>
    <row r="157" spans="2:38" ht="27.75" customHeight="1">
      <c r="D157" s="14"/>
      <c r="E157" s="827"/>
      <c r="F157" s="804"/>
      <c r="G157" s="460"/>
      <c r="H157" s="460"/>
      <c r="I157" s="460"/>
      <c r="J157" s="460"/>
      <c r="K157" s="460"/>
      <c r="L157" s="746"/>
      <c r="M157" s="460"/>
      <c r="N157" s="740"/>
      <c r="O157" s="762"/>
      <c r="P157" s="460"/>
      <c r="Q157" s="463"/>
      <c r="R157" s="762"/>
      <c r="S157" s="460"/>
      <c r="T157" s="763"/>
      <c r="X157" s="222" t="s">
        <v>418</v>
      </c>
      <c r="Y157" s="175">
        <f t="shared" si="27"/>
        <v>150</v>
      </c>
      <c r="Z157" s="175" t="str">
        <f>IF(AA157&lt;&gt;"//",COUNTA($AA$8:AA157)-COUNTIF($AA$8:AA157,"//"),"")</f>
        <v/>
      </c>
      <c r="AA157" s="175" t="str">
        <f t="shared" si="28"/>
        <v>//</v>
      </c>
      <c r="AB157" s="175" t="str">
        <f ca="1">_xlfn.IFNA(IF(COUNTIF('4.1(2)新規再エネ導入予定(FS調査、系統接続検討状況)'!$G:$G,OFFSET($AA$7,MATCH($Y157,$Z$8:$Z$167,0),0))=0,OFFSET($AA$7,MATCH($Y157,$Z$8:$Z$167,0),0),""),"")</f>
        <v/>
      </c>
      <c r="AC157" s="175" t="str">
        <f ca="1">_xlfn.IFNA(IF(COUNTIF('4.1(2)新規再エネ導入予定(合意形成)'!$G:$G,OFFSET($AA$7,MATCH($Y157,$Z$8:$Z$167,0),0))=0,OFFSET($AA$7,MATCH($Y157,$Z$8:$Z$167,0),0),""),"")</f>
        <v/>
      </c>
      <c r="AD157" s="175" t="str">
        <f ca="1">_xlfn.IFNA(OFFSET('4.1(2)新規再エネ導入予定(FS調査、系統接続検討状況)'!$W$1,MATCH(G157,'4.1(2)新規再エネ導入予定(FS調査、系統接続検討状況)'!G:G,0)-1,0),"//")</f>
        <v>//</v>
      </c>
      <c r="AE157" s="262" t="str">
        <f ca="1">_xlfn.IFNA(OFFSET('4.1(2)新規再エネ導入予定(合意形成)'!$AJ$1,MATCH(G157,'4.1(2)新規再エネ導入予定(合意形成)'!G:G,0)-1,0),"//")</f>
        <v>//</v>
      </c>
      <c r="AF157" s="175">
        <f t="shared" ca="1" si="25"/>
        <v>0</v>
      </c>
      <c r="AG157" s="215" t="str" cm="1">
        <f t="array" aca="1" ref="AG157" ca="1">IFERROR(_xlfn.IFS(COUNTIF($AB$8:$AC$167,G157)&gt;0,"",AF157&lt;=1,"D",AF157=2,"C",AF157=3,"B",AF157=4,"A"),"")</f>
        <v/>
      </c>
      <c r="AH157" s="175" t="str">
        <f ca="1">_xlfn.IFNA(OFFSET('4.1(2)新規再エネ導入予定(合意形成)'!$Z$1,MATCH($G157,'4.1(2)新規再エネ導入予定(合意形成)'!$G:$G,0)-1,0),"")</f>
        <v/>
      </c>
      <c r="AI157" s="215" t="str">
        <f t="shared" si="29"/>
        <v/>
      </c>
      <c r="AJ157" s="175" t="str">
        <f t="shared" si="33"/>
        <v/>
      </c>
      <c r="AK157" s="222" t="str">
        <f>IF(V157&lt;&gt;1,"",SUM($V$8:V157))</f>
        <v/>
      </c>
      <c r="AL157" s="175">
        <f t="shared" si="31"/>
        <v>1</v>
      </c>
    </row>
    <row r="158" spans="2:38" ht="27.75" customHeight="1">
      <c r="D158" s="237" t="s">
        <v>606</v>
      </c>
      <c r="F158" s="805"/>
      <c r="G158" s="806"/>
      <c r="N158" s="741"/>
      <c r="S158" s="323"/>
      <c r="T158" s="764"/>
      <c r="X158" s="222" t="s">
        <v>418</v>
      </c>
      <c r="Y158" s="175">
        <f t="shared" si="27"/>
        <v>151</v>
      </c>
      <c r="Z158" s="175" t="str">
        <f>IF(AA158&lt;&gt;"//",COUNTA($AA$8:AA158)-COUNTIF($AA$8:AA158,"//"),"")</f>
        <v/>
      </c>
      <c r="AA158" s="175" t="str">
        <f t="shared" si="28"/>
        <v>//</v>
      </c>
      <c r="AB158" s="175" t="str">
        <f ca="1">_xlfn.IFNA(IF(COUNTIF('4.1(2)新規再エネ導入予定(FS調査、系統接続検討状況)'!$G:$G,OFFSET($AA$7,MATCH($Y158,$Z$8:$Z$167,0),0))=0,OFFSET($AA$7,MATCH($Y158,$Z$8:$Z$167,0),0),""),"")</f>
        <v/>
      </c>
      <c r="AC158" s="175" t="str">
        <f ca="1">_xlfn.IFNA(IF(COUNTIF('4.1(2)新規再エネ導入予定(合意形成)'!$G:$G,OFFSET($AA$7,MATCH($Y158,$Z$8:$Z$167,0),0))=0,OFFSET($AA$7,MATCH($Y158,$Z$8:$Z$167,0),0),""),"")</f>
        <v/>
      </c>
      <c r="AD158" s="175" t="str">
        <f ca="1">_xlfn.IFNA(OFFSET('4.1(2)新規再エネ導入予定(FS調査、系統接続検討状況)'!$W$1,MATCH(G158,'4.1(2)新規再エネ導入予定(FS調査、系統接続検討状況)'!G:G,0)-1,0),"//")</f>
        <v>//</v>
      </c>
      <c r="AE158" s="262" t="str">
        <f ca="1">_xlfn.IFNA(OFFSET('4.1(2)新規再エネ導入予定(合意形成)'!$AJ$1,MATCH(G158,'4.1(2)新規再エネ導入予定(合意形成)'!G:G,0)-1,0),"//")</f>
        <v>//</v>
      </c>
      <c r="AF158" s="175">
        <f t="shared" ca="1" si="25"/>
        <v>0</v>
      </c>
      <c r="AG158" s="215" t="str" cm="1">
        <f t="array" aca="1" ref="AG158" ca="1">IFERROR(_xlfn.IFS(COUNTIF($AB$8:$AC$167,G158)&gt;0,"",AF158&lt;=1,"D",AF158=2,"C",AF158=3,"B",AF158=4,"A"),"")</f>
        <v/>
      </c>
      <c r="AH158" s="175" t="str">
        <f ca="1">_xlfn.IFNA(OFFSET('4.1(2)新規再エネ導入予定(合意形成)'!$Z$1,MATCH($G158,'4.1(2)新規再エネ導入予定(合意形成)'!$G:$G,0)-1,0),"")</f>
        <v/>
      </c>
      <c r="AI158" s="215" t="str">
        <f t="shared" si="29"/>
        <v/>
      </c>
      <c r="AJ158" s="175" t="str">
        <f t="shared" si="33"/>
        <v/>
      </c>
      <c r="AK158" s="222" t="str">
        <f>IF(V158&lt;&gt;1,"",SUM($V$8:V158))</f>
        <v/>
      </c>
      <c r="AL158" s="175">
        <f t="shared" si="31"/>
        <v>1</v>
      </c>
    </row>
    <row r="159" spans="2:38" ht="60">
      <c r="D159" s="16"/>
      <c r="E159" s="824"/>
      <c r="F159" s="891" t="s">
        <v>8</v>
      </c>
      <c r="G159" s="735" t="s">
        <v>185</v>
      </c>
      <c r="H159" s="735" t="s">
        <v>180</v>
      </c>
      <c r="I159" s="735" t="s">
        <v>9</v>
      </c>
      <c r="J159" s="735" t="s">
        <v>10</v>
      </c>
      <c r="K159" s="808" t="s">
        <v>11</v>
      </c>
      <c r="L159" s="750" t="s">
        <v>31</v>
      </c>
      <c r="M159" s="735" t="s">
        <v>13</v>
      </c>
      <c r="N159" s="742" t="s">
        <v>82</v>
      </c>
      <c r="O159" s="735" t="s">
        <v>191</v>
      </c>
      <c r="P159" s="735" t="s">
        <v>81</v>
      </c>
      <c r="Q159" s="736" t="s">
        <v>83</v>
      </c>
      <c r="R159" s="735" t="s">
        <v>273</v>
      </c>
      <c r="S159" s="735" t="s">
        <v>495</v>
      </c>
      <c r="T159" s="764"/>
      <c r="V159" s="434" t="s">
        <v>193</v>
      </c>
      <c r="X159" s="222" t="s">
        <v>418</v>
      </c>
      <c r="Y159" s="175">
        <f t="shared" si="27"/>
        <v>152</v>
      </c>
      <c r="Z159" s="175" t="str">
        <f>IF(AA159&lt;&gt;"//",COUNTA($AA$8:AA159)-COUNTIF($AA$8:AA159,"//"),"")</f>
        <v/>
      </c>
      <c r="AA159" s="175" t="str">
        <f t="shared" si="28"/>
        <v>//</v>
      </c>
      <c r="AB159" s="175" t="str">
        <f ca="1">_xlfn.IFNA(IF(COUNTIF('4.1(2)新規再エネ導入予定(FS調査、系統接続検討状況)'!$G:$G,OFFSET($AA$7,MATCH($Y159,$Z$8:$Z$167,0),0))=0,OFFSET($AA$7,MATCH($Y159,$Z$8:$Z$167,0),0),""),"")</f>
        <v/>
      </c>
      <c r="AC159" s="175" t="str">
        <f ca="1">_xlfn.IFNA(IF(COUNTIF('4.1(2)新規再エネ導入予定(合意形成)'!$G:$G,OFFSET($AA$7,MATCH($Y159,$Z$8:$Z$167,0),0))=0,OFFSET($AA$7,MATCH($Y159,$Z$8:$Z$167,0),0),""),"")</f>
        <v/>
      </c>
      <c r="AD159" s="175" t="str">
        <f ca="1">_xlfn.IFNA(OFFSET('4.1(2)新規再エネ導入予定(FS調査、系統接続検討状況)'!$W$1,MATCH(G159,'4.1(2)新規再エネ導入予定(FS調査、系統接続検討状況)'!G:G,0)-1,0),"//")</f>
        <v>採点</v>
      </c>
      <c r="AE159" s="262" t="str">
        <f ca="1">_xlfn.IFNA(OFFSET('4.1(2)新規再エネ導入予定(合意形成)'!$AJ$1,MATCH(G159,'4.1(2)新規再エネ導入予定(合意形成)'!G:G,0)-1,0),"//")</f>
        <v>施設
スコア</v>
      </c>
      <c r="AF159" s="175">
        <f t="shared" ca="1" si="25"/>
        <v>0</v>
      </c>
      <c r="AG159" s="215" t="str" cm="1">
        <f t="array" aca="1" ref="AG159" ca="1">IFERROR(_xlfn.IFS(COUNTIF($AB$8:$AC$167,G159)&gt;0,"",AF159&lt;=1,"D",AF159=2,"C",AF159=3,"B",AF159=4,"A"),"")</f>
        <v>D</v>
      </c>
      <c r="AH159" s="175" t="str">
        <f ca="1">_xlfn.IFNA(OFFSET('4.1(2)新規再エネ導入予定(合意形成)'!$Z$1,MATCH($G159,'4.1(2)新規再エネ導入予定(合意形成)'!$G:$G,0)-1,0),"")</f>
        <v>代表者数</v>
      </c>
      <c r="AI159" s="215" t="str">
        <f t="shared" ca="1" si="29"/>
        <v>D</v>
      </c>
      <c r="AJ159" s="175">
        <f t="shared" si="33"/>
        <v>1</v>
      </c>
      <c r="AK159" s="222" t="str">
        <f>IF(V159&lt;&gt;1,"",SUM($V$8:V159))</f>
        <v/>
      </c>
      <c r="AL159" s="175">
        <f t="shared" si="31"/>
        <v>1</v>
      </c>
    </row>
    <row r="160" spans="2:38" s="11" customFormat="1" ht="20" hidden="1">
      <c r="B160" s="21"/>
      <c r="C160" s="21"/>
      <c r="D160" s="22"/>
      <c r="E160" s="825"/>
      <c r="F160" s="774"/>
      <c r="G160" s="775"/>
      <c r="H160" s="776"/>
      <c r="I160" s="776"/>
      <c r="J160" s="777"/>
      <c r="K160" s="777"/>
      <c r="L160" s="894"/>
      <c r="M160" s="895"/>
      <c r="N160" s="900"/>
      <c r="O160" s="791"/>
      <c r="P160" s="895"/>
      <c r="Q160" s="901"/>
      <c r="R160" s="791"/>
      <c r="S160" s="778" t="str">
        <f>IF(G160="","",AG160)</f>
        <v/>
      </c>
      <c r="T160" s="779"/>
      <c r="U160" s="114"/>
      <c r="V160" s="780"/>
      <c r="X160" s="125" t="s">
        <v>418</v>
      </c>
      <c r="Y160" s="255">
        <f t="shared" si="27"/>
        <v>153</v>
      </c>
      <c r="Z160" s="255" t="str">
        <f>IF(AA160&lt;&gt;"//",COUNTA($AA$8:AA160)-COUNTIF($AA$8:AA160,"//"),"")</f>
        <v/>
      </c>
      <c r="AA160" s="255" t="str">
        <f t="shared" si="28"/>
        <v>//</v>
      </c>
      <c r="AB160" s="255" t="str">
        <f ca="1">_xlfn.IFNA(IF(COUNTIF('4.1(2)新規再エネ導入予定(FS調査、系統接続検討状況)'!$G:$G,OFFSET($AA$7,MATCH($Y160,$Z$8:$Z$167,0),0))=0,OFFSET($AA$7,MATCH($Y160,$Z$8:$Z$167,0),0),""),"")</f>
        <v/>
      </c>
      <c r="AC160" s="255" t="str">
        <f ca="1">_xlfn.IFNA(IF(COUNTIF('4.1(2)新規再エネ導入予定(合意形成)'!$G:$G,OFFSET($AA$7,MATCH($Y160,$Z$8:$Z$167,0),0))=0,OFFSET($AA$7,MATCH($Y160,$Z$8:$Z$167,0),0),""),"")</f>
        <v/>
      </c>
      <c r="AD160" s="255" t="str">
        <f ca="1">_xlfn.IFNA(OFFSET('4.1(2)新規再エネ導入予定(FS調査、系統接続検討状況)'!$W$1,MATCH(G160,'4.1(2)新規再エネ導入予定(FS調査、系統接続検討状況)'!G:G,0)-1,0),"//")</f>
        <v>//</v>
      </c>
      <c r="AE160" s="277" t="str">
        <f ca="1">_xlfn.IFNA(OFFSET('4.1(2)新規再エネ導入予定(合意形成)'!$AJ$1,MATCH(G160,'4.1(2)新規再エネ導入予定(合意形成)'!G:G,0)-1,0),"//")</f>
        <v>//</v>
      </c>
      <c r="AF160" s="255">
        <f t="shared" ca="1" si="25"/>
        <v>0</v>
      </c>
      <c r="AG160" s="129" t="str" cm="1">
        <f t="array" aca="1" ref="AG160" ca="1">IFERROR(_xlfn.IFS(COUNTIF($AB$8:$AC$167,G160)&gt;0,"",AF160&lt;=1,"D",AF160=2,"C",AF160=3,"B",AF160=4,"A"),"")</f>
        <v/>
      </c>
      <c r="AH160" s="255" t="str">
        <f ca="1">_xlfn.IFNA(OFFSET('4.1(2)新規再エネ導入予定(合意形成)'!$Z$1,MATCH($G160,'4.1(2)新規再エネ導入予定(合意形成)'!$G:$G,0)-1,0),"")</f>
        <v/>
      </c>
      <c r="AI160" s="129" t="str">
        <f t="shared" si="29"/>
        <v/>
      </c>
      <c r="AJ160" s="255" t="str">
        <f t="shared" si="33"/>
        <v/>
      </c>
      <c r="AK160" s="125" t="str">
        <f>IF(V160&lt;&gt;1,"",SUM($V$8:V160))</f>
        <v/>
      </c>
      <c r="AL160" s="255">
        <f t="shared" si="31"/>
        <v>1</v>
      </c>
    </row>
    <row r="161" spans="2:38" s="11" customFormat="1" ht="20">
      <c r="B161" s="21"/>
      <c r="C161" s="21"/>
      <c r="D161" s="22"/>
      <c r="E161" s="825"/>
      <c r="F161" s="781"/>
      <c r="G161" s="782"/>
      <c r="H161" s="783"/>
      <c r="I161" s="783"/>
      <c r="J161" s="784"/>
      <c r="K161" s="784"/>
      <c r="L161" s="724"/>
      <c r="M161" s="897"/>
      <c r="N161" s="900"/>
      <c r="O161" s="788"/>
      <c r="P161" s="897"/>
      <c r="Q161" s="901"/>
      <c r="R161" s="788"/>
      <c r="S161" s="786" t="str">
        <f>IF(G161="","",AG161)</f>
        <v/>
      </c>
      <c r="T161" s="779"/>
      <c r="U161" s="114"/>
      <c r="V161" s="787" t="str">
        <f>IF(H161&lt;&gt;"",1,"")</f>
        <v/>
      </c>
      <c r="X161" s="125" t="s">
        <v>418</v>
      </c>
      <c r="Y161" s="255">
        <f t="shared" si="27"/>
        <v>154</v>
      </c>
      <c r="Z161" s="255" t="str">
        <f>IF(AA161&lt;&gt;"//",COUNTA($AA$8:AA161)-COUNTIF($AA$8:AA161,"//"),"")</f>
        <v/>
      </c>
      <c r="AA161" s="255" t="str">
        <f t="shared" si="28"/>
        <v>//</v>
      </c>
      <c r="AB161" s="255" t="str">
        <f ca="1">_xlfn.IFNA(IF(COUNTIF('4.1(2)新規再エネ導入予定(FS調査、系統接続検討状況)'!$G:$G,OFFSET($AA$7,MATCH($Y161,$Z$8:$Z$167,0),0))=0,OFFSET($AA$7,MATCH($Y161,$Z$8:$Z$167,0),0),""),"")</f>
        <v/>
      </c>
      <c r="AC161" s="255" t="str">
        <f ca="1">_xlfn.IFNA(IF(COUNTIF('4.1(2)新規再エネ導入予定(合意形成)'!$G:$G,OFFSET($AA$7,MATCH($Y161,$Z$8:$Z$167,0),0))=0,OFFSET($AA$7,MATCH($Y161,$Z$8:$Z$167,0),0),""),"")</f>
        <v/>
      </c>
      <c r="AD161" s="255" t="str">
        <f ca="1">_xlfn.IFNA(OFFSET('4.1(2)新規再エネ導入予定(FS調査、系統接続検討状況)'!$W$1,MATCH(G161,'4.1(2)新規再エネ導入予定(FS調査、系統接続検討状況)'!G:G,0)-1,0),"//")</f>
        <v>//</v>
      </c>
      <c r="AE161" s="277" t="str">
        <f ca="1">_xlfn.IFNA(OFFSET('4.1(2)新規再エネ導入予定(合意形成)'!$AJ$1,MATCH(G161,'4.1(2)新規再エネ導入予定(合意形成)'!G:G,0)-1,0),"//")</f>
        <v>//</v>
      </c>
      <c r="AF161" s="255">
        <f t="shared" ca="1" si="25"/>
        <v>0</v>
      </c>
      <c r="AG161" s="129" t="str" cm="1">
        <f t="array" aca="1" ref="AG161" ca="1">IFERROR(_xlfn.IFS(COUNTIF($AB$8:$AC$167,G161)&gt;0,"",AF161&lt;=1,"D",AF161=2,"C",AF161=3,"B",AF161=4,"A"),"")</f>
        <v/>
      </c>
      <c r="AH161" s="255" t="str">
        <f ca="1">_xlfn.IFNA(OFFSET('4.1(2)新規再エネ導入予定(合意形成)'!$Z$1,MATCH($G161,'4.1(2)新規再エネ導入予定(合意形成)'!$G:$G,0)-1,0),"")</f>
        <v/>
      </c>
      <c r="AI161" s="129" t="str">
        <f t="shared" si="29"/>
        <v/>
      </c>
      <c r="AJ161" s="255" t="str">
        <f t="shared" si="33"/>
        <v/>
      </c>
      <c r="AK161" s="125" t="str">
        <f>IF(V161&lt;&gt;1,"",SUM($V$8:V161))</f>
        <v/>
      </c>
      <c r="AL161" s="255">
        <f t="shared" si="31"/>
        <v>1</v>
      </c>
    </row>
    <row r="162" spans="2:38" s="11" customFormat="1" ht="20">
      <c r="B162" s="21"/>
      <c r="C162" s="21"/>
      <c r="D162" s="22"/>
      <c r="E162" s="825"/>
      <c r="F162" s="781"/>
      <c r="G162" s="782"/>
      <c r="H162" s="783"/>
      <c r="I162" s="783"/>
      <c r="J162" s="784"/>
      <c r="K162" s="784"/>
      <c r="L162" s="724"/>
      <c r="M162" s="897"/>
      <c r="N162" s="900"/>
      <c r="O162" s="788"/>
      <c r="P162" s="897"/>
      <c r="Q162" s="901"/>
      <c r="R162" s="788"/>
      <c r="S162" s="786" t="str">
        <f>IF(G162="","",AG162)</f>
        <v/>
      </c>
      <c r="T162" s="779"/>
      <c r="U162" s="114"/>
      <c r="V162" s="787" t="str">
        <f>IF(H162&lt;&gt;"",1,"")</f>
        <v/>
      </c>
      <c r="X162" s="125" t="s">
        <v>418</v>
      </c>
      <c r="Y162" s="255">
        <f t="shared" si="27"/>
        <v>155</v>
      </c>
      <c r="Z162" s="255" t="str">
        <f>IF(AA162&lt;&gt;"//",COUNTA($AA$8:AA162)-COUNTIF($AA$8:AA162,"//"),"")</f>
        <v/>
      </c>
      <c r="AA162" s="255" t="str">
        <f t="shared" si="28"/>
        <v>//</v>
      </c>
      <c r="AB162" s="255" t="str">
        <f ca="1">_xlfn.IFNA(IF(COUNTIF('4.1(2)新規再エネ導入予定(FS調査、系統接続検討状況)'!$G:$G,OFFSET($AA$7,MATCH($Y162,$Z$8:$Z$167,0),0))=0,OFFSET($AA$7,MATCH($Y162,$Z$8:$Z$167,0),0),""),"")</f>
        <v/>
      </c>
      <c r="AC162" s="255" t="str">
        <f ca="1">_xlfn.IFNA(IF(COUNTIF('4.1(2)新規再エネ導入予定(合意形成)'!$G:$G,OFFSET($AA$7,MATCH($Y162,$Z$8:$Z$167,0),0))=0,OFFSET($AA$7,MATCH($Y162,$Z$8:$Z$167,0),0),""),"")</f>
        <v/>
      </c>
      <c r="AD162" s="255" t="str">
        <f ca="1">_xlfn.IFNA(OFFSET('4.1(2)新規再エネ導入予定(FS調査、系統接続検討状況)'!$W$1,MATCH(G162,'4.1(2)新規再エネ導入予定(FS調査、系統接続検討状況)'!G:G,0)-1,0),"//")</f>
        <v>//</v>
      </c>
      <c r="AE162" s="277" t="str">
        <f ca="1">_xlfn.IFNA(OFFSET('4.1(2)新規再エネ導入予定(合意形成)'!$AJ$1,MATCH(G162,'4.1(2)新規再エネ導入予定(合意形成)'!G:G,0)-1,0),"//")</f>
        <v>//</v>
      </c>
      <c r="AF162" s="255">
        <f t="shared" ca="1" si="25"/>
        <v>0</v>
      </c>
      <c r="AG162" s="129" t="str" cm="1">
        <f t="array" aca="1" ref="AG162" ca="1">IFERROR(_xlfn.IFS(COUNTIF($AB$8:$AC$167,G162)&gt;0,"",AF162&lt;=1,"D",AF162=2,"C",AF162=3,"B",AF162=4,"A"),"")</f>
        <v/>
      </c>
      <c r="AH162" s="255" t="str">
        <f ca="1">_xlfn.IFNA(OFFSET('4.1(2)新規再エネ導入予定(合意形成)'!$Z$1,MATCH($G162,'4.1(2)新規再エネ導入予定(合意形成)'!$G:$G,0)-1,0),"")</f>
        <v/>
      </c>
      <c r="AI162" s="129" t="str">
        <f t="shared" si="29"/>
        <v/>
      </c>
      <c r="AJ162" s="255" t="str">
        <f t="shared" si="33"/>
        <v/>
      </c>
      <c r="AK162" s="125" t="str">
        <f>IF(V162&lt;&gt;1,"",SUM($V$8:V162))</f>
        <v/>
      </c>
      <c r="AL162" s="255">
        <f t="shared" si="31"/>
        <v>1</v>
      </c>
    </row>
    <row r="163" spans="2:38" s="11" customFormat="1" ht="20">
      <c r="B163" s="21"/>
      <c r="C163" s="21"/>
      <c r="D163" s="22"/>
      <c r="E163" s="825"/>
      <c r="F163" s="781"/>
      <c r="G163" s="782"/>
      <c r="H163" s="783"/>
      <c r="I163" s="783"/>
      <c r="J163" s="784"/>
      <c r="K163" s="784"/>
      <c r="L163" s="724"/>
      <c r="M163" s="727"/>
      <c r="N163" s="900"/>
      <c r="O163" s="788"/>
      <c r="P163" s="897"/>
      <c r="Q163" s="901"/>
      <c r="R163" s="788"/>
      <c r="S163" s="786" t="str">
        <f>IF(G163="","",AG163)</f>
        <v/>
      </c>
      <c r="T163" s="779"/>
      <c r="U163" s="114"/>
      <c r="V163" s="787" t="str">
        <f>IF(H163&lt;&gt;"",1,"")</f>
        <v/>
      </c>
      <c r="X163" s="125" t="s">
        <v>418</v>
      </c>
      <c r="Y163" s="255">
        <f t="shared" si="27"/>
        <v>156</v>
      </c>
      <c r="Z163" s="255" t="str">
        <f>IF(AA163&lt;&gt;"//",COUNTA($AA$8:AA163)-COUNTIF($AA$8:AA163,"//"),"")</f>
        <v/>
      </c>
      <c r="AA163" s="255" t="str">
        <f t="shared" si="28"/>
        <v>//</v>
      </c>
      <c r="AB163" s="255" t="str">
        <f ca="1">_xlfn.IFNA(IF(COUNTIF('4.1(2)新規再エネ導入予定(FS調査、系統接続検討状況)'!$G:$G,OFFSET($AA$7,MATCH($Y163,$Z$8:$Z$167,0),0))=0,OFFSET($AA$7,MATCH($Y163,$Z$8:$Z$167,0),0),""),"")</f>
        <v/>
      </c>
      <c r="AC163" s="255" t="str">
        <f ca="1">_xlfn.IFNA(IF(COUNTIF('4.1(2)新規再エネ導入予定(合意形成)'!$G:$G,OFFSET($AA$7,MATCH($Y163,$Z$8:$Z$167,0),0))=0,OFFSET($AA$7,MATCH($Y163,$Z$8:$Z$167,0),0),""),"")</f>
        <v/>
      </c>
      <c r="AD163" s="255" t="str">
        <f ca="1">_xlfn.IFNA(OFFSET('4.1(2)新規再エネ導入予定(FS調査、系統接続検討状況)'!$W$1,MATCH(G163,'4.1(2)新規再エネ導入予定(FS調査、系統接続検討状況)'!G:G,0)-1,0),"//")</f>
        <v>//</v>
      </c>
      <c r="AE163" s="277" t="str">
        <f ca="1">_xlfn.IFNA(OFFSET('4.1(2)新規再エネ導入予定(合意形成)'!$AJ$1,MATCH(G163,'4.1(2)新規再エネ導入予定(合意形成)'!G:G,0)-1,0),"//")</f>
        <v>//</v>
      </c>
      <c r="AF163" s="255">
        <f t="shared" ca="1" si="25"/>
        <v>0</v>
      </c>
      <c r="AG163" s="129" t="str" cm="1">
        <f t="array" aca="1" ref="AG163" ca="1">IFERROR(_xlfn.IFS(COUNTIF($AB$8:$AC$167,G163)&gt;0,"",AF163&lt;=1,"D",AF163=2,"C",AF163=3,"B",AF163=4,"A"),"")</f>
        <v/>
      </c>
      <c r="AH163" s="255" t="str">
        <f ca="1">_xlfn.IFNA(OFFSET('4.1(2)新規再エネ導入予定(合意形成)'!$Z$1,MATCH($G163,'4.1(2)新規再エネ導入予定(合意形成)'!$G:$G,0)-1,0),"")</f>
        <v/>
      </c>
      <c r="AI163" s="129" t="str">
        <f t="shared" si="29"/>
        <v/>
      </c>
      <c r="AJ163" s="255" t="str">
        <f t="shared" si="33"/>
        <v/>
      </c>
      <c r="AK163" s="125" t="str">
        <f>IF(V163&lt;&gt;1,"",SUM($V$8:V163))</f>
        <v/>
      </c>
      <c r="AL163" s="255">
        <f t="shared" si="31"/>
        <v>1</v>
      </c>
    </row>
    <row r="164" spans="2:38" ht="20">
      <c r="D164" s="16"/>
      <c r="E164" s="826"/>
      <c r="F164" s="809" t="s">
        <v>26</v>
      </c>
      <c r="G164" s="795"/>
      <c r="H164" s="795"/>
      <c r="I164" s="795"/>
      <c r="J164" s="795"/>
      <c r="K164" s="795"/>
      <c r="L164" s="751"/>
      <c r="M164" s="499">
        <f ca="1">SUM(INDIRECT("M"&amp;ROW(M159)&amp;":M"&amp;ROW()-1))</f>
        <v>0</v>
      </c>
      <c r="N164" s="743"/>
      <c r="O164" s="810"/>
      <c r="P164" s="703">
        <f ca="1">SUM(INDIRECT("P"&amp;ROW(P159)&amp;":P"&amp;ROW()-1))</f>
        <v>0</v>
      </c>
      <c r="Q164" s="737"/>
      <c r="R164" s="799"/>
      <c r="S164" s="796"/>
      <c r="T164" s="764"/>
      <c r="V164" s="222" t="str">
        <f t="shared" ref="V164" si="35">IF(H164&lt;&gt;"",1,"")</f>
        <v/>
      </c>
      <c r="X164" s="222" t="s">
        <v>418</v>
      </c>
      <c r="Y164" s="175">
        <f t="shared" si="27"/>
        <v>157</v>
      </c>
      <c r="Z164" s="175" t="str">
        <f>IF(AA164&lt;&gt;"//",COUNTA($AA$8:AA164)-COUNTIF($AA$8:AA164,"//"),"")</f>
        <v/>
      </c>
      <c r="AA164" s="175" t="str">
        <f t="shared" si="28"/>
        <v>//</v>
      </c>
      <c r="AB164" s="175" t="str">
        <f ca="1">_xlfn.IFNA(IF(COUNTIF('4.1(2)新規再エネ導入予定(FS調査、系統接続検討状況)'!$G:$G,OFFSET($AA$7,MATCH($Y164,$Z$8:$Z$167,0),0))=0,OFFSET($AA$7,MATCH($Y164,$Z$8:$Z$167,0),0),""),"")</f>
        <v/>
      </c>
      <c r="AC164" s="175" t="str">
        <f ca="1">_xlfn.IFNA(IF(COUNTIF('4.1(2)新規再エネ導入予定(合意形成)'!$G:$G,OFFSET($AA$7,MATCH($Y164,$Z$8:$Z$167,0),0))=0,OFFSET($AA$7,MATCH($Y164,$Z$8:$Z$167,0),0),""),"")</f>
        <v/>
      </c>
      <c r="AD164" s="175" t="str">
        <f ca="1">_xlfn.IFNA(OFFSET('4.1(2)新規再エネ導入予定(FS調査、系統接続検討状況)'!$W$1,MATCH(G164,'4.1(2)新規再エネ導入予定(FS調査、系統接続検討状況)'!G:G,0)-1,0),"//")</f>
        <v>//</v>
      </c>
      <c r="AE164" s="262" t="str">
        <f ca="1">_xlfn.IFNA(OFFSET('4.1(2)新規再エネ導入予定(合意形成)'!$AJ$1,MATCH(G164,'4.1(2)新規再エネ導入予定(合意形成)'!G:G,0)-1,0),"//")</f>
        <v>//</v>
      </c>
      <c r="AF164" s="175">
        <f t="shared" ca="1" si="25"/>
        <v>0</v>
      </c>
      <c r="AG164" s="215" t="str" cm="1">
        <f t="array" aca="1" ref="AG164" ca="1">IFERROR(_xlfn.IFS(COUNTIF($AB$8:$AC$167,G164)&gt;0,"",AF164&lt;=1,"D",AF164=2,"C",AF164=3,"B",AF164=4,"A"),"")</f>
        <v/>
      </c>
      <c r="AH164" s="175" t="str">
        <f ca="1">_xlfn.IFNA(OFFSET('4.1(2)新規再エネ導入予定(合意形成)'!$Z$1,MATCH($G164,'4.1(2)新規再エネ導入予定(合意形成)'!$G:$G,0)-1,0),"")</f>
        <v/>
      </c>
      <c r="AI164" s="215" t="str">
        <f t="shared" si="29"/>
        <v/>
      </c>
      <c r="AJ164" s="175" t="str">
        <f t="shared" si="33"/>
        <v/>
      </c>
      <c r="AK164" s="222" t="str">
        <f>IF(V164&lt;&gt;1,"",SUM($V$8:V164))</f>
        <v/>
      </c>
      <c r="AL164" s="175">
        <f t="shared" si="31"/>
        <v>1</v>
      </c>
    </row>
    <row r="165" spans="2:38">
      <c r="D165" s="46"/>
      <c r="E165" s="467"/>
      <c r="F165" s="467"/>
      <c r="G165" s="467"/>
      <c r="H165" s="467"/>
      <c r="I165" s="467"/>
      <c r="J165" s="467"/>
      <c r="K165" s="467"/>
      <c r="L165" s="752"/>
      <c r="M165" s="467"/>
      <c r="N165" s="470"/>
      <c r="O165" s="801"/>
      <c r="P165" s="467"/>
      <c r="Q165" s="470"/>
      <c r="R165" s="467"/>
      <c r="S165" s="467"/>
      <c r="T165" s="802"/>
      <c r="W165" s="259"/>
      <c r="X165" s="222" t="s">
        <v>418</v>
      </c>
      <c r="Y165" s="175">
        <f t="shared" si="27"/>
        <v>158</v>
      </c>
      <c r="Z165" s="175" t="str">
        <f>IF(AA165&lt;&gt;"//",COUNTA($AA$8:AA165)-COUNTIF($AA$8:AA165,"//"),"")</f>
        <v/>
      </c>
      <c r="AA165" s="175" t="str">
        <f t="shared" si="28"/>
        <v>//</v>
      </c>
      <c r="AB165" s="175" t="str">
        <f ca="1">_xlfn.IFNA(IF(COUNTIF('4.1(2)新規再エネ導入予定(FS調査、系統接続検討状況)'!$G:$G,OFFSET($AA$7,MATCH($Y165,$Z$8:$Z$167,0),0))=0,OFFSET($AA$7,MATCH($Y165,$Z$8:$Z$167,0),0),""),"")</f>
        <v/>
      </c>
      <c r="AC165" s="175" t="str">
        <f ca="1">_xlfn.IFNA(IF(COUNTIF('4.1(2)新規再エネ導入予定(合意形成)'!$G:$G,OFFSET($AA$7,MATCH($Y165,$Z$8:$Z$167,0),0))=0,OFFSET($AA$7,MATCH($Y165,$Z$8:$Z$167,0),0),""),"")</f>
        <v/>
      </c>
      <c r="AD165" s="175" t="str">
        <f ca="1">_xlfn.IFNA(OFFSET('4.1(2)新規再エネ導入予定(FS調査、系統接続検討状況)'!$W$1,MATCH(G165,'4.1(2)新規再エネ導入予定(FS調査、系統接続検討状況)'!G:G,0)-1,0),"//")</f>
        <v>//</v>
      </c>
      <c r="AE165" s="175" t="str">
        <f ca="1">_xlfn.IFNA(OFFSET('4.1(2)新規再エネ導入予定(合意形成)'!$AJ$1,MATCH(G165,'4.1(2)新規再エネ導入予定(合意形成)'!G:G,0)-1,0),"//")</f>
        <v>//</v>
      </c>
      <c r="AF165" s="175">
        <f t="shared" ca="1" si="25"/>
        <v>0</v>
      </c>
      <c r="AG165" s="215" t="str" cm="1">
        <f t="array" aca="1" ref="AG165" ca="1">IFERROR(_xlfn.IFS(COUNTIF($AB$8:$AC$167,G165)&gt;0,"",AF165&lt;=1,"D",AF165=2,"C",AF165=3,"B",AF165=4,"A"),"")</f>
        <v/>
      </c>
      <c r="AH165" s="175" t="str">
        <f ca="1">_xlfn.IFNA(OFFSET('4.1(2)新規再エネ導入予定(合意形成)'!$Z$1,MATCH($G165,'4.1(2)新規再エネ導入予定(合意形成)'!$G:$G,0)-1,0),"")</f>
        <v/>
      </c>
      <c r="AI165" s="215" t="str">
        <f t="shared" si="29"/>
        <v/>
      </c>
      <c r="AJ165" s="175" t="str">
        <f t="shared" si="33"/>
        <v/>
      </c>
      <c r="AK165" s="222" t="str">
        <f>IF(V165&lt;&gt;1,"",SUM($V$8:V165))</f>
        <v/>
      </c>
      <c r="AL165" s="175">
        <f t="shared" si="31"/>
        <v>1</v>
      </c>
    </row>
    <row r="166" spans="2:38">
      <c r="F166" s="734"/>
      <c r="G166" s="734"/>
      <c r="H166" s="734"/>
      <c r="I166" s="734"/>
      <c r="J166" s="734"/>
      <c r="K166" s="734"/>
      <c r="L166" s="749"/>
      <c r="M166" s="734"/>
      <c r="N166" s="739"/>
      <c r="O166" s="803"/>
      <c r="P166" s="734"/>
      <c r="T166" s="757"/>
      <c r="U166" s="757"/>
      <c r="V166" s="757"/>
      <c r="W166" s="229"/>
      <c r="X166" s="222" t="s">
        <v>418</v>
      </c>
      <c r="Y166" s="175">
        <f t="shared" si="27"/>
        <v>159</v>
      </c>
      <c r="Z166" s="175" t="str">
        <f>IF(AA166&lt;&gt;"//",COUNTA($AA$8:AA166)-COUNTIF($AA$8:AA166,"//"),"")</f>
        <v/>
      </c>
      <c r="AA166" s="175" t="str">
        <f t="shared" si="28"/>
        <v>//</v>
      </c>
      <c r="AB166" s="175" t="str">
        <f ca="1">_xlfn.IFNA(IF(COUNTIF('4.1(2)新規再エネ導入予定(FS調査、系統接続検討状況)'!$G:$G,OFFSET($AA$7,MATCH($Y166,$Z$8:$Z$167,0),0))=0,OFFSET($AA$7,MATCH($Y166,$Z$8:$Z$167,0),0),""),"")</f>
        <v/>
      </c>
      <c r="AC166" s="175" t="str">
        <f ca="1">_xlfn.IFNA(IF(COUNTIF('4.1(2)新規再エネ導入予定(合意形成)'!$G:$G,OFFSET($AA$7,MATCH($Y166,$Z$8:$Z$167,0),0))=0,OFFSET($AA$7,MATCH($Y166,$Z$8:$Z$167,0),0),""),"")</f>
        <v/>
      </c>
      <c r="AD166" s="175" t="str">
        <f ca="1">_xlfn.IFNA(OFFSET('4.1(2)新規再エネ導入予定(FS調査、系統接続検討状況)'!$W$1,MATCH(G166,'4.1(2)新規再エネ導入予定(FS調査、系統接続検討状況)'!G:G,0)-1,0),"//")</f>
        <v>//</v>
      </c>
      <c r="AE166" s="222" t="str">
        <f ca="1">_xlfn.IFNA(OFFSET('4.1(2)新規再エネ導入予定(合意形成)'!$AJ$1,MATCH(G166,'4.1(2)新規再エネ導入予定(合意形成)'!G:G,0)-1,0),"//")</f>
        <v>//</v>
      </c>
      <c r="AF166" s="175">
        <f t="shared" ca="1" si="25"/>
        <v>0</v>
      </c>
      <c r="AG166" s="215" t="str" cm="1">
        <f t="array" aca="1" ref="AG166" ca="1">IFERROR(_xlfn.IFS(COUNTIF($AB$8:$AC$167,G166)&gt;0,"",AF166&lt;=1,"D",AF166=2,"C",AF166=3,"B",AF166=4,"A"),"")</f>
        <v/>
      </c>
      <c r="AH166" s="175" t="str">
        <f ca="1">_xlfn.IFNA(OFFSET('4.1(2)新規再エネ導入予定(合意形成)'!$Z$1,MATCH($G166,'4.1(2)新規再エネ導入予定(合意形成)'!$G:$G,0)-1,0),"")</f>
        <v/>
      </c>
      <c r="AI166" s="215" t="str">
        <f t="shared" si="29"/>
        <v/>
      </c>
      <c r="AJ166" s="175" t="str">
        <f t="shared" si="33"/>
        <v/>
      </c>
      <c r="AK166" s="222" t="str">
        <f>IF(V166&lt;&gt;1,"",SUM($V$8:V166))</f>
        <v/>
      </c>
      <c r="AL166" s="175">
        <f t="shared" si="31"/>
        <v>1</v>
      </c>
    </row>
    <row r="167" spans="2:38">
      <c r="F167" s="734"/>
      <c r="G167" s="734"/>
      <c r="H167" s="734"/>
      <c r="I167" s="734"/>
      <c r="J167" s="734"/>
      <c r="K167" s="734"/>
      <c r="L167" s="749"/>
      <c r="M167" s="734"/>
      <c r="N167" s="739"/>
      <c r="O167" s="803"/>
      <c r="P167" s="734"/>
      <c r="R167" s="323"/>
      <c r="S167" s="323"/>
      <c r="T167" s="121"/>
      <c r="U167" s="121"/>
      <c r="V167" s="121"/>
      <c r="W167" s="121"/>
      <c r="X167" s="222" t="s">
        <v>418</v>
      </c>
      <c r="Y167" s="175">
        <f t="shared" si="27"/>
        <v>160</v>
      </c>
      <c r="Z167" s="175" t="str">
        <f>IF(AA167&lt;&gt;"//",COUNTA($AA$8:AA167)-COUNTIF($AA$8:AA167,"//"),"")</f>
        <v/>
      </c>
      <c r="AA167" s="175" t="str">
        <f t="shared" si="28"/>
        <v>//</v>
      </c>
      <c r="AB167" s="175" t="str">
        <f ca="1">_xlfn.IFNA(IF(COUNTIF('4.1(2)新規再エネ導入予定(FS調査、系統接続検討状況)'!$G:$G,OFFSET($AA$7,MATCH($Y167,$Z$8:$Z$167,0),0))=0,OFFSET($AA$7,MATCH($Y167,$Z$8:$Z$167,0),0),""),"")</f>
        <v/>
      </c>
      <c r="AC167" s="175" t="str">
        <f ca="1">_xlfn.IFNA(IF(COUNTIF('4.1(2)新規再エネ導入予定(合意形成)'!$G:$G,OFFSET($AA$7,MATCH($Y167,$Z$8:$Z$167,0),0))=0,OFFSET($AA$7,MATCH($Y167,$Z$8:$Z$167,0),0),""),"")</f>
        <v/>
      </c>
      <c r="AD167" s="175" t="str">
        <f ca="1">_xlfn.IFNA(OFFSET('4.1(2)新規再エネ導入予定(FS調査、系統接続検討状況)'!$W$1,MATCH(G167,'4.1(2)新規再エネ導入予定(FS調査、系統接続検討状況)'!G:G,0)-1,0),"//")</f>
        <v>//</v>
      </c>
      <c r="AE167" s="175" t="str">
        <f ca="1">_xlfn.IFNA(OFFSET('4.1(2)新規再エネ導入予定(合意形成)'!$AJ$1,MATCH(G167,'4.1(2)新規再エネ導入予定(合意形成)'!G:G,0)-1,0),"//")</f>
        <v>//</v>
      </c>
      <c r="AF167" s="175">
        <f t="shared" ca="1" si="25"/>
        <v>0</v>
      </c>
      <c r="AG167" s="215" t="str" cm="1">
        <f t="array" aca="1" ref="AG167" ca="1">IFERROR(_xlfn.IFS(COUNTIF($AB$8:$AC$167,G167)&gt;0,"",AF167&lt;=1,"D",AF167=2,"C",AF167=3,"B",AF167=4,"A"),"")</f>
        <v/>
      </c>
      <c r="AH167" s="175" t="str">
        <f ca="1">_xlfn.IFNA(OFFSET('4.1(2)新規再エネ導入予定(合意形成)'!$Z$1,MATCH($G167,'4.1(2)新規再エネ導入予定(合意形成)'!$G:$G,0)-1,0),"")</f>
        <v/>
      </c>
      <c r="AI167" s="215" t="str">
        <f t="shared" si="29"/>
        <v/>
      </c>
      <c r="AJ167" s="175" t="str">
        <f t="shared" si="33"/>
        <v/>
      </c>
      <c r="AK167" s="222" t="str">
        <f>IF(V167&lt;&gt;1,"",SUM($V$8:V167))</f>
        <v/>
      </c>
      <c r="AL167" s="175">
        <f t="shared" si="31"/>
        <v>1</v>
      </c>
    </row>
    <row r="168" spans="2:38" ht="18" customHeight="1">
      <c r="D168"/>
      <c r="M168" s="336"/>
      <c r="R168" s="323"/>
      <c r="S168" s="323"/>
      <c r="T168" s="121"/>
      <c r="U168" s="121"/>
      <c r="V168" s="121"/>
      <c r="W168" s="121"/>
      <c r="AB168" s="121"/>
      <c r="AC168" s="121"/>
      <c r="AD168" s="121"/>
      <c r="AE168" s="121"/>
      <c r="AF168" s="121"/>
      <c r="AG168" s="121"/>
      <c r="AH168" s="121"/>
      <c r="AI168" s="121"/>
      <c r="AJ168" s="121"/>
      <c r="AK168" s="121"/>
      <c r="AL168" s="121"/>
    </row>
    <row r="169" spans="2:38" ht="5.15" customHeight="1">
      <c r="D169" s="14"/>
      <c r="E169" s="460"/>
      <c r="F169" s="460"/>
      <c r="G169" s="460"/>
      <c r="H169" s="460"/>
      <c r="I169" s="460"/>
      <c r="J169" s="460"/>
      <c r="K169" s="460"/>
      <c r="L169" s="754"/>
      <c r="M169" s="818"/>
    </row>
    <row r="170" spans="2:38" ht="37.5" customHeight="1">
      <c r="D170" s="254" t="s">
        <v>166</v>
      </c>
      <c r="L170" s="755"/>
      <c r="M170" s="818"/>
      <c r="X170" s="121" t="s">
        <v>322</v>
      </c>
    </row>
    <row r="171" spans="2:38" ht="22.5">
      <c r="D171" s="16"/>
      <c r="E171" s="829" t="s">
        <v>162</v>
      </c>
      <c r="F171" s="819"/>
      <c r="G171" s="819"/>
      <c r="H171" s="819"/>
      <c r="I171" s="819"/>
      <c r="J171" s="1354">
        <f ca="1">Q92</f>
        <v>0</v>
      </c>
      <c r="K171" s="1355"/>
      <c r="L171" s="755"/>
      <c r="M171" s="818"/>
      <c r="X171" s="121" t="s">
        <v>15</v>
      </c>
      <c r="Y171" s="121">
        <f>COUNTIF($G$8:$G$15,"&lt;&gt;")</f>
        <v>0</v>
      </c>
      <c r="Z171" s="121">
        <v>1</v>
      </c>
    </row>
    <row r="172" spans="2:38" ht="22.5">
      <c r="D172" s="16"/>
      <c r="E172" s="829" t="s">
        <v>284</v>
      </c>
      <c r="F172" s="819"/>
      <c r="G172" s="819"/>
      <c r="H172" s="819"/>
      <c r="I172" s="819"/>
      <c r="J172" s="1354">
        <f ca="1">P103</f>
        <v>0</v>
      </c>
      <c r="K172" s="1355"/>
      <c r="L172" s="755"/>
      <c r="M172" s="818"/>
      <c r="X172" s="121" t="s">
        <v>16</v>
      </c>
      <c r="Y172" s="121">
        <f>COUNTIF($G$15:$G$22,"&lt;&gt;")</f>
        <v>0</v>
      </c>
      <c r="Z172" s="121">
        <f>SUM($Y$171:$Y171)+1</f>
        <v>1</v>
      </c>
    </row>
    <row r="173" spans="2:38" ht="22.5">
      <c r="D173" s="16"/>
      <c r="E173" s="829" t="s">
        <v>91</v>
      </c>
      <c r="F173" s="819"/>
      <c r="G173" s="819"/>
      <c r="H173" s="819"/>
      <c r="I173" s="819"/>
      <c r="J173" s="1354">
        <f ca="1">P113</f>
        <v>0</v>
      </c>
      <c r="K173" s="1355"/>
      <c r="L173" s="755"/>
      <c r="M173" s="818"/>
      <c r="X173" s="121" t="s">
        <v>17</v>
      </c>
      <c r="Y173" s="121">
        <f>COUNTIF($G$22:$G$29,"&lt;&gt;")</f>
        <v>0</v>
      </c>
      <c r="Z173" s="121">
        <f>SUM($Y$171:$Y172)+1</f>
        <v>1</v>
      </c>
    </row>
    <row r="174" spans="2:38" ht="22.5">
      <c r="D174" s="16"/>
      <c r="E174" s="829" t="s">
        <v>163</v>
      </c>
      <c r="F174" s="819"/>
      <c r="G174" s="819"/>
      <c r="H174" s="819"/>
      <c r="I174" s="819"/>
      <c r="J174" s="1354">
        <f ca="1">P123</f>
        <v>0</v>
      </c>
      <c r="K174" s="1355"/>
      <c r="L174" s="755"/>
      <c r="M174" s="818"/>
      <c r="X174" s="121" t="s">
        <v>18</v>
      </c>
      <c r="Y174" s="121">
        <f>COUNTIF($G$29:$G$36,"&lt;&gt;")</f>
        <v>0</v>
      </c>
      <c r="Z174" s="121">
        <f>SUM($Y$171:$Y173)+1</f>
        <v>1</v>
      </c>
    </row>
    <row r="175" spans="2:38" ht="22.5">
      <c r="D175" s="16"/>
      <c r="E175" s="829" t="s">
        <v>164</v>
      </c>
      <c r="F175" s="819"/>
      <c r="G175" s="819"/>
      <c r="H175" s="819"/>
      <c r="I175" s="819"/>
      <c r="J175" s="1354">
        <f ca="1">P133</f>
        <v>0</v>
      </c>
      <c r="K175" s="1355"/>
      <c r="L175" s="755"/>
      <c r="M175" s="818"/>
      <c r="X175" s="121" t="s">
        <v>19</v>
      </c>
      <c r="Y175" s="121">
        <f>COUNTIF($G$36:$G$43,"&lt;&gt;")</f>
        <v>0</v>
      </c>
      <c r="Z175" s="121">
        <f>SUM($Y$171:$Y174)+1</f>
        <v>1</v>
      </c>
    </row>
    <row r="176" spans="2:38" ht="22.5">
      <c r="D176" s="16"/>
      <c r="E176" s="829" t="s">
        <v>165</v>
      </c>
      <c r="F176" s="819"/>
      <c r="G176" s="819"/>
      <c r="H176" s="819"/>
      <c r="I176" s="819"/>
      <c r="J176" s="1354">
        <f ca="1">P143</f>
        <v>0</v>
      </c>
      <c r="K176" s="1355"/>
      <c r="L176" s="755"/>
      <c r="M176" s="818"/>
      <c r="X176" s="121" t="s">
        <v>197</v>
      </c>
      <c r="Y176" s="121">
        <f>COUNTIF($G$43:$G$50,"&lt;&gt;")</f>
        <v>0</v>
      </c>
      <c r="Z176" s="121">
        <f>SUM($Y$171:$Y175)+1</f>
        <v>1</v>
      </c>
    </row>
    <row r="177" spans="4:37" ht="22.5">
      <c r="D177" s="16"/>
      <c r="E177" s="829" t="s">
        <v>308</v>
      </c>
      <c r="F177" s="819"/>
      <c r="G177" s="819"/>
      <c r="H177" s="819"/>
      <c r="I177" s="819"/>
      <c r="J177" s="1354">
        <f ca="1">P153</f>
        <v>0</v>
      </c>
      <c r="K177" s="1355"/>
      <c r="L177" s="755"/>
      <c r="M177" s="818"/>
      <c r="X177" s="121" t="s">
        <v>20</v>
      </c>
      <c r="Y177" s="121">
        <f>COUNTIF($G$50:$G$57,"&lt;&gt;")</f>
        <v>0</v>
      </c>
      <c r="Z177" s="121">
        <f>SUM($Y$171:$Y176)+1</f>
        <v>1</v>
      </c>
    </row>
    <row r="178" spans="4:37" ht="22.5">
      <c r="D178" s="16"/>
      <c r="E178" s="830" t="s">
        <v>310</v>
      </c>
      <c r="F178" s="819"/>
      <c r="G178" s="819"/>
      <c r="H178" s="819"/>
      <c r="I178" s="819"/>
      <c r="J178" s="1354">
        <f ca="1">SUM(J171:K177)</f>
        <v>0</v>
      </c>
      <c r="K178" s="1355"/>
      <c r="L178" s="755"/>
      <c r="M178" s="818"/>
      <c r="X178" s="121" t="s">
        <v>21</v>
      </c>
      <c r="Y178" s="121">
        <f>COUNTIF($G$57:$G$64,"&lt;&gt;")</f>
        <v>0</v>
      </c>
      <c r="Z178" s="121">
        <f>SUM($Y$171:$Y177)+1</f>
        <v>1</v>
      </c>
    </row>
    <row r="179" spans="4:37" ht="22.5">
      <c r="D179" s="16"/>
      <c r="E179" s="829" t="s">
        <v>309</v>
      </c>
      <c r="F179" s="819"/>
      <c r="G179" s="819"/>
      <c r="H179" s="819"/>
      <c r="I179" s="819"/>
      <c r="J179" s="1354">
        <f ca="1">P164</f>
        <v>0</v>
      </c>
      <c r="K179" s="1355"/>
      <c r="L179" s="755"/>
      <c r="M179" s="818"/>
      <c r="X179" s="121" t="s">
        <v>22</v>
      </c>
      <c r="Y179" s="121">
        <f>COUNTIF($G$64:$G$71,"&lt;&gt;")</f>
        <v>0</v>
      </c>
      <c r="Z179" s="121">
        <f>SUM($Y$171:$Y178)+1</f>
        <v>1</v>
      </c>
    </row>
    <row r="180" spans="4:37" ht="12.75" customHeight="1">
      <c r="D180" s="46"/>
      <c r="E180" s="467"/>
      <c r="F180" s="467"/>
      <c r="G180" s="467"/>
      <c r="H180" s="467"/>
      <c r="I180" s="467"/>
      <c r="J180" s="467"/>
      <c r="K180" s="467"/>
      <c r="L180" s="756"/>
      <c r="M180" s="818"/>
      <c r="X180" s="121" t="s">
        <v>23</v>
      </c>
      <c r="Y180" s="121">
        <f>COUNTIF($G$71:$G$78,"&lt;&gt;")</f>
        <v>0</v>
      </c>
      <c r="Z180" s="121">
        <f>SUM($Y$171:$Y179)+1</f>
        <v>1</v>
      </c>
    </row>
    <row r="181" spans="4:37">
      <c r="D181"/>
      <c r="M181" s="336"/>
      <c r="X181" s="121" t="s">
        <v>24</v>
      </c>
      <c r="Y181" s="121">
        <f>COUNTIF($G$78:$G$85,"&lt;&gt;")</f>
        <v>0</v>
      </c>
      <c r="Z181" s="121">
        <f>SUM($Y$171:$Y180)+1</f>
        <v>1</v>
      </c>
    </row>
    <row r="182" spans="4:37">
      <c r="D182"/>
      <c r="X182" s="121" t="s">
        <v>25</v>
      </c>
      <c r="Y182" s="121">
        <f>COUNTIF($G$85:$G$92,"&lt;&gt;")</f>
        <v>0</v>
      </c>
      <c r="Z182" s="121">
        <f>SUM($Y$171:$Y181)+1</f>
        <v>1</v>
      </c>
    </row>
    <row r="183" spans="4:37">
      <c r="D183"/>
      <c r="X183" s="121" t="s">
        <v>284</v>
      </c>
      <c r="Y183" s="121">
        <f>COUNTIF($G$99:$G$103,"&lt;&gt;")</f>
        <v>0</v>
      </c>
      <c r="Z183" s="121">
        <f>SUM($Y$171:$Y182)+1</f>
        <v>1</v>
      </c>
    </row>
    <row r="184" spans="4:37">
      <c r="D184"/>
      <c r="X184" s="121" t="s">
        <v>190</v>
      </c>
      <c r="Y184" s="121">
        <f>COUNTIF($G$109:$G$113,"&lt;&gt;")</f>
        <v>0</v>
      </c>
      <c r="Z184" s="121">
        <f>SUM($Y$171:$Y183)+1</f>
        <v>1</v>
      </c>
    </row>
    <row r="185" spans="4:37">
      <c r="D185"/>
      <c r="X185" s="121" t="s">
        <v>137</v>
      </c>
      <c r="Y185" s="121">
        <f>COUNTIF($G$119:$G$123,"&lt;&gt;")</f>
        <v>0</v>
      </c>
      <c r="Z185" s="121">
        <f>SUM($Y$171:$Y184)+1</f>
        <v>1</v>
      </c>
    </row>
    <row r="186" spans="4:37">
      <c r="D186"/>
      <c r="X186" s="121" t="s">
        <v>164</v>
      </c>
      <c r="Y186" s="121">
        <f>COUNTIF($G$129:$G$133,"&lt;&gt;")</f>
        <v>0</v>
      </c>
      <c r="Z186" s="121">
        <f>SUM($Y$171:$Y185)+1</f>
        <v>1</v>
      </c>
    </row>
    <row r="187" spans="4:37">
      <c r="D187"/>
      <c r="X187" s="121" t="s">
        <v>323</v>
      </c>
      <c r="Y187" s="121">
        <f>COUNTIF($G$139:$G$143,"&lt;&gt;")</f>
        <v>0</v>
      </c>
      <c r="Z187" s="121">
        <f>SUM($Y$171:$Y186)+1</f>
        <v>1</v>
      </c>
    </row>
    <row r="188" spans="4:37">
      <c r="D188"/>
      <c r="X188" s="121" t="s">
        <v>324</v>
      </c>
      <c r="Y188" s="121">
        <f>COUNTIF($G$149:$G$153,"&lt;&gt;")</f>
        <v>0</v>
      </c>
      <c r="Z188" s="121">
        <f>SUM($Y$171:$Y187)+1</f>
        <v>1</v>
      </c>
      <c r="AK188" s="252"/>
    </row>
    <row r="189" spans="4:37">
      <c r="D189"/>
      <c r="X189" s="121" t="s">
        <v>325</v>
      </c>
      <c r="Y189" s="121">
        <f>COUNTIF($G$160:$G$164,"&lt;&gt;")</f>
        <v>0</v>
      </c>
      <c r="Z189" s="121">
        <f>SUM($Y$171:$Y188)+1</f>
        <v>1</v>
      </c>
    </row>
    <row r="190" spans="4:37">
      <c r="D190"/>
    </row>
    <row r="191" spans="4:37">
      <c r="D191"/>
      <c r="X191" s="121" t="s">
        <v>452</v>
      </c>
      <c r="Y191">
        <f>PRODUCT($AL$8:$AL$167)*((COUNTA(G:G)-COUNTIF(G:G,"施設番号")=COUNTIF(S:S,"?"))*1)</f>
        <v>1</v>
      </c>
    </row>
    <row r="192" spans="4:37">
      <c r="D192"/>
    </row>
    <row r="193" spans="4:37">
      <c r="D193"/>
    </row>
    <row r="194" spans="4:37">
      <c r="D194"/>
    </row>
    <row r="195" spans="4:37">
      <c r="D195"/>
    </row>
    <row r="196" spans="4:37">
      <c r="D196"/>
    </row>
    <row r="197" spans="4:37">
      <c r="D197"/>
    </row>
    <row r="198" spans="4:37">
      <c r="D198"/>
      <c r="AK198" s="252"/>
    </row>
    <row r="199" spans="4:37">
      <c r="D199"/>
      <c r="AK199" s="252"/>
    </row>
    <row r="200" spans="4:37">
      <c r="D200"/>
      <c r="AK200" s="252"/>
    </row>
    <row r="201" spans="4:37">
      <c r="D201"/>
      <c r="AK201" s="252"/>
    </row>
    <row r="202" spans="4:37" ht="37.5" customHeight="1">
      <c r="D202"/>
    </row>
    <row r="203" spans="4:37">
      <c r="D203"/>
    </row>
    <row r="204" spans="4:37">
      <c r="D204"/>
    </row>
    <row r="205" spans="4:37">
      <c r="D205"/>
    </row>
    <row r="206" spans="4:37">
      <c r="D206"/>
    </row>
    <row r="207" spans="4:37">
      <c r="D207"/>
    </row>
    <row r="208" spans="4:37">
      <c r="D208"/>
    </row>
    <row r="211" spans="37:37">
      <c r="AK211" s="252"/>
    </row>
  </sheetData>
  <sheetProtection algorithmName="SHA-512" hashValue="JcWC67v52SS0NuiGr7x16mVH//eAHIeBSlSy3iqOTMRIPbt90B7W0jGX2IS26W5Pd0iTVLHKaFmC9J1nT0MSLg==" saltValue="NcvbF8w3oLC39gr9Pq3CkA==" spinCount="100000" sheet="1" formatCells="0" insertRows="0" deleteRows="0"/>
  <mergeCells count="10">
    <mergeCell ref="J178:K178"/>
    <mergeCell ref="J179:K179"/>
    <mergeCell ref="E7:F7"/>
    <mergeCell ref="J171:K171"/>
    <mergeCell ref="J172:K172"/>
    <mergeCell ref="J173:K173"/>
    <mergeCell ref="J174:K174"/>
    <mergeCell ref="J175:K175"/>
    <mergeCell ref="J176:K176"/>
    <mergeCell ref="J177:K177"/>
  </mergeCells>
  <phoneticPr fontId="1"/>
  <conditionalFormatting sqref="E8:V91">
    <cfRule type="expression" dxfId="2656" priority="117">
      <formula>$Y8=""</formula>
    </cfRule>
  </conditionalFormatting>
  <conditionalFormatting sqref="F139:S142">
    <cfRule type="notContainsBlanks" dxfId="2655" priority="24">
      <formula>LEN(TRIM(F139))&gt;0</formula>
    </cfRule>
  </conditionalFormatting>
  <conditionalFormatting sqref="F8:V91">
    <cfRule type="notContainsBlanks" dxfId="2654" priority="116">
      <formula>LEN(TRIM(F8))&gt;0</formula>
    </cfRule>
  </conditionalFormatting>
  <conditionalFormatting sqref="F99:V102">
    <cfRule type="expression" dxfId="2653" priority="37">
      <formula>$Y99=""</formula>
    </cfRule>
    <cfRule type="notContainsBlanks" dxfId="2652" priority="40">
      <formula>LEN(TRIM(F99))&gt;0</formula>
    </cfRule>
  </conditionalFormatting>
  <conditionalFormatting sqref="F109:V112">
    <cfRule type="notContainsBlanks" dxfId="2651" priority="36">
      <formula>LEN(TRIM(F109))&gt;0</formula>
    </cfRule>
    <cfRule type="expression" dxfId="2650" priority="33">
      <formula>$Y109=""</formula>
    </cfRule>
  </conditionalFormatting>
  <conditionalFormatting sqref="F119:V122">
    <cfRule type="notContainsBlanks" dxfId="2649" priority="32">
      <formula>LEN(TRIM(F119))&gt;0</formula>
    </cfRule>
    <cfRule type="expression" dxfId="2648" priority="29">
      <formula>$Y119=""</formula>
    </cfRule>
  </conditionalFormatting>
  <conditionalFormatting sqref="F129:V132">
    <cfRule type="notContainsBlanks" dxfId="2647" priority="28">
      <formula>LEN(TRIM(F129))&gt;0</formula>
    </cfRule>
    <cfRule type="expression" dxfId="2646" priority="25">
      <formula>$Y129=""</formula>
    </cfRule>
  </conditionalFormatting>
  <conditionalFormatting sqref="F139:V142">
    <cfRule type="expression" dxfId="2645" priority="19">
      <formula>$Y139=""</formula>
    </cfRule>
  </conditionalFormatting>
  <conditionalFormatting sqref="F149:V152">
    <cfRule type="expression" dxfId="2644" priority="15">
      <formula>$Y149=""</formula>
    </cfRule>
    <cfRule type="notContainsBlanks" dxfId="2643" priority="18">
      <formula>LEN(TRIM(F149))&gt;0</formula>
    </cfRule>
  </conditionalFormatting>
  <conditionalFormatting sqref="F160:V163">
    <cfRule type="expression" dxfId="2642" priority="11">
      <formula>$Y160=""</formula>
    </cfRule>
    <cfRule type="notContainsBlanks" dxfId="2641" priority="14">
      <formula>LEN(TRIM(F160))&gt;0</formula>
    </cfRule>
  </conditionalFormatting>
  <conditionalFormatting sqref="H147:S147">
    <cfRule type="expression" dxfId="2640" priority="1">
      <formula>$H$147="〇〇発電(こちらに発電方式を記載ください)"</formula>
    </cfRule>
    <cfRule type="expression" dxfId="2639" priority="6">
      <formula>$H$147&lt;&gt;""</formula>
    </cfRule>
  </conditionalFormatting>
  <conditionalFormatting sqref="J171:K179">
    <cfRule type="cellIs" dxfId="2638" priority="8" operator="notEqual">
      <formula>0</formula>
    </cfRule>
  </conditionalFormatting>
  <conditionalFormatting sqref="M103 P103">
    <cfRule type="cellIs" dxfId="2637" priority="5" operator="notEqual">
      <formula>0</formula>
    </cfRule>
  </conditionalFormatting>
  <conditionalFormatting sqref="M113 P113 M123 P123 M133 P133">
    <cfRule type="cellIs" dxfId="2636" priority="4" operator="notEqual">
      <formula>0</formula>
    </cfRule>
  </conditionalFormatting>
  <conditionalFormatting sqref="M153 P153">
    <cfRule type="cellIs" dxfId="2635" priority="3" operator="notEqual">
      <formula>0</formula>
    </cfRule>
  </conditionalFormatting>
  <conditionalFormatting sqref="M164 P164">
    <cfRule type="cellIs" dxfId="2634" priority="2" operator="notEqual">
      <formula>0</formula>
    </cfRule>
  </conditionalFormatting>
  <conditionalFormatting sqref="M143:N143">
    <cfRule type="cellIs" dxfId="2633" priority="22" operator="notEqual">
      <formula>0</formula>
    </cfRule>
  </conditionalFormatting>
  <conditionalFormatting sqref="N92 Q92">
    <cfRule type="cellIs" dxfId="2632" priority="9" operator="notEqual">
      <formula>0</formula>
    </cfRule>
  </conditionalFormatting>
  <conditionalFormatting sqref="P143">
    <cfRule type="cellIs" dxfId="2631" priority="21" operator="notEqual">
      <formula>0</formula>
    </cfRule>
  </conditionalFormatting>
  <conditionalFormatting sqref="S8:S92">
    <cfRule type="expression" dxfId="2630" priority="7">
      <formula>$S8&lt;&gt;$AI8</formula>
    </cfRule>
  </conditionalFormatting>
  <conditionalFormatting sqref="S99:S102">
    <cfRule type="expression" dxfId="2629" priority="38">
      <formula>$S99&lt;&gt;$AI99</formula>
    </cfRule>
  </conditionalFormatting>
  <conditionalFormatting sqref="S109:S112">
    <cfRule type="expression" dxfId="2628" priority="34">
      <formula>$S109&lt;&gt;$AI109</formula>
    </cfRule>
  </conditionalFormatting>
  <conditionalFormatting sqref="S119:S122">
    <cfRule type="expression" dxfId="2627" priority="30">
      <formula>$S119&lt;&gt;$AI119</formula>
    </cfRule>
  </conditionalFormatting>
  <conditionalFormatting sqref="S129:S132">
    <cfRule type="expression" dxfId="2626" priority="26">
      <formula>$S129&lt;&gt;$AI129</formula>
    </cfRule>
  </conditionalFormatting>
  <conditionalFormatting sqref="S139:S142">
    <cfRule type="expression" dxfId="2625" priority="20">
      <formula>$S139&lt;&gt;$AI139</formula>
    </cfRule>
  </conditionalFormatting>
  <conditionalFormatting sqref="S149:S152">
    <cfRule type="expression" dxfId="2624" priority="16">
      <formula>$S149&lt;&gt;$AI149</formula>
    </cfRule>
  </conditionalFormatting>
  <conditionalFormatting sqref="S160:S163">
    <cfRule type="expression" dxfId="2623" priority="12">
      <formula>$S160&lt;&gt;$AI160</formula>
    </cfRule>
  </conditionalFormatting>
  <conditionalFormatting sqref="V7:V92">
    <cfRule type="expression" dxfId="2622" priority="4282">
      <formula>$V7&lt;&gt;$AJ7</formula>
    </cfRule>
  </conditionalFormatting>
  <conditionalFormatting sqref="V99:V102">
    <cfRule type="expression" dxfId="2621" priority="39">
      <formula>$V99&lt;&gt;$AJ99</formula>
    </cfRule>
  </conditionalFormatting>
  <conditionalFormatting sqref="V109:V112">
    <cfRule type="expression" dxfId="2620" priority="35">
      <formula>$V109&lt;&gt;$AJ109</formula>
    </cfRule>
  </conditionalFormatting>
  <conditionalFormatting sqref="V119:V122">
    <cfRule type="expression" dxfId="2619" priority="31">
      <formula>$V119&lt;&gt;$AJ119</formula>
    </cfRule>
  </conditionalFormatting>
  <conditionalFormatting sqref="V129:V132">
    <cfRule type="expression" dxfId="2618" priority="27">
      <formula>$V129&lt;&gt;$AJ129</formula>
    </cfRule>
  </conditionalFormatting>
  <conditionalFormatting sqref="V149:V152">
    <cfRule type="expression" dxfId="2617" priority="17">
      <formula>$V149&lt;&gt;$AJ149</formula>
    </cfRule>
  </conditionalFormatting>
  <conditionalFormatting sqref="V160:V163">
    <cfRule type="expression" dxfId="2616" priority="13">
      <formula>$V160&lt;&gt;$AJ160</formula>
    </cfRule>
  </conditionalFormatting>
  <dataValidations count="5">
    <dataValidation type="list" allowBlank="1" showInputMessage="1" showErrorMessage="1" sqref="J37:J42 J44:J49 J51:J56 J58:J63 J30:J35 J86:J91 J16:J21 J65:J70 J72:J77 J149:J152 J23:J28 J99:J102 J109:J112 J119:J122 J129:J132 J160:J163 J79:J84 J9:J14 J139:J142" xr:uid="{B5CF4AA9-1195-4066-936B-53546A8CA198}">
      <formula1>"オンサイト,オフサイト"</formula1>
    </dataValidation>
    <dataValidation type="decimal" operator="greaterThanOrEqual" allowBlank="1" showInputMessage="1" showErrorMessage="1" error="数値で入力してください" sqref="E92 F113 O85 O8 F123 O64 R22:S22 O36 O71 F133 F153 F103 F164 O50 O15 O57 O43 O22 O29 M8:M92 O78 P8:P92 M99:M102 P99:P102 P109:P112 M109:M112 M119:M122 P119:P122 M129:M132 P129:P132 M139:N142 P139:P142 M149:M152 P149:P152 M160:M163 P160:P163" xr:uid="{2EA6D1DD-546D-4823-BB4B-11E854AF5422}">
      <formula1>0</formula1>
    </dataValidation>
    <dataValidation type="textLength" operator="lessThan" allowBlank="1" showInputMessage="1" showErrorMessage="1" sqref="N23:N28 Q16:Q21 N16:N21 Q44:Q49 N30:N35 Q86:Q91 Q30:Q35 Q23:Q28 N58:N63 N51:N56 N65:N70 Q51:Q56 N72:N77 Q58:Q63 Q79:Q84 Q65:Q70 N79:N84 Q72:Q77 N44:N49 N86:N91 N9:N14 Q109 N109 Q119 N119 Q129 N129 Q9:Q14 N160 Q149 N149 Q160 N37:N42 E8:E91 Q37:Q42" xr:uid="{34CAA687-DBC3-474F-92A8-236CF466F7A7}">
      <formula1>1</formula1>
    </dataValidation>
    <dataValidation type="list" allowBlank="1" showInputMessage="1" showErrorMessage="1" sqref="O30:O35 O51:O56 O65:O70 O79:O84 O58:O63 O99:O102 O109:O112 O119:O122 O129:O132 O149:O152 O16:O21 O72:O77 O23:O28 O44:O49 O86:O91 O160:O163 O9:O14 O139:O142 O37:O42" xr:uid="{66589104-45AC-4DEE-B6AB-A999B971D828}">
      <formula1>"低圧,高圧,特別高圧"</formula1>
    </dataValidation>
    <dataValidation type="textLength" operator="greaterThanOrEqual" allowBlank="1" showInputMessage="1" showErrorMessage="1" error="数値で入力してください" sqref="Q139:Q143" xr:uid="{8F5CD27B-D73C-4568-8388-88EF1BD45DDC}">
      <formula1>0</formula1>
    </dataValidation>
  </dataValidations>
  <pageMargins left="0.7" right="0.7" top="0.75" bottom="0.75" header="0.3" footer="0.3"/>
  <pageSetup paperSize="8" scale="22" orientation="landscape"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14CE-224F-4978-BC5A-9AFA5013F8F6}">
  <sheetPr codeName="Sheet8">
    <tabColor theme="7" tint="0.79998168889431442"/>
    <pageSetUpPr autoPageBreaks="0" fitToPage="1"/>
  </sheetPr>
  <dimension ref="A1:W209"/>
  <sheetViews>
    <sheetView showGridLines="0" zoomScale="85" zoomScaleNormal="85" zoomScaleSheetLayoutView="100" workbookViewId="0"/>
  </sheetViews>
  <sheetFormatPr defaultColWidth="9" defaultRowHeight="18"/>
  <cols>
    <col min="1" max="1" width="2.33203125" customWidth="1"/>
    <col min="2" max="3" width="2.58203125" style="13" customWidth="1"/>
    <col min="4" max="4" width="2.33203125" style="13" customWidth="1"/>
    <col min="5" max="5" width="5.08203125" style="13" customWidth="1"/>
    <col min="6" max="6" width="20.83203125" style="13" customWidth="1"/>
    <col min="7" max="7" width="24.08203125" style="13" customWidth="1"/>
    <col min="8" max="8" width="12.33203125" style="13" customWidth="1"/>
    <col min="9" max="9" width="11.58203125" style="250" customWidth="1"/>
    <col min="10" max="10" width="13.75" style="13" customWidth="1"/>
    <col min="11" max="11" width="14.08203125" style="13" bestFit="1" customWidth="1"/>
    <col min="12" max="14" width="14.08203125" style="232" customWidth="1"/>
    <col min="15" max="15" width="33.58203125" style="17" customWidth="1"/>
    <col min="16" max="16" width="3.58203125" style="13" customWidth="1"/>
    <col min="17" max="17" width="5" style="13" customWidth="1"/>
    <col min="18" max="18" width="6.58203125" hidden="1" customWidth="1"/>
    <col min="19" max="23" width="11.25" hidden="1" customWidth="1"/>
  </cols>
  <sheetData>
    <row r="1" spans="1:23" ht="24" customHeight="1">
      <c r="A1" s="44" t="s">
        <v>342</v>
      </c>
      <c r="C1"/>
      <c r="I1" s="13"/>
      <c r="L1" s="227"/>
      <c r="M1" s="13"/>
      <c r="N1" s="228"/>
      <c r="O1" s="232"/>
      <c r="Q1" s="228"/>
      <c r="R1" s="229"/>
      <c r="S1" s="229"/>
      <c r="T1" s="229"/>
    </row>
    <row r="2" spans="1:23" ht="48" customHeight="1">
      <c r="A2" s="1351" t="s">
        <v>343</v>
      </c>
      <c r="B2" s="1351"/>
      <c r="C2" s="1351"/>
      <c r="D2" s="1351"/>
      <c r="E2" s="1351"/>
      <c r="F2" s="1351"/>
      <c r="G2" s="1351"/>
      <c r="H2" s="1351"/>
      <c r="I2" s="1351"/>
      <c r="J2" s="1351"/>
      <c r="K2" s="1351"/>
      <c r="L2" s="1351"/>
      <c r="M2" s="1351"/>
      <c r="N2" s="1351"/>
      <c r="O2" s="1351"/>
      <c r="P2" s="1351"/>
      <c r="Q2" s="1351"/>
      <c r="R2" s="1351"/>
      <c r="S2" s="1351"/>
      <c r="T2" s="1351"/>
    </row>
    <row r="3" spans="1:23" ht="17.25" customHeight="1">
      <c r="D3" s="230"/>
      <c r="E3" s="230"/>
      <c r="F3" s="230"/>
      <c r="G3" s="230"/>
      <c r="H3" s="230"/>
      <c r="I3" s="260"/>
      <c r="J3" s="230"/>
      <c r="K3" s="230"/>
      <c r="L3" s="233"/>
      <c r="M3" s="233"/>
      <c r="N3" s="233"/>
      <c r="O3" s="230"/>
      <c r="R3" t="s">
        <v>314</v>
      </c>
    </row>
    <row r="4" spans="1:23" ht="9.75" customHeight="1">
      <c r="D4" s="234"/>
      <c r="E4" s="15"/>
      <c r="F4" s="15"/>
      <c r="G4" s="15"/>
      <c r="H4" s="15"/>
      <c r="I4" s="249"/>
      <c r="J4" s="15"/>
      <c r="K4" s="15"/>
      <c r="L4" s="278"/>
      <c r="M4" s="278"/>
      <c r="N4" s="278"/>
      <c r="O4" s="18"/>
      <c r="P4" s="30"/>
    </row>
    <row r="5" spans="1:23" ht="24.75" customHeight="1">
      <c r="D5" s="237" t="s">
        <v>7</v>
      </c>
      <c r="P5" s="19"/>
    </row>
    <row r="6" spans="1:23" ht="21" customHeight="1">
      <c r="D6" s="237"/>
      <c r="E6" s="1367" t="s">
        <v>8</v>
      </c>
      <c r="F6" s="1368"/>
      <c r="G6" s="1373" t="s">
        <v>185</v>
      </c>
      <c r="H6" s="1373" t="s">
        <v>180</v>
      </c>
      <c r="I6" s="1371" t="s">
        <v>31</v>
      </c>
      <c r="J6" s="1373" t="s">
        <v>186</v>
      </c>
      <c r="K6" s="1373" t="s">
        <v>81</v>
      </c>
      <c r="L6" s="1366" t="s">
        <v>187</v>
      </c>
      <c r="M6" s="1366"/>
      <c r="N6" s="1366"/>
      <c r="O6" s="279"/>
      <c r="P6" s="19"/>
      <c r="R6" s="1358" t="s">
        <v>492</v>
      </c>
      <c r="S6" s="1358" t="s">
        <v>182</v>
      </c>
      <c r="T6" s="1358" t="s">
        <v>366</v>
      </c>
      <c r="U6" s="1358" t="s">
        <v>367</v>
      </c>
      <c r="V6" s="1358" t="s">
        <v>405</v>
      </c>
      <c r="W6" s="1358" t="s">
        <v>402</v>
      </c>
    </row>
    <row r="7" spans="1:23" ht="42" customHeight="1">
      <c r="D7" s="16"/>
      <c r="E7" s="1369"/>
      <c r="F7" s="1370"/>
      <c r="G7" s="1374"/>
      <c r="H7" s="1374"/>
      <c r="I7" s="1372"/>
      <c r="J7" s="1374"/>
      <c r="K7" s="1374"/>
      <c r="L7" s="294" t="s">
        <v>225</v>
      </c>
      <c r="M7" s="294" t="s">
        <v>109</v>
      </c>
      <c r="N7" s="294" t="s">
        <v>110</v>
      </c>
      <c r="O7" s="280" t="s">
        <v>320</v>
      </c>
      <c r="P7" s="19"/>
      <c r="R7" s="1358"/>
      <c r="S7" s="1358"/>
      <c r="T7" s="1358"/>
      <c r="U7" s="1358"/>
      <c r="V7" s="1358"/>
      <c r="W7" s="1358"/>
    </row>
    <row r="8" spans="1:23" ht="18" customHeight="1">
      <c r="D8" s="188"/>
      <c r="E8" s="190" t="s">
        <v>15</v>
      </c>
      <c r="F8" s="512"/>
      <c r="G8" s="474"/>
      <c r="H8" s="475"/>
      <c r="I8" s="476"/>
      <c r="J8" s="477"/>
      <c r="K8" s="478"/>
      <c r="L8" s="705"/>
      <c r="M8" s="705"/>
      <c r="N8" s="705"/>
      <c r="O8" s="706"/>
      <c r="P8" s="19"/>
      <c r="R8" s="423">
        <f>ROW()-7</f>
        <v>1</v>
      </c>
      <c r="S8" s="222">
        <f>IF(L8="確認済",1,0)</f>
        <v>0</v>
      </c>
      <c r="T8" s="222" t="str">
        <f ca="1">_xlfn.IFNA(OFFSET('(非表示)新規再エネ実現可能性判定'!$C$1,MATCH(M8,'(非表示)新規再エネ実現可能性判定'!$B:$B,0)-1,0),"//")</f>
        <v>//</v>
      </c>
      <c r="U8" s="175" t="str">
        <f ca="1">_xlfn.IFNA(OFFSET('(非表示)新規再エネ実現可能性判定'!$F$1,MATCH(N8,'(非表示)新規再エネ実現可能性判定'!$E:$E,0)-1,0),"//")</f>
        <v>//</v>
      </c>
      <c r="V8" s="175" t="str">
        <f ca="1">_xlfn.IFNA(OFFSET('(非表示)新規再エネ実現可能性判定'!$I$1,MATCH(O8,'(非表示)新規再エネ実現可能性判定'!$H:$H,0)-1,0),"//")</f>
        <v>//</v>
      </c>
      <c r="W8" s="175" t="str">
        <f t="shared" ref="W8:W9" si="0">IF(COUNTBLANK($L8:$O8)=0,IF(V8="//","//",IF(S8=0,1,MIN(T8:V8))),"")</f>
        <v/>
      </c>
    </row>
    <row r="9" spans="1:23" s="11" customFormat="1" ht="18.75" hidden="1" customHeight="1">
      <c r="B9" s="21"/>
      <c r="C9" s="21"/>
      <c r="D9" s="36"/>
      <c r="E9" s="124"/>
      <c r="F9" s="488"/>
      <c r="G9" s="479"/>
      <c r="H9" s="495"/>
      <c r="I9" s="502"/>
      <c r="J9" s="503"/>
      <c r="K9" s="504"/>
      <c r="L9" s="510"/>
      <c r="M9" s="510"/>
      <c r="N9" s="510"/>
      <c r="O9" s="511"/>
      <c r="P9" s="24"/>
      <c r="Q9" s="21"/>
      <c r="R9" s="431">
        <f t="shared" ref="R9:R72" si="1">ROW()-7</f>
        <v>2</v>
      </c>
      <c r="S9" s="125">
        <f t="shared" ref="S9:S72" si="2">IF(L9="確認済",1,0)</f>
        <v>0</v>
      </c>
      <c r="T9" s="125" t="str">
        <f ca="1">_xlfn.IFNA(OFFSET('(非表示)新規再エネ実現可能性判定'!$C$1,MATCH(M9,'(非表示)新規再エネ実現可能性判定'!$B:$B,0)-1,0),"//")</f>
        <v>//</v>
      </c>
      <c r="U9" s="255" t="str">
        <f ca="1">_xlfn.IFNA(OFFSET('(非表示)新規再エネ実現可能性判定'!$F$1,MATCH(N9,'(非表示)新規再エネ実現可能性判定'!$E:$E,0)-1,0),"//")</f>
        <v>//</v>
      </c>
      <c r="V9" s="255" t="str">
        <f ca="1">_xlfn.IFNA(OFFSET('(非表示)新規再エネ実現可能性判定'!$I$1,MATCH(O9,'(非表示)新規再エネ実現可能性判定'!$H:$H,0)-1,0),"//")</f>
        <v>//</v>
      </c>
      <c r="W9" s="255" t="str">
        <f t="shared" si="0"/>
        <v/>
      </c>
    </row>
    <row r="10" spans="1:23" s="11" customFormat="1" ht="20">
      <c r="B10" s="21"/>
      <c r="C10" s="21"/>
      <c r="D10" s="36"/>
      <c r="E10" s="124"/>
      <c r="F10" s="501" t="str">
        <f ca="1">IFERROR(OFFSET('4.1(2)新規再エネ導入予定（設備情報）'!$F$1,MATCH(G10,'4.1(2)新規再エネ導入予定（設備情報）'!$G:$G,0)-1,0),"")</f>
        <v/>
      </c>
      <c r="G10" s="509"/>
      <c r="H10" s="505" t="str">
        <f ca="1">IFERROR(OFFSET('4.1(2)新規再エネ導入予定（設備情報）'!$H$1,MATCH(G10,'4.1(2)新規再エネ導入予定（設備情報）'!$G:$G,0)-1,0)&amp;"","")</f>
        <v/>
      </c>
      <c r="I10" s="506" t="str">
        <f ca="1">IFERROR(OFFSET('4.1(2)新規再エネ導入予定（設備情報）'!$L$1,MATCH(G10,'4.1(2)新規再エネ導入予定（設備情報）'!$G:$G,0)-1,0),"")</f>
        <v/>
      </c>
      <c r="J10" s="507" t="str">
        <f ca="1">IFERROR(OFFSET('4.1(2)新規再エネ導入予定（設備情報）'!$O$1,MATCH(G10,'4.1(2)新規再エネ導入予定（設備情報）'!$G:$G,0)-1,0),"")</f>
        <v/>
      </c>
      <c r="K10" s="508" t="str">
        <f ca="1">IFERROR(OFFSET('4.1(2)新規再エネ導入予定（設備情報）'!$P$1,MATCH(G10,'4.1(2)新規再エネ導入予定（設備情報）'!$G:$G,0)-1,0),"")</f>
        <v/>
      </c>
      <c r="L10" s="486"/>
      <c r="M10" s="486"/>
      <c r="N10" s="486"/>
      <c r="O10" s="483"/>
      <c r="P10" s="24"/>
      <c r="Q10" s="21"/>
      <c r="R10" s="431">
        <f t="shared" si="1"/>
        <v>3</v>
      </c>
      <c r="S10" s="125">
        <f t="shared" si="2"/>
        <v>0</v>
      </c>
      <c r="T10" s="125" t="str">
        <f ca="1">_xlfn.IFNA(OFFSET('(非表示)新規再エネ実現可能性判定'!$C$1,MATCH(M10,'(非表示)新規再エネ実現可能性判定'!$B:$B,0)-1,0),"//")</f>
        <v>//</v>
      </c>
      <c r="U10" s="255" t="str">
        <f ca="1">_xlfn.IFNA(OFFSET('(非表示)新規再エネ実現可能性判定'!$F$1,MATCH(N10,'(非表示)新規再エネ実現可能性判定'!$E:$E,0)-1,0),"//")</f>
        <v>//</v>
      </c>
      <c r="V10" s="255" t="str">
        <f ca="1">_xlfn.IFNA(OFFSET('(非表示)新規再エネ実現可能性判定'!$I$1,MATCH(O10,'(非表示)新規再エネ実現可能性判定'!$H:$H,0)-1,0),"//")</f>
        <v>//</v>
      </c>
      <c r="W10" s="255" t="str">
        <f>IF(COUNTBLANK($L10:$O10)=0,IF(V10="//","//",IF(S10=0,1,MIN(T10:V10))),"")</f>
        <v/>
      </c>
    </row>
    <row r="11" spans="1:23" s="11" customFormat="1" ht="20">
      <c r="B11" s="21"/>
      <c r="C11" s="21"/>
      <c r="D11" s="36"/>
      <c r="E11" s="124"/>
      <c r="F11" s="501" t="str">
        <f ca="1">IFERROR(OFFSET('4.1(2)新規再エネ導入予定（設備情報）'!$F$1,MATCH(G11,'4.1(2)新規再エネ導入予定（設備情報）'!$G:$G,0)-1,0),"")</f>
        <v/>
      </c>
      <c r="G11" s="509"/>
      <c r="H11" s="505" t="str">
        <f ca="1">IFERROR(OFFSET('4.1(2)新規再エネ導入予定（設備情報）'!$H$1,MATCH(G11,'4.1(2)新規再エネ導入予定（設備情報）'!$G:$G,0)-1,0)&amp;"","")</f>
        <v/>
      </c>
      <c r="I11" s="506" t="str">
        <f ca="1">IFERROR(OFFSET('4.1(2)新規再エネ導入予定（設備情報）'!$L$1,MATCH(G11,'4.1(2)新規再エネ導入予定（設備情報）'!$G:$G,0)-1,0),"")</f>
        <v/>
      </c>
      <c r="J11" s="507" t="str">
        <f ca="1">IFERROR(OFFSET('4.1(2)新規再エネ導入予定（設備情報）'!$O$1,MATCH(G11,'4.1(2)新規再エネ導入予定（設備情報）'!$G:$G,0)-1,0),"")</f>
        <v/>
      </c>
      <c r="K11" s="508" t="str">
        <f ca="1">IFERROR(OFFSET('4.1(2)新規再エネ導入予定（設備情報）'!$P$1,MATCH(G11,'4.1(2)新規再エネ導入予定（設備情報）'!$G:$G,0)-1,0),"")</f>
        <v/>
      </c>
      <c r="L11" s="486"/>
      <c r="M11" s="486"/>
      <c r="N11" s="486"/>
      <c r="O11" s="483"/>
      <c r="P11" s="24"/>
      <c r="Q11" s="21"/>
      <c r="R11" s="431">
        <f t="shared" si="1"/>
        <v>4</v>
      </c>
      <c r="S11" s="125">
        <f t="shared" ref="S11:S13" si="3">IF(L11="確認済",1,0)</f>
        <v>0</v>
      </c>
      <c r="T11" s="125" t="str">
        <f ca="1">_xlfn.IFNA(OFFSET('(非表示)新規再エネ実現可能性判定'!$C$1,MATCH(M11,'(非表示)新規再エネ実現可能性判定'!$B:$B,0)-1,0),"//")</f>
        <v>//</v>
      </c>
      <c r="U11" s="255" t="str">
        <f ca="1">_xlfn.IFNA(OFFSET('(非表示)新規再エネ実現可能性判定'!$F$1,MATCH(N11,'(非表示)新規再エネ実現可能性判定'!$E:$E,0)-1,0),"//")</f>
        <v>//</v>
      </c>
      <c r="V11" s="255" t="str">
        <f ca="1">_xlfn.IFNA(OFFSET('(非表示)新規再エネ実現可能性判定'!$I$1,MATCH(O11,'(非表示)新規再エネ実現可能性判定'!$H:$H,0)-1,0),"//")</f>
        <v>//</v>
      </c>
      <c r="W11" s="255" t="str">
        <f t="shared" ref="W11:W71" si="4">IF(COUNTBLANK($L11:$O11)=0,IF(V11="//","//",IF(S11=0,1,MIN(T11:V11))),"")</f>
        <v/>
      </c>
    </row>
    <row r="12" spans="1:23" s="11" customFormat="1" ht="20">
      <c r="B12" s="21"/>
      <c r="C12" s="21"/>
      <c r="D12" s="36"/>
      <c r="E12" s="124"/>
      <c r="F12" s="501" t="str">
        <f ca="1">IFERROR(OFFSET('4.1(2)新規再エネ導入予定（設備情報）'!$F$1,MATCH(G12,'4.1(2)新規再エネ導入予定（設備情報）'!$G:$G,0)-1,0),"")</f>
        <v/>
      </c>
      <c r="G12" s="509"/>
      <c r="H12" s="505" t="str">
        <f ca="1">IFERROR(OFFSET('4.1(2)新規再エネ導入予定（設備情報）'!$H$1,MATCH(G12,'4.1(2)新規再エネ導入予定（設備情報）'!$G:$G,0)-1,0)&amp;"","")</f>
        <v/>
      </c>
      <c r="I12" s="506" t="str">
        <f ca="1">IFERROR(OFFSET('4.1(2)新規再エネ導入予定（設備情報）'!$L$1,MATCH(G12,'4.1(2)新規再エネ導入予定（設備情報）'!$G:$G,0)-1,0),"")</f>
        <v/>
      </c>
      <c r="J12" s="507" t="str">
        <f ca="1">IFERROR(OFFSET('4.1(2)新規再エネ導入予定（設備情報）'!$O$1,MATCH(G12,'4.1(2)新規再エネ導入予定（設備情報）'!$G:$G,0)-1,0),"")</f>
        <v/>
      </c>
      <c r="K12" s="508" t="str">
        <f ca="1">IFERROR(OFFSET('4.1(2)新規再エネ導入予定（設備情報）'!$P$1,MATCH(G12,'4.1(2)新規再エネ導入予定（設備情報）'!$G:$G,0)-1,0),"")</f>
        <v/>
      </c>
      <c r="L12" s="486"/>
      <c r="M12" s="486"/>
      <c r="N12" s="486"/>
      <c r="O12" s="483"/>
      <c r="P12" s="24"/>
      <c r="Q12" s="21"/>
      <c r="R12" s="431">
        <f t="shared" si="1"/>
        <v>5</v>
      </c>
      <c r="S12" s="125">
        <f t="shared" si="3"/>
        <v>0</v>
      </c>
      <c r="T12" s="125" t="str">
        <f ca="1">_xlfn.IFNA(OFFSET('(非表示)新規再エネ実現可能性判定'!$C$1,MATCH(M12,'(非表示)新規再エネ実現可能性判定'!$B:$B,0)-1,0),"//")</f>
        <v>//</v>
      </c>
      <c r="U12" s="255" t="str">
        <f ca="1">_xlfn.IFNA(OFFSET('(非表示)新規再エネ実現可能性判定'!$F$1,MATCH(N12,'(非表示)新規再エネ実現可能性判定'!$E:$E,0)-1,0),"//")</f>
        <v>//</v>
      </c>
      <c r="V12" s="255" t="str">
        <f ca="1">_xlfn.IFNA(OFFSET('(非表示)新規再エネ実現可能性判定'!$I$1,MATCH(O12,'(非表示)新規再エネ実現可能性判定'!$H:$H,0)-1,0),"//")</f>
        <v>//</v>
      </c>
      <c r="W12" s="255" t="str">
        <f t="shared" si="4"/>
        <v/>
      </c>
    </row>
    <row r="13" spans="1:23" s="11" customFormat="1" ht="20">
      <c r="B13" s="21"/>
      <c r="C13" s="21"/>
      <c r="D13" s="36"/>
      <c r="E13" s="124"/>
      <c r="F13" s="501" t="str">
        <f ca="1">IFERROR(OFFSET('4.1(2)新規再エネ導入予定（設備情報）'!$F$1,MATCH(G13,'4.1(2)新規再エネ導入予定（設備情報）'!$G:$G,0)-1,0),"")</f>
        <v/>
      </c>
      <c r="G13" s="509" t="s">
        <v>194</v>
      </c>
      <c r="H13" s="505" t="str">
        <f ca="1">IFERROR(OFFSET('4.1(2)新規再エネ導入予定（設備情報）'!$H$1,MATCH(G13,'4.1(2)新規再エネ導入予定（設備情報）'!$G:$G,0)-1,0)&amp;"","")</f>
        <v/>
      </c>
      <c r="I13" s="506" t="str">
        <f ca="1">IFERROR(OFFSET('4.1(2)新規再エネ導入予定（設備情報）'!$L$1,MATCH(G13,'4.1(2)新規再エネ導入予定（設備情報）'!$G:$G,0)-1,0),"")</f>
        <v/>
      </c>
      <c r="J13" s="507" t="str">
        <f ca="1">IFERROR(OFFSET('4.1(2)新規再エネ導入予定（設備情報）'!$O$1,MATCH(G13,'4.1(2)新規再エネ導入予定（設備情報）'!$G:$G,0)-1,0),"")</f>
        <v/>
      </c>
      <c r="K13" s="508" t="str">
        <f ca="1">IFERROR(OFFSET('4.1(2)新規再エネ導入予定（設備情報）'!$P$1,MATCH(G13,'4.1(2)新規再エネ導入予定（設備情報）'!$G:$G,0)-1,0),"")</f>
        <v/>
      </c>
      <c r="L13" s="486"/>
      <c r="M13" s="486"/>
      <c r="N13" s="486"/>
      <c r="O13" s="483"/>
      <c r="P13" s="24"/>
      <c r="Q13" s="21"/>
      <c r="R13" s="431">
        <f t="shared" si="1"/>
        <v>6</v>
      </c>
      <c r="S13" s="125">
        <f t="shared" si="3"/>
        <v>0</v>
      </c>
      <c r="T13" s="125" t="str">
        <f ca="1">_xlfn.IFNA(OFFSET('(非表示)新規再エネ実現可能性判定'!$C$1,MATCH(M13,'(非表示)新規再エネ実現可能性判定'!$B:$B,0)-1,0),"//")</f>
        <v>//</v>
      </c>
      <c r="U13" s="255" t="str">
        <f ca="1">_xlfn.IFNA(OFFSET('(非表示)新規再エネ実現可能性判定'!$F$1,MATCH(N13,'(非表示)新規再エネ実現可能性判定'!$E:$E,0)-1,0),"//")</f>
        <v>//</v>
      </c>
      <c r="V13" s="255" t="str">
        <f ca="1">_xlfn.IFNA(OFFSET('(非表示)新規再エネ実現可能性判定'!$I$1,MATCH(O13,'(非表示)新規再エネ実現可能性判定'!$H:$H,0)-1,0),"//")</f>
        <v>//</v>
      </c>
      <c r="W13" s="255" t="str">
        <f t="shared" si="4"/>
        <v/>
      </c>
    </row>
    <row r="14" spans="1:23" ht="20">
      <c r="D14" s="188"/>
      <c r="E14" s="190" t="s">
        <v>16</v>
      </c>
      <c r="F14" s="512"/>
      <c r="G14" s="474"/>
      <c r="H14" s="475"/>
      <c r="I14" s="476"/>
      <c r="J14" s="477"/>
      <c r="K14" s="478"/>
      <c r="L14" s="705"/>
      <c r="M14" s="705"/>
      <c r="N14" s="705"/>
      <c r="O14" s="706"/>
      <c r="P14" s="19"/>
      <c r="R14" s="423">
        <f t="shared" si="1"/>
        <v>7</v>
      </c>
      <c r="S14" s="222">
        <f t="shared" si="2"/>
        <v>0</v>
      </c>
      <c r="T14" s="222" t="str">
        <f ca="1">_xlfn.IFNA(OFFSET('(非表示)新規再エネ実現可能性判定'!$C$1,MATCH(M14,'(非表示)新規再エネ実現可能性判定'!$B:$B,0)-1,0),"//")</f>
        <v>//</v>
      </c>
      <c r="U14" s="175" t="str">
        <f ca="1">_xlfn.IFNA(OFFSET('(非表示)新規再エネ実現可能性判定'!$F$1,MATCH(N14,'(非表示)新規再エネ実現可能性判定'!$E:$E,0)-1,0),"//")</f>
        <v>//</v>
      </c>
      <c r="V14" s="175" t="str">
        <f ca="1">_xlfn.IFNA(OFFSET('(非表示)新規再エネ実現可能性判定'!$I$1,MATCH(O14,'(非表示)新規再エネ実現可能性判定'!$H:$H,0)-1,0),"//")</f>
        <v>//</v>
      </c>
      <c r="W14" s="175" t="str">
        <f t="shared" si="4"/>
        <v/>
      </c>
    </row>
    <row r="15" spans="1:23" s="11" customFormat="1" ht="19.5" hidden="1" customHeight="1">
      <c r="B15" s="21"/>
      <c r="C15" s="21"/>
      <c r="D15" s="36"/>
      <c r="E15" s="124"/>
      <c r="F15" s="488"/>
      <c r="G15" s="479"/>
      <c r="H15" s="495"/>
      <c r="I15" s="502"/>
      <c r="J15" s="503"/>
      <c r="K15" s="504"/>
      <c r="L15" s="510"/>
      <c r="M15" s="510"/>
      <c r="N15" s="510"/>
      <c r="O15" s="511"/>
      <c r="P15" s="24"/>
      <c r="Q15" s="21"/>
      <c r="R15" s="431">
        <f t="shared" si="1"/>
        <v>8</v>
      </c>
      <c r="S15" s="125">
        <f t="shared" si="2"/>
        <v>0</v>
      </c>
      <c r="T15" s="125" t="str">
        <f ca="1">_xlfn.IFNA(OFFSET('(非表示)新規再エネ実現可能性判定'!$C$1,MATCH(M15,'(非表示)新規再エネ実現可能性判定'!$B:$B,0)-1,0),"//")</f>
        <v>//</v>
      </c>
      <c r="U15" s="255" t="str">
        <f ca="1">_xlfn.IFNA(OFFSET('(非表示)新規再エネ実現可能性判定'!$F$1,MATCH(N15,'(非表示)新規再エネ実現可能性判定'!$E:$E,0)-1,0),"//")</f>
        <v>//</v>
      </c>
      <c r="V15" s="255" t="str">
        <f ca="1">_xlfn.IFNA(OFFSET('(非表示)新規再エネ実現可能性判定'!$I$1,MATCH(O15,'(非表示)新規再エネ実現可能性判定'!$H:$H,0)-1,0),"//")</f>
        <v>//</v>
      </c>
      <c r="W15" s="255" t="str">
        <f t="shared" si="4"/>
        <v/>
      </c>
    </row>
    <row r="16" spans="1:23" s="11" customFormat="1" ht="20">
      <c r="B16" s="21"/>
      <c r="C16" s="21"/>
      <c r="D16" s="36"/>
      <c r="E16" s="124"/>
      <c r="F16" s="501" t="str">
        <f ca="1">IFERROR(OFFSET('4.1(2)新規再エネ導入予定（設備情報）'!$F$1,MATCH(G16,'4.1(2)新規再エネ導入予定（設備情報）'!$G:$G,0)-1,0),"")</f>
        <v/>
      </c>
      <c r="G16" s="509"/>
      <c r="H16" s="505" t="str">
        <f ca="1">IFERROR(OFFSET('4.1(2)新規再エネ導入予定（設備情報）'!$H$1,MATCH(G16,'4.1(2)新規再エネ導入予定（設備情報）'!$G:$G,0)-1,0)&amp;"","")</f>
        <v/>
      </c>
      <c r="I16" s="506" t="str">
        <f ca="1">IFERROR(OFFSET('4.1(2)新規再エネ導入予定（設備情報）'!$L$1,MATCH(G16,'4.1(2)新規再エネ導入予定（設備情報）'!$G:$G,0)-1,0),"")</f>
        <v/>
      </c>
      <c r="J16" s="507" t="str">
        <f ca="1">IFERROR(OFFSET('4.1(2)新規再エネ導入予定（設備情報）'!$O$1,MATCH(G16,'4.1(2)新規再エネ導入予定（設備情報）'!$G:$G,0)-1,0),"")</f>
        <v/>
      </c>
      <c r="K16" s="508" t="str">
        <f ca="1">IFERROR(OFFSET('4.1(2)新規再エネ導入予定（設備情報）'!$P$1,MATCH(G16,'4.1(2)新規再エネ導入予定（設備情報）'!$G:$G,0)-1,0),"")</f>
        <v/>
      </c>
      <c r="L16" s="486"/>
      <c r="M16" s="486"/>
      <c r="N16" s="486"/>
      <c r="O16" s="483"/>
      <c r="P16" s="24"/>
      <c r="Q16" s="21"/>
      <c r="R16" s="431">
        <f t="shared" si="1"/>
        <v>9</v>
      </c>
      <c r="S16" s="125">
        <f t="shared" si="2"/>
        <v>0</v>
      </c>
      <c r="T16" s="125" t="str">
        <f ca="1">_xlfn.IFNA(OFFSET('(非表示)新規再エネ実現可能性判定'!$C$1,MATCH(M16,'(非表示)新規再エネ実現可能性判定'!$B:$B,0)-1,0),"//")</f>
        <v>//</v>
      </c>
      <c r="U16" s="255" t="str">
        <f ca="1">_xlfn.IFNA(OFFSET('(非表示)新規再エネ実現可能性判定'!$F$1,MATCH(N16,'(非表示)新規再エネ実現可能性判定'!$E:$E,0)-1,0),"//")</f>
        <v>//</v>
      </c>
      <c r="V16" s="255" t="str">
        <f ca="1">_xlfn.IFNA(OFFSET('(非表示)新規再エネ実現可能性判定'!$I$1,MATCH(O16,'(非表示)新規再エネ実現可能性判定'!$H:$H,0)-1,0),"//")</f>
        <v>//</v>
      </c>
      <c r="W16" s="255" t="str">
        <f t="shared" si="4"/>
        <v/>
      </c>
    </row>
    <row r="17" spans="2:23" s="11" customFormat="1" ht="20">
      <c r="B17" s="21"/>
      <c r="C17" s="21"/>
      <c r="D17" s="36"/>
      <c r="E17" s="124"/>
      <c r="F17" s="501" t="str">
        <f ca="1">IFERROR(OFFSET('4.1(2)新規再エネ導入予定（設備情報）'!$F$1,MATCH(G17,'4.1(2)新規再エネ導入予定（設備情報）'!$G:$G,0)-1,0),"")</f>
        <v/>
      </c>
      <c r="G17" s="509"/>
      <c r="H17" s="505" t="str">
        <f ca="1">IFERROR(OFFSET('4.1(2)新規再エネ導入予定（設備情報）'!$H$1,MATCH(G17,'4.1(2)新規再エネ導入予定（設備情報）'!$G:$G,0)-1,0)&amp;"","")</f>
        <v/>
      </c>
      <c r="I17" s="506" t="str">
        <f ca="1">IFERROR(OFFSET('4.1(2)新規再エネ導入予定（設備情報）'!$L$1,MATCH(G17,'4.1(2)新規再エネ導入予定（設備情報）'!$G:$G,0)-1,0),"")</f>
        <v/>
      </c>
      <c r="J17" s="507" t="str">
        <f ca="1">IFERROR(OFFSET('4.1(2)新規再エネ導入予定（設備情報）'!$O$1,MATCH(G17,'4.1(2)新規再エネ導入予定（設備情報）'!$G:$G,0)-1,0),"")</f>
        <v/>
      </c>
      <c r="K17" s="508" t="str">
        <f ca="1">IFERROR(OFFSET('4.1(2)新規再エネ導入予定（設備情報）'!$P$1,MATCH(G17,'4.1(2)新規再エネ導入予定（設備情報）'!$G:$G,0)-1,0),"")</f>
        <v/>
      </c>
      <c r="L17" s="486"/>
      <c r="M17" s="486"/>
      <c r="N17" s="486"/>
      <c r="O17" s="483"/>
      <c r="P17" s="24"/>
      <c r="Q17" s="21"/>
      <c r="R17" s="431">
        <f t="shared" si="1"/>
        <v>10</v>
      </c>
      <c r="S17" s="125">
        <f t="shared" si="2"/>
        <v>0</v>
      </c>
      <c r="T17" s="125" t="str">
        <f ca="1">_xlfn.IFNA(OFFSET('(非表示)新規再エネ実現可能性判定'!$C$1,MATCH(M17,'(非表示)新規再エネ実現可能性判定'!$B:$B,0)-1,0),"//")</f>
        <v>//</v>
      </c>
      <c r="U17" s="255" t="str">
        <f ca="1">_xlfn.IFNA(OFFSET('(非表示)新規再エネ実現可能性判定'!$F$1,MATCH(N17,'(非表示)新規再エネ実現可能性判定'!$E:$E,0)-1,0),"//")</f>
        <v>//</v>
      </c>
      <c r="V17" s="255" t="str">
        <f ca="1">_xlfn.IFNA(OFFSET('(非表示)新規再エネ実現可能性判定'!$I$1,MATCH(O17,'(非表示)新規再エネ実現可能性判定'!$H:$H,0)-1,0),"//")</f>
        <v>//</v>
      </c>
      <c r="W17" s="255" t="str">
        <f t="shared" si="4"/>
        <v/>
      </c>
    </row>
    <row r="18" spans="2:23" s="11" customFormat="1" ht="20">
      <c r="B18" s="21"/>
      <c r="C18" s="21"/>
      <c r="D18" s="36"/>
      <c r="E18" s="124"/>
      <c r="F18" s="501" t="str">
        <f ca="1">IFERROR(OFFSET('4.1(2)新規再エネ導入予定（設備情報）'!$F$1,MATCH(G18,'4.1(2)新規再エネ導入予定（設備情報）'!$G:$G,0)-1,0),"")</f>
        <v/>
      </c>
      <c r="G18" s="509"/>
      <c r="H18" s="505" t="str">
        <f ca="1">IFERROR(OFFSET('4.1(2)新規再エネ導入予定（設備情報）'!$H$1,MATCH(G18,'4.1(2)新規再エネ導入予定（設備情報）'!$G:$G,0)-1,0)&amp;"","")</f>
        <v/>
      </c>
      <c r="I18" s="506" t="str">
        <f ca="1">IFERROR(OFFSET('4.1(2)新規再エネ導入予定（設備情報）'!$L$1,MATCH(G18,'4.1(2)新規再エネ導入予定（設備情報）'!$G:$G,0)-1,0),"")</f>
        <v/>
      </c>
      <c r="J18" s="507" t="str">
        <f ca="1">IFERROR(OFFSET('4.1(2)新規再エネ導入予定（設備情報）'!$O$1,MATCH(G18,'4.1(2)新規再エネ導入予定（設備情報）'!$G:$G,0)-1,0),"")</f>
        <v/>
      </c>
      <c r="K18" s="508" t="str">
        <f ca="1">IFERROR(OFFSET('4.1(2)新規再エネ導入予定（設備情報）'!$P$1,MATCH(G18,'4.1(2)新規再エネ導入予定（設備情報）'!$G:$G,0)-1,0),"")</f>
        <v/>
      </c>
      <c r="L18" s="486"/>
      <c r="M18" s="486"/>
      <c r="N18" s="486"/>
      <c r="O18" s="483"/>
      <c r="P18" s="24"/>
      <c r="Q18" s="21"/>
      <c r="R18" s="431">
        <f t="shared" si="1"/>
        <v>11</v>
      </c>
      <c r="S18" s="125">
        <f t="shared" si="2"/>
        <v>0</v>
      </c>
      <c r="T18" s="125" t="str">
        <f ca="1">_xlfn.IFNA(OFFSET('(非表示)新規再エネ実現可能性判定'!$C$1,MATCH(M18,'(非表示)新規再エネ実現可能性判定'!$B:$B,0)-1,0),"//")</f>
        <v>//</v>
      </c>
      <c r="U18" s="255" t="str">
        <f ca="1">_xlfn.IFNA(OFFSET('(非表示)新規再エネ実現可能性判定'!$F$1,MATCH(N18,'(非表示)新規再エネ実現可能性判定'!$E:$E,0)-1,0),"//")</f>
        <v>//</v>
      </c>
      <c r="V18" s="255" t="str">
        <f ca="1">_xlfn.IFNA(OFFSET('(非表示)新規再エネ実現可能性判定'!$I$1,MATCH(O18,'(非表示)新規再エネ実現可能性判定'!$H:$H,0)-1,0),"//")</f>
        <v>//</v>
      </c>
      <c r="W18" s="255" t="str">
        <f t="shared" si="4"/>
        <v/>
      </c>
    </row>
    <row r="19" spans="2:23" s="11" customFormat="1" ht="20">
      <c r="B19" s="21"/>
      <c r="C19" s="21"/>
      <c r="D19" s="36"/>
      <c r="E19" s="124"/>
      <c r="F19" s="501" t="str">
        <f ca="1">IFERROR(OFFSET('4.1(2)新規再エネ導入予定（設備情報）'!$F$1,MATCH(G19,'4.1(2)新規再エネ導入予定（設備情報）'!$G:$G,0)-1,0),"")</f>
        <v/>
      </c>
      <c r="G19" s="509"/>
      <c r="H19" s="505" t="str">
        <f ca="1">IFERROR(OFFSET('4.1(2)新規再エネ導入予定（設備情報）'!$H$1,MATCH(G19,'4.1(2)新規再エネ導入予定（設備情報）'!$G:$G,0)-1,0)&amp;"","")</f>
        <v/>
      </c>
      <c r="I19" s="506" t="str">
        <f ca="1">IFERROR(OFFSET('4.1(2)新規再エネ導入予定（設備情報）'!$L$1,MATCH(G19,'4.1(2)新規再エネ導入予定（設備情報）'!$G:$G,0)-1,0),"")</f>
        <v/>
      </c>
      <c r="J19" s="507" t="str">
        <f ca="1">IFERROR(OFFSET('4.1(2)新規再エネ導入予定（設備情報）'!$O$1,MATCH(G19,'4.1(2)新規再エネ導入予定（設備情報）'!$G:$G,0)-1,0),"")</f>
        <v/>
      </c>
      <c r="K19" s="508" t="str">
        <f ca="1">IFERROR(OFFSET('4.1(2)新規再エネ導入予定（設備情報）'!$P$1,MATCH(G19,'4.1(2)新規再エネ導入予定（設備情報）'!$G:$G,0)-1,0),"")</f>
        <v/>
      </c>
      <c r="L19" s="486"/>
      <c r="M19" s="486"/>
      <c r="N19" s="486"/>
      <c r="O19" s="483"/>
      <c r="P19" s="24"/>
      <c r="Q19" s="21"/>
      <c r="R19" s="431">
        <f t="shared" si="1"/>
        <v>12</v>
      </c>
      <c r="S19" s="125">
        <f t="shared" si="2"/>
        <v>0</v>
      </c>
      <c r="T19" s="125" t="str">
        <f ca="1">_xlfn.IFNA(OFFSET('(非表示)新規再エネ実現可能性判定'!$C$1,MATCH(M19,'(非表示)新規再エネ実現可能性判定'!$B:$B,0)-1,0),"//")</f>
        <v>//</v>
      </c>
      <c r="U19" s="255" t="str">
        <f ca="1">_xlfn.IFNA(OFFSET('(非表示)新規再エネ実現可能性判定'!$F$1,MATCH(N19,'(非表示)新規再エネ実現可能性判定'!$E:$E,0)-1,0),"//")</f>
        <v>//</v>
      </c>
      <c r="V19" s="255" t="str">
        <f ca="1">_xlfn.IFNA(OFFSET('(非表示)新規再エネ実現可能性判定'!$I$1,MATCH(O19,'(非表示)新規再エネ実現可能性判定'!$H:$H,0)-1,0),"//")</f>
        <v>//</v>
      </c>
      <c r="W19" s="255" t="str">
        <f t="shared" si="4"/>
        <v/>
      </c>
    </row>
    <row r="20" spans="2:23" ht="16.5" customHeight="1">
      <c r="D20" s="188"/>
      <c r="E20" s="190" t="s">
        <v>17</v>
      </c>
      <c r="F20" s="512"/>
      <c r="G20" s="474"/>
      <c r="H20" s="475"/>
      <c r="I20" s="476"/>
      <c r="J20" s="477"/>
      <c r="K20" s="478"/>
      <c r="L20" s="705"/>
      <c r="M20" s="705"/>
      <c r="N20" s="705"/>
      <c r="O20" s="706"/>
      <c r="P20" s="19"/>
      <c r="R20" s="423">
        <f t="shared" si="1"/>
        <v>13</v>
      </c>
      <c r="S20" s="222">
        <f t="shared" si="2"/>
        <v>0</v>
      </c>
      <c r="T20" s="222" t="str">
        <f ca="1">_xlfn.IFNA(OFFSET('(非表示)新規再エネ実現可能性判定'!$C$1,MATCH(M20,'(非表示)新規再エネ実現可能性判定'!$B:$B,0)-1,0),"//")</f>
        <v>//</v>
      </c>
      <c r="U20" s="175" t="str">
        <f ca="1">_xlfn.IFNA(OFFSET('(非表示)新規再エネ実現可能性判定'!$F$1,MATCH(N20,'(非表示)新規再エネ実現可能性判定'!$E:$E,0)-1,0),"//")</f>
        <v>//</v>
      </c>
      <c r="V20" s="175" t="str">
        <f ca="1">_xlfn.IFNA(OFFSET('(非表示)新規再エネ実現可能性判定'!$I$1,MATCH(O20,'(非表示)新規再エネ実現可能性判定'!$H:$H,0)-1,0),"//")</f>
        <v>//</v>
      </c>
      <c r="W20" s="175" t="str">
        <f t="shared" si="4"/>
        <v/>
      </c>
    </row>
    <row r="21" spans="2:23" s="11" customFormat="1" ht="19.5" hidden="1" customHeight="1">
      <c r="B21" s="21"/>
      <c r="C21" s="21"/>
      <c r="D21" s="36"/>
      <c r="E21" s="124"/>
      <c r="F21" s="488"/>
      <c r="G21" s="479"/>
      <c r="H21" s="495"/>
      <c r="I21" s="502"/>
      <c r="J21" s="503"/>
      <c r="K21" s="504"/>
      <c r="L21" s="510"/>
      <c r="M21" s="510"/>
      <c r="N21" s="510"/>
      <c r="O21" s="511"/>
      <c r="P21" s="24"/>
      <c r="Q21" s="21"/>
      <c r="R21" s="431">
        <f t="shared" si="1"/>
        <v>14</v>
      </c>
      <c r="S21" s="125">
        <f t="shared" si="2"/>
        <v>0</v>
      </c>
      <c r="T21" s="125" t="str">
        <f ca="1">_xlfn.IFNA(OFFSET('(非表示)新規再エネ実現可能性判定'!$C$1,MATCH(M21,'(非表示)新規再エネ実現可能性判定'!$B:$B,0)-1,0),"//")</f>
        <v>//</v>
      </c>
      <c r="U21" s="255" t="str">
        <f ca="1">_xlfn.IFNA(OFFSET('(非表示)新規再エネ実現可能性判定'!$F$1,MATCH(N21,'(非表示)新規再エネ実現可能性判定'!$E:$E,0)-1,0),"//")</f>
        <v>//</v>
      </c>
      <c r="V21" s="255" t="str">
        <f ca="1">_xlfn.IFNA(OFFSET('(非表示)新規再エネ実現可能性判定'!$I$1,MATCH(O21,'(非表示)新規再エネ実現可能性判定'!$H:$H,0)-1,0),"//")</f>
        <v>//</v>
      </c>
      <c r="W21" s="255" t="str">
        <f t="shared" si="4"/>
        <v/>
      </c>
    </row>
    <row r="22" spans="2:23" s="11" customFormat="1" ht="20">
      <c r="B22" s="21"/>
      <c r="C22" s="21"/>
      <c r="D22" s="36"/>
      <c r="E22" s="124"/>
      <c r="F22" s="501" t="str">
        <f ca="1">IFERROR(OFFSET('4.1(2)新規再エネ導入予定（設備情報）'!$F$1,MATCH(G22,'4.1(2)新規再エネ導入予定（設備情報）'!$G:$G,0)-1,0),"")</f>
        <v/>
      </c>
      <c r="G22" s="509"/>
      <c r="H22" s="505" t="str">
        <f ca="1">IFERROR(OFFSET('4.1(2)新規再エネ導入予定（設備情報）'!$H$1,MATCH(G22,'4.1(2)新規再エネ導入予定（設備情報）'!$G:$G,0)-1,0)&amp;"","")</f>
        <v/>
      </c>
      <c r="I22" s="506" t="str">
        <f ca="1">IFERROR(OFFSET('4.1(2)新規再エネ導入予定（設備情報）'!$L$1,MATCH(G22,'4.1(2)新規再エネ導入予定（設備情報）'!$G:$G,0)-1,0),"")</f>
        <v/>
      </c>
      <c r="J22" s="507" t="str">
        <f ca="1">IFERROR(OFFSET('4.1(2)新規再エネ導入予定（設備情報）'!$O$1,MATCH(G22,'4.1(2)新規再エネ導入予定（設備情報）'!$G:$G,0)-1,0),"")</f>
        <v/>
      </c>
      <c r="K22" s="508" t="str">
        <f ca="1">IFERROR(OFFSET('4.1(2)新規再エネ導入予定（設備情報）'!$P$1,MATCH(G22,'4.1(2)新規再エネ導入予定（設備情報）'!$G:$G,0)-1,0),"")</f>
        <v/>
      </c>
      <c r="L22" s="486"/>
      <c r="M22" s="486"/>
      <c r="N22" s="486"/>
      <c r="O22" s="483"/>
      <c r="P22" s="24"/>
      <c r="Q22" s="21"/>
      <c r="R22" s="431">
        <f t="shared" si="1"/>
        <v>15</v>
      </c>
      <c r="S22" s="125">
        <f t="shared" si="2"/>
        <v>0</v>
      </c>
      <c r="T22" s="125" t="str">
        <f ca="1">_xlfn.IFNA(OFFSET('(非表示)新規再エネ実現可能性判定'!$C$1,MATCH(M22,'(非表示)新規再エネ実現可能性判定'!$B:$B,0)-1,0),"//")</f>
        <v>//</v>
      </c>
      <c r="U22" s="255" t="str">
        <f ca="1">_xlfn.IFNA(OFFSET('(非表示)新規再エネ実現可能性判定'!$F$1,MATCH(N22,'(非表示)新規再エネ実現可能性判定'!$E:$E,0)-1,0),"//")</f>
        <v>//</v>
      </c>
      <c r="V22" s="255" t="str">
        <f ca="1">_xlfn.IFNA(OFFSET('(非表示)新規再エネ実現可能性判定'!$I$1,MATCH(O22,'(非表示)新規再エネ実現可能性判定'!$H:$H,0)-1,0),"//")</f>
        <v>//</v>
      </c>
      <c r="W22" s="255" t="str">
        <f t="shared" si="4"/>
        <v/>
      </c>
    </row>
    <row r="23" spans="2:23" s="11" customFormat="1" ht="20">
      <c r="B23" s="21"/>
      <c r="C23" s="21"/>
      <c r="D23" s="36"/>
      <c r="E23" s="124"/>
      <c r="F23" s="501" t="str">
        <f ca="1">IFERROR(OFFSET('4.1(2)新規再エネ導入予定（設備情報）'!$F$1,MATCH(G23,'4.1(2)新規再エネ導入予定（設備情報）'!$G:$G,0)-1,0),"")</f>
        <v/>
      </c>
      <c r="G23" s="509"/>
      <c r="H23" s="505" t="str">
        <f ca="1">IFERROR(OFFSET('4.1(2)新規再エネ導入予定（設備情報）'!$H$1,MATCH(G23,'4.1(2)新規再エネ導入予定（設備情報）'!$G:$G,0)-1,0)&amp;"","")</f>
        <v/>
      </c>
      <c r="I23" s="506" t="str">
        <f ca="1">IFERROR(OFFSET('4.1(2)新規再エネ導入予定（設備情報）'!$L$1,MATCH(G23,'4.1(2)新規再エネ導入予定（設備情報）'!$G:$G,0)-1,0),"")</f>
        <v/>
      </c>
      <c r="J23" s="507" t="str">
        <f ca="1">IFERROR(OFFSET('4.1(2)新規再エネ導入予定（設備情報）'!$O$1,MATCH(G23,'4.1(2)新規再エネ導入予定（設備情報）'!$G:$G,0)-1,0),"")</f>
        <v/>
      </c>
      <c r="K23" s="508" t="str">
        <f ca="1">IFERROR(OFFSET('4.1(2)新規再エネ導入予定（設備情報）'!$P$1,MATCH(G23,'4.1(2)新規再エネ導入予定（設備情報）'!$G:$G,0)-1,0),"")</f>
        <v/>
      </c>
      <c r="L23" s="486"/>
      <c r="M23" s="486"/>
      <c r="N23" s="486"/>
      <c r="O23" s="483"/>
      <c r="P23" s="24"/>
      <c r="Q23" s="21"/>
      <c r="R23" s="431">
        <f t="shared" si="1"/>
        <v>16</v>
      </c>
      <c r="S23" s="125">
        <f t="shared" si="2"/>
        <v>0</v>
      </c>
      <c r="T23" s="125" t="str">
        <f ca="1">_xlfn.IFNA(OFFSET('(非表示)新規再エネ実現可能性判定'!$C$1,MATCH(M23,'(非表示)新規再エネ実現可能性判定'!$B:$B,0)-1,0),"//")</f>
        <v>//</v>
      </c>
      <c r="U23" s="255" t="str">
        <f ca="1">_xlfn.IFNA(OFFSET('(非表示)新規再エネ実現可能性判定'!$F$1,MATCH(N23,'(非表示)新規再エネ実現可能性判定'!$E:$E,0)-1,0),"//")</f>
        <v>//</v>
      </c>
      <c r="V23" s="255" t="str">
        <f ca="1">_xlfn.IFNA(OFFSET('(非表示)新規再エネ実現可能性判定'!$I$1,MATCH(O23,'(非表示)新規再エネ実現可能性判定'!$H:$H,0)-1,0),"//")</f>
        <v>//</v>
      </c>
      <c r="W23" s="255" t="str">
        <f t="shared" si="4"/>
        <v/>
      </c>
    </row>
    <row r="24" spans="2:23" s="11" customFormat="1" ht="20">
      <c r="B24" s="21"/>
      <c r="C24" s="21"/>
      <c r="D24" s="36"/>
      <c r="E24" s="124"/>
      <c r="F24" s="501" t="str">
        <f ca="1">IFERROR(OFFSET('4.1(2)新規再エネ導入予定（設備情報）'!$F$1,MATCH(G24,'4.1(2)新規再エネ導入予定（設備情報）'!$G:$G,0)-1,0),"")</f>
        <v/>
      </c>
      <c r="G24" s="509"/>
      <c r="H24" s="505" t="str">
        <f ca="1">IFERROR(OFFSET('4.1(2)新規再エネ導入予定（設備情報）'!$H$1,MATCH(G24,'4.1(2)新規再エネ導入予定（設備情報）'!$G:$G,0)-1,0)&amp;"","")</f>
        <v/>
      </c>
      <c r="I24" s="506" t="str">
        <f ca="1">IFERROR(OFFSET('4.1(2)新規再エネ導入予定（設備情報）'!$L$1,MATCH(G24,'4.1(2)新規再エネ導入予定（設備情報）'!$G:$G,0)-1,0),"")</f>
        <v/>
      </c>
      <c r="J24" s="507" t="str">
        <f ca="1">IFERROR(OFFSET('4.1(2)新規再エネ導入予定（設備情報）'!$O$1,MATCH(G24,'4.1(2)新規再エネ導入予定（設備情報）'!$G:$G,0)-1,0),"")</f>
        <v/>
      </c>
      <c r="K24" s="508" t="str">
        <f ca="1">IFERROR(OFFSET('4.1(2)新規再エネ導入予定（設備情報）'!$P$1,MATCH(G24,'4.1(2)新規再エネ導入予定（設備情報）'!$G:$G,0)-1,0),"")</f>
        <v/>
      </c>
      <c r="L24" s="486"/>
      <c r="M24" s="486"/>
      <c r="N24" s="486"/>
      <c r="O24" s="483"/>
      <c r="P24" s="24"/>
      <c r="Q24" s="21"/>
      <c r="R24" s="431">
        <f t="shared" si="1"/>
        <v>17</v>
      </c>
      <c r="S24" s="125">
        <f t="shared" si="2"/>
        <v>0</v>
      </c>
      <c r="T24" s="125" t="str">
        <f ca="1">_xlfn.IFNA(OFFSET('(非表示)新規再エネ実現可能性判定'!$C$1,MATCH(M24,'(非表示)新規再エネ実現可能性判定'!$B:$B,0)-1,0),"//")</f>
        <v>//</v>
      </c>
      <c r="U24" s="255" t="str">
        <f ca="1">_xlfn.IFNA(OFFSET('(非表示)新規再エネ実現可能性判定'!$F$1,MATCH(N24,'(非表示)新規再エネ実現可能性判定'!$E:$E,0)-1,0),"//")</f>
        <v>//</v>
      </c>
      <c r="V24" s="255" t="str">
        <f ca="1">_xlfn.IFNA(OFFSET('(非表示)新規再エネ実現可能性判定'!$I$1,MATCH(O24,'(非表示)新規再エネ実現可能性判定'!$H:$H,0)-1,0),"//")</f>
        <v>//</v>
      </c>
      <c r="W24" s="255" t="str">
        <f t="shared" si="4"/>
        <v/>
      </c>
    </row>
    <row r="25" spans="2:23" s="11" customFormat="1" ht="20">
      <c r="B25" s="21"/>
      <c r="C25" s="21"/>
      <c r="D25" s="36"/>
      <c r="E25" s="124"/>
      <c r="F25" s="501" t="str">
        <f ca="1">IFERROR(OFFSET('4.1(2)新規再エネ導入予定（設備情報）'!$F$1,MATCH(G25,'4.1(2)新規再エネ導入予定（設備情報）'!$G:$G,0)-1,0),"")</f>
        <v/>
      </c>
      <c r="G25" s="509"/>
      <c r="H25" s="505" t="str">
        <f ca="1">IFERROR(OFFSET('4.1(2)新規再エネ導入予定（設備情報）'!$H$1,MATCH(G25,'4.1(2)新規再エネ導入予定（設備情報）'!$G:$G,0)-1,0)&amp;"","")</f>
        <v/>
      </c>
      <c r="I25" s="506" t="str">
        <f ca="1">IFERROR(OFFSET('4.1(2)新規再エネ導入予定（設備情報）'!$L$1,MATCH(G25,'4.1(2)新規再エネ導入予定（設備情報）'!$G:$G,0)-1,0),"")</f>
        <v/>
      </c>
      <c r="J25" s="507" t="str">
        <f ca="1">IFERROR(OFFSET('4.1(2)新規再エネ導入予定（設備情報）'!$O$1,MATCH(G25,'4.1(2)新規再エネ導入予定（設備情報）'!$G:$G,0)-1,0),"")</f>
        <v/>
      </c>
      <c r="K25" s="508" t="str">
        <f ca="1">IFERROR(OFFSET('4.1(2)新規再エネ導入予定（設備情報）'!$P$1,MATCH(G25,'4.1(2)新規再エネ導入予定（設備情報）'!$G:$G,0)-1,0),"")</f>
        <v/>
      </c>
      <c r="L25" s="486"/>
      <c r="M25" s="486"/>
      <c r="N25" s="486"/>
      <c r="O25" s="483"/>
      <c r="P25" s="24"/>
      <c r="Q25" s="21"/>
      <c r="R25" s="431">
        <f t="shared" si="1"/>
        <v>18</v>
      </c>
      <c r="S25" s="125">
        <f t="shared" si="2"/>
        <v>0</v>
      </c>
      <c r="T25" s="125" t="str">
        <f ca="1">_xlfn.IFNA(OFFSET('(非表示)新規再エネ実現可能性判定'!$C$1,MATCH(M25,'(非表示)新規再エネ実現可能性判定'!$B:$B,0)-1,0),"//")</f>
        <v>//</v>
      </c>
      <c r="U25" s="255" t="str">
        <f ca="1">_xlfn.IFNA(OFFSET('(非表示)新規再エネ実現可能性判定'!$F$1,MATCH(N25,'(非表示)新規再エネ実現可能性判定'!$E:$E,0)-1,0),"//")</f>
        <v>//</v>
      </c>
      <c r="V25" s="255" t="str">
        <f ca="1">_xlfn.IFNA(OFFSET('(非表示)新規再エネ実現可能性判定'!$I$1,MATCH(O25,'(非表示)新規再エネ実現可能性判定'!$H:$H,0)-1,0),"//")</f>
        <v>//</v>
      </c>
      <c r="W25" s="255" t="str">
        <f t="shared" si="4"/>
        <v/>
      </c>
    </row>
    <row r="26" spans="2:23" ht="18" customHeight="1">
      <c r="D26" s="188"/>
      <c r="E26" s="190" t="s">
        <v>18</v>
      </c>
      <c r="F26" s="512"/>
      <c r="G26" s="474"/>
      <c r="H26" s="475"/>
      <c r="I26" s="476"/>
      <c r="J26" s="477"/>
      <c r="K26" s="478"/>
      <c r="L26" s="705"/>
      <c r="M26" s="705"/>
      <c r="N26" s="705"/>
      <c r="O26" s="706"/>
      <c r="P26" s="19"/>
      <c r="R26" s="423">
        <f t="shared" si="1"/>
        <v>19</v>
      </c>
      <c r="S26" s="222">
        <f t="shared" si="2"/>
        <v>0</v>
      </c>
      <c r="T26" s="222" t="str">
        <f ca="1">_xlfn.IFNA(OFFSET('(非表示)新規再エネ実現可能性判定'!$C$1,MATCH(M26,'(非表示)新規再エネ実現可能性判定'!$B:$B,0)-1,0),"//")</f>
        <v>//</v>
      </c>
      <c r="U26" s="175" t="str">
        <f ca="1">_xlfn.IFNA(OFFSET('(非表示)新規再エネ実現可能性判定'!$F$1,MATCH(N26,'(非表示)新規再エネ実現可能性判定'!$E:$E,0)-1,0),"//")</f>
        <v>//</v>
      </c>
      <c r="V26" s="175" t="str">
        <f ca="1">_xlfn.IFNA(OFFSET('(非表示)新規再エネ実現可能性判定'!$I$1,MATCH(O26,'(非表示)新規再エネ実現可能性判定'!$H:$H,0)-1,0),"//")</f>
        <v>//</v>
      </c>
      <c r="W26" s="175" t="str">
        <f t="shared" si="4"/>
        <v/>
      </c>
    </row>
    <row r="27" spans="2:23" s="11" customFormat="1" ht="19.5" hidden="1" customHeight="1">
      <c r="B27" s="21"/>
      <c r="C27" s="21"/>
      <c r="D27" s="36"/>
      <c r="E27" s="124"/>
      <c r="F27" s="488"/>
      <c r="G27" s="479"/>
      <c r="H27" s="495"/>
      <c r="I27" s="502"/>
      <c r="J27" s="503"/>
      <c r="K27" s="504"/>
      <c r="L27" s="510"/>
      <c r="M27" s="510"/>
      <c r="N27" s="510"/>
      <c r="O27" s="511"/>
      <c r="P27" s="24"/>
      <c r="Q27" s="21"/>
      <c r="R27" s="431">
        <f t="shared" si="1"/>
        <v>20</v>
      </c>
      <c r="S27" s="125">
        <f t="shared" si="2"/>
        <v>0</v>
      </c>
      <c r="T27" s="125" t="str">
        <f ca="1">_xlfn.IFNA(OFFSET('(非表示)新規再エネ実現可能性判定'!$C$1,MATCH(M27,'(非表示)新規再エネ実現可能性判定'!$B:$B,0)-1,0),"//")</f>
        <v>//</v>
      </c>
      <c r="U27" s="255" t="str">
        <f ca="1">_xlfn.IFNA(OFFSET('(非表示)新規再エネ実現可能性判定'!$F$1,MATCH(N27,'(非表示)新規再エネ実現可能性判定'!$E:$E,0)-1,0),"//")</f>
        <v>//</v>
      </c>
      <c r="V27" s="255" t="str">
        <f ca="1">_xlfn.IFNA(OFFSET('(非表示)新規再エネ実現可能性判定'!$I$1,MATCH(O27,'(非表示)新規再エネ実現可能性判定'!$H:$H,0)-1,0),"//")</f>
        <v>//</v>
      </c>
      <c r="W27" s="255" t="str">
        <f t="shared" si="4"/>
        <v/>
      </c>
    </row>
    <row r="28" spans="2:23" s="11" customFormat="1" ht="20">
      <c r="B28" s="21"/>
      <c r="C28" s="21"/>
      <c r="D28" s="36"/>
      <c r="E28" s="124"/>
      <c r="F28" s="501" t="str">
        <f ca="1">IFERROR(OFFSET('4.1(2)新規再エネ導入予定（設備情報）'!$F$1,MATCH(G28,'4.1(2)新規再エネ導入予定（設備情報）'!$G:$G,0)-1,0),"")</f>
        <v/>
      </c>
      <c r="G28" s="509"/>
      <c r="H28" s="505" t="str">
        <f ca="1">IFERROR(OFFSET('4.1(2)新規再エネ導入予定（設備情報）'!$H$1,MATCH(G28,'4.1(2)新規再エネ導入予定（設備情報）'!$G:$G,0)-1,0)&amp;"","")</f>
        <v/>
      </c>
      <c r="I28" s="506" t="str">
        <f ca="1">IFERROR(OFFSET('4.1(2)新規再エネ導入予定（設備情報）'!$L$1,MATCH(G28,'4.1(2)新規再エネ導入予定（設備情報）'!$G:$G,0)-1,0),"")</f>
        <v/>
      </c>
      <c r="J28" s="507" t="str">
        <f ca="1">IFERROR(OFFSET('4.1(2)新規再エネ導入予定（設備情報）'!$O$1,MATCH(G28,'4.1(2)新規再エネ導入予定（設備情報）'!$G:$G,0)-1,0),"")</f>
        <v/>
      </c>
      <c r="K28" s="508" t="str">
        <f ca="1">IFERROR(OFFSET('4.1(2)新規再エネ導入予定（設備情報）'!$P$1,MATCH(G28,'4.1(2)新規再エネ導入予定（設備情報）'!$G:$G,0)-1,0),"")</f>
        <v/>
      </c>
      <c r="L28" s="486"/>
      <c r="M28" s="486"/>
      <c r="N28" s="486"/>
      <c r="O28" s="483"/>
      <c r="P28" s="24"/>
      <c r="Q28" s="21"/>
      <c r="R28" s="431">
        <f t="shared" si="1"/>
        <v>21</v>
      </c>
      <c r="S28" s="125">
        <f t="shared" si="2"/>
        <v>0</v>
      </c>
      <c r="T28" s="125" t="str">
        <f ca="1">_xlfn.IFNA(OFFSET('(非表示)新規再エネ実現可能性判定'!$C$1,MATCH(M28,'(非表示)新規再エネ実現可能性判定'!$B:$B,0)-1,0),"//")</f>
        <v>//</v>
      </c>
      <c r="U28" s="255" t="str">
        <f ca="1">_xlfn.IFNA(OFFSET('(非表示)新規再エネ実現可能性判定'!$F$1,MATCH(N28,'(非表示)新規再エネ実現可能性判定'!$E:$E,0)-1,0),"//")</f>
        <v>//</v>
      </c>
      <c r="V28" s="255" t="str">
        <f ca="1">_xlfn.IFNA(OFFSET('(非表示)新規再エネ実現可能性判定'!$I$1,MATCH(O28,'(非表示)新規再エネ実現可能性判定'!$H:$H,0)-1,0),"//")</f>
        <v>//</v>
      </c>
      <c r="W28" s="255" t="str">
        <f t="shared" si="4"/>
        <v/>
      </c>
    </row>
    <row r="29" spans="2:23" s="11" customFormat="1" ht="20">
      <c r="B29" s="21"/>
      <c r="C29" s="21"/>
      <c r="D29" s="36"/>
      <c r="E29" s="124"/>
      <c r="F29" s="501" t="str">
        <f ca="1">IFERROR(OFFSET('4.1(2)新規再エネ導入予定（設備情報）'!$F$1,MATCH(G29,'4.1(2)新規再エネ導入予定（設備情報）'!$G:$G,0)-1,0),"")</f>
        <v/>
      </c>
      <c r="G29" s="509"/>
      <c r="H29" s="505" t="str">
        <f ca="1">IFERROR(OFFSET('4.1(2)新規再エネ導入予定（設備情報）'!$H$1,MATCH(G29,'4.1(2)新規再エネ導入予定（設備情報）'!$G:$G,0)-1,0)&amp;"","")</f>
        <v/>
      </c>
      <c r="I29" s="506" t="str">
        <f ca="1">IFERROR(OFFSET('4.1(2)新規再エネ導入予定（設備情報）'!$L$1,MATCH(G29,'4.1(2)新規再エネ導入予定（設備情報）'!$G:$G,0)-1,0),"")</f>
        <v/>
      </c>
      <c r="J29" s="507" t="str">
        <f ca="1">IFERROR(OFFSET('4.1(2)新規再エネ導入予定（設備情報）'!$O$1,MATCH(G29,'4.1(2)新規再エネ導入予定（設備情報）'!$G:$G,0)-1,0),"")</f>
        <v/>
      </c>
      <c r="K29" s="508" t="str">
        <f ca="1">IFERROR(OFFSET('4.1(2)新規再エネ導入予定（設備情報）'!$P$1,MATCH(G29,'4.1(2)新規再エネ導入予定（設備情報）'!$G:$G,0)-1,0),"")</f>
        <v/>
      </c>
      <c r="L29" s="486"/>
      <c r="M29" s="486"/>
      <c r="N29" s="486"/>
      <c r="O29" s="483"/>
      <c r="P29" s="24"/>
      <c r="Q29" s="21"/>
      <c r="R29" s="431">
        <f t="shared" si="1"/>
        <v>22</v>
      </c>
      <c r="S29" s="125">
        <f t="shared" si="2"/>
        <v>0</v>
      </c>
      <c r="T29" s="125" t="str">
        <f ca="1">_xlfn.IFNA(OFFSET('(非表示)新規再エネ実現可能性判定'!$C$1,MATCH(M29,'(非表示)新規再エネ実現可能性判定'!$B:$B,0)-1,0),"//")</f>
        <v>//</v>
      </c>
      <c r="U29" s="255" t="str">
        <f ca="1">_xlfn.IFNA(OFFSET('(非表示)新規再エネ実現可能性判定'!$F$1,MATCH(N29,'(非表示)新規再エネ実現可能性判定'!$E:$E,0)-1,0),"//")</f>
        <v>//</v>
      </c>
      <c r="V29" s="255" t="str">
        <f ca="1">_xlfn.IFNA(OFFSET('(非表示)新規再エネ実現可能性判定'!$I$1,MATCH(O29,'(非表示)新規再エネ実現可能性判定'!$H:$H,0)-1,0),"//")</f>
        <v>//</v>
      </c>
      <c r="W29" s="255" t="str">
        <f t="shared" si="4"/>
        <v/>
      </c>
    </row>
    <row r="30" spans="2:23" s="11" customFormat="1" ht="20">
      <c r="B30" s="21"/>
      <c r="C30" s="21"/>
      <c r="D30" s="36"/>
      <c r="E30" s="124"/>
      <c r="F30" s="501" t="str">
        <f ca="1">IFERROR(OFFSET('4.1(2)新規再エネ導入予定（設備情報）'!$F$1,MATCH(G30,'4.1(2)新規再エネ導入予定（設備情報）'!$G:$G,0)-1,0),"")</f>
        <v/>
      </c>
      <c r="G30" s="509"/>
      <c r="H30" s="505" t="str">
        <f ca="1">IFERROR(OFFSET('4.1(2)新規再エネ導入予定（設備情報）'!$H$1,MATCH(G30,'4.1(2)新規再エネ導入予定（設備情報）'!$G:$G,0)-1,0)&amp;"","")</f>
        <v/>
      </c>
      <c r="I30" s="506" t="str">
        <f ca="1">IFERROR(OFFSET('4.1(2)新規再エネ導入予定（設備情報）'!$L$1,MATCH(G30,'4.1(2)新規再エネ導入予定（設備情報）'!$G:$G,0)-1,0),"")</f>
        <v/>
      </c>
      <c r="J30" s="507" t="str">
        <f ca="1">IFERROR(OFFSET('4.1(2)新規再エネ導入予定（設備情報）'!$O$1,MATCH(G30,'4.1(2)新規再エネ導入予定（設備情報）'!$G:$G,0)-1,0),"")</f>
        <v/>
      </c>
      <c r="K30" s="508" t="str">
        <f ca="1">IFERROR(OFFSET('4.1(2)新規再エネ導入予定（設備情報）'!$P$1,MATCH(G30,'4.1(2)新規再エネ導入予定（設備情報）'!$G:$G,0)-1,0),"")</f>
        <v/>
      </c>
      <c r="L30" s="486"/>
      <c r="M30" s="486"/>
      <c r="N30" s="486"/>
      <c r="O30" s="483"/>
      <c r="P30" s="24"/>
      <c r="Q30" s="21"/>
      <c r="R30" s="431">
        <f t="shared" si="1"/>
        <v>23</v>
      </c>
      <c r="S30" s="125">
        <f t="shared" si="2"/>
        <v>0</v>
      </c>
      <c r="T30" s="125" t="str">
        <f ca="1">_xlfn.IFNA(OFFSET('(非表示)新規再エネ実現可能性判定'!$C$1,MATCH(M30,'(非表示)新規再エネ実現可能性判定'!$B:$B,0)-1,0),"//")</f>
        <v>//</v>
      </c>
      <c r="U30" s="255" t="str">
        <f ca="1">_xlfn.IFNA(OFFSET('(非表示)新規再エネ実現可能性判定'!$F$1,MATCH(N30,'(非表示)新規再エネ実現可能性判定'!$E:$E,0)-1,0),"//")</f>
        <v>//</v>
      </c>
      <c r="V30" s="255" t="str">
        <f ca="1">_xlfn.IFNA(OFFSET('(非表示)新規再エネ実現可能性判定'!$I$1,MATCH(O30,'(非表示)新規再エネ実現可能性判定'!$H:$H,0)-1,0),"//")</f>
        <v>//</v>
      </c>
      <c r="W30" s="255" t="str">
        <f t="shared" si="4"/>
        <v/>
      </c>
    </row>
    <row r="31" spans="2:23" s="11" customFormat="1" ht="20">
      <c r="B31" s="21"/>
      <c r="C31" s="21"/>
      <c r="D31" s="36"/>
      <c r="E31" s="124"/>
      <c r="F31" s="501" t="str">
        <f ca="1">IFERROR(OFFSET('4.1(2)新規再エネ導入予定（設備情報）'!$F$1,MATCH(G31,'4.1(2)新規再エネ導入予定（設備情報）'!$G:$G,0)-1,0),"")</f>
        <v/>
      </c>
      <c r="G31" s="509"/>
      <c r="H31" s="505" t="str">
        <f ca="1">IFERROR(OFFSET('4.1(2)新規再エネ導入予定（設備情報）'!$H$1,MATCH(G31,'4.1(2)新規再エネ導入予定（設備情報）'!$G:$G,0)-1,0)&amp;"","")</f>
        <v/>
      </c>
      <c r="I31" s="506" t="str">
        <f ca="1">IFERROR(OFFSET('4.1(2)新規再エネ導入予定（設備情報）'!$L$1,MATCH(G31,'4.1(2)新規再エネ導入予定（設備情報）'!$G:$G,0)-1,0),"")</f>
        <v/>
      </c>
      <c r="J31" s="507" t="str">
        <f ca="1">IFERROR(OFFSET('4.1(2)新規再エネ導入予定（設備情報）'!$O$1,MATCH(G31,'4.1(2)新規再エネ導入予定（設備情報）'!$G:$G,0)-1,0),"")</f>
        <v/>
      </c>
      <c r="K31" s="508" t="str">
        <f ca="1">IFERROR(OFFSET('4.1(2)新規再エネ導入予定（設備情報）'!$P$1,MATCH(G31,'4.1(2)新規再エネ導入予定（設備情報）'!$G:$G,0)-1,0),"")</f>
        <v/>
      </c>
      <c r="L31" s="486"/>
      <c r="M31" s="486"/>
      <c r="N31" s="486"/>
      <c r="O31" s="483"/>
      <c r="P31" s="24"/>
      <c r="Q31" s="21"/>
      <c r="R31" s="431">
        <f t="shared" si="1"/>
        <v>24</v>
      </c>
      <c r="S31" s="125">
        <f t="shared" si="2"/>
        <v>0</v>
      </c>
      <c r="T31" s="125" t="str">
        <f ca="1">_xlfn.IFNA(OFFSET('(非表示)新規再エネ実現可能性判定'!$C$1,MATCH(M31,'(非表示)新規再エネ実現可能性判定'!$B:$B,0)-1,0),"//")</f>
        <v>//</v>
      </c>
      <c r="U31" s="255" t="str">
        <f ca="1">_xlfn.IFNA(OFFSET('(非表示)新規再エネ実現可能性判定'!$F$1,MATCH(N31,'(非表示)新規再エネ実現可能性判定'!$E:$E,0)-1,0),"//")</f>
        <v>//</v>
      </c>
      <c r="V31" s="255" t="str">
        <f ca="1">_xlfn.IFNA(OFFSET('(非表示)新規再エネ実現可能性判定'!$I$1,MATCH(O31,'(非表示)新規再エネ実現可能性判定'!$H:$H,0)-1,0),"//")</f>
        <v>//</v>
      </c>
      <c r="W31" s="255" t="str">
        <f t="shared" si="4"/>
        <v/>
      </c>
    </row>
    <row r="32" spans="2:23" ht="20">
      <c r="D32" s="188"/>
      <c r="E32" s="190" t="s">
        <v>19</v>
      </c>
      <c r="F32" s="512"/>
      <c r="G32" s="474"/>
      <c r="H32" s="475"/>
      <c r="I32" s="476"/>
      <c r="J32" s="477"/>
      <c r="K32" s="478"/>
      <c r="L32" s="705"/>
      <c r="M32" s="705"/>
      <c r="N32" s="705"/>
      <c r="O32" s="706"/>
      <c r="P32" s="19"/>
      <c r="R32" s="423">
        <f t="shared" si="1"/>
        <v>25</v>
      </c>
      <c r="S32" s="222">
        <f t="shared" si="2"/>
        <v>0</v>
      </c>
      <c r="T32" s="222" t="str">
        <f ca="1">_xlfn.IFNA(OFFSET('(非表示)新規再エネ実現可能性判定'!$C$1,MATCH(M32,'(非表示)新規再エネ実現可能性判定'!$B:$B,0)-1,0),"//")</f>
        <v>//</v>
      </c>
      <c r="U32" s="175" t="str">
        <f ca="1">_xlfn.IFNA(OFFSET('(非表示)新規再エネ実現可能性判定'!$F$1,MATCH(N32,'(非表示)新規再エネ実現可能性判定'!$E:$E,0)-1,0),"//")</f>
        <v>//</v>
      </c>
      <c r="V32" s="175" t="str">
        <f ca="1">_xlfn.IFNA(OFFSET('(非表示)新規再エネ実現可能性判定'!$I$1,MATCH(O32,'(非表示)新規再エネ実現可能性判定'!$H:$H,0)-1,0),"//")</f>
        <v>//</v>
      </c>
      <c r="W32" s="175" t="str">
        <f t="shared" si="4"/>
        <v/>
      </c>
    </row>
    <row r="33" spans="2:23" s="11" customFormat="1" ht="19.5" hidden="1" customHeight="1">
      <c r="B33" s="21"/>
      <c r="C33" s="21"/>
      <c r="D33" s="36"/>
      <c r="E33" s="124"/>
      <c r="F33" s="488"/>
      <c r="G33" s="479"/>
      <c r="H33" s="495"/>
      <c r="I33" s="502"/>
      <c r="J33" s="503"/>
      <c r="K33" s="504"/>
      <c r="L33" s="510"/>
      <c r="M33" s="510"/>
      <c r="N33" s="510"/>
      <c r="O33" s="511"/>
      <c r="P33" s="24"/>
      <c r="Q33" s="21"/>
      <c r="R33" s="431">
        <f t="shared" si="1"/>
        <v>26</v>
      </c>
      <c r="S33" s="125">
        <f t="shared" si="2"/>
        <v>0</v>
      </c>
      <c r="T33" s="125" t="str">
        <f ca="1">_xlfn.IFNA(OFFSET('(非表示)新規再エネ実現可能性判定'!$C$1,MATCH(M33,'(非表示)新規再エネ実現可能性判定'!$B:$B,0)-1,0),"//")</f>
        <v>//</v>
      </c>
      <c r="U33" s="255" t="str">
        <f ca="1">_xlfn.IFNA(OFFSET('(非表示)新規再エネ実現可能性判定'!$F$1,MATCH(N33,'(非表示)新規再エネ実現可能性判定'!$E:$E,0)-1,0),"//")</f>
        <v>//</v>
      </c>
      <c r="V33" s="255" t="str">
        <f ca="1">_xlfn.IFNA(OFFSET('(非表示)新規再エネ実現可能性判定'!$I$1,MATCH(O33,'(非表示)新規再エネ実現可能性判定'!$H:$H,0)-1,0),"//")</f>
        <v>//</v>
      </c>
      <c r="W33" s="255" t="str">
        <f t="shared" si="4"/>
        <v/>
      </c>
    </row>
    <row r="34" spans="2:23" s="11" customFormat="1" ht="20">
      <c r="B34" s="21"/>
      <c r="C34" s="21"/>
      <c r="D34" s="36"/>
      <c r="E34" s="124"/>
      <c r="F34" s="501" t="str">
        <f ca="1">IFERROR(OFFSET('4.1(2)新規再エネ導入予定（設備情報）'!$F$1,MATCH(G34,'4.1(2)新規再エネ導入予定（設備情報）'!$G:$G,0)-1,0),"")</f>
        <v/>
      </c>
      <c r="G34" s="509"/>
      <c r="H34" s="505" t="str">
        <f ca="1">IFERROR(OFFSET('4.1(2)新規再エネ導入予定（設備情報）'!$H$1,MATCH(G34,'4.1(2)新規再エネ導入予定（設備情報）'!$G:$G,0)-1,0)&amp;"","")</f>
        <v/>
      </c>
      <c r="I34" s="506" t="str">
        <f ca="1">IFERROR(OFFSET('4.1(2)新規再エネ導入予定（設備情報）'!$L$1,MATCH(G34,'4.1(2)新規再エネ導入予定（設備情報）'!$G:$G,0)-1,0),"")</f>
        <v/>
      </c>
      <c r="J34" s="507" t="str">
        <f ca="1">IFERROR(OFFSET('4.1(2)新規再エネ導入予定（設備情報）'!$O$1,MATCH(G34,'4.1(2)新規再エネ導入予定（設備情報）'!$G:$G,0)-1,0),"")</f>
        <v/>
      </c>
      <c r="K34" s="508" t="str">
        <f ca="1">IFERROR(OFFSET('4.1(2)新規再エネ導入予定（設備情報）'!$P$1,MATCH(G34,'4.1(2)新規再エネ導入予定（設備情報）'!$G:$G,0)-1,0),"")</f>
        <v/>
      </c>
      <c r="L34" s="486"/>
      <c r="M34" s="486"/>
      <c r="N34" s="486"/>
      <c r="O34" s="483"/>
      <c r="P34" s="24"/>
      <c r="Q34" s="21"/>
      <c r="R34" s="431">
        <f t="shared" si="1"/>
        <v>27</v>
      </c>
      <c r="S34" s="125">
        <f t="shared" si="2"/>
        <v>0</v>
      </c>
      <c r="T34" s="125" t="str">
        <f ca="1">_xlfn.IFNA(OFFSET('(非表示)新規再エネ実現可能性判定'!$C$1,MATCH(M34,'(非表示)新規再エネ実現可能性判定'!$B:$B,0)-1,0),"//")</f>
        <v>//</v>
      </c>
      <c r="U34" s="255" t="str">
        <f ca="1">_xlfn.IFNA(OFFSET('(非表示)新規再エネ実現可能性判定'!$F$1,MATCH(N34,'(非表示)新規再エネ実現可能性判定'!$E:$E,0)-1,0),"//")</f>
        <v>//</v>
      </c>
      <c r="V34" s="255" t="str">
        <f ca="1">_xlfn.IFNA(OFFSET('(非表示)新規再エネ実現可能性判定'!$I$1,MATCH(O34,'(非表示)新規再エネ実現可能性判定'!$H:$H,0)-1,0),"//")</f>
        <v>//</v>
      </c>
      <c r="W34" s="255" t="str">
        <f t="shared" si="4"/>
        <v/>
      </c>
    </row>
    <row r="35" spans="2:23" s="11" customFormat="1" ht="20">
      <c r="B35" s="21"/>
      <c r="C35" s="21"/>
      <c r="D35" s="36"/>
      <c r="E35" s="124"/>
      <c r="F35" s="501" t="str">
        <f ca="1">IFERROR(OFFSET('4.1(2)新規再エネ導入予定（設備情報）'!$F$1,MATCH(G35,'4.1(2)新規再エネ導入予定（設備情報）'!$G:$G,0)-1,0),"")</f>
        <v/>
      </c>
      <c r="G35" s="509"/>
      <c r="H35" s="505" t="str">
        <f ca="1">IFERROR(OFFSET('4.1(2)新規再エネ導入予定（設備情報）'!$H$1,MATCH(G35,'4.1(2)新規再エネ導入予定（設備情報）'!$G:$G,0)-1,0)&amp;"","")</f>
        <v/>
      </c>
      <c r="I35" s="506" t="str">
        <f ca="1">IFERROR(OFFSET('4.1(2)新規再エネ導入予定（設備情報）'!$L$1,MATCH(G35,'4.1(2)新規再エネ導入予定（設備情報）'!$G:$G,0)-1,0),"")</f>
        <v/>
      </c>
      <c r="J35" s="507" t="str">
        <f ca="1">IFERROR(OFFSET('4.1(2)新規再エネ導入予定（設備情報）'!$O$1,MATCH(G35,'4.1(2)新規再エネ導入予定（設備情報）'!$G:$G,0)-1,0),"")</f>
        <v/>
      </c>
      <c r="K35" s="508" t="str">
        <f ca="1">IFERROR(OFFSET('4.1(2)新規再エネ導入予定（設備情報）'!$P$1,MATCH(G35,'4.1(2)新規再エネ導入予定（設備情報）'!$G:$G,0)-1,0),"")</f>
        <v/>
      </c>
      <c r="L35" s="486"/>
      <c r="M35" s="486"/>
      <c r="N35" s="486"/>
      <c r="O35" s="483"/>
      <c r="P35" s="24"/>
      <c r="Q35" s="21"/>
      <c r="R35" s="431">
        <f t="shared" si="1"/>
        <v>28</v>
      </c>
      <c r="S35" s="125">
        <f t="shared" si="2"/>
        <v>0</v>
      </c>
      <c r="T35" s="125" t="str">
        <f ca="1">_xlfn.IFNA(OFFSET('(非表示)新規再エネ実現可能性判定'!$C$1,MATCH(M35,'(非表示)新規再エネ実現可能性判定'!$B:$B,0)-1,0),"//")</f>
        <v>//</v>
      </c>
      <c r="U35" s="255" t="str">
        <f ca="1">_xlfn.IFNA(OFFSET('(非表示)新規再エネ実現可能性判定'!$F$1,MATCH(N35,'(非表示)新規再エネ実現可能性判定'!$E:$E,0)-1,0),"//")</f>
        <v>//</v>
      </c>
      <c r="V35" s="255" t="str">
        <f ca="1">_xlfn.IFNA(OFFSET('(非表示)新規再エネ実現可能性判定'!$I$1,MATCH(O35,'(非表示)新規再エネ実現可能性判定'!$H:$H,0)-1,0),"//")</f>
        <v>//</v>
      </c>
      <c r="W35" s="255" t="str">
        <f t="shared" si="4"/>
        <v/>
      </c>
    </row>
    <row r="36" spans="2:23" s="11" customFormat="1" ht="20">
      <c r="B36" s="21"/>
      <c r="C36" s="21"/>
      <c r="D36" s="36"/>
      <c r="E36" s="124"/>
      <c r="F36" s="501" t="str">
        <f ca="1">IFERROR(OFFSET('4.1(2)新規再エネ導入予定（設備情報）'!$F$1,MATCH(G36,'4.1(2)新規再エネ導入予定（設備情報）'!$G:$G,0)-1,0),"")</f>
        <v/>
      </c>
      <c r="G36" s="509"/>
      <c r="H36" s="505" t="str">
        <f ca="1">IFERROR(OFFSET('4.1(2)新規再エネ導入予定（設備情報）'!$H$1,MATCH(G36,'4.1(2)新規再エネ導入予定（設備情報）'!$G:$G,0)-1,0)&amp;"","")</f>
        <v/>
      </c>
      <c r="I36" s="506" t="str">
        <f ca="1">IFERROR(OFFSET('4.1(2)新規再エネ導入予定（設備情報）'!$L$1,MATCH(G36,'4.1(2)新規再エネ導入予定（設備情報）'!$G:$G,0)-1,0),"")</f>
        <v/>
      </c>
      <c r="J36" s="507" t="str">
        <f ca="1">IFERROR(OFFSET('4.1(2)新規再エネ導入予定（設備情報）'!$O$1,MATCH(G36,'4.1(2)新規再エネ導入予定（設備情報）'!$G:$G,0)-1,0),"")</f>
        <v/>
      </c>
      <c r="K36" s="508" t="str">
        <f ca="1">IFERROR(OFFSET('4.1(2)新規再エネ導入予定（設備情報）'!$P$1,MATCH(G36,'4.1(2)新規再エネ導入予定（設備情報）'!$G:$G,0)-1,0),"")</f>
        <v/>
      </c>
      <c r="L36" s="486"/>
      <c r="M36" s="486"/>
      <c r="N36" s="486"/>
      <c r="O36" s="483"/>
      <c r="P36" s="24"/>
      <c r="Q36" s="21"/>
      <c r="R36" s="431">
        <f t="shared" si="1"/>
        <v>29</v>
      </c>
      <c r="S36" s="125">
        <f t="shared" si="2"/>
        <v>0</v>
      </c>
      <c r="T36" s="125" t="str">
        <f ca="1">_xlfn.IFNA(OFFSET('(非表示)新規再エネ実現可能性判定'!$C$1,MATCH(M36,'(非表示)新規再エネ実現可能性判定'!$B:$B,0)-1,0),"//")</f>
        <v>//</v>
      </c>
      <c r="U36" s="255" t="str">
        <f ca="1">_xlfn.IFNA(OFFSET('(非表示)新規再エネ実現可能性判定'!$F$1,MATCH(N36,'(非表示)新規再エネ実現可能性判定'!$E:$E,0)-1,0),"//")</f>
        <v>//</v>
      </c>
      <c r="V36" s="255" t="str">
        <f ca="1">_xlfn.IFNA(OFFSET('(非表示)新規再エネ実現可能性判定'!$I$1,MATCH(O36,'(非表示)新規再エネ実現可能性判定'!$H:$H,0)-1,0),"//")</f>
        <v>//</v>
      </c>
      <c r="W36" s="255" t="str">
        <f t="shared" si="4"/>
        <v/>
      </c>
    </row>
    <row r="37" spans="2:23" s="11" customFormat="1" ht="20">
      <c r="B37" s="21"/>
      <c r="C37" s="21"/>
      <c r="D37" s="36"/>
      <c r="E37" s="124"/>
      <c r="F37" s="501" t="str">
        <f ca="1">IFERROR(OFFSET('4.1(2)新規再エネ導入予定（設備情報）'!$F$1,MATCH(G37,'4.1(2)新規再エネ導入予定（設備情報）'!$G:$G,0)-1,0),"")</f>
        <v/>
      </c>
      <c r="G37" s="509"/>
      <c r="H37" s="505" t="str">
        <f ca="1">IFERROR(OFFSET('4.1(2)新規再エネ導入予定（設備情報）'!$H$1,MATCH(G37,'4.1(2)新規再エネ導入予定（設備情報）'!$G:$G,0)-1,0)&amp;"","")</f>
        <v/>
      </c>
      <c r="I37" s="506" t="str">
        <f ca="1">IFERROR(OFFSET('4.1(2)新規再エネ導入予定（設備情報）'!$L$1,MATCH(G37,'4.1(2)新規再エネ導入予定（設備情報）'!$G:$G,0)-1,0),"")</f>
        <v/>
      </c>
      <c r="J37" s="507" t="str">
        <f ca="1">IFERROR(OFFSET('4.1(2)新規再エネ導入予定（設備情報）'!$O$1,MATCH(G37,'4.1(2)新規再エネ導入予定（設備情報）'!$G:$G,0)-1,0),"")</f>
        <v/>
      </c>
      <c r="K37" s="508" t="str">
        <f ca="1">IFERROR(OFFSET('4.1(2)新規再エネ導入予定（設備情報）'!$P$1,MATCH(G37,'4.1(2)新規再エネ導入予定（設備情報）'!$G:$G,0)-1,0),"")</f>
        <v/>
      </c>
      <c r="L37" s="486"/>
      <c r="M37" s="486"/>
      <c r="N37" s="486"/>
      <c r="O37" s="483"/>
      <c r="P37" s="24"/>
      <c r="Q37" s="21"/>
      <c r="R37" s="431">
        <f t="shared" si="1"/>
        <v>30</v>
      </c>
      <c r="S37" s="125">
        <f t="shared" si="2"/>
        <v>0</v>
      </c>
      <c r="T37" s="125" t="str">
        <f ca="1">_xlfn.IFNA(OFFSET('(非表示)新規再エネ実現可能性判定'!$C$1,MATCH(M37,'(非表示)新規再エネ実現可能性判定'!$B:$B,0)-1,0),"//")</f>
        <v>//</v>
      </c>
      <c r="U37" s="255" t="str">
        <f ca="1">_xlfn.IFNA(OFFSET('(非表示)新規再エネ実現可能性判定'!$F$1,MATCH(N37,'(非表示)新規再エネ実現可能性判定'!$E:$E,0)-1,0),"//")</f>
        <v>//</v>
      </c>
      <c r="V37" s="255" t="str">
        <f ca="1">_xlfn.IFNA(OFFSET('(非表示)新規再エネ実現可能性判定'!$I$1,MATCH(O37,'(非表示)新規再エネ実現可能性判定'!$H:$H,0)-1,0),"//")</f>
        <v>//</v>
      </c>
      <c r="W37" s="255" t="str">
        <f t="shared" si="4"/>
        <v/>
      </c>
    </row>
    <row r="38" spans="2:23" ht="20">
      <c r="D38" s="188"/>
      <c r="E38" s="190" t="s">
        <v>197</v>
      </c>
      <c r="F38" s="512"/>
      <c r="G38" s="474"/>
      <c r="H38" s="475"/>
      <c r="I38" s="476"/>
      <c r="J38" s="477"/>
      <c r="K38" s="478"/>
      <c r="L38" s="705"/>
      <c r="M38" s="705"/>
      <c r="N38" s="705"/>
      <c r="O38" s="706"/>
      <c r="P38" s="19"/>
      <c r="R38" s="423">
        <f t="shared" si="1"/>
        <v>31</v>
      </c>
      <c r="S38" s="222">
        <f t="shared" si="2"/>
        <v>0</v>
      </c>
      <c r="T38" s="222" t="str">
        <f ca="1">_xlfn.IFNA(OFFSET('(非表示)新規再エネ実現可能性判定'!$C$1,MATCH(M38,'(非表示)新規再エネ実現可能性判定'!$B:$B,0)-1,0),"//")</f>
        <v>//</v>
      </c>
      <c r="U38" s="175" t="str">
        <f ca="1">_xlfn.IFNA(OFFSET('(非表示)新規再エネ実現可能性判定'!$F$1,MATCH(N38,'(非表示)新規再エネ実現可能性判定'!$E:$E,0)-1,0),"//")</f>
        <v>//</v>
      </c>
      <c r="V38" s="175" t="str">
        <f ca="1">_xlfn.IFNA(OFFSET('(非表示)新規再エネ実現可能性判定'!$I$1,MATCH(O38,'(非表示)新規再エネ実現可能性判定'!$H:$H,0)-1,0),"//")</f>
        <v>//</v>
      </c>
      <c r="W38" s="175" t="str">
        <f t="shared" si="4"/>
        <v/>
      </c>
    </row>
    <row r="39" spans="2:23" s="11" customFormat="1" ht="19.5" hidden="1" customHeight="1">
      <c r="B39" s="21"/>
      <c r="C39" s="21"/>
      <c r="D39" s="36"/>
      <c r="E39" s="124"/>
      <c r="F39" s="488"/>
      <c r="G39" s="479"/>
      <c r="H39" s="495"/>
      <c r="I39" s="502"/>
      <c r="J39" s="503"/>
      <c r="K39" s="504"/>
      <c r="L39" s="510"/>
      <c r="M39" s="510"/>
      <c r="N39" s="510"/>
      <c r="O39" s="511"/>
      <c r="P39" s="24"/>
      <c r="Q39" s="21"/>
      <c r="R39" s="431">
        <f t="shared" si="1"/>
        <v>32</v>
      </c>
      <c r="S39" s="125">
        <f t="shared" si="2"/>
        <v>0</v>
      </c>
      <c r="T39" s="125" t="str">
        <f ca="1">_xlfn.IFNA(OFFSET('(非表示)新規再エネ実現可能性判定'!$C$1,MATCH(M39,'(非表示)新規再エネ実現可能性判定'!$B:$B,0)-1,0),"//")</f>
        <v>//</v>
      </c>
      <c r="U39" s="255" t="str">
        <f ca="1">_xlfn.IFNA(OFFSET('(非表示)新規再エネ実現可能性判定'!$F$1,MATCH(N39,'(非表示)新規再エネ実現可能性判定'!$E:$E,0)-1,0),"//")</f>
        <v>//</v>
      </c>
      <c r="V39" s="255" t="str">
        <f ca="1">_xlfn.IFNA(OFFSET('(非表示)新規再エネ実現可能性判定'!$I$1,MATCH(O39,'(非表示)新規再エネ実現可能性判定'!$H:$H,0)-1,0),"//")</f>
        <v>//</v>
      </c>
      <c r="W39" s="255" t="str">
        <f t="shared" si="4"/>
        <v/>
      </c>
    </row>
    <row r="40" spans="2:23" s="11" customFormat="1" ht="20">
      <c r="B40" s="21"/>
      <c r="C40" s="21"/>
      <c r="D40" s="36"/>
      <c r="E40" s="124"/>
      <c r="F40" s="501" t="str">
        <f ca="1">IFERROR(OFFSET('4.1(2)新規再エネ導入予定（設備情報）'!$F$1,MATCH(G40,'4.1(2)新規再エネ導入予定（設備情報）'!$G:$G,0)-1,0),"")</f>
        <v/>
      </c>
      <c r="G40" s="509"/>
      <c r="H40" s="505" t="str">
        <f ca="1">IFERROR(OFFSET('4.1(2)新規再エネ導入予定（設備情報）'!$H$1,MATCH(G40,'4.1(2)新規再エネ導入予定（設備情報）'!$G:$G,0)-1,0)&amp;"","")</f>
        <v/>
      </c>
      <c r="I40" s="506" t="str">
        <f ca="1">IFERROR(OFFSET('4.1(2)新規再エネ導入予定（設備情報）'!$L$1,MATCH(G40,'4.1(2)新規再エネ導入予定（設備情報）'!$G:$G,0)-1,0),"")</f>
        <v/>
      </c>
      <c r="J40" s="507" t="str">
        <f ca="1">IFERROR(OFFSET('4.1(2)新規再エネ導入予定（設備情報）'!$O$1,MATCH(G40,'4.1(2)新規再エネ導入予定（設備情報）'!$G:$G,0)-1,0),"")</f>
        <v/>
      </c>
      <c r="K40" s="508" t="str">
        <f ca="1">IFERROR(OFFSET('4.1(2)新規再エネ導入予定（設備情報）'!$P$1,MATCH(G40,'4.1(2)新規再エネ導入予定（設備情報）'!$G:$G,0)-1,0),"")</f>
        <v/>
      </c>
      <c r="L40" s="486"/>
      <c r="M40" s="486"/>
      <c r="N40" s="486"/>
      <c r="O40" s="483"/>
      <c r="P40" s="24"/>
      <c r="Q40" s="21"/>
      <c r="R40" s="431">
        <f t="shared" si="1"/>
        <v>33</v>
      </c>
      <c r="S40" s="125">
        <f t="shared" si="2"/>
        <v>0</v>
      </c>
      <c r="T40" s="125" t="str">
        <f ca="1">_xlfn.IFNA(OFFSET('(非表示)新規再エネ実現可能性判定'!$C$1,MATCH(M40,'(非表示)新規再エネ実現可能性判定'!$B:$B,0)-1,0),"//")</f>
        <v>//</v>
      </c>
      <c r="U40" s="255" t="str">
        <f ca="1">_xlfn.IFNA(OFFSET('(非表示)新規再エネ実現可能性判定'!$F$1,MATCH(N40,'(非表示)新規再エネ実現可能性判定'!$E:$E,0)-1,0),"//")</f>
        <v>//</v>
      </c>
      <c r="V40" s="255" t="str">
        <f ca="1">_xlfn.IFNA(OFFSET('(非表示)新規再エネ実現可能性判定'!$I$1,MATCH(O40,'(非表示)新規再エネ実現可能性判定'!$H:$H,0)-1,0),"//")</f>
        <v>//</v>
      </c>
      <c r="W40" s="255" t="str">
        <f t="shared" si="4"/>
        <v/>
      </c>
    </row>
    <row r="41" spans="2:23" s="11" customFormat="1" ht="20">
      <c r="B41" s="21"/>
      <c r="C41" s="21"/>
      <c r="D41" s="36"/>
      <c r="E41" s="124"/>
      <c r="F41" s="501" t="str">
        <f ca="1">IFERROR(OFFSET('4.1(2)新規再エネ導入予定（設備情報）'!$F$1,MATCH(G41,'4.1(2)新規再エネ導入予定（設備情報）'!$G:$G,0)-1,0),"")</f>
        <v/>
      </c>
      <c r="G41" s="509"/>
      <c r="H41" s="505" t="str">
        <f ca="1">IFERROR(OFFSET('4.1(2)新規再エネ導入予定（設備情報）'!$H$1,MATCH(G41,'4.1(2)新規再エネ導入予定（設備情報）'!$G:$G,0)-1,0)&amp;"","")</f>
        <v/>
      </c>
      <c r="I41" s="506" t="str">
        <f ca="1">IFERROR(OFFSET('4.1(2)新規再エネ導入予定（設備情報）'!$L$1,MATCH(G41,'4.1(2)新規再エネ導入予定（設備情報）'!$G:$G,0)-1,0),"")</f>
        <v/>
      </c>
      <c r="J41" s="507" t="str">
        <f ca="1">IFERROR(OFFSET('4.1(2)新規再エネ導入予定（設備情報）'!$O$1,MATCH(G41,'4.1(2)新規再エネ導入予定（設備情報）'!$G:$G,0)-1,0),"")</f>
        <v/>
      </c>
      <c r="K41" s="508" t="str">
        <f ca="1">IFERROR(OFFSET('4.1(2)新規再エネ導入予定（設備情報）'!$P$1,MATCH(G41,'4.1(2)新規再エネ導入予定（設備情報）'!$G:$G,0)-1,0),"")</f>
        <v/>
      </c>
      <c r="L41" s="486"/>
      <c r="M41" s="486"/>
      <c r="N41" s="486"/>
      <c r="O41" s="483"/>
      <c r="P41" s="24"/>
      <c r="Q41" s="21"/>
      <c r="R41" s="431">
        <f t="shared" si="1"/>
        <v>34</v>
      </c>
      <c r="S41" s="125">
        <f t="shared" si="2"/>
        <v>0</v>
      </c>
      <c r="T41" s="125" t="str">
        <f ca="1">_xlfn.IFNA(OFFSET('(非表示)新規再エネ実現可能性判定'!$C$1,MATCH(M41,'(非表示)新規再エネ実現可能性判定'!$B:$B,0)-1,0),"//")</f>
        <v>//</v>
      </c>
      <c r="U41" s="255" t="str">
        <f ca="1">_xlfn.IFNA(OFFSET('(非表示)新規再エネ実現可能性判定'!$F$1,MATCH(N41,'(非表示)新規再エネ実現可能性判定'!$E:$E,0)-1,0),"//")</f>
        <v>//</v>
      </c>
      <c r="V41" s="255" t="str">
        <f ca="1">_xlfn.IFNA(OFFSET('(非表示)新規再エネ実現可能性判定'!$I$1,MATCH(O41,'(非表示)新規再エネ実現可能性判定'!$H:$H,0)-1,0),"//")</f>
        <v>//</v>
      </c>
      <c r="W41" s="255" t="str">
        <f t="shared" si="4"/>
        <v/>
      </c>
    </row>
    <row r="42" spans="2:23" s="11" customFormat="1" ht="20">
      <c r="B42" s="21"/>
      <c r="C42" s="21"/>
      <c r="D42" s="36"/>
      <c r="E42" s="124"/>
      <c r="F42" s="501" t="str">
        <f ca="1">IFERROR(OFFSET('4.1(2)新規再エネ導入予定（設備情報）'!$F$1,MATCH(G42,'4.1(2)新規再エネ導入予定（設備情報）'!$G:$G,0)-1,0),"")</f>
        <v/>
      </c>
      <c r="G42" s="509"/>
      <c r="H42" s="505" t="str">
        <f ca="1">IFERROR(OFFSET('4.1(2)新規再エネ導入予定（設備情報）'!$H$1,MATCH(G42,'4.1(2)新規再エネ導入予定（設備情報）'!$G:$G,0)-1,0)&amp;"","")</f>
        <v/>
      </c>
      <c r="I42" s="506" t="str">
        <f ca="1">IFERROR(OFFSET('4.1(2)新規再エネ導入予定（設備情報）'!$L$1,MATCH(G42,'4.1(2)新規再エネ導入予定（設備情報）'!$G:$G,0)-1,0),"")</f>
        <v/>
      </c>
      <c r="J42" s="507" t="str">
        <f ca="1">IFERROR(OFFSET('4.1(2)新規再エネ導入予定（設備情報）'!$O$1,MATCH(G42,'4.1(2)新規再エネ導入予定（設備情報）'!$G:$G,0)-1,0),"")</f>
        <v/>
      </c>
      <c r="K42" s="508" t="str">
        <f ca="1">IFERROR(OFFSET('4.1(2)新規再エネ導入予定（設備情報）'!$P$1,MATCH(G42,'4.1(2)新規再エネ導入予定（設備情報）'!$G:$G,0)-1,0),"")</f>
        <v/>
      </c>
      <c r="L42" s="486"/>
      <c r="M42" s="486"/>
      <c r="N42" s="486"/>
      <c r="O42" s="483"/>
      <c r="P42" s="24"/>
      <c r="Q42" s="21"/>
      <c r="R42" s="431">
        <f t="shared" si="1"/>
        <v>35</v>
      </c>
      <c r="S42" s="125">
        <f t="shared" si="2"/>
        <v>0</v>
      </c>
      <c r="T42" s="125" t="str">
        <f ca="1">_xlfn.IFNA(OFFSET('(非表示)新規再エネ実現可能性判定'!$C$1,MATCH(M42,'(非表示)新規再エネ実現可能性判定'!$B:$B,0)-1,0),"//")</f>
        <v>//</v>
      </c>
      <c r="U42" s="255" t="str">
        <f ca="1">_xlfn.IFNA(OFFSET('(非表示)新規再エネ実現可能性判定'!$F$1,MATCH(N42,'(非表示)新規再エネ実現可能性判定'!$E:$E,0)-1,0),"//")</f>
        <v>//</v>
      </c>
      <c r="V42" s="255" t="str">
        <f ca="1">_xlfn.IFNA(OFFSET('(非表示)新規再エネ実現可能性判定'!$I$1,MATCH(O42,'(非表示)新規再エネ実現可能性判定'!$H:$H,0)-1,0),"//")</f>
        <v>//</v>
      </c>
      <c r="W42" s="255" t="str">
        <f t="shared" si="4"/>
        <v/>
      </c>
    </row>
    <row r="43" spans="2:23" s="11" customFormat="1" ht="20">
      <c r="B43" s="21"/>
      <c r="C43" s="21"/>
      <c r="D43" s="36"/>
      <c r="E43" s="124"/>
      <c r="F43" s="501" t="str">
        <f ca="1">IFERROR(OFFSET('4.1(2)新規再エネ導入予定（設備情報）'!$F$1,MATCH(G43,'4.1(2)新規再エネ導入予定（設備情報）'!$G:$G,0)-1,0),"")</f>
        <v/>
      </c>
      <c r="G43" s="509"/>
      <c r="H43" s="505" t="str">
        <f ca="1">IFERROR(OFFSET('4.1(2)新規再エネ導入予定（設備情報）'!$H$1,MATCH(G43,'4.1(2)新規再エネ導入予定（設備情報）'!$G:$G,0)-1,0)&amp;"","")</f>
        <v/>
      </c>
      <c r="I43" s="506" t="str">
        <f ca="1">IFERROR(OFFSET('4.1(2)新規再エネ導入予定（設備情報）'!$L$1,MATCH(G43,'4.1(2)新規再エネ導入予定（設備情報）'!$G:$G,0)-1,0),"")</f>
        <v/>
      </c>
      <c r="J43" s="507" t="str">
        <f ca="1">IFERROR(OFFSET('4.1(2)新規再エネ導入予定（設備情報）'!$O$1,MATCH(G43,'4.1(2)新規再エネ導入予定（設備情報）'!$G:$G,0)-1,0),"")</f>
        <v/>
      </c>
      <c r="K43" s="508" t="str">
        <f ca="1">IFERROR(OFFSET('4.1(2)新規再エネ導入予定（設備情報）'!$P$1,MATCH(G43,'4.1(2)新規再エネ導入予定（設備情報）'!$G:$G,0)-1,0),"")</f>
        <v/>
      </c>
      <c r="L43" s="486"/>
      <c r="M43" s="486"/>
      <c r="N43" s="486"/>
      <c r="O43" s="483"/>
      <c r="P43" s="24"/>
      <c r="Q43" s="21"/>
      <c r="R43" s="431">
        <f t="shared" si="1"/>
        <v>36</v>
      </c>
      <c r="S43" s="125">
        <f t="shared" si="2"/>
        <v>0</v>
      </c>
      <c r="T43" s="125" t="str">
        <f ca="1">_xlfn.IFNA(OFFSET('(非表示)新規再エネ実現可能性判定'!$C$1,MATCH(M43,'(非表示)新規再エネ実現可能性判定'!$B:$B,0)-1,0),"//")</f>
        <v>//</v>
      </c>
      <c r="U43" s="255" t="str">
        <f ca="1">_xlfn.IFNA(OFFSET('(非表示)新規再エネ実現可能性判定'!$F$1,MATCH(N43,'(非表示)新規再エネ実現可能性判定'!$E:$E,0)-1,0),"//")</f>
        <v>//</v>
      </c>
      <c r="V43" s="255" t="str">
        <f ca="1">_xlfn.IFNA(OFFSET('(非表示)新規再エネ実現可能性判定'!$I$1,MATCH(O43,'(非表示)新規再エネ実現可能性判定'!$H:$H,0)-1,0),"//")</f>
        <v>//</v>
      </c>
      <c r="W43" s="255" t="str">
        <f t="shared" si="4"/>
        <v/>
      </c>
    </row>
    <row r="44" spans="2:23" ht="17.25" customHeight="1">
      <c r="D44" s="188"/>
      <c r="E44" s="190" t="s">
        <v>20</v>
      </c>
      <c r="F44" s="512"/>
      <c r="G44" s="474"/>
      <c r="H44" s="475"/>
      <c r="I44" s="476"/>
      <c r="J44" s="477"/>
      <c r="K44" s="478"/>
      <c r="L44" s="705"/>
      <c r="M44" s="705"/>
      <c r="N44" s="705"/>
      <c r="O44" s="706"/>
      <c r="P44" s="19"/>
      <c r="R44" s="423">
        <f t="shared" si="1"/>
        <v>37</v>
      </c>
      <c r="S44" s="222">
        <f t="shared" si="2"/>
        <v>0</v>
      </c>
      <c r="T44" s="222" t="str">
        <f ca="1">_xlfn.IFNA(OFFSET('(非表示)新規再エネ実現可能性判定'!$C$1,MATCH(M44,'(非表示)新規再エネ実現可能性判定'!$B:$B,0)-1,0),"//")</f>
        <v>//</v>
      </c>
      <c r="U44" s="175" t="str">
        <f ca="1">_xlfn.IFNA(OFFSET('(非表示)新規再エネ実現可能性判定'!$F$1,MATCH(N44,'(非表示)新規再エネ実現可能性判定'!$E:$E,0)-1,0),"//")</f>
        <v>//</v>
      </c>
      <c r="V44" s="175" t="str">
        <f ca="1">_xlfn.IFNA(OFFSET('(非表示)新規再エネ実現可能性判定'!$I$1,MATCH(O44,'(非表示)新規再エネ実現可能性判定'!$H:$H,0)-1,0),"//")</f>
        <v>//</v>
      </c>
      <c r="W44" s="175" t="str">
        <f t="shared" si="4"/>
        <v/>
      </c>
    </row>
    <row r="45" spans="2:23" s="11" customFormat="1" ht="19.5" hidden="1" customHeight="1">
      <c r="B45" s="21"/>
      <c r="C45" s="21"/>
      <c r="D45" s="36"/>
      <c r="E45" s="124"/>
      <c r="F45" s="488"/>
      <c r="G45" s="479"/>
      <c r="H45" s="495"/>
      <c r="I45" s="502"/>
      <c r="J45" s="503"/>
      <c r="K45" s="504"/>
      <c r="L45" s="510"/>
      <c r="M45" s="510"/>
      <c r="N45" s="510"/>
      <c r="O45" s="511"/>
      <c r="P45" s="24"/>
      <c r="Q45" s="21"/>
      <c r="R45" s="431">
        <f t="shared" si="1"/>
        <v>38</v>
      </c>
      <c r="S45" s="125">
        <f t="shared" si="2"/>
        <v>0</v>
      </c>
      <c r="T45" s="125" t="str">
        <f ca="1">_xlfn.IFNA(OFFSET('(非表示)新規再エネ実現可能性判定'!$C$1,MATCH(M45,'(非表示)新規再エネ実現可能性判定'!$B:$B,0)-1,0),"//")</f>
        <v>//</v>
      </c>
      <c r="U45" s="255" t="str">
        <f ca="1">_xlfn.IFNA(OFFSET('(非表示)新規再エネ実現可能性判定'!$F$1,MATCH(N45,'(非表示)新規再エネ実現可能性判定'!$E:$E,0)-1,0),"//")</f>
        <v>//</v>
      </c>
      <c r="V45" s="255" t="str">
        <f ca="1">_xlfn.IFNA(OFFSET('(非表示)新規再エネ実現可能性判定'!$I$1,MATCH(O45,'(非表示)新規再エネ実現可能性判定'!$H:$H,0)-1,0),"//")</f>
        <v>//</v>
      </c>
      <c r="W45" s="255" t="str">
        <f t="shared" si="4"/>
        <v/>
      </c>
    </row>
    <row r="46" spans="2:23" s="11" customFormat="1" ht="20">
      <c r="B46" s="21"/>
      <c r="C46" s="21"/>
      <c r="D46" s="36"/>
      <c r="E46" s="124"/>
      <c r="F46" s="501" t="str">
        <f ca="1">IFERROR(OFFSET('4.1(2)新規再エネ導入予定（設備情報）'!$F$1,MATCH(G46,'4.1(2)新規再エネ導入予定（設備情報）'!$G:$G,0)-1,0),"")</f>
        <v/>
      </c>
      <c r="G46" s="509"/>
      <c r="H46" s="505" t="str">
        <f ca="1">IFERROR(OFFSET('4.1(2)新規再エネ導入予定（設備情報）'!$H$1,MATCH(G46,'4.1(2)新規再エネ導入予定（設備情報）'!$G:$G,0)-1,0)&amp;"","")</f>
        <v/>
      </c>
      <c r="I46" s="506" t="str">
        <f ca="1">IFERROR(OFFSET('4.1(2)新規再エネ導入予定（設備情報）'!$L$1,MATCH(G46,'4.1(2)新規再エネ導入予定（設備情報）'!$G:$G,0)-1,0),"")</f>
        <v/>
      </c>
      <c r="J46" s="507" t="str">
        <f ca="1">IFERROR(OFFSET('4.1(2)新規再エネ導入予定（設備情報）'!$O$1,MATCH(G46,'4.1(2)新規再エネ導入予定（設備情報）'!$G:$G,0)-1,0),"")</f>
        <v/>
      </c>
      <c r="K46" s="508" t="str">
        <f ca="1">IFERROR(OFFSET('4.1(2)新規再エネ導入予定（設備情報）'!$P$1,MATCH(G46,'4.1(2)新規再エネ導入予定（設備情報）'!$G:$G,0)-1,0),"")</f>
        <v/>
      </c>
      <c r="L46" s="486"/>
      <c r="M46" s="486"/>
      <c r="N46" s="486"/>
      <c r="O46" s="483"/>
      <c r="P46" s="24"/>
      <c r="Q46" s="21"/>
      <c r="R46" s="431">
        <f t="shared" si="1"/>
        <v>39</v>
      </c>
      <c r="S46" s="125">
        <f t="shared" si="2"/>
        <v>0</v>
      </c>
      <c r="T46" s="125" t="str">
        <f ca="1">_xlfn.IFNA(OFFSET('(非表示)新規再エネ実現可能性判定'!$C$1,MATCH(M46,'(非表示)新規再エネ実現可能性判定'!$B:$B,0)-1,0),"//")</f>
        <v>//</v>
      </c>
      <c r="U46" s="255" t="str">
        <f ca="1">_xlfn.IFNA(OFFSET('(非表示)新規再エネ実現可能性判定'!$F$1,MATCH(N46,'(非表示)新規再エネ実現可能性判定'!$E:$E,0)-1,0),"//")</f>
        <v>//</v>
      </c>
      <c r="V46" s="255" t="str">
        <f ca="1">_xlfn.IFNA(OFFSET('(非表示)新規再エネ実現可能性判定'!$I$1,MATCH(O46,'(非表示)新規再エネ実現可能性判定'!$H:$H,0)-1,0),"//")</f>
        <v>//</v>
      </c>
      <c r="W46" s="255" t="str">
        <f t="shared" si="4"/>
        <v/>
      </c>
    </row>
    <row r="47" spans="2:23" s="11" customFormat="1" ht="20">
      <c r="B47" s="21"/>
      <c r="C47" s="21"/>
      <c r="D47" s="36"/>
      <c r="E47" s="124"/>
      <c r="F47" s="501" t="str">
        <f ca="1">IFERROR(OFFSET('4.1(2)新規再エネ導入予定（設備情報）'!$F$1,MATCH(G47,'4.1(2)新規再エネ導入予定（設備情報）'!$G:$G,0)-1,0),"")</f>
        <v/>
      </c>
      <c r="G47" s="509"/>
      <c r="H47" s="505" t="str">
        <f ca="1">IFERROR(OFFSET('4.1(2)新規再エネ導入予定（設備情報）'!$H$1,MATCH(G47,'4.1(2)新規再エネ導入予定（設備情報）'!$G:$G,0)-1,0)&amp;"","")</f>
        <v/>
      </c>
      <c r="I47" s="506" t="str">
        <f ca="1">IFERROR(OFFSET('4.1(2)新規再エネ導入予定（設備情報）'!$L$1,MATCH(G47,'4.1(2)新規再エネ導入予定（設備情報）'!$G:$G,0)-1,0),"")</f>
        <v/>
      </c>
      <c r="J47" s="507" t="str">
        <f ca="1">IFERROR(OFFSET('4.1(2)新規再エネ導入予定（設備情報）'!$O$1,MATCH(G47,'4.1(2)新規再エネ導入予定（設備情報）'!$G:$G,0)-1,0),"")</f>
        <v/>
      </c>
      <c r="K47" s="508" t="str">
        <f ca="1">IFERROR(OFFSET('4.1(2)新規再エネ導入予定（設備情報）'!$P$1,MATCH(G47,'4.1(2)新規再エネ導入予定（設備情報）'!$G:$G,0)-1,0),"")</f>
        <v/>
      </c>
      <c r="L47" s="486"/>
      <c r="M47" s="486"/>
      <c r="N47" s="486"/>
      <c r="O47" s="483"/>
      <c r="P47" s="24"/>
      <c r="Q47" s="21"/>
      <c r="R47" s="431">
        <f t="shared" si="1"/>
        <v>40</v>
      </c>
      <c r="S47" s="125">
        <f t="shared" si="2"/>
        <v>0</v>
      </c>
      <c r="T47" s="125" t="str">
        <f ca="1">_xlfn.IFNA(OFFSET('(非表示)新規再エネ実現可能性判定'!$C$1,MATCH(M47,'(非表示)新規再エネ実現可能性判定'!$B:$B,0)-1,0),"//")</f>
        <v>//</v>
      </c>
      <c r="U47" s="255" t="str">
        <f ca="1">_xlfn.IFNA(OFFSET('(非表示)新規再エネ実現可能性判定'!$F$1,MATCH(N47,'(非表示)新規再エネ実現可能性判定'!$E:$E,0)-1,0),"//")</f>
        <v>//</v>
      </c>
      <c r="V47" s="255" t="str">
        <f ca="1">_xlfn.IFNA(OFFSET('(非表示)新規再エネ実現可能性判定'!$I$1,MATCH(O47,'(非表示)新規再エネ実現可能性判定'!$H:$H,0)-1,0),"//")</f>
        <v>//</v>
      </c>
      <c r="W47" s="255" t="str">
        <f t="shared" si="4"/>
        <v/>
      </c>
    </row>
    <row r="48" spans="2:23" s="11" customFormat="1" ht="20">
      <c r="B48" s="21"/>
      <c r="C48" s="21"/>
      <c r="D48" s="36"/>
      <c r="E48" s="124"/>
      <c r="F48" s="501" t="str">
        <f ca="1">IFERROR(OFFSET('4.1(2)新規再エネ導入予定（設備情報）'!$F$1,MATCH(G48,'4.1(2)新規再エネ導入予定（設備情報）'!$G:$G,0)-1,0),"")</f>
        <v/>
      </c>
      <c r="G48" s="509"/>
      <c r="H48" s="505" t="str">
        <f ca="1">IFERROR(OFFSET('4.1(2)新規再エネ導入予定（設備情報）'!$H$1,MATCH(G48,'4.1(2)新規再エネ導入予定（設備情報）'!$G:$G,0)-1,0)&amp;"","")</f>
        <v/>
      </c>
      <c r="I48" s="506" t="str">
        <f ca="1">IFERROR(OFFSET('4.1(2)新規再エネ導入予定（設備情報）'!$L$1,MATCH(G48,'4.1(2)新規再エネ導入予定（設備情報）'!$G:$G,0)-1,0),"")</f>
        <v/>
      </c>
      <c r="J48" s="507" t="str">
        <f ca="1">IFERROR(OFFSET('4.1(2)新規再エネ導入予定（設備情報）'!$O$1,MATCH(G48,'4.1(2)新規再エネ導入予定（設備情報）'!$G:$G,0)-1,0),"")</f>
        <v/>
      </c>
      <c r="K48" s="508" t="str">
        <f ca="1">IFERROR(OFFSET('4.1(2)新規再エネ導入予定（設備情報）'!$P$1,MATCH(G48,'4.1(2)新規再エネ導入予定（設備情報）'!$G:$G,0)-1,0),"")</f>
        <v/>
      </c>
      <c r="L48" s="486"/>
      <c r="M48" s="486"/>
      <c r="N48" s="486"/>
      <c r="O48" s="483"/>
      <c r="P48" s="24"/>
      <c r="Q48" s="21"/>
      <c r="R48" s="431">
        <f t="shared" si="1"/>
        <v>41</v>
      </c>
      <c r="S48" s="125">
        <f t="shared" si="2"/>
        <v>0</v>
      </c>
      <c r="T48" s="125" t="str">
        <f ca="1">_xlfn.IFNA(OFFSET('(非表示)新規再エネ実現可能性判定'!$C$1,MATCH(M48,'(非表示)新規再エネ実現可能性判定'!$B:$B,0)-1,0),"//")</f>
        <v>//</v>
      </c>
      <c r="U48" s="255" t="str">
        <f ca="1">_xlfn.IFNA(OFFSET('(非表示)新規再エネ実現可能性判定'!$F$1,MATCH(N48,'(非表示)新規再エネ実現可能性判定'!$E:$E,0)-1,0),"//")</f>
        <v>//</v>
      </c>
      <c r="V48" s="255" t="str">
        <f ca="1">_xlfn.IFNA(OFFSET('(非表示)新規再エネ実現可能性判定'!$I$1,MATCH(O48,'(非表示)新規再エネ実現可能性判定'!$H:$H,0)-1,0),"//")</f>
        <v>//</v>
      </c>
      <c r="W48" s="255" t="str">
        <f t="shared" si="4"/>
        <v/>
      </c>
    </row>
    <row r="49" spans="2:23" s="11" customFormat="1" ht="20">
      <c r="B49" s="21"/>
      <c r="C49" s="21"/>
      <c r="D49" s="36"/>
      <c r="E49" s="124"/>
      <c r="F49" s="501" t="str">
        <f ca="1">IFERROR(OFFSET('4.1(2)新規再エネ導入予定（設備情報）'!$F$1,MATCH(G49,'4.1(2)新規再エネ導入予定（設備情報）'!$G:$G,0)-1,0),"")</f>
        <v/>
      </c>
      <c r="G49" s="509"/>
      <c r="H49" s="505" t="str">
        <f ca="1">IFERROR(OFFSET('4.1(2)新規再エネ導入予定（設備情報）'!$H$1,MATCH(G49,'4.1(2)新規再エネ導入予定（設備情報）'!$G:$G,0)-1,0)&amp;"","")</f>
        <v/>
      </c>
      <c r="I49" s="506" t="str">
        <f ca="1">IFERROR(OFFSET('4.1(2)新規再エネ導入予定（設備情報）'!$L$1,MATCH(G49,'4.1(2)新規再エネ導入予定（設備情報）'!$G:$G,0)-1,0),"")</f>
        <v/>
      </c>
      <c r="J49" s="507" t="str">
        <f ca="1">IFERROR(OFFSET('4.1(2)新規再エネ導入予定（設備情報）'!$O$1,MATCH(G49,'4.1(2)新規再エネ導入予定（設備情報）'!$G:$G,0)-1,0),"")</f>
        <v/>
      </c>
      <c r="K49" s="508" t="str">
        <f ca="1">IFERROR(OFFSET('4.1(2)新規再エネ導入予定（設備情報）'!$P$1,MATCH(G49,'4.1(2)新規再エネ導入予定（設備情報）'!$G:$G,0)-1,0),"")</f>
        <v/>
      </c>
      <c r="L49" s="486"/>
      <c r="M49" s="486"/>
      <c r="N49" s="486"/>
      <c r="O49" s="483"/>
      <c r="P49" s="24"/>
      <c r="Q49" s="21"/>
      <c r="R49" s="431">
        <f t="shared" si="1"/>
        <v>42</v>
      </c>
      <c r="S49" s="125">
        <f t="shared" si="2"/>
        <v>0</v>
      </c>
      <c r="T49" s="125" t="str">
        <f ca="1">_xlfn.IFNA(OFFSET('(非表示)新規再エネ実現可能性判定'!$C$1,MATCH(M49,'(非表示)新規再エネ実現可能性判定'!$B:$B,0)-1,0),"//")</f>
        <v>//</v>
      </c>
      <c r="U49" s="255" t="str">
        <f ca="1">_xlfn.IFNA(OFFSET('(非表示)新規再エネ実現可能性判定'!$F$1,MATCH(N49,'(非表示)新規再エネ実現可能性判定'!$E:$E,0)-1,0),"//")</f>
        <v>//</v>
      </c>
      <c r="V49" s="255" t="str">
        <f ca="1">_xlfn.IFNA(OFFSET('(非表示)新規再エネ実現可能性判定'!$I$1,MATCH(O49,'(非表示)新規再エネ実現可能性判定'!$H:$H,0)-1,0),"//")</f>
        <v>//</v>
      </c>
      <c r="W49" s="255" t="str">
        <f t="shared" si="4"/>
        <v/>
      </c>
    </row>
    <row r="50" spans="2:23" ht="20">
      <c r="D50" s="188"/>
      <c r="E50" s="190" t="s">
        <v>21</v>
      </c>
      <c r="F50" s="512"/>
      <c r="G50" s="474"/>
      <c r="H50" s="475"/>
      <c r="I50" s="476"/>
      <c r="J50" s="477"/>
      <c r="K50" s="478"/>
      <c r="L50" s="705"/>
      <c r="M50" s="705"/>
      <c r="N50" s="705"/>
      <c r="O50" s="706"/>
      <c r="P50" s="19"/>
      <c r="R50" s="423">
        <f t="shared" si="1"/>
        <v>43</v>
      </c>
      <c r="S50" s="222">
        <f t="shared" si="2"/>
        <v>0</v>
      </c>
      <c r="T50" s="222" t="str">
        <f ca="1">_xlfn.IFNA(OFFSET('(非表示)新規再エネ実現可能性判定'!$C$1,MATCH(M50,'(非表示)新規再エネ実現可能性判定'!$B:$B,0)-1,0),"//")</f>
        <v>//</v>
      </c>
      <c r="U50" s="175" t="str">
        <f ca="1">_xlfn.IFNA(OFFSET('(非表示)新規再エネ実現可能性判定'!$F$1,MATCH(N50,'(非表示)新規再エネ実現可能性判定'!$E:$E,0)-1,0),"//")</f>
        <v>//</v>
      </c>
      <c r="V50" s="175" t="str">
        <f ca="1">_xlfn.IFNA(OFFSET('(非表示)新規再エネ実現可能性判定'!$I$1,MATCH(O50,'(非表示)新規再エネ実現可能性判定'!$H:$H,0)-1,0),"//")</f>
        <v>//</v>
      </c>
      <c r="W50" s="175" t="str">
        <f t="shared" si="4"/>
        <v/>
      </c>
    </row>
    <row r="51" spans="2:23" s="11" customFormat="1" ht="19.5" hidden="1" customHeight="1">
      <c r="B51" s="21"/>
      <c r="C51" s="21"/>
      <c r="D51" s="36"/>
      <c r="E51" s="124"/>
      <c r="F51" s="488"/>
      <c r="G51" s="479"/>
      <c r="H51" s="495"/>
      <c r="I51" s="502"/>
      <c r="J51" s="503"/>
      <c r="K51" s="504"/>
      <c r="L51" s="510"/>
      <c r="M51" s="510"/>
      <c r="N51" s="510"/>
      <c r="O51" s="511"/>
      <c r="P51" s="24"/>
      <c r="Q51" s="21"/>
      <c r="R51" s="431">
        <f t="shared" si="1"/>
        <v>44</v>
      </c>
      <c r="S51" s="125">
        <f t="shared" si="2"/>
        <v>0</v>
      </c>
      <c r="T51" s="125" t="str">
        <f ca="1">_xlfn.IFNA(OFFSET('(非表示)新規再エネ実現可能性判定'!$C$1,MATCH(M51,'(非表示)新規再エネ実現可能性判定'!$B:$B,0)-1,0),"//")</f>
        <v>//</v>
      </c>
      <c r="U51" s="255" t="str">
        <f ca="1">_xlfn.IFNA(OFFSET('(非表示)新規再エネ実現可能性判定'!$F$1,MATCH(N51,'(非表示)新規再エネ実現可能性判定'!$E:$E,0)-1,0),"//")</f>
        <v>//</v>
      </c>
      <c r="V51" s="255" t="str">
        <f ca="1">_xlfn.IFNA(OFFSET('(非表示)新規再エネ実現可能性判定'!$I$1,MATCH(O51,'(非表示)新規再エネ実現可能性判定'!$H:$H,0)-1,0),"//")</f>
        <v>//</v>
      </c>
      <c r="W51" s="255" t="str">
        <f t="shared" si="4"/>
        <v/>
      </c>
    </row>
    <row r="52" spans="2:23" s="11" customFormat="1" ht="20">
      <c r="B52" s="21"/>
      <c r="C52" s="21"/>
      <c r="D52" s="36"/>
      <c r="E52" s="124"/>
      <c r="F52" s="501" t="str">
        <f ca="1">IFERROR(OFFSET('4.1(2)新規再エネ導入予定（設備情報）'!$F$1,MATCH(G52,'4.1(2)新規再エネ導入予定（設備情報）'!$G:$G,0)-1,0),"")</f>
        <v/>
      </c>
      <c r="G52" s="509"/>
      <c r="H52" s="505" t="str">
        <f ca="1">IFERROR(OFFSET('4.1(2)新規再エネ導入予定（設備情報）'!$H$1,MATCH(G52,'4.1(2)新規再エネ導入予定（設備情報）'!$G:$G,0)-1,0)&amp;"","")</f>
        <v/>
      </c>
      <c r="I52" s="506" t="str">
        <f ca="1">IFERROR(OFFSET('4.1(2)新規再エネ導入予定（設備情報）'!$L$1,MATCH(G52,'4.1(2)新規再エネ導入予定（設備情報）'!$G:$G,0)-1,0),"")</f>
        <v/>
      </c>
      <c r="J52" s="507" t="str">
        <f ca="1">IFERROR(OFFSET('4.1(2)新規再エネ導入予定（設備情報）'!$O$1,MATCH(G52,'4.1(2)新規再エネ導入予定（設備情報）'!$G:$G,0)-1,0),"")</f>
        <v/>
      </c>
      <c r="K52" s="508" t="str">
        <f ca="1">IFERROR(OFFSET('4.1(2)新規再エネ導入予定（設備情報）'!$P$1,MATCH(G52,'4.1(2)新規再エネ導入予定（設備情報）'!$G:$G,0)-1,0),"")</f>
        <v/>
      </c>
      <c r="L52" s="486"/>
      <c r="M52" s="486"/>
      <c r="N52" s="486"/>
      <c r="O52" s="483"/>
      <c r="P52" s="24"/>
      <c r="Q52" s="21"/>
      <c r="R52" s="431">
        <f t="shared" si="1"/>
        <v>45</v>
      </c>
      <c r="S52" s="125">
        <f t="shared" si="2"/>
        <v>0</v>
      </c>
      <c r="T52" s="125" t="str">
        <f ca="1">_xlfn.IFNA(OFFSET('(非表示)新規再エネ実現可能性判定'!$C$1,MATCH(M52,'(非表示)新規再エネ実現可能性判定'!$B:$B,0)-1,0),"//")</f>
        <v>//</v>
      </c>
      <c r="U52" s="255" t="str">
        <f ca="1">_xlfn.IFNA(OFFSET('(非表示)新規再エネ実現可能性判定'!$F$1,MATCH(N52,'(非表示)新規再エネ実現可能性判定'!$E:$E,0)-1,0),"//")</f>
        <v>//</v>
      </c>
      <c r="V52" s="255" t="str">
        <f ca="1">_xlfn.IFNA(OFFSET('(非表示)新規再エネ実現可能性判定'!$I$1,MATCH(O52,'(非表示)新規再エネ実現可能性判定'!$H:$H,0)-1,0),"//")</f>
        <v>//</v>
      </c>
      <c r="W52" s="255" t="str">
        <f t="shared" si="4"/>
        <v/>
      </c>
    </row>
    <row r="53" spans="2:23" s="11" customFormat="1" ht="20">
      <c r="B53" s="21"/>
      <c r="C53" s="21"/>
      <c r="D53" s="36"/>
      <c r="E53" s="124"/>
      <c r="F53" s="501" t="str">
        <f ca="1">IFERROR(OFFSET('4.1(2)新規再エネ導入予定（設備情報）'!$F$1,MATCH(G53,'4.1(2)新規再エネ導入予定（設備情報）'!$G:$G,0)-1,0),"")</f>
        <v/>
      </c>
      <c r="G53" s="509"/>
      <c r="H53" s="505" t="str">
        <f ca="1">IFERROR(OFFSET('4.1(2)新規再エネ導入予定（設備情報）'!$H$1,MATCH(G53,'4.1(2)新規再エネ導入予定（設備情報）'!$G:$G,0)-1,0)&amp;"","")</f>
        <v/>
      </c>
      <c r="I53" s="506" t="str">
        <f ca="1">IFERROR(OFFSET('4.1(2)新規再エネ導入予定（設備情報）'!$L$1,MATCH(G53,'4.1(2)新規再エネ導入予定（設備情報）'!$G:$G,0)-1,0),"")</f>
        <v/>
      </c>
      <c r="J53" s="507" t="str">
        <f ca="1">IFERROR(OFFSET('4.1(2)新規再エネ導入予定（設備情報）'!$O$1,MATCH(G53,'4.1(2)新規再エネ導入予定（設備情報）'!$G:$G,0)-1,0),"")</f>
        <v/>
      </c>
      <c r="K53" s="508" t="str">
        <f ca="1">IFERROR(OFFSET('4.1(2)新規再エネ導入予定（設備情報）'!$P$1,MATCH(G53,'4.1(2)新規再エネ導入予定（設備情報）'!$G:$G,0)-1,0),"")</f>
        <v/>
      </c>
      <c r="L53" s="486"/>
      <c r="M53" s="486"/>
      <c r="N53" s="486"/>
      <c r="O53" s="483"/>
      <c r="P53" s="24"/>
      <c r="Q53" s="21"/>
      <c r="R53" s="431">
        <f t="shared" si="1"/>
        <v>46</v>
      </c>
      <c r="S53" s="125">
        <f t="shared" si="2"/>
        <v>0</v>
      </c>
      <c r="T53" s="125" t="str">
        <f ca="1">_xlfn.IFNA(OFFSET('(非表示)新規再エネ実現可能性判定'!$C$1,MATCH(M53,'(非表示)新規再エネ実現可能性判定'!$B:$B,0)-1,0),"//")</f>
        <v>//</v>
      </c>
      <c r="U53" s="255" t="str">
        <f ca="1">_xlfn.IFNA(OFFSET('(非表示)新規再エネ実現可能性判定'!$F$1,MATCH(N53,'(非表示)新規再エネ実現可能性判定'!$E:$E,0)-1,0),"//")</f>
        <v>//</v>
      </c>
      <c r="V53" s="255" t="str">
        <f ca="1">_xlfn.IFNA(OFFSET('(非表示)新規再エネ実現可能性判定'!$I$1,MATCH(O53,'(非表示)新規再エネ実現可能性判定'!$H:$H,0)-1,0),"//")</f>
        <v>//</v>
      </c>
      <c r="W53" s="255" t="str">
        <f t="shared" si="4"/>
        <v/>
      </c>
    </row>
    <row r="54" spans="2:23" s="11" customFormat="1" ht="20">
      <c r="B54" s="21"/>
      <c r="C54" s="21"/>
      <c r="D54" s="36"/>
      <c r="E54" s="124"/>
      <c r="F54" s="501" t="str">
        <f ca="1">IFERROR(OFFSET('4.1(2)新規再エネ導入予定（設備情報）'!$F$1,MATCH(G54,'4.1(2)新規再エネ導入予定（設備情報）'!$G:$G,0)-1,0),"")</f>
        <v/>
      </c>
      <c r="G54" s="509"/>
      <c r="H54" s="505" t="str">
        <f ca="1">IFERROR(OFFSET('4.1(2)新規再エネ導入予定（設備情報）'!$H$1,MATCH(G54,'4.1(2)新規再エネ導入予定（設備情報）'!$G:$G,0)-1,0)&amp;"","")</f>
        <v/>
      </c>
      <c r="I54" s="506" t="str">
        <f ca="1">IFERROR(OFFSET('4.1(2)新規再エネ導入予定（設備情報）'!$L$1,MATCH(G54,'4.1(2)新規再エネ導入予定（設備情報）'!$G:$G,0)-1,0),"")</f>
        <v/>
      </c>
      <c r="J54" s="507" t="str">
        <f ca="1">IFERROR(OFFSET('4.1(2)新規再エネ導入予定（設備情報）'!$O$1,MATCH(G54,'4.1(2)新規再エネ導入予定（設備情報）'!$G:$G,0)-1,0),"")</f>
        <v/>
      </c>
      <c r="K54" s="508" t="str">
        <f ca="1">IFERROR(OFFSET('4.1(2)新規再エネ導入予定（設備情報）'!$P$1,MATCH(G54,'4.1(2)新規再エネ導入予定（設備情報）'!$G:$G,0)-1,0),"")</f>
        <v/>
      </c>
      <c r="L54" s="486"/>
      <c r="M54" s="486"/>
      <c r="N54" s="486"/>
      <c r="O54" s="483"/>
      <c r="P54" s="24"/>
      <c r="Q54" s="21"/>
      <c r="R54" s="431">
        <f t="shared" si="1"/>
        <v>47</v>
      </c>
      <c r="S54" s="125">
        <f t="shared" si="2"/>
        <v>0</v>
      </c>
      <c r="T54" s="125" t="str">
        <f ca="1">_xlfn.IFNA(OFFSET('(非表示)新規再エネ実現可能性判定'!$C$1,MATCH(M54,'(非表示)新規再エネ実現可能性判定'!$B:$B,0)-1,0),"//")</f>
        <v>//</v>
      </c>
      <c r="U54" s="255" t="str">
        <f ca="1">_xlfn.IFNA(OFFSET('(非表示)新規再エネ実現可能性判定'!$F$1,MATCH(N54,'(非表示)新規再エネ実現可能性判定'!$E:$E,0)-1,0),"//")</f>
        <v>//</v>
      </c>
      <c r="V54" s="255" t="str">
        <f ca="1">_xlfn.IFNA(OFFSET('(非表示)新規再エネ実現可能性判定'!$I$1,MATCH(O54,'(非表示)新規再エネ実現可能性判定'!$H:$H,0)-1,0),"//")</f>
        <v>//</v>
      </c>
      <c r="W54" s="255" t="str">
        <f t="shared" si="4"/>
        <v/>
      </c>
    </row>
    <row r="55" spans="2:23" s="11" customFormat="1" ht="20">
      <c r="B55" s="21"/>
      <c r="C55" s="21"/>
      <c r="D55" s="36"/>
      <c r="E55" s="124"/>
      <c r="F55" s="501" t="str">
        <f ca="1">IFERROR(OFFSET('4.1(2)新規再エネ導入予定（設備情報）'!$F$1,MATCH(G55,'4.1(2)新規再エネ導入予定（設備情報）'!$G:$G,0)-1,0),"")</f>
        <v/>
      </c>
      <c r="G55" s="509"/>
      <c r="H55" s="505" t="str">
        <f ca="1">IFERROR(OFFSET('4.1(2)新規再エネ導入予定（設備情報）'!$H$1,MATCH(G55,'4.1(2)新規再エネ導入予定（設備情報）'!$G:$G,0)-1,0)&amp;"","")</f>
        <v/>
      </c>
      <c r="I55" s="506" t="str">
        <f ca="1">IFERROR(OFFSET('4.1(2)新規再エネ導入予定（設備情報）'!$L$1,MATCH(G55,'4.1(2)新規再エネ導入予定（設備情報）'!$G:$G,0)-1,0),"")</f>
        <v/>
      </c>
      <c r="J55" s="507" t="str">
        <f ca="1">IFERROR(OFFSET('4.1(2)新規再エネ導入予定（設備情報）'!$O$1,MATCH(G55,'4.1(2)新規再エネ導入予定（設備情報）'!$G:$G,0)-1,0),"")</f>
        <v/>
      </c>
      <c r="K55" s="508" t="str">
        <f ca="1">IFERROR(OFFSET('4.1(2)新規再エネ導入予定（設備情報）'!$P$1,MATCH(G55,'4.1(2)新規再エネ導入予定（設備情報）'!$G:$G,0)-1,0),"")</f>
        <v/>
      </c>
      <c r="L55" s="486"/>
      <c r="M55" s="486"/>
      <c r="N55" s="486"/>
      <c r="O55" s="483"/>
      <c r="P55" s="24"/>
      <c r="Q55" s="21"/>
      <c r="R55" s="431">
        <f t="shared" si="1"/>
        <v>48</v>
      </c>
      <c r="S55" s="125">
        <f t="shared" si="2"/>
        <v>0</v>
      </c>
      <c r="T55" s="125" t="str">
        <f ca="1">_xlfn.IFNA(OFFSET('(非表示)新規再エネ実現可能性判定'!$C$1,MATCH(M55,'(非表示)新規再エネ実現可能性判定'!$B:$B,0)-1,0),"//")</f>
        <v>//</v>
      </c>
      <c r="U55" s="255" t="str">
        <f ca="1">_xlfn.IFNA(OFFSET('(非表示)新規再エネ実現可能性判定'!$F$1,MATCH(N55,'(非表示)新規再エネ実現可能性判定'!$E:$E,0)-1,0),"//")</f>
        <v>//</v>
      </c>
      <c r="V55" s="255" t="str">
        <f ca="1">_xlfn.IFNA(OFFSET('(非表示)新規再エネ実現可能性判定'!$I$1,MATCH(O55,'(非表示)新規再エネ実現可能性判定'!$H:$H,0)-1,0),"//")</f>
        <v>//</v>
      </c>
      <c r="W55" s="255" t="str">
        <f t="shared" si="4"/>
        <v/>
      </c>
    </row>
    <row r="56" spans="2:23" ht="18" customHeight="1">
      <c r="D56" s="188"/>
      <c r="E56" s="190" t="s">
        <v>22</v>
      </c>
      <c r="F56" s="512"/>
      <c r="G56" s="474"/>
      <c r="H56" s="475"/>
      <c r="I56" s="476"/>
      <c r="J56" s="477"/>
      <c r="K56" s="478"/>
      <c r="L56" s="705"/>
      <c r="M56" s="705"/>
      <c r="N56" s="705"/>
      <c r="O56" s="706"/>
      <c r="P56" s="19"/>
      <c r="R56" s="423">
        <f t="shared" si="1"/>
        <v>49</v>
      </c>
      <c r="S56" s="222">
        <f t="shared" si="2"/>
        <v>0</v>
      </c>
      <c r="T56" s="222" t="str">
        <f ca="1">_xlfn.IFNA(OFFSET('(非表示)新規再エネ実現可能性判定'!$C$1,MATCH(M56,'(非表示)新規再エネ実現可能性判定'!$B:$B,0)-1,0),"//")</f>
        <v>//</v>
      </c>
      <c r="U56" s="175" t="str">
        <f ca="1">_xlfn.IFNA(OFFSET('(非表示)新規再エネ実現可能性判定'!$F$1,MATCH(N56,'(非表示)新規再エネ実現可能性判定'!$E:$E,0)-1,0),"//")</f>
        <v>//</v>
      </c>
      <c r="V56" s="175" t="str">
        <f ca="1">_xlfn.IFNA(OFFSET('(非表示)新規再エネ実現可能性判定'!$I$1,MATCH(O56,'(非表示)新規再エネ実現可能性判定'!$H:$H,0)-1,0),"//")</f>
        <v>//</v>
      </c>
      <c r="W56" s="175" t="str">
        <f t="shared" si="4"/>
        <v/>
      </c>
    </row>
    <row r="57" spans="2:23" s="11" customFormat="1" ht="19.5" hidden="1" customHeight="1">
      <c r="B57" s="21"/>
      <c r="C57" s="21"/>
      <c r="D57" s="36"/>
      <c r="E57" s="124"/>
      <c r="F57" s="488"/>
      <c r="G57" s="479"/>
      <c r="H57" s="495"/>
      <c r="I57" s="502"/>
      <c r="J57" s="503"/>
      <c r="K57" s="504"/>
      <c r="L57" s="510"/>
      <c r="M57" s="510"/>
      <c r="N57" s="510"/>
      <c r="O57" s="511"/>
      <c r="P57" s="24"/>
      <c r="Q57" s="21"/>
      <c r="R57" s="431">
        <f t="shared" si="1"/>
        <v>50</v>
      </c>
      <c r="S57" s="125">
        <f t="shared" si="2"/>
        <v>0</v>
      </c>
      <c r="T57" s="125" t="str">
        <f ca="1">_xlfn.IFNA(OFFSET('(非表示)新規再エネ実現可能性判定'!$C$1,MATCH(M57,'(非表示)新規再エネ実現可能性判定'!$B:$B,0)-1,0),"//")</f>
        <v>//</v>
      </c>
      <c r="U57" s="255" t="str">
        <f ca="1">_xlfn.IFNA(OFFSET('(非表示)新規再エネ実現可能性判定'!$F$1,MATCH(N57,'(非表示)新規再エネ実現可能性判定'!$E:$E,0)-1,0),"//")</f>
        <v>//</v>
      </c>
      <c r="V57" s="255" t="str">
        <f ca="1">_xlfn.IFNA(OFFSET('(非表示)新規再エネ実現可能性判定'!$I$1,MATCH(O57,'(非表示)新規再エネ実現可能性判定'!$H:$H,0)-1,0),"//")</f>
        <v>//</v>
      </c>
      <c r="W57" s="255" t="str">
        <f t="shared" si="4"/>
        <v/>
      </c>
    </row>
    <row r="58" spans="2:23" s="11" customFormat="1" ht="20">
      <c r="B58" s="21"/>
      <c r="C58" s="21"/>
      <c r="D58" s="36"/>
      <c r="E58" s="124"/>
      <c r="F58" s="501" t="str">
        <f ca="1">IFERROR(OFFSET('4.1(2)新規再エネ導入予定（設備情報）'!$F$1,MATCH(G58,'4.1(2)新規再エネ導入予定（設備情報）'!$G:$G,0)-1,0),"")</f>
        <v/>
      </c>
      <c r="G58" s="509"/>
      <c r="H58" s="505" t="str">
        <f ca="1">IFERROR(OFFSET('4.1(2)新規再エネ導入予定（設備情報）'!$H$1,MATCH(G58,'4.1(2)新規再エネ導入予定（設備情報）'!$G:$G,0)-1,0)&amp;"","")</f>
        <v/>
      </c>
      <c r="I58" s="506" t="str">
        <f ca="1">IFERROR(OFFSET('4.1(2)新規再エネ導入予定（設備情報）'!$L$1,MATCH(G58,'4.1(2)新規再エネ導入予定（設備情報）'!$G:$G,0)-1,0),"")</f>
        <v/>
      </c>
      <c r="J58" s="507" t="str">
        <f ca="1">IFERROR(OFFSET('4.1(2)新規再エネ導入予定（設備情報）'!$O$1,MATCH(G58,'4.1(2)新規再エネ導入予定（設備情報）'!$G:$G,0)-1,0),"")</f>
        <v/>
      </c>
      <c r="K58" s="508" t="str">
        <f ca="1">IFERROR(OFFSET('4.1(2)新規再エネ導入予定（設備情報）'!$P$1,MATCH(G58,'4.1(2)新規再エネ導入予定（設備情報）'!$G:$G,0)-1,0),"")</f>
        <v/>
      </c>
      <c r="L58" s="486"/>
      <c r="M58" s="486"/>
      <c r="N58" s="486"/>
      <c r="O58" s="483"/>
      <c r="P58" s="24"/>
      <c r="Q58" s="21"/>
      <c r="R58" s="431">
        <f t="shared" si="1"/>
        <v>51</v>
      </c>
      <c r="S58" s="125">
        <f t="shared" si="2"/>
        <v>0</v>
      </c>
      <c r="T58" s="125" t="str">
        <f ca="1">_xlfn.IFNA(OFFSET('(非表示)新規再エネ実現可能性判定'!$C$1,MATCH(M58,'(非表示)新規再エネ実現可能性判定'!$B:$B,0)-1,0),"//")</f>
        <v>//</v>
      </c>
      <c r="U58" s="255" t="str">
        <f ca="1">_xlfn.IFNA(OFFSET('(非表示)新規再エネ実現可能性判定'!$F$1,MATCH(N58,'(非表示)新規再エネ実現可能性判定'!$E:$E,0)-1,0),"//")</f>
        <v>//</v>
      </c>
      <c r="V58" s="255" t="str">
        <f ca="1">_xlfn.IFNA(OFFSET('(非表示)新規再エネ実現可能性判定'!$I$1,MATCH(O58,'(非表示)新規再エネ実現可能性判定'!$H:$H,0)-1,0),"//")</f>
        <v>//</v>
      </c>
      <c r="W58" s="255" t="str">
        <f t="shared" si="4"/>
        <v/>
      </c>
    </row>
    <row r="59" spans="2:23" s="11" customFormat="1" ht="20">
      <c r="B59" s="21"/>
      <c r="C59" s="21"/>
      <c r="D59" s="36"/>
      <c r="E59" s="124"/>
      <c r="F59" s="501" t="str">
        <f ca="1">IFERROR(OFFSET('4.1(2)新規再エネ導入予定（設備情報）'!$F$1,MATCH(G59,'4.1(2)新規再エネ導入予定（設備情報）'!$G:$G,0)-1,0),"")</f>
        <v/>
      </c>
      <c r="G59" s="509"/>
      <c r="H59" s="505" t="str">
        <f ca="1">IFERROR(OFFSET('4.1(2)新規再エネ導入予定（設備情報）'!$H$1,MATCH(G59,'4.1(2)新規再エネ導入予定（設備情報）'!$G:$G,0)-1,0)&amp;"","")</f>
        <v/>
      </c>
      <c r="I59" s="506" t="str">
        <f ca="1">IFERROR(OFFSET('4.1(2)新規再エネ導入予定（設備情報）'!$L$1,MATCH(G59,'4.1(2)新規再エネ導入予定（設備情報）'!$G:$G,0)-1,0),"")</f>
        <v/>
      </c>
      <c r="J59" s="507" t="str">
        <f ca="1">IFERROR(OFFSET('4.1(2)新規再エネ導入予定（設備情報）'!$O$1,MATCH(G59,'4.1(2)新規再エネ導入予定（設備情報）'!$G:$G,0)-1,0),"")</f>
        <v/>
      </c>
      <c r="K59" s="508" t="str">
        <f ca="1">IFERROR(OFFSET('4.1(2)新規再エネ導入予定（設備情報）'!$P$1,MATCH(G59,'4.1(2)新規再エネ導入予定（設備情報）'!$G:$G,0)-1,0),"")</f>
        <v/>
      </c>
      <c r="L59" s="486"/>
      <c r="M59" s="486"/>
      <c r="N59" s="486"/>
      <c r="O59" s="483"/>
      <c r="P59" s="24"/>
      <c r="Q59" s="21"/>
      <c r="R59" s="431">
        <f t="shared" si="1"/>
        <v>52</v>
      </c>
      <c r="S59" s="125">
        <f t="shared" si="2"/>
        <v>0</v>
      </c>
      <c r="T59" s="125" t="str">
        <f ca="1">_xlfn.IFNA(OFFSET('(非表示)新規再エネ実現可能性判定'!$C$1,MATCH(M59,'(非表示)新規再エネ実現可能性判定'!$B:$B,0)-1,0),"//")</f>
        <v>//</v>
      </c>
      <c r="U59" s="255" t="str">
        <f ca="1">_xlfn.IFNA(OFFSET('(非表示)新規再エネ実現可能性判定'!$F$1,MATCH(N59,'(非表示)新規再エネ実現可能性判定'!$E:$E,0)-1,0),"//")</f>
        <v>//</v>
      </c>
      <c r="V59" s="255" t="str">
        <f ca="1">_xlfn.IFNA(OFFSET('(非表示)新規再エネ実現可能性判定'!$I$1,MATCH(O59,'(非表示)新規再エネ実現可能性判定'!$H:$H,0)-1,0),"//")</f>
        <v>//</v>
      </c>
      <c r="W59" s="255" t="str">
        <f t="shared" si="4"/>
        <v/>
      </c>
    </row>
    <row r="60" spans="2:23" s="11" customFormat="1" ht="20">
      <c r="B60" s="21"/>
      <c r="C60" s="21"/>
      <c r="D60" s="36"/>
      <c r="E60" s="124"/>
      <c r="F60" s="501" t="str">
        <f ca="1">IFERROR(OFFSET('4.1(2)新規再エネ導入予定（設備情報）'!$F$1,MATCH(G60,'4.1(2)新規再エネ導入予定（設備情報）'!$G:$G,0)-1,0),"")</f>
        <v/>
      </c>
      <c r="G60" s="509"/>
      <c r="H60" s="505" t="str">
        <f ca="1">IFERROR(OFFSET('4.1(2)新規再エネ導入予定（設備情報）'!$H$1,MATCH(G60,'4.1(2)新規再エネ導入予定（設備情報）'!$G:$G,0)-1,0)&amp;"","")</f>
        <v/>
      </c>
      <c r="I60" s="506" t="str">
        <f ca="1">IFERROR(OFFSET('4.1(2)新規再エネ導入予定（設備情報）'!$L$1,MATCH(G60,'4.1(2)新規再エネ導入予定（設備情報）'!$G:$G,0)-1,0),"")</f>
        <v/>
      </c>
      <c r="J60" s="507" t="str">
        <f ca="1">IFERROR(OFFSET('4.1(2)新規再エネ導入予定（設備情報）'!$O$1,MATCH(G60,'4.1(2)新規再エネ導入予定（設備情報）'!$G:$G,0)-1,0),"")</f>
        <v/>
      </c>
      <c r="K60" s="508" t="str">
        <f ca="1">IFERROR(OFFSET('4.1(2)新規再エネ導入予定（設備情報）'!$P$1,MATCH(G60,'4.1(2)新規再エネ導入予定（設備情報）'!$G:$G,0)-1,0),"")</f>
        <v/>
      </c>
      <c r="L60" s="486"/>
      <c r="M60" s="486"/>
      <c r="N60" s="486"/>
      <c r="O60" s="483"/>
      <c r="P60" s="24"/>
      <c r="Q60" s="21"/>
      <c r="R60" s="431">
        <f t="shared" si="1"/>
        <v>53</v>
      </c>
      <c r="S60" s="125">
        <f t="shared" si="2"/>
        <v>0</v>
      </c>
      <c r="T60" s="125" t="str">
        <f ca="1">_xlfn.IFNA(OFFSET('(非表示)新規再エネ実現可能性判定'!$C$1,MATCH(M60,'(非表示)新規再エネ実現可能性判定'!$B:$B,0)-1,0),"//")</f>
        <v>//</v>
      </c>
      <c r="U60" s="255" t="str">
        <f ca="1">_xlfn.IFNA(OFFSET('(非表示)新規再エネ実現可能性判定'!$F$1,MATCH(N60,'(非表示)新規再エネ実現可能性判定'!$E:$E,0)-1,0),"//")</f>
        <v>//</v>
      </c>
      <c r="V60" s="255" t="str">
        <f ca="1">_xlfn.IFNA(OFFSET('(非表示)新規再エネ実現可能性判定'!$I$1,MATCH(O60,'(非表示)新規再エネ実現可能性判定'!$H:$H,0)-1,0),"//")</f>
        <v>//</v>
      </c>
      <c r="W60" s="255" t="str">
        <f t="shared" si="4"/>
        <v/>
      </c>
    </row>
    <row r="61" spans="2:23" s="11" customFormat="1" ht="20">
      <c r="B61" s="21"/>
      <c r="C61" s="21"/>
      <c r="D61" s="36"/>
      <c r="E61" s="124"/>
      <c r="F61" s="501" t="str">
        <f ca="1">IFERROR(OFFSET('4.1(2)新規再エネ導入予定（設備情報）'!$F$1,MATCH(G61,'4.1(2)新規再エネ導入予定（設備情報）'!$G:$G,0)-1,0),"")</f>
        <v/>
      </c>
      <c r="G61" s="509"/>
      <c r="H61" s="505" t="str">
        <f ca="1">IFERROR(OFFSET('4.1(2)新規再エネ導入予定（設備情報）'!$H$1,MATCH(G61,'4.1(2)新規再エネ導入予定（設備情報）'!$G:$G,0)-1,0)&amp;"","")</f>
        <v/>
      </c>
      <c r="I61" s="506" t="str">
        <f ca="1">IFERROR(OFFSET('4.1(2)新規再エネ導入予定（設備情報）'!$L$1,MATCH(G61,'4.1(2)新規再エネ導入予定（設備情報）'!$G:$G,0)-1,0),"")</f>
        <v/>
      </c>
      <c r="J61" s="507" t="str">
        <f ca="1">IFERROR(OFFSET('4.1(2)新規再エネ導入予定（設備情報）'!$O$1,MATCH(G61,'4.1(2)新規再エネ導入予定（設備情報）'!$G:$G,0)-1,0),"")</f>
        <v/>
      </c>
      <c r="K61" s="508" t="str">
        <f ca="1">IFERROR(OFFSET('4.1(2)新規再エネ導入予定（設備情報）'!$P$1,MATCH(G61,'4.1(2)新規再エネ導入予定（設備情報）'!$G:$G,0)-1,0),"")</f>
        <v/>
      </c>
      <c r="L61" s="486"/>
      <c r="M61" s="486"/>
      <c r="N61" s="486"/>
      <c r="O61" s="483"/>
      <c r="P61" s="24"/>
      <c r="Q61" s="21"/>
      <c r="R61" s="431">
        <f t="shared" si="1"/>
        <v>54</v>
      </c>
      <c r="S61" s="125">
        <f t="shared" si="2"/>
        <v>0</v>
      </c>
      <c r="T61" s="125" t="str">
        <f ca="1">_xlfn.IFNA(OFFSET('(非表示)新規再エネ実現可能性判定'!$C$1,MATCH(M61,'(非表示)新規再エネ実現可能性判定'!$B:$B,0)-1,0),"//")</f>
        <v>//</v>
      </c>
      <c r="U61" s="255" t="str">
        <f ca="1">_xlfn.IFNA(OFFSET('(非表示)新規再エネ実現可能性判定'!$F$1,MATCH(N61,'(非表示)新規再エネ実現可能性判定'!$E:$E,0)-1,0),"//")</f>
        <v>//</v>
      </c>
      <c r="V61" s="255" t="str">
        <f ca="1">_xlfn.IFNA(OFFSET('(非表示)新規再エネ実現可能性判定'!$I$1,MATCH(O61,'(非表示)新規再エネ実現可能性判定'!$H:$H,0)-1,0),"//")</f>
        <v>//</v>
      </c>
      <c r="W61" s="255" t="str">
        <f t="shared" si="4"/>
        <v/>
      </c>
    </row>
    <row r="62" spans="2:23" ht="20">
      <c r="D62" s="188"/>
      <c r="E62" s="190" t="s">
        <v>23</v>
      </c>
      <c r="F62" s="512"/>
      <c r="G62" s="474"/>
      <c r="H62" s="475"/>
      <c r="I62" s="476"/>
      <c r="J62" s="477"/>
      <c r="K62" s="478"/>
      <c r="L62" s="705"/>
      <c r="M62" s="705"/>
      <c r="N62" s="705"/>
      <c r="O62" s="706"/>
      <c r="P62" s="19"/>
      <c r="R62" s="423">
        <f t="shared" si="1"/>
        <v>55</v>
      </c>
      <c r="S62" s="222">
        <f t="shared" si="2"/>
        <v>0</v>
      </c>
      <c r="T62" s="222" t="str">
        <f ca="1">_xlfn.IFNA(OFFSET('(非表示)新規再エネ実現可能性判定'!$C$1,MATCH(M62,'(非表示)新規再エネ実現可能性判定'!$B:$B,0)-1,0),"//")</f>
        <v>//</v>
      </c>
      <c r="U62" s="175" t="str">
        <f ca="1">_xlfn.IFNA(OFFSET('(非表示)新規再エネ実現可能性判定'!$F$1,MATCH(N62,'(非表示)新規再エネ実現可能性判定'!$E:$E,0)-1,0),"//")</f>
        <v>//</v>
      </c>
      <c r="V62" s="175" t="str">
        <f ca="1">_xlfn.IFNA(OFFSET('(非表示)新規再エネ実現可能性判定'!$I$1,MATCH(O62,'(非表示)新規再エネ実現可能性判定'!$H:$H,0)-1,0),"//")</f>
        <v>//</v>
      </c>
      <c r="W62" s="175" t="str">
        <f t="shared" si="4"/>
        <v/>
      </c>
    </row>
    <row r="63" spans="2:23" s="11" customFormat="1" ht="19.5" hidden="1" customHeight="1">
      <c r="B63" s="21"/>
      <c r="C63" s="21"/>
      <c r="D63" s="36"/>
      <c r="E63" s="124"/>
      <c r="F63" s="488"/>
      <c r="G63" s="479"/>
      <c r="H63" s="495"/>
      <c r="I63" s="502"/>
      <c r="J63" s="503"/>
      <c r="K63" s="504"/>
      <c r="L63" s="510"/>
      <c r="M63" s="510"/>
      <c r="N63" s="510"/>
      <c r="O63" s="511"/>
      <c r="P63" s="24"/>
      <c r="Q63" s="21"/>
      <c r="R63" s="431">
        <f t="shared" si="1"/>
        <v>56</v>
      </c>
      <c r="S63" s="125">
        <f t="shared" si="2"/>
        <v>0</v>
      </c>
      <c r="T63" s="125" t="str">
        <f ca="1">_xlfn.IFNA(OFFSET('(非表示)新規再エネ実現可能性判定'!$C$1,MATCH(M63,'(非表示)新規再エネ実現可能性判定'!$B:$B,0)-1,0),"//")</f>
        <v>//</v>
      </c>
      <c r="U63" s="255" t="str">
        <f ca="1">_xlfn.IFNA(OFFSET('(非表示)新規再エネ実現可能性判定'!$F$1,MATCH(N63,'(非表示)新規再エネ実現可能性判定'!$E:$E,0)-1,0),"//")</f>
        <v>//</v>
      </c>
      <c r="V63" s="255" t="str">
        <f ca="1">_xlfn.IFNA(OFFSET('(非表示)新規再エネ実現可能性判定'!$I$1,MATCH(O63,'(非表示)新規再エネ実現可能性判定'!$H:$H,0)-1,0),"//")</f>
        <v>//</v>
      </c>
      <c r="W63" s="255" t="str">
        <f t="shared" si="4"/>
        <v/>
      </c>
    </row>
    <row r="64" spans="2:23" s="11" customFormat="1" ht="20">
      <c r="B64" s="21"/>
      <c r="C64" s="21"/>
      <c r="D64" s="36"/>
      <c r="E64" s="124"/>
      <c r="F64" s="501" t="str">
        <f ca="1">IFERROR(OFFSET('4.1(2)新規再エネ導入予定（設備情報）'!$F$1,MATCH(G64,'4.1(2)新規再エネ導入予定（設備情報）'!$G:$G,0)-1,0),"")</f>
        <v/>
      </c>
      <c r="G64" s="509"/>
      <c r="H64" s="505" t="str">
        <f ca="1">IFERROR(OFFSET('4.1(2)新規再エネ導入予定（設備情報）'!$H$1,MATCH(G64,'4.1(2)新規再エネ導入予定（設備情報）'!$G:$G,0)-1,0)&amp;"","")</f>
        <v/>
      </c>
      <c r="I64" s="506" t="str">
        <f ca="1">IFERROR(OFFSET('4.1(2)新規再エネ導入予定（設備情報）'!$L$1,MATCH(G64,'4.1(2)新規再エネ導入予定（設備情報）'!$G:$G,0)-1,0),"")</f>
        <v/>
      </c>
      <c r="J64" s="507" t="str">
        <f ca="1">IFERROR(OFFSET('4.1(2)新規再エネ導入予定（設備情報）'!$O$1,MATCH(G64,'4.1(2)新規再エネ導入予定（設備情報）'!$G:$G,0)-1,0),"")</f>
        <v/>
      </c>
      <c r="K64" s="508" t="str">
        <f ca="1">IFERROR(OFFSET('4.1(2)新規再エネ導入予定（設備情報）'!$P$1,MATCH(G64,'4.1(2)新規再エネ導入予定（設備情報）'!$G:$G,0)-1,0),"")</f>
        <v/>
      </c>
      <c r="L64" s="486"/>
      <c r="M64" s="486"/>
      <c r="N64" s="486"/>
      <c r="O64" s="483"/>
      <c r="P64" s="24"/>
      <c r="Q64" s="21"/>
      <c r="R64" s="431">
        <f t="shared" si="1"/>
        <v>57</v>
      </c>
      <c r="S64" s="125">
        <f t="shared" si="2"/>
        <v>0</v>
      </c>
      <c r="T64" s="125" t="str">
        <f ca="1">_xlfn.IFNA(OFFSET('(非表示)新規再エネ実現可能性判定'!$C$1,MATCH(M64,'(非表示)新規再エネ実現可能性判定'!$B:$B,0)-1,0),"//")</f>
        <v>//</v>
      </c>
      <c r="U64" s="255" t="str">
        <f ca="1">_xlfn.IFNA(OFFSET('(非表示)新規再エネ実現可能性判定'!$F$1,MATCH(N64,'(非表示)新規再エネ実現可能性判定'!$E:$E,0)-1,0),"//")</f>
        <v>//</v>
      </c>
      <c r="V64" s="255" t="str">
        <f ca="1">_xlfn.IFNA(OFFSET('(非表示)新規再エネ実現可能性判定'!$I$1,MATCH(O64,'(非表示)新規再エネ実現可能性判定'!$H:$H,0)-1,0),"//")</f>
        <v>//</v>
      </c>
      <c r="W64" s="255" t="str">
        <f t="shared" si="4"/>
        <v/>
      </c>
    </row>
    <row r="65" spans="2:23" s="11" customFormat="1" ht="20">
      <c r="B65" s="21"/>
      <c r="C65" s="21"/>
      <c r="D65" s="36"/>
      <c r="E65" s="124"/>
      <c r="F65" s="501" t="str">
        <f ca="1">IFERROR(OFFSET('4.1(2)新規再エネ導入予定（設備情報）'!$F$1,MATCH(G65,'4.1(2)新規再エネ導入予定（設備情報）'!$G:$G,0)-1,0),"")</f>
        <v/>
      </c>
      <c r="G65" s="509"/>
      <c r="H65" s="505" t="str">
        <f ca="1">IFERROR(OFFSET('4.1(2)新規再エネ導入予定（設備情報）'!$H$1,MATCH(G65,'4.1(2)新規再エネ導入予定（設備情報）'!$G:$G,0)-1,0)&amp;"","")</f>
        <v/>
      </c>
      <c r="I65" s="506" t="str">
        <f ca="1">IFERROR(OFFSET('4.1(2)新規再エネ導入予定（設備情報）'!$L$1,MATCH(G65,'4.1(2)新規再エネ導入予定（設備情報）'!$G:$G,0)-1,0),"")</f>
        <v/>
      </c>
      <c r="J65" s="507" t="str">
        <f ca="1">IFERROR(OFFSET('4.1(2)新規再エネ導入予定（設備情報）'!$O$1,MATCH(G65,'4.1(2)新規再エネ導入予定（設備情報）'!$G:$G,0)-1,0),"")</f>
        <v/>
      </c>
      <c r="K65" s="508" t="str">
        <f ca="1">IFERROR(OFFSET('4.1(2)新規再エネ導入予定（設備情報）'!$P$1,MATCH(G65,'4.1(2)新規再エネ導入予定（設備情報）'!$G:$G,0)-1,0),"")</f>
        <v/>
      </c>
      <c r="L65" s="486"/>
      <c r="M65" s="486"/>
      <c r="N65" s="486"/>
      <c r="O65" s="483"/>
      <c r="P65" s="24"/>
      <c r="Q65" s="21"/>
      <c r="R65" s="431">
        <f t="shared" si="1"/>
        <v>58</v>
      </c>
      <c r="S65" s="125">
        <f t="shared" si="2"/>
        <v>0</v>
      </c>
      <c r="T65" s="125" t="str">
        <f ca="1">_xlfn.IFNA(OFFSET('(非表示)新規再エネ実現可能性判定'!$C$1,MATCH(M65,'(非表示)新規再エネ実現可能性判定'!$B:$B,0)-1,0),"//")</f>
        <v>//</v>
      </c>
      <c r="U65" s="255" t="str">
        <f ca="1">_xlfn.IFNA(OFFSET('(非表示)新規再エネ実現可能性判定'!$F$1,MATCH(N65,'(非表示)新規再エネ実現可能性判定'!$E:$E,0)-1,0),"//")</f>
        <v>//</v>
      </c>
      <c r="V65" s="255" t="str">
        <f ca="1">_xlfn.IFNA(OFFSET('(非表示)新規再エネ実現可能性判定'!$I$1,MATCH(O65,'(非表示)新規再エネ実現可能性判定'!$H:$H,0)-1,0),"//")</f>
        <v>//</v>
      </c>
      <c r="W65" s="255" t="str">
        <f t="shared" si="4"/>
        <v/>
      </c>
    </row>
    <row r="66" spans="2:23" s="11" customFormat="1" ht="20">
      <c r="B66" s="21"/>
      <c r="C66" s="21"/>
      <c r="D66" s="36"/>
      <c r="E66" s="124"/>
      <c r="F66" s="501" t="str">
        <f ca="1">IFERROR(OFFSET('4.1(2)新規再エネ導入予定（設備情報）'!$F$1,MATCH(G66,'4.1(2)新規再エネ導入予定（設備情報）'!$G:$G,0)-1,0),"")</f>
        <v/>
      </c>
      <c r="G66" s="509"/>
      <c r="H66" s="505" t="str">
        <f ca="1">IFERROR(OFFSET('4.1(2)新規再エネ導入予定（設備情報）'!$H$1,MATCH(G66,'4.1(2)新規再エネ導入予定（設備情報）'!$G:$G,0)-1,0)&amp;"","")</f>
        <v/>
      </c>
      <c r="I66" s="506" t="str">
        <f ca="1">IFERROR(OFFSET('4.1(2)新規再エネ導入予定（設備情報）'!$L$1,MATCH(G66,'4.1(2)新規再エネ導入予定（設備情報）'!$G:$G,0)-1,0),"")</f>
        <v/>
      </c>
      <c r="J66" s="507" t="str">
        <f ca="1">IFERROR(OFFSET('4.1(2)新規再エネ導入予定（設備情報）'!$O$1,MATCH(G66,'4.1(2)新規再エネ導入予定（設備情報）'!$G:$G,0)-1,0),"")</f>
        <v/>
      </c>
      <c r="K66" s="508" t="str">
        <f ca="1">IFERROR(OFFSET('4.1(2)新規再エネ導入予定（設備情報）'!$P$1,MATCH(G66,'4.1(2)新規再エネ導入予定（設備情報）'!$G:$G,0)-1,0),"")</f>
        <v/>
      </c>
      <c r="L66" s="486"/>
      <c r="M66" s="486"/>
      <c r="N66" s="486"/>
      <c r="O66" s="483"/>
      <c r="P66" s="24"/>
      <c r="Q66" s="21"/>
      <c r="R66" s="431">
        <f t="shared" si="1"/>
        <v>59</v>
      </c>
      <c r="S66" s="125">
        <f t="shared" si="2"/>
        <v>0</v>
      </c>
      <c r="T66" s="125" t="str">
        <f ca="1">_xlfn.IFNA(OFFSET('(非表示)新規再エネ実現可能性判定'!$C$1,MATCH(M66,'(非表示)新規再エネ実現可能性判定'!$B:$B,0)-1,0),"//")</f>
        <v>//</v>
      </c>
      <c r="U66" s="255" t="str">
        <f ca="1">_xlfn.IFNA(OFFSET('(非表示)新規再エネ実現可能性判定'!$F$1,MATCH(N66,'(非表示)新規再エネ実現可能性判定'!$E:$E,0)-1,0),"//")</f>
        <v>//</v>
      </c>
      <c r="V66" s="255" t="str">
        <f ca="1">_xlfn.IFNA(OFFSET('(非表示)新規再エネ実現可能性判定'!$I$1,MATCH(O66,'(非表示)新規再エネ実現可能性判定'!$H:$H,0)-1,0),"//")</f>
        <v>//</v>
      </c>
      <c r="W66" s="255" t="str">
        <f t="shared" si="4"/>
        <v/>
      </c>
    </row>
    <row r="67" spans="2:23" s="11" customFormat="1" ht="20">
      <c r="B67" s="21"/>
      <c r="C67" s="21"/>
      <c r="D67" s="36"/>
      <c r="E67" s="124"/>
      <c r="F67" s="501" t="str">
        <f ca="1">IFERROR(OFFSET('4.1(2)新規再エネ導入予定（設備情報）'!$F$1,MATCH(G67,'4.1(2)新規再エネ導入予定（設備情報）'!$G:$G,0)-1,0),"")</f>
        <v/>
      </c>
      <c r="G67" s="509"/>
      <c r="H67" s="505" t="str">
        <f ca="1">IFERROR(OFFSET('4.1(2)新規再エネ導入予定（設備情報）'!$H$1,MATCH(G67,'4.1(2)新規再エネ導入予定（設備情報）'!$G:$G,0)-1,0)&amp;"","")</f>
        <v/>
      </c>
      <c r="I67" s="506" t="str">
        <f ca="1">IFERROR(OFFSET('4.1(2)新規再エネ導入予定（設備情報）'!$L$1,MATCH(G67,'4.1(2)新規再エネ導入予定（設備情報）'!$G:$G,0)-1,0),"")</f>
        <v/>
      </c>
      <c r="J67" s="507" t="str">
        <f ca="1">IFERROR(OFFSET('4.1(2)新規再エネ導入予定（設備情報）'!$O$1,MATCH(G67,'4.1(2)新規再エネ導入予定（設備情報）'!$G:$G,0)-1,0),"")</f>
        <v/>
      </c>
      <c r="K67" s="508" t="str">
        <f ca="1">IFERROR(OFFSET('4.1(2)新規再エネ導入予定（設備情報）'!$P$1,MATCH(G67,'4.1(2)新規再エネ導入予定（設備情報）'!$G:$G,0)-1,0),"")</f>
        <v/>
      </c>
      <c r="L67" s="486"/>
      <c r="M67" s="486"/>
      <c r="N67" s="486"/>
      <c r="O67" s="483"/>
      <c r="P67" s="24"/>
      <c r="Q67" s="21"/>
      <c r="R67" s="431">
        <f t="shared" si="1"/>
        <v>60</v>
      </c>
      <c r="S67" s="125">
        <f t="shared" si="2"/>
        <v>0</v>
      </c>
      <c r="T67" s="125" t="str">
        <f ca="1">_xlfn.IFNA(OFFSET('(非表示)新規再エネ実現可能性判定'!$C$1,MATCH(M67,'(非表示)新規再エネ実現可能性判定'!$B:$B,0)-1,0),"//")</f>
        <v>//</v>
      </c>
      <c r="U67" s="255" t="str">
        <f ca="1">_xlfn.IFNA(OFFSET('(非表示)新規再エネ実現可能性判定'!$F$1,MATCH(N67,'(非表示)新規再エネ実現可能性判定'!$E:$E,0)-1,0),"//")</f>
        <v>//</v>
      </c>
      <c r="V67" s="255" t="str">
        <f ca="1">_xlfn.IFNA(OFFSET('(非表示)新規再エネ実現可能性判定'!$I$1,MATCH(O67,'(非表示)新規再エネ実現可能性判定'!$H:$H,0)-1,0),"//")</f>
        <v>//</v>
      </c>
      <c r="W67" s="255" t="str">
        <f t="shared" si="4"/>
        <v/>
      </c>
    </row>
    <row r="68" spans="2:23" ht="20">
      <c r="D68" s="188"/>
      <c r="E68" s="190" t="s">
        <v>24</v>
      </c>
      <c r="F68" s="512"/>
      <c r="G68" s="474"/>
      <c r="H68" s="475"/>
      <c r="I68" s="476"/>
      <c r="J68" s="477"/>
      <c r="K68" s="478"/>
      <c r="L68" s="705"/>
      <c r="M68" s="705"/>
      <c r="N68" s="705"/>
      <c r="O68" s="706"/>
      <c r="P68" s="19"/>
      <c r="R68" s="423">
        <f t="shared" si="1"/>
        <v>61</v>
      </c>
      <c r="S68" s="222">
        <f t="shared" si="2"/>
        <v>0</v>
      </c>
      <c r="T68" s="222" t="str">
        <f ca="1">_xlfn.IFNA(OFFSET('(非表示)新規再エネ実現可能性判定'!$C$1,MATCH(M68,'(非表示)新規再エネ実現可能性判定'!$B:$B,0)-1,0),"//")</f>
        <v>//</v>
      </c>
      <c r="U68" s="175" t="str">
        <f ca="1">_xlfn.IFNA(OFFSET('(非表示)新規再エネ実現可能性判定'!$F$1,MATCH(N68,'(非表示)新規再エネ実現可能性判定'!$E:$E,0)-1,0),"//")</f>
        <v>//</v>
      </c>
      <c r="V68" s="175" t="str">
        <f ca="1">_xlfn.IFNA(OFFSET('(非表示)新規再エネ実現可能性判定'!$I$1,MATCH(O68,'(非表示)新規再エネ実現可能性判定'!$H:$H,0)-1,0),"//")</f>
        <v>//</v>
      </c>
      <c r="W68" s="175" t="str">
        <f t="shared" si="4"/>
        <v/>
      </c>
    </row>
    <row r="69" spans="2:23" s="11" customFormat="1" ht="19.5" hidden="1" customHeight="1">
      <c r="B69" s="21"/>
      <c r="C69" s="21"/>
      <c r="D69" s="36"/>
      <c r="E69" s="124"/>
      <c r="F69" s="488"/>
      <c r="G69" s="479"/>
      <c r="H69" s="495"/>
      <c r="I69" s="502"/>
      <c r="J69" s="503"/>
      <c r="K69" s="504"/>
      <c r="L69" s="510"/>
      <c r="M69" s="510"/>
      <c r="N69" s="510"/>
      <c r="O69" s="511"/>
      <c r="P69" s="24"/>
      <c r="Q69" s="21"/>
      <c r="R69" s="431">
        <f t="shared" si="1"/>
        <v>62</v>
      </c>
      <c r="S69" s="125">
        <f t="shared" si="2"/>
        <v>0</v>
      </c>
      <c r="T69" s="125" t="str">
        <f ca="1">_xlfn.IFNA(OFFSET('(非表示)新規再エネ実現可能性判定'!$C$1,MATCH(M69,'(非表示)新規再エネ実現可能性判定'!$B:$B,0)-1,0),"//")</f>
        <v>//</v>
      </c>
      <c r="U69" s="255" t="str">
        <f ca="1">_xlfn.IFNA(OFFSET('(非表示)新規再エネ実現可能性判定'!$F$1,MATCH(N69,'(非表示)新規再エネ実現可能性判定'!$E:$E,0)-1,0),"//")</f>
        <v>//</v>
      </c>
      <c r="V69" s="255" t="str">
        <f ca="1">_xlfn.IFNA(OFFSET('(非表示)新規再エネ実現可能性判定'!$I$1,MATCH(O69,'(非表示)新規再エネ実現可能性判定'!$H:$H,0)-1,0),"//")</f>
        <v>//</v>
      </c>
      <c r="W69" s="255" t="str">
        <f t="shared" si="4"/>
        <v/>
      </c>
    </row>
    <row r="70" spans="2:23" s="11" customFormat="1" ht="20">
      <c r="B70" s="21"/>
      <c r="C70" s="21"/>
      <c r="D70" s="36"/>
      <c r="E70" s="124"/>
      <c r="F70" s="501" t="str">
        <f ca="1">IFERROR(OFFSET('4.1(2)新規再エネ導入予定（設備情報）'!$F$1,MATCH(G70,'4.1(2)新規再エネ導入予定（設備情報）'!$G:$G,0)-1,0),"")</f>
        <v/>
      </c>
      <c r="G70" s="509"/>
      <c r="H70" s="505" t="str">
        <f ca="1">IFERROR(OFFSET('4.1(2)新規再エネ導入予定（設備情報）'!$H$1,MATCH(G70,'4.1(2)新規再エネ導入予定（設備情報）'!$G:$G,0)-1,0)&amp;"","")</f>
        <v/>
      </c>
      <c r="I70" s="506" t="str">
        <f ca="1">IFERROR(OFFSET('4.1(2)新規再エネ導入予定（設備情報）'!$L$1,MATCH(G70,'4.1(2)新規再エネ導入予定（設備情報）'!$G:$G,0)-1,0),"")</f>
        <v/>
      </c>
      <c r="J70" s="507" t="str">
        <f ca="1">IFERROR(OFFSET('4.1(2)新規再エネ導入予定（設備情報）'!$O$1,MATCH(G70,'4.1(2)新規再エネ導入予定（設備情報）'!$G:$G,0)-1,0),"")</f>
        <v/>
      </c>
      <c r="K70" s="508" t="str">
        <f ca="1">IFERROR(OFFSET('4.1(2)新規再エネ導入予定（設備情報）'!$P$1,MATCH(G70,'4.1(2)新規再エネ導入予定（設備情報）'!$G:$G,0)-1,0),"")</f>
        <v/>
      </c>
      <c r="L70" s="486"/>
      <c r="M70" s="486"/>
      <c r="N70" s="486"/>
      <c r="O70" s="483"/>
      <c r="P70" s="24"/>
      <c r="Q70" s="21"/>
      <c r="R70" s="431">
        <f t="shared" si="1"/>
        <v>63</v>
      </c>
      <c r="S70" s="125">
        <f t="shared" si="2"/>
        <v>0</v>
      </c>
      <c r="T70" s="125" t="str">
        <f ca="1">_xlfn.IFNA(OFFSET('(非表示)新規再エネ実現可能性判定'!$C$1,MATCH(M70,'(非表示)新規再エネ実現可能性判定'!$B:$B,0)-1,0),"//")</f>
        <v>//</v>
      </c>
      <c r="U70" s="255" t="str">
        <f ca="1">_xlfn.IFNA(OFFSET('(非表示)新規再エネ実現可能性判定'!$F$1,MATCH(N70,'(非表示)新規再エネ実現可能性判定'!$E:$E,0)-1,0),"//")</f>
        <v>//</v>
      </c>
      <c r="V70" s="255" t="str">
        <f ca="1">_xlfn.IFNA(OFFSET('(非表示)新規再エネ実現可能性判定'!$I$1,MATCH(O70,'(非表示)新規再エネ実現可能性判定'!$H:$H,0)-1,0),"//")</f>
        <v>//</v>
      </c>
      <c r="W70" s="255" t="str">
        <f t="shared" si="4"/>
        <v/>
      </c>
    </row>
    <row r="71" spans="2:23" s="11" customFormat="1" ht="20">
      <c r="B71" s="21"/>
      <c r="C71" s="21"/>
      <c r="D71" s="36"/>
      <c r="E71" s="124"/>
      <c r="F71" s="501" t="str">
        <f ca="1">IFERROR(OFFSET('4.1(2)新規再エネ導入予定（設備情報）'!$F$1,MATCH(G71,'4.1(2)新規再エネ導入予定（設備情報）'!$G:$G,0)-1,0),"")</f>
        <v/>
      </c>
      <c r="G71" s="509"/>
      <c r="H71" s="505" t="str">
        <f ca="1">IFERROR(OFFSET('4.1(2)新規再エネ導入予定（設備情報）'!$H$1,MATCH(G71,'4.1(2)新規再エネ導入予定（設備情報）'!$G:$G,0)-1,0)&amp;"","")</f>
        <v/>
      </c>
      <c r="I71" s="506" t="str">
        <f ca="1">IFERROR(OFFSET('4.1(2)新規再エネ導入予定（設備情報）'!$L$1,MATCH(G71,'4.1(2)新規再エネ導入予定（設備情報）'!$G:$G,0)-1,0),"")</f>
        <v/>
      </c>
      <c r="J71" s="507" t="str">
        <f ca="1">IFERROR(OFFSET('4.1(2)新規再エネ導入予定（設備情報）'!$O$1,MATCH(G71,'4.1(2)新規再エネ導入予定（設備情報）'!$G:$G,0)-1,0),"")</f>
        <v/>
      </c>
      <c r="K71" s="508" t="str">
        <f ca="1">IFERROR(OFFSET('4.1(2)新規再エネ導入予定（設備情報）'!$P$1,MATCH(G71,'4.1(2)新規再エネ導入予定（設備情報）'!$G:$G,0)-1,0),"")</f>
        <v/>
      </c>
      <c r="L71" s="486"/>
      <c r="M71" s="486"/>
      <c r="N71" s="486"/>
      <c r="O71" s="483"/>
      <c r="P71" s="24"/>
      <c r="Q71" s="21"/>
      <c r="R71" s="431">
        <f t="shared" si="1"/>
        <v>64</v>
      </c>
      <c r="S71" s="125">
        <f t="shared" si="2"/>
        <v>0</v>
      </c>
      <c r="T71" s="125" t="str">
        <f ca="1">_xlfn.IFNA(OFFSET('(非表示)新規再エネ実現可能性判定'!$C$1,MATCH(M71,'(非表示)新規再エネ実現可能性判定'!$B:$B,0)-1,0),"//")</f>
        <v>//</v>
      </c>
      <c r="U71" s="255" t="str">
        <f ca="1">_xlfn.IFNA(OFFSET('(非表示)新規再エネ実現可能性判定'!$F$1,MATCH(N71,'(非表示)新規再エネ実現可能性判定'!$E:$E,0)-1,0),"//")</f>
        <v>//</v>
      </c>
      <c r="V71" s="255" t="str">
        <f ca="1">_xlfn.IFNA(OFFSET('(非表示)新規再エネ実現可能性判定'!$I$1,MATCH(O71,'(非表示)新規再エネ実現可能性判定'!$H:$H,0)-1,0),"//")</f>
        <v>//</v>
      </c>
      <c r="W71" s="255" t="str">
        <f t="shared" si="4"/>
        <v/>
      </c>
    </row>
    <row r="72" spans="2:23" s="11" customFormat="1" ht="20">
      <c r="B72" s="21"/>
      <c r="C72" s="21"/>
      <c r="D72" s="36"/>
      <c r="E72" s="124"/>
      <c r="F72" s="501" t="str">
        <f ca="1">IFERROR(OFFSET('4.1(2)新規再エネ導入予定（設備情報）'!$F$1,MATCH(G72,'4.1(2)新規再エネ導入予定（設備情報）'!$G:$G,0)-1,0),"")</f>
        <v/>
      </c>
      <c r="G72" s="509"/>
      <c r="H72" s="505" t="str">
        <f ca="1">IFERROR(OFFSET('4.1(2)新規再エネ導入予定（設備情報）'!$H$1,MATCH(G72,'4.1(2)新規再エネ導入予定（設備情報）'!$G:$G,0)-1,0)&amp;"","")</f>
        <v/>
      </c>
      <c r="I72" s="506" t="str">
        <f ca="1">IFERROR(OFFSET('4.1(2)新規再エネ導入予定（設備情報）'!$L$1,MATCH(G72,'4.1(2)新規再エネ導入予定（設備情報）'!$G:$G,0)-1,0),"")</f>
        <v/>
      </c>
      <c r="J72" s="507" t="str">
        <f ca="1">IFERROR(OFFSET('4.1(2)新規再エネ導入予定（設備情報）'!$O$1,MATCH(G72,'4.1(2)新規再エネ導入予定（設備情報）'!$G:$G,0)-1,0),"")</f>
        <v/>
      </c>
      <c r="K72" s="508" t="str">
        <f ca="1">IFERROR(OFFSET('4.1(2)新規再エネ導入予定（設備情報）'!$P$1,MATCH(G72,'4.1(2)新規再エネ導入予定（設備情報）'!$G:$G,0)-1,0),"")</f>
        <v/>
      </c>
      <c r="L72" s="486"/>
      <c r="M72" s="486"/>
      <c r="N72" s="486"/>
      <c r="O72" s="483"/>
      <c r="P72" s="24"/>
      <c r="Q72" s="21"/>
      <c r="R72" s="431">
        <f t="shared" si="1"/>
        <v>65</v>
      </c>
      <c r="S72" s="125">
        <f t="shared" si="2"/>
        <v>0</v>
      </c>
      <c r="T72" s="125" t="str">
        <f ca="1">_xlfn.IFNA(OFFSET('(非表示)新規再エネ実現可能性判定'!$C$1,MATCH(M72,'(非表示)新規再エネ実現可能性判定'!$B:$B,0)-1,0),"//")</f>
        <v>//</v>
      </c>
      <c r="U72" s="255" t="str">
        <f ca="1">_xlfn.IFNA(OFFSET('(非表示)新規再エネ実現可能性判定'!$F$1,MATCH(N72,'(非表示)新規再エネ実現可能性判定'!$E:$E,0)-1,0),"//")</f>
        <v>//</v>
      </c>
      <c r="V72" s="255" t="str">
        <f ca="1">_xlfn.IFNA(OFFSET('(非表示)新規再エネ実現可能性判定'!$I$1,MATCH(O72,'(非表示)新規再エネ実現可能性判定'!$H:$H,0)-1,0),"//")</f>
        <v>//</v>
      </c>
      <c r="W72" s="255" t="str">
        <f t="shared" ref="W72:W135" si="5">IF(COUNTBLANK($L72:$O72)=0,IF(V72="//","//",IF(S72=0,1,MIN(T72:V72))),"")</f>
        <v/>
      </c>
    </row>
    <row r="73" spans="2:23" s="11" customFormat="1" ht="20">
      <c r="B73" s="21"/>
      <c r="C73" s="21"/>
      <c r="D73" s="36"/>
      <c r="E73" s="124"/>
      <c r="F73" s="501" t="str">
        <f ca="1">IFERROR(OFFSET('4.1(2)新規再エネ導入予定（設備情報）'!$F$1,MATCH(G73,'4.1(2)新規再エネ導入予定（設備情報）'!$G:$G,0)-1,0),"")</f>
        <v/>
      </c>
      <c r="G73" s="509"/>
      <c r="H73" s="505" t="str">
        <f ca="1">IFERROR(OFFSET('4.1(2)新規再エネ導入予定（設備情報）'!$H$1,MATCH(G73,'4.1(2)新規再エネ導入予定（設備情報）'!$G:$G,0)-1,0)&amp;"","")</f>
        <v/>
      </c>
      <c r="I73" s="506" t="str">
        <f ca="1">IFERROR(OFFSET('4.1(2)新規再エネ導入予定（設備情報）'!$L$1,MATCH(G73,'4.1(2)新規再エネ導入予定（設備情報）'!$G:$G,0)-1,0),"")</f>
        <v/>
      </c>
      <c r="J73" s="507" t="str">
        <f ca="1">IFERROR(OFFSET('4.1(2)新規再エネ導入予定（設備情報）'!$O$1,MATCH(G73,'4.1(2)新規再エネ導入予定（設備情報）'!$G:$G,0)-1,0),"")</f>
        <v/>
      </c>
      <c r="K73" s="508" t="str">
        <f ca="1">IFERROR(OFFSET('4.1(2)新規再エネ導入予定（設備情報）'!$P$1,MATCH(G73,'4.1(2)新規再エネ導入予定（設備情報）'!$G:$G,0)-1,0),"")</f>
        <v/>
      </c>
      <c r="L73" s="486"/>
      <c r="M73" s="486"/>
      <c r="N73" s="486"/>
      <c r="O73" s="483"/>
      <c r="P73" s="24"/>
      <c r="Q73" s="21"/>
      <c r="R73" s="431">
        <f t="shared" ref="R73:R136" si="6">ROW()-7</f>
        <v>66</v>
      </c>
      <c r="S73" s="125">
        <f t="shared" ref="S73:S136" si="7">IF(L73="確認済",1,0)</f>
        <v>0</v>
      </c>
      <c r="T73" s="125" t="str">
        <f ca="1">_xlfn.IFNA(OFFSET('(非表示)新規再エネ実現可能性判定'!$C$1,MATCH(M73,'(非表示)新規再エネ実現可能性判定'!$B:$B,0)-1,0),"//")</f>
        <v>//</v>
      </c>
      <c r="U73" s="255" t="str">
        <f ca="1">_xlfn.IFNA(OFFSET('(非表示)新規再エネ実現可能性判定'!$F$1,MATCH(N73,'(非表示)新規再エネ実現可能性判定'!$E:$E,0)-1,0),"//")</f>
        <v>//</v>
      </c>
      <c r="V73" s="255" t="str">
        <f ca="1">_xlfn.IFNA(OFFSET('(非表示)新規再エネ実現可能性判定'!$I$1,MATCH(O73,'(非表示)新規再エネ実現可能性判定'!$H:$H,0)-1,0),"//")</f>
        <v>//</v>
      </c>
      <c r="W73" s="255" t="str">
        <f t="shared" si="5"/>
        <v/>
      </c>
    </row>
    <row r="74" spans="2:23" ht="20">
      <c r="D74" s="188"/>
      <c r="E74" s="190" t="s">
        <v>25</v>
      </c>
      <c r="F74" s="512"/>
      <c r="G74" s="474"/>
      <c r="H74" s="475"/>
      <c r="I74" s="476"/>
      <c r="J74" s="477"/>
      <c r="K74" s="478"/>
      <c r="L74" s="705"/>
      <c r="M74" s="705"/>
      <c r="N74" s="705"/>
      <c r="O74" s="706"/>
      <c r="P74" s="19"/>
      <c r="R74" s="423">
        <f t="shared" si="6"/>
        <v>67</v>
      </c>
      <c r="S74" s="222">
        <f t="shared" si="7"/>
        <v>0</v>
      </c>
      <c r="T74" s="222" t="str">
        <f ca="1">_xlfn.IFNA(OFFSET('(非表示)新規再エネ実現可能性判定'!$C$1,MATCH(M74,'(非表示)新規再エネ実現可能性判定'!$B:$B,0)-1,0),"//")</f>
        <v>//</v>
      </c>
      <c r="U74" s="175" t="str">
        <f ca="1">_xlfn.IFNA(OFFSET('(非表示)新規再エネ実現可能性判定'!$F$1,MATCH(N74,'(非表示)新規再エネ実現可能性判定'!$E:$E,0)-1,0),"//")</f>
        <v>//</v>
      </c>
      <c r="V74" s="175" t="str">
        <f ca="1">_xlfn.IFNA(OFFSET('(非表示)新規再エネ実現可能性判定'!$I$1,MATCH(O74,'(非表示)新規再エネ実現可能性判定'!$H:$H,0)-1,0),"//")</f>
        <v>//</v>
      </c>
      <c r="W74" s="175" t="str">
        <f t="shared" si="5"/>
        <v/>
      </c>
    </row>
    <row r="75" spans="2:23" s="11" customFormat="1" ht="19.5" hidden="1" customHeight="1">
      <c r="B75" s="21"/>
      <c r="C75" s="21"/>
      <c r="D75" s="36"/>
      <c r="E75" s="124"/>
      <c r="F75" s="488"/>
      <c r="G75" s="479"/>
      <c r="H75" s="495"/>
      <c r="I75" s="502"/>
      <c r="J75" s="503"/>
      <c r="K75" s="504"/>
      <c r="L75" s="510"/>
      <c r="M75" s="510"/>
      <c r="N75" s="510"/>
      <c r="O75" s="511"/>
      <c r="P75" s="24"/>
      <c r="Q75" s="21"/>
      <c r="R75" s="431">
        <f t="shared" si="6"/>
        <v>68</v>
      </c>
      <c r="S75" s="125">
        <f t="shared" si="7"/>
        <v>0</v>
      </c>
      <c r="T75" s="125" t="str">
        <f ca="1">_xlfn.IFNA(OFFSET('(非表示)新規再エネ実現可能性判定'!$C$1,MATCH(M75,'(非表示)新規再エネ実現可能性判定'!$B:$B,0)-1,0),"//")</f>
        <v>//</v>
      </c>
      <c r="U75" s="255" t="str">
        <f ca="1">_xlfn.IFNA(OFFSET('(非表示)新規再エネ実現可能性判定'!$F$1,MATCH(N75,'(非表示)新規再エネ実現可能性判定'!$E:$E,0)-1,0),"//")</f>
        <v>//</v>
      </c>
      <c r="V75" s="255" t="str">
        <f ca="1">_xlfn.IFNA(OFFSET('(非表示)新規再エネ実現可能性判定'!$I$1,MATCH(O75,'(非表示)新規再エネ実現可能性判定'!$H:$H,0)-1,0),"//")</f>
        <v>//</v>
      </c>
      <c r="W75" s="255" t="str">
        <f t="shared" si="5"/>
        <v/>
      </c>
    </row>
    <row r="76" spans="2:23" s="11" customFormat="1" ht="20">
      <c r="B76" s="21"/>
      <c r="C76" s="21"/>
      <c r="D76" s="36"/>
      <c r="E76" s="124"/>
      <c r="F76" s="501" t="str">
        <f ca="1">IFERROR(OFFSET('4.1(2)新規再エネ導入予定（設備情報）'!$F$1,MATCH(G76,'4.1(2)新規再エネ導入予定（設備情報）'!$G:$G,0)-1,0),"")</f>
        <v/>
      </c>
      <c r="G76" s="509"/>
      <c r="H76" s="505" t="str">
        <f ca="1">IFERROR(OFFSET('4.1(2)新規再エネ導入予定（設備情報）'!$H$1,MATCH(G76,'4.1(2)新規再エネ導入予定（設備情報）'!$G:$G,0)-1,0)&amp;"","")</f>
        <v/>
      </c>
      <c r="I76" s="506" t="str">
        <f ca="1">IFERROR(OFFSET('4.1(2)新規再エネ導入予定（設備情報）'!$L$1,MATCH(G76,'4.1(2)新規再エネ導入予定（設備情報）'!$G:$G,0)-1,0),"")</f>
        <v/>
      </c>
      <c r="J76" s="507" t="str">
        <f ca="1">IFERROR(OFFSET('4.1(2)新規再エネ導入予定（設備情報）'!$O$1,MATCH(G76,'4.1(2)新規再エネ導入予定（設備情報）'!$G:$G,0)-1,0),"")</f>
        <v/>
      </c>
      <c r="K76" s="508" t="str">
        <f ca="1">IFERROR(OFFSET('4.1(2)新規再エネ導入予定（設備情報）'!$P$1,MATCH(G76,'4.1(2)新規再エネ導入予定（設備情報）'!$G:$G,0)-1,0),"")</f>
        <v/>
      </c>
      <c r="L76" s="486"/>
      <c r="M76" s="486"/>
      <c r="N76" s="486"/>
      <c r="O76" s="483"/>
      <c r="P76" s="24"/>
      <c r="Q76" s="21"/>
      <c r="R76" s="431">
        <f t="shared" si="6"/>
        <v>69</v>
      </c>
      <c r="S76" s="125">
        <f t="shared" si="7"/>
        <v>0</v>
      </c>
      <c r="T76" s="125" t="str">
        <f ca="1">_xlfn.IFNA(OFFSET('(非表示)新規再エネ実現可能性判定'!$C$1,MATCH(M76,'(非表示)新規再エネ実現可能性判定'!$B:$B,0)-1,0),"//")</f>
        <v>//</v>
      </c>
      <c r="U76" s="255" t="str">
        <f ca="1">_xlfn.IFNA(OFFSET('(非表示)新規再エネ実現可能性判定'!$F$1,MATCH(N76,'(非表示)新規再エネ実現可能性判定'!$E:$E,0)-1,0),"//")</f>
        <v>//</v>
      </c>
      <c r="V76" s="255" t="str">
        <f ca="1">_xlfn.IFNA(OFFSET('(非表示)新規再エネ実現可能性判定'!$I$1,MATCH(O76,'(非表示)新規再エネ実現可能性判定'!$H:$H,0)-1,0),"//")</f>
        <v>//</v>
      </c>
      <c r="W76" s="255" t="str">
        <f t="shared" si="5"/>
        <v/>
      </c>
    </row>
    <row r="77" spans="2:23" s="11" customFormat="1" ht="20">
      <c r="B77" s="21"/>
      <c r="C77" s="21"/>
      <c r="D77" s="36"/>
      <c r="E77" s="124"/>
      <c r="F77" s="501" t="str">
        <f ca="1">IFERROR(OFFSET('4.1(2)新規再エネ導入予定（設備情報）'!$F$1,MATCH(G77,'4.1(2)新規再エネ導入予定（設備情報）'!$G:$G,0)-1,0),"")</f>
        <v/>
      </c>
      <c r="G77" s="509"/>
      <c r="H77" s="505" t="str">
        <f ca="1">IFERROR(OFFSET('4.1(2)新規再エネ導入予定（設備情報）'!$H$1,MATCH(G77,'4.1(2)新規再エネ導入予定（設備情報）'!$G:$G,0)-1,0)&amp;"","")</f>
        <v/>
      </c>
      <c r="I77" s="506" t="str">
        <f ca="1">IFERROR(OFFSET('4.1(2)新規再エネ導入予定（設備情報）'!$L$1,MATCH(G77,'4.1(2)新規再エネ導入予定（設備情報）'!$G:$G,0)-1,0),"")</f>
        <v/>
      </c>
      <c r="J77" s="507" t="str">
        <f ca="1">IFERROR(OFFSET('4.1(2)新規再エネ導入予定（設備情報）'!$O$1,MATCH(G77,'4.1(2)新規再エネ導入予定（設備情報）'!$G:$G,0)-1,0),"")</f>
        <v/>
      </c>
      <c r="K77" s="508" t="str">
        <f ca="1">IFERROR(OFFSET('4.1(2)新規再エネ導入予定（設備情報）'!$P$1,MATCH(G77,'4.1(2)新規再エネ導入予定（設備情報）'!$G:$G,0)-1,0),"")</f>
        <v/>
      </c>
      <c r="L77" s="486"/>
      <c r="M77" s="486"/>
      <c r="N77" s="486"/>
      <c r="O77" s="483"/>
      <c r="P77" s="24"/>
      <c r="Q77" s="21"/>
      <c r="R77" s="431">
        <f t="shared" si="6"/>
        <v>70</v>
      </c>
      <c r="S77" s="125">
        <f t="shared" si="7"/>
        <v>0</v>
      </c>
      <c r="T77" s="125" t="str">
        <f ca="1">_xlfn.IFNA(OFFSET('(非表示)新規再エネ実現可能性判定'!$C$1,MATCH(M77,'(非表示)新規再エネ実現可能性判定'!$B:$B,0)-1,0),"//")</f>
        <v>//</v>
      </c>
      <c r="U77" s="255" t="str">
        <f ca="1">_xlfn.IFNA(OFFSET('(非表示)新規再エネ実現可能性判定'!$F$1,MATCH(N77,'(非表示)新規再エネ実現可能性判定'!$E:$E,0)-1,0),"//")</f>
        <v>//</v>
      </c>
      <c r="V77" s="255" t="str">
        <f ca="1">_xlfn.IFNA(OFFSET('(非表示)新規再エネ実現可能性判定'!$I$1,MATCH(O77,'(非表示)新規再エネ実現可能性判定'!$H:$H,0)-1,0),"//")</f>
        <v>//</v>
      </c>
      <c r="W77" s="255" t="str">
        <f t="shared" si="5"/>
        <v/>
      </c>
    </row>
    <row r="78" spans="2:23" s="11" customFormat="1" ht="20">
      <c r="B78" s="21"/>
      <c r="C78" s="21"/>
      <c r="D78" s="36"/>
      <c r="E78" s="124"/>
      <c r="F78" s="501" t="str">
        <f ca="1">IFERROR(OFFSET('4.1(2)新規再エネ導入予定（設備情報）'!$F$1,MATCH(G78,'4.1(2)新規再エネ導入予定（設備情報）'!$G:$G,0)-1,0),"")</f>
        <v/>
      </c>
      <c r="G78" s="509"/>
      <c r="H78" s="505" t="str">
        <f ca="1">IFERROR(OFFSET('4.1(2)新規再エネ導入予定（設備情報）'!$H$1,MATCH(G78,'4.1(2)新規再エネ導入予定（設備情報）'!$G:$G,0)-1,0)&amp;"","")</f>
        <v/>
      </c>
      <c r="I78" s="506" t="str">
        <f ca="1">IFERROR(OFFSET('4.1(2)新規再エネ導入予定（設備情報）'!$L$1,MATCH(G78,'4.1(2)新規再エネ導入予定（設備情報）'!$G:$G,0)-1,0),"")</f>
        <v/>
      </c>
      <c r="J78" s="507" t="str">
        <f ca="1">IFERROR(OFFSET('4.1(2)新規再エネ導入予定（設備情報）'!$O$1,MATCH(G78,'4.1(2)新規再エネ導入予定（設備情報）'!$G:$G,0)-1,0),"")</f>
        <v/>
      </c>
      <c r="K78" s="508" t="str">
        <f ca="1">IFERROR(OFFSET('4.1(2)新規再エネ導入予定（設備情報）'!$P$1,MATCH(G78,'4.1(2)新規再エネ導入予定（設備情報）'!$G:$G,0)-1,0),"")</f>
        <v/>
      </c>
      <c r="L78" s="486"/>
      <c r="M78" s="486"/>
      <c r="N78" s="486"/>
      <c r="O78" s="483"/>
      <c r="P78" s="24"/>
      <c r="Q78" s="21"/>
      <c r="R78" s="431">
        <f t="shared" si="6"/>
        <v>71</v>
      </c>
      <c r="S78" s="125">
        <f t="shared" si="7"/>
        <v>0</v>
      </c>
      <c r="T78" s="125" t="str">
        <f ca="1">_xlfn.IFNA(OFFSET('(非表示)新規再エネ実現可能性判定'!$C$1,MATCH(M78,'(非表示)新規再エネ実現可能性判定'!$B:$B,0)-1,0),"//")</f>
        <v>//</v>
      </c>
      <c r="U78" s="255" t="str">
        <f ca="1">_xlfn.IFNA(OFFSET('(非表示)新規再エネ実現可能性判定'!$F$1,MATCH(N78,'(非表示)新規再エネ実現可能性判定'!$E:$E,0)-1,0),"//")</f>
        <v>//</v>
      </c>
      <c r="V78" s="255" t="str">
        <f ca="1">_xlfn.IFNA(OFFSET('(非表示)新規再エネ実現可能性判定'!$I$1,MATCH(O78,'(非表示)新規再エネ実現可能性判定'!$H:$H,0)-1,0),"//")</f>
        <v>//</v>
      </c>
      <c r="W78" s="255" t="str">
        <f t="shared" si="5"/>
        <v/>
      </c>
    </row>
    <row r="79" spans="2:23" s="11" customFormat="1" ht="20">
      <c r="B79" s="21"/>
      <c r="C79" s="21"/>
      <c r="D79" s="36"/>
      <c r="E79" s="124"/>
      <c r="F79" s="501" t="str">
        <f ca="1">IFERROR(OFFSET('4.1(2)新規再エネ導入予定（設備情報）'!$F$1,MATCH(G79,'4.1(2)新規再エネ導入予定（設備情報）'!$G:$G,0)-1,0),"")</f>
        <v/>
      </c>
      <c r="G79" s="509"/>
      <c r="H79" s="505" t="str">
        <f ca="1">IFERROR(OFFSET('4.1(2)新規再エネ導入予定（設備情報）'!$H$1,MATCH(G79,'4.1(2)新規再エネ導入予定（設備情報）'!$G:$G,0)-1,0)&amp;"","")</f>
        <v/>
      </c>
      <c r="I79" s="506" t="str">
        <f ca="1">IFERROR(OFFSET('4.1(2)新規再エネ導入予定（設備情報）'!$L$1,MATCH(G79,'4.1(2)新規再エネ導入予定（設備情報）'!$G:$G,0)-1,0),"")</f>
        <v/>
      </c>
      <c r="J79" s="507" t="str">
        <f ca="1">IFERROR(OFFSET('4.1(2)新規再エネ導入予定（設備情報）'!$O$1,MATCH(G79,'4.1(2)新規再エネ導入予定（設備情報）'!$G:$G,0)-1,0),"")</f>
        <v/>
      </c>
      <c r="K79" s="508" t="str">
        <f ca="1">IFERROR(OFFSET('4.1(2)新規再エネ導入予定（設備情報）'!$P$1,MATCH(G79,'4.1(2)新規再エネ導入予定（設備情報）'!$G:$G,0)-1,0),"")</f>
        <v/>
      </c>
      <c r="L79" s="486"/>
      <c r="M79" s="486"/>
      <c r="N79" s="486"/>
      <c r="O79" s="483"/>
      <c r="P79" s="24"/>
      <c r="Q79" s="21"/>
      <c r="R79" s="431">
        <f t="shared" si="6"/>
        <v>72</v>
      </c>
      <c r="S79" s="125">
        <f t="shared" si="7"/>
        <v>0</v>
      </c>
      <c r="T79" s="125" t="str">
        <f ca="1">_xlfn.IFNA(OFFSET('(非表示)新規再エネ実現可能性判定'!$C$1,MATCH(M79,'(非表示)新規再エネ実現可能性判定'!$B:$B,0)-1,0),"//")</f>
        <v>//</v>
      </c>
      <c r="U79" s="255" t="str">
        <f ca="1">_xlfn.IFNA(OFFSET('(非表示)新規再エネ実現可能性判定'!$F$1,MATCH(N79,'(非表示)新規再エネ実現可能性判定'!$E:$E,0)-1,0),"//")</f>
        <v>//</v>
      </c>
      <c r="V79" s="255" t="str">
        <f ca="1">_xlfn.IFNA(OFFSET('(非表示)新規再エネ実現可能性判定'!$I$1,MATCH(O79,'(非表示)新規再エネ実現可能性判定'!$H:$H,0)-1,0),"//")</f>
        <v>//</v>
      </c>
      <c r="W79" s="255" t="str">
        <f t="shared" si="5"/>
        <v/>
      </c>
    </row>
    <row r="80" spans="2:23" ht="20">
      <c r="D80" s="32"/>
      <c r="E80" s="239" t="s">
        <v>26</v>
      </c>
      <c r="F80" s="240"/>
      <c r="G80" s="240"/>
      <c r="H80" s="241"/>
      <c r="I80" s="265"/>
      <c r="J80" s="243"/>
      <c r="K80" s="499">
        <f ca="1">SUM(OFFSET(K$8,0,0,ROW()-ROW(K$8),1))</f>
        <v>0</v>
      </c>
      <c r="L80" s="251"/>
      <c r="M80" s="251"/>
      <c r="N80" s="251"/>
      <c r="O80" s="251"/>
      <c r="P80" s="19"/>
      <c r="R80" s="423">
        <f t="shared" si="6"/>
        <v>73</v>
      </c>
      <c r="S80" s="222">
        <f t="shared" si="7"/>
        <v>0</v>
      </c>
      <c r="T80" s="222" t="str">
        <f ca="1">_xlfn.IFNA(OFFSET('(非表示)新規再エネ実現可能性判定'!$C$1,MATCH(M80,'(非表示)新規再エネ実現可能性判定'!$B:$B,0)-1,0),"//")</f>
        <v>//</v>
      </c>
      <c r="U80" s="175" t="str">
        <f ca="1">_xlfn.IFNA(OFFSET('(非表示)新規再エネ実現可能性判定'!$F$1,MATCH(N80,'(非表示)新規再エネ実現可能性判定'!$E:$E,0)-1,0),"//")</f>
        <v>//</v>
      </c>
      <c r="V80" s="175" t="str">
        <f ca="1">_xlfn.IFNA(OFFSET('(非表示)新規再エネ実現可能性判定'!$I$1,MATCH(O80,'(非表示)新規再エネ実現可能性判定'!$H:$H,0)-1,0),"//")</f>
        <v>//</v>
      </c>
      <c r="W80" s="175" t="str">
        <f t="shared" si="5"/>
        <v/>
      </c>
    </row>
    <row r="81" spans="2:23" ht="15" customHeight="1">
      <c r="D81" s="46"/>
      <c r="E81" s="26"/>
      <c r="F81" s="34"/>
      <c r="G81" s="34"/>
      <c r="H81" s="34"/>
      <c r="I81" s="267"/>
      <c r="J81" s="34"/>
      <c r="K81" s="34"/>
      <c r="L81" s="283"/>
      <c r="M81" s="283"/>
      <c r="N81" s="283"/>
      <c r="O81" s="284"/>
      <c r="P81" s="27"/>
      <c r="R81" s="423">
        <f t="shared" si="6"/>
        <v>74</v>
      </c>
      <c r="S81" s="222">
        <f t="shared" si="7"/>
        <v>0</v>
      </c>
      <c r="T81" s="222" t="str">
        <f ca="1">_xlfn.IFNA(OFFSET('(非表示)新規再エネ実現可能性判定'!$C$1,MATCH(M81,'(非表示)新規再エネ実現可能性判定'!$B:$B,0)-1,0),"//")</f>
        <v>//</v>
      </c>
      <c r="U81" s="175" t="str">
        <f ca="1">_xlfn.IFNA(OFFSET('(非表示)新規再エネ実現可能性判定'!$F$1,MATCH(N81,'(非表示)新規再エネ実現可能性判定'!$E:$E,0)-1,0),"//")</f>
        <v>//</v>
      </c>
      <c r="V81" s="175" t="str">
        <f ca="1">_xlfn.IFNA(OFFSET('(非表示)新規再エネ実現可能性判定'!$I$1,MATCH(O81,'(非表示)新規再エネ実現可能性判定'!$H:$H,0)-1,0),"//")</f>
        <v>//</v>
      </c>
      <c r="W81" s="175" t="str">
        <f t="shared" si="5"/>
        <v/>
      </c>
    </row>
    <row r="82" spans="2:23" ht="20">
      <c r="F82" s="31"/>
      <c r="G82" s="31"/>
      <c r="H82" s="31"/>
      <c r="I82" s="268"/>
      <c r="J82" s="31"/>
      <c r="K82" s="31"/>
      <c r="L82" s="285"/>
      <c r="M82" s="285"/>
      <c r="N82" s="285"/>
      <c r="O82" s="286"/>
      <c r="R82" s="423">
        <f t="shared" si="6"/>
        <v>75</v>
      </c>
      <c r="S82" s="222">
        <f t="shared" si="7"/>
        <v>0</v>
      </c>
      <c r="T82" s="222" t="str">
        <f ca="1">_xlfn.IFNA(OFFSET('(非表示)新規再エネ実現可能性判定'!$C$1,MATCH(M82,'(非表示)新規再エネ実現可能性判定'!$B:$B,0)-1,0),"//")</f>
        <v>//</v>
      </c>
      <c r="U82" s="175" t="str">
        <f ca="1">_xlfn.IFNA(OFFSET('(非表示)新規再エネ実現可能性判定'!$F$1,MATCH(N82,'(非表示)新規再エネ実現可能性判定'!$E:$E,0)-1,0),"//")</f>
        <v>//</v>
      </c>
      <c r="V82" s="175" t="str">
        <f ca="1">_xlfn.IFNA(OFFSET('(非表示)新規再エネ実現可能性判定'!$I$1,MATCH(O82,'(非表示)新規再エネ実現可能性判定'!$H:$H,0)-1,0),"//")</f>
        <v>//</v>
      </c>
      <c r="W82" s="175" t="str">
        <f t="shared" si="5"/>
        <v/>
      </c>
    </row>
    <row r="83" spans="2:23" ht="20">
      <c r="F83" s="31"/>
      <c r="G83" s="31"/>
      <c r="H83" s="31"/>
      <c r="I83" s="268"/>
      <c r="J83" s="31"/>
      <c r="K83" s="31"/>
      <c r="L83" s="285"/>
      <c r="M83" s="285"/>
      <c r="N83" s="285"/>
      <c r="O83" s="286"/>
      <c r="R83" s="423">
        <f t="shared" si="6"/>
        <v>76</v>
      </c>
      <c r="S83" s="222">
        <f t="shared" si="7"/>
        <v>0</v>
      </c>
      <c r="T83" s="222" t="str">
        <f ca="1">_xlfn.IFNA(OFFSET('(非表示)新規再エネ実現可能性判定'!$C$1,MATCH(M83,'(非表示)新規再エネ実現可能性判定'!$B:$B,0)-1,0),"//")</f>
        <v>//</v>
      </c>
      <c r="U83" s="175" t="str">
        <f ca="1">_xlfn.IFNA(OFFSET('(非表示)新規再エネ実現可能性判定'!$F$1,MATCH(N83,'(非表示)新規再エネ実現可能性判定'!$E:$E,0)-1,0),"//")</f>
        <v>//</v>
      </c>
      <c r="V83" s="175" t="str">
        <f ca="1">_xlfn.IFNA(OFFSET('(非表示)新規再エネ実現可能性判定'!$I$1,MATCH(O83,'(非表示)新規再エネ実現可能性判定'!$H:$H,0)-1,0),"//")</f>
        <v>//</v>
      </c>
      <c r="W83" s="175" t="str">
        <f t="shared" si="5"/>
        <v/>
      </c>
    </row>
    <row r="84" spans="2:23" ht="9.75" customHeight="1">
      <c r="D84" s="14"/>
      <c r="E84" s="15"/>
      <c r="F84" s="15"/>
      <c r="G84" s="248"/>
      <c r="H84" s="15"/>
      <c r="I84" s="235"/>
      <c r="J84" s="15"/>
      <c r="K84" s="15"/>
      <c r="L84" s="278"/>
      <c r="M84" s="278"/>
      <c r="N84" s="278"/>
      <c r="O84" s="18"/>
      <c r="P84" s="30"/>
      <c r="R84" s="423">
        <f t="shared" si="6"/>
        <v>77</v>
      </c>
      <c r="S84" s="222">
        <f t="shared" si="7"/>
        <v>0</v>
      </c>
      <c r="T84" s="222" t="str">
        <f ca="1">_xlfn.IFNA(OFFSET('(非表示)新規再エネ実現可能性判定'!$C$1,MATCH(M84,'(非表示)新規再エネ実現可能性判定'!$B:$B,0)-1,0),"//")</f>
        <v>//</v>
      </c>
      <c r="U84" s="175" t="str">
        <f ca="1">_xlfn.IFNA(OFFSET('(非表示)新規再エネ実現可能性判定'!$F$1,MATCH(N84,'(非表示)新規再エネ実現可能性判定'!$E:$E,0)-1,0),"//")</f>
        <v>//</v>
      </c>
      <c r="V84" s="175" t="str">
        <f ca="1">_xlfn.IFNA(OFFSET('(非表示)新規再エネ実現可能性判定'!$I$1,MATCH(O84,'(非表示)新規再エネ実現可能性判定'!$H:$H,0)-1,0),"//")</f>
        <v>//</v>
      </c>
      <c r="W84" s="175" t="str">
        <f t="shared" si="5"/>
        <v/>
      </c>
    </row>
    <row r="85" spans="2:23" ht="21">
      <c r="D85" s="237" t="s">
        <v>285</v>
      </c>
      <c r="F85" s="237"/>
      <c r="G85" s="269"/>
      <c r="I85" s="228"/>
      <c r="P85" s="19"/>
      <c r="R85" s="423">
        <f t="shared" si="6"/>
        <v>78</v>
      </c>
      <c r="S85" s="222">
        <f t="shared" si="7"/>
        <v>0</v>
      </c>
      <c r="T85" s="222" t="str">
        <f ca="1">_xlfn.IFNA(OFFSET('(非表示)新規再エネ実現可能性判定'!$C$1,MATCH(M85,'(非表示)新規再エネ実現可能性判定'!$B:$B,0)-1,0),"//")</f>
        <v>//</v>
      </c>
      <c r="U85" s="175" t="str">
        <f ca="1">_xlfn.IFNA(OFFSET('(非表示)新規再エネ実現可能性判定'!$F$1,MATCH(N85,'(非表示)新規再エネ実現可能性判定'!$E:$E,0)-1,0),"//")</f>
        <v>//</v>
      </c>
      <c r="V85" s="175" t="str">
        <f ca="1">_xlfn.IFNA(OFFSET('(非表示)新規再エネ実現可能性判定'!$I$1,MATCH(O85,'(非表示)新規再エネ実現可能性判定'!$H:$H,0)-1,0),"//")</f>
        <v>//</v>
      </c>
      <c r="W85" s="175" t="str">
        <f t="shared" si="5"/>
        <v/>
      </c>
    </row>
    <row r="86" spans="2:23" ht="21">
      <c r="D86" s="237"/>
      <c r="F86" s="1361" t="s">
        <v>8</v>
      </c>
      <c r="G86" s="1362" t="s">
        <v>185</v>
      </c>
      <c r="H86" s="1362" t="s">
        <v>180</v>
      </c>
      <c r="I86" s="1363" t="s">
        <v>31</v>
      </c>
      <c r="J86" s="1362" t="s">
        <v>186</v>
      </c>
      <c r="K86" s="1362" t="s">
        <v>81</v>
      </c>
      <c r="L86" s="1366" t="s">
        <v>187</v>
      </c>
      <c r="M86" s="1366"/>
      <c r="N86" s="1366"/>
      <c r="O86" s="279"/>
      <c r="P86" s="19"/>
      <c r="R86" s="423">
        <f t="shared" si="6"/>
        <v>79</v>
      </c>
      <c r="S86" s="222">
        <f t="shared" si="7"/>
        <v>0</v>
      </c>
      <c r="T86" s="222" t="str">
        <f ca="1">_xlfn.IFNA(OFFSET('(非表示)新規再エネ実現可能性判定'!$C$1,MATCH(M86,'(非表示)新規再エネ実現可能性判定'!$B:$B,0)-1,0),"//")</f>
        <v>//</v>
      </c>
      <c r="U86" s="175" t="str">
        <f ca="1">_xlfn.IFNA(OFFSET('(非表示)新規再エネ実現可能性判定'!$F$1,MATCH(N86,'(非表示)新規再エネ実現可能性判定'!$E:$E,0)-1,0),"//")</f>
        <v>//</v>
      </c>
      <c r="V86" s="175" t="str">
        <f ca="1">_xlfn.IFNA(OFFSET('(非表示)新規再エネ実現可能性判定'!$I$1,MATCH(O86,'(非表示)新規再エネ実現可能性判定'!$H:$H,0)-1,0),"//")</f>
        <v>//</v>
      </c>
      <c r="W86" s="175" t="str">
        <f t="shared" si="5"/>
        <v/>
      </c>
    </row>
    <row r="87" spans="2:23" ht="36" customHeight="1">
      <c r="D87" s="16"/>
      <c r="E87" s="271"/>
      <c r="F87" s="1361"/>
      <c r="G87" s="1362"/>
      <c r="H87" s="1362"/>
      <c r="I87" s="1363"/>
      <c r="J87" s="1362"/>
      <c r="K87" s="1362"/>
      <c r="L87" s="294" t="s">
        <v>225</v>
      </c>
      <c r="M87" s="294" t="s">
        <v>109</v>
      </c>
      <c r="N87" s="294" t="s">
        <v>110</v>
      </c>
      <c r="O87" s="280" t="s">
        <v>320</v>
      </c>
      <c r="P87" s="19"/>
      <c r="R87" s="423">
        <f t="shared" si="6"/>
        <v>80</v>
      </c>
      <c r="S87" s="222">
        <f t="shared" si="7"/>
        <v>0</v>
      </c>
      <c r="T87" s="222" t="str">
        <f ca="1">_xlfn.IFNA(OFFSET('(非表示)新規再エネ実現可能性判定'!$C$1,MATCH(M87,'(非表示)新規再エネ実現可能性判定'!$B:$B,0)-1,0),"//")</f>
        <v>判定</v>
      </c>
      <c r="U87" s="175" t="str">
        <f ca="1">_xlfn.IFNA(OFFSET('(非表示)新規再エネ実現可能性判定'!$F$1,MATCH(N87,'(非表示)新規再エネ実現可能性判定'!$E:$E,0)-1,0),"//")</f>
        <v>判定</v>
      </c>
      <c r="V87" s="175" t="str">
        <f ca="1">_xlfn.IFNA(OFFSET('(非表示)新規再エネ実現可能性判定'!$I$1,MATCH(O87,'(非表示)新規再エネ実現可能性判定'!$H:$H,0)-1,0),"//")</f>
        <v>//</v>
      </c>
      <c r="W87" s="175" t="str">
        <f t="shared" ca="1" si="5"/>
        <v>//</v>
      </c>
    </row>
    <row r="88" spans="2:23" s="11" customFormat="1" ht="20" hidden="1">
      <c r="B88" s="21"/>
      <c r="C88" s="21"/>
      <c r="D88" s="22"/>
      <c r="E88" s="128"/>
      <c r="F88" s="488"/>
      <c r="G88" s="479"/>
      <c r="H88" s="495"/>
      <c r="I88" s="502"/>
      <c r="J88" s="503"/>
      <c r="K88" s="504"/>
      <c r="L88" s="510"/>
      <c r="M88" s="510"/>
      <c r="N88" s="510"/>
      <c r="O88" s="511"/>
      <c r="P88" s="24"/>
      <c r="Q88" s="21"/>
      <c r="R88" s="431">
        <f t="shared" si="6"/>
        <v>81</v>
      </c>
      <c r="S88" s="125">
        <f t="shared" si="7"/>
        <v>0</v>
      </c>
      <c r="T88" s="125" t="str">
        <f ca="1">_xlfn.IFNA(OFFSET('(非表示)新規再エネ実現可能性判定'!$C$1,MATCH(M88,'(非表示)新規再エネ実現可能性判定'!$B:$B,0)-1,0),"//")</f>
        <v>//</v>
      </c>
      <c r="U88" s="255" t="str">
        <f ca="1">_xlfn.IFNA(OFFSET('(非表示)新規再エネ実現可能性判定'!$F$1,MATCH(N88,'(非表示)新規再エネ実現可能性判定'!$E:$E,0)-1,0),"//")</f>
        <v>//</v>
      </c>
      <c r="V88" s="255" t="str">
        <f ca="1">_xlfn.IFNA(OFFSET('(非表示)新規再エネ実現可能性判定'!$I$1,MATCH(O88,'(非表示)新規再エネ実現可能性判定'!$H:$H,0)-1,0),"//")</f>
        <v>//</v>
      </c>
      <c r="W88" s="255" t="str">
        <f t="shared" si="5"/>
        <v/>
      </c>
    </row>
    <row r="89" spans="2:23" s="11" customFormat="1" ht="20">
      <c r="B89" s="21"/>
      <c r="C89" s="21"/>
      <c r="D89" s="22"/>
      <c r="E89" s="128"/>
      <c r="F89" s="501" t="str">
        <f ca="1">IFERROR(OFFSET('4.1(2)新規再エネ導入予定（設備情報）'!$F$1,MATCH(G89,'4.1(2)新規再エネ導入予定（設備情報）'!$G:$G,0)-1,0),"")</f>
        <v/>
      </c>
      <c r="G89" s="509"/>
      <c r="H89" s="505" t="str">
        <f ca="1">IFERROR(OFFSET('4.1(2)新規再エネ導入予定（設備情報）'!$H$1,MATCH(G89,'4.1(2)新規再エネ導入予定（設備情報）'!$G:$G,0)-1,0)&amp;"","")</f>
        <v/>
      </c>
      <c r="I89" s="506" t="str">
        <f ca="1">IFERROR(OFFSET('4.1(2)新規再エネ導入予定（設備情報）'!$L$1,MATCH(G89,'4.1(2)新規再エネ導入予定（設備情報）'!$G:$G,0)-1,0),"")</f>
        <v/>
      </c>
      <c r="J89" s="507" t="str">
        <f ca="1">IFERROR(OFFSET('4.1(2)新規再エネ導入予定（設備情報）'!$O$1,MATCH(G89,'4.1(2)新規再エネ導入予定（設備情報）'!$G:$G,0)-1,0),"")</f>
        <v/>
      </c>
      <c r="K89" s="508" t="str">
        <f ca="1">IFERROR(OFFSET('4.1(2)新規再エネ導入予定（設備情報）'!$P$1,MATCH(G89,'4.1(2)新規再エネ導入予定（設備情報）'!$G:$G,0)-1,0),"")</f>
        <v/>
      </c>
      <c r="L89" s="486"/>
      <c r="M89" s="486"/>
      <c r="N89" s="486"/>
      <c r="O89" s="483"/>
      <c r="P89" s="24"/>
      <c r="Q89" s="21"/>
      <c r="R89" s="431">
        <f t="shared" si="6"/>
        <v>82</v>
      </c>
      <c r="S89" s="125">
        <f t="shared" si="7"/>
        <v>0</v>
      </c>
      <c r="T89" s="125" t="str">
        <f ca="1">_xlfn.IFNA(OFFSET('(非表示)新規再エネ実現可能性判定'!$C$1,MATCH(M89,'(非表示)新規再エネ実現可能性判定'!$B:$B,0)-1,0),"//")</f>
        <v>//</v>
      </c>
      <c r="U89" s="255" t="str">
        <f ca="1">_xlfn.IFNA(OFFSET('(非表示)新規再エネ実現可能性判定'!$F$1,MATCH(N89,'(非表示)新規再エネ実現可能性判定'!$E:$E,0)-1,0),"//")</f>
        <v>//</v>
      </c>
      <c r="V89" s="255" t="str">
        <f ca="1">_xlfn.IFNA(OFFSET('(非表示)新規再エネ実現可能性判定'!$I$1,MATCH(O89,'(非表示)新規再エネ実現可能性判定'!$H:$H,0)-1,0),"//")</f>
        <v>//</v>
      </c>
      <c r="W89" s="255" t="str">
        <f t="shared" si="5"/>
        <v/>
      </c>
    </row>
    <row r="90" spans="2:23" s="11" customFormat="1" ht="20">
      <c r="B90" s="21"/>
      <c r="C90" s="21"/>
      <c r="D90" s="22"/>
      <c r="E90" s="128"/>
      <c r="F90" s="501" t="str">
        <f ca="1">IFERROR(OFFSET('4.1(2)新規再エネ導入予定（設備情報）'!$F$1,MATCH(G90,'4.1(2)新規再エネ導入予定（設備情報）'!$G:$G,0)-1,0),"")</f>
        <v/>
      </c>
      <c r="G90" s="509"/>
      <c r="H90" s="505" t="str">
        <f ca="1">IFERROR(OFFSET('4.1(2)新規再エネ導入予定（設備情報）'!$H$1,MATCH(G90,'4.1(2)新規再エネ導入予定（設備情報）'!$G:$G,0)-1,0)&amp;"","")</f>
        <v/>
      </c>
      <c r="I90" s="506" t="str">
        <f ca="1">IFERROR(OFFSET('4.1(2)新規再エネ導入予定（設備情報）'!$L$1,MATCH(G90,'4.1(2)新規再エネ導入予定（設備情報）'!$G:$G,0)-1,0),"")</f>
        <v/>
      </c>
      <c r="J90" s="507" t="str">
        <f ca="1">IFERROR(OFFSET('4.1(2)新規再エネ導入予定（設備情報）'!$O$1,MATCH(G90,'4.1(2)新規再エネ導入予定（設備情報）'!$G:$G,0)-1,0),"")</f>
        <v/>
      </c>
      <c r="K90" s="508" t="str">
        <f ca="1">IFERROR(OFFSET('4.1(2)新規再エネ導入予定（設備情報）'!$P$1,MATCH(G90,'4.1(2)新規再エネ導入予定（設備情報）'!$G:$G,0)-1,0),"")</f>
        <v/>
      </c>
      <c r="L90" s="486"/>
      <c r="M90" s="486"/>
      <c r="N90" s="486"/>
      <c r="O90" s="483"/>
      <c r="P90" s="24"/>
      <c r="Q90" s="21"/>
      <c r="R90" s="431">
        <f t="shared" si="6"/>
        <v>83</v>
      </c>
      <c r="S90" s="125">
        <f t="shared" si="7"/>
        <v>0</v>
      </c>
      <c r="T90" s="125" t="str">
        <f ca="1">_xlfn.IFNA(OFFSET('(非表示)新規再エネ実現可能性判定'!$C$1,MATCH(M90,'(非表示)新規再エネ実現可能性判定'!$B:$B,0)-1,0),"//")</f>
        <v>//</v>
      </c>
      <c r="U90" s="255" t="str">
        <f ca="1">_xlfn.IFNA(OFFSET('(非表示)新規再エネ実現可能性判定'!$F$1,MATCH(N90,'(非表示)新規再エネ実現可能性判定'!$E:$E,0)-1,0),"//")</f>
        <v>//</v>
      </c>
      <c r="V90" s="255" t="str">
        <f ca="1">_xlfn.IFNA(OFFSET('(非表示)新規再エネ実現可能性判定'!$I$1,MATCH(O90,'(非表示)新規再エネ実現可能性判定'!$H:$H,0)-1,0),"//")</f>
        <v>//</v>
      </c>
      <c r="W90" s="255" t="str">
        <f t="shared" si="5"/>
        <v/>
      </c>
    </row>
    <row r="91" spans="2:23" s="11" customFormat="1" ht="20">
      <c r="B91" s="21"/>
      <c r="C91" s="21"/>
      <c r="D91" s="22"/>
      <c r="E91" s="128"/>
      <c r="F91" s="501" t="str">
        <f ca="1">IFERROR(OFFSET('4.1(2)新規再エネ導入予定（設備情報）'!$F$1,MATCH(G91,'4.1(2)新規再エネ導入予定（設備情報）'!$G:$G,0)-1,0),"")</f>
        <v/>
      </c>
      <c r="G91" s="509"/>
      <c r="H91" s="505" t="str">
        <f ca="1">IFERROR(OFFSET('4.1(2)新規再エネ導入予定（設備情報）'!$H$1,MATCH(G91,'4.1(2)新規再エネ導入予定（設備情報）'!$G:$G,0)-1,0)&amp;"","")</f>
        <v/>
      </c>
      <c r="I91" s="506" t="str">
        <f ca="1">IFERROR(OFFSET('4.1(2)新規再エネ導入予定（設備情報）'!$L$1,MATCH(G91,'4.1(2)新規再エネ導入予定（設備情報）'!$G:$G,0)-1,0),"")</f>
        <v/>
      </c>
      <c r="J91" s="507" t="str">
        <f ca="1">IFERROR(OFFSET('4.1(2)新規再エネ導入予定（設備情報）'!$O$1,MATCH(G91,'4.1(2)新規再エネ導入予定（設備情報）'!$G:$G,0)-1,0),"")</f>
        <v/>
      </c>
      <c r="K91" s="508" t="str">
        <f ca="1">IFERROR(OFFSET('4.1(2)新規再エネ導入予定（設備情報）'!$P$1,MATCH(G91,'4.1(2)新規再エネ導入予定（設備情報）'!$G:$G,0)-1,0),"")</f>
        <v/>
      </c>
      <c r="L91" s="486"/>
      <c r="M91" s="486"/>
      <c r="N91" s="486"/>
      <c r="O91" s="483"/>
      <c r="P91" s="24"/>
      <c r="Q91" s="21"/>
      <c r="R91" s="431">
        <f t="shared" si="6"/>
        <v>84</v>
      </c>
      <c r="S91" s="125">
        <f t="shared" si="7"/>
        <v>0</v>
      </c>
      <c r="T91" s="125" t="str">
        <f ca="1">_xlfn.IFNA(OFFSET('(非表示)新規再エネ実現可能性判定'!$C$1,MATCH(M91,'(非表示)新規再エネ実現可能性判定'!$B:$B,0)-1,0),"//")</f>
        <v>//</v>
      </c>
      <c r="U91" s="255" t="str">
        <f ca="1">_xlfn.IFNA(OFFSET('(非表示)新規再エネ実現可能性判定'!$F$1,MATCH(N91,'(非表示)新規再エネ実現可能性判定'!$E:$E,0)-1,0),"//")</f>
        <v>//</v>
      </c>
      <c r="V91" s="255" t="str">
        <f ca="1">_xlfn.IFNA(OFFSET('(非表示)新規再エネ実現可能性判定'!$I$1,MATCH(O91,'(非表示)新規再エネ実現可能性判定'!$H:$H,0)-1,0),"//")</f>
        <v>//</v>
      </c>
      <c r="W91" s="255" t="str">
        <f t="shared" si="5"/>
        <v/>
      </c>
    </row>
    <row r="92" spans="2:23" ht="20">
      <c r="D92" s="16"/>
      <c r="E92" s="272"/>
      <c r="F92" s="281" t="s">
        <v>26</v>
      </c>
      <c r="G92" s="240"/>
      <c r="H92" s="240"/>
      <c r="I92" s="273"/>
      <c r="J92" s="274"/>
      <c r="K92" s="499">
        <f ca="1">SUM(OFFSET(K$88,0,0,ROW()-ROW(K$88),1))</f>
        <v>0</v>
      </c>
      <c r="L92" s="251"/>
      <c r="M92" s="251"/>
      <c r="N92" s="251"/>
      <c r="O92" s="251"/>
      <c r="P92" s="19"/>
      <c r="R92" s="423">
        <f t="shared" si="6"/>
        <v>85</v>
      </c>
      <c r="S92" s="222">
        <f t="shared" si="7"/>
        <v>0</v>
      </c>
      <c r="T92" s="222" t="str">
        <f ca="1">_xlfn.IFNA(OFFSET('(非表示)新規再エネ実現可能性判定'!$C$1,MATCH(M92,'(非表示)新規再エネ実現可能性判定'!$B:$B,0)-1,0),"//")</f>
        <v>//</v>
      </c>
      <c r="U92" s="175" t="str">
        <f ca="1">_xlfn.IFNA(OFFSET('(非表示)新規再エネ実現可能性判定'!$F$1,MATCH(N92,'(非表示)新規再エネ実現可能性判定'!$E:$E,0)-1,0),"//")</f>
        <v>//</v>
      </c>
      <c r="V92" s="175" t="str">
        <f ca="1">_xlfn.IFNA(OFFSET('(非表示)新規再エネ実現可能性判定'!$I$1,MATCH(O92,'(非表示)新規再エネ実現可能性判定'!$H:$H,0)-1,0),"//")</f>
        <v>//</v>
      </c>
      <c r="W92" s="175" t="str">
        <f t="shared" si="5"/>
        <v/>
      </c>
    </row>
    <row r="93" spans="2:23" ht="20">
      <c r="D93" s="46"/>
      <c r="E93" s="26"/>
      <c r="F93" s="26"/>
      <c r="G93" s="4"/>
      <c r="H93" s="4"/>
      <c r="I93" s="122"/>
      <c r="J93" s="4"/>
      <c r="K93" s="4"/>
      <c r="L93" s="287"/>
      <c r="M93" s="287"/>
      <c r="N93" s="287"/>
      <c r="O93" s="288"/>
      <c r="P93" s="27"/>
      <c r="Q93"/>
      <c r="R93" s="423">
        <f t="shared" si="6"/>
        <v>86</v>
      </c>
      <c r="S93" s="222">
        <f t="shared" si="7"/>
        <v>0</v>
      </c>
      <c r="T93" s="222" t="str">
        <f ca="1">_xlfn.IFNA(OFFSET('(非表示)新規再エネ実現可能性判定'!$C$1,MATCH(M93,'(非表示)新規再エネ実現可能性判定'!$B:$B,0)-1,0),"//")</f>
        <v>//</v>
      </c>
      <c r="U93" s="175" t="str">
        <f ca="1">_xlfn.IFNA(OFFSET('(非表示)新規再エネ実現可能性判定'!$F$1,MATCH(N93,'(非表示)新規再エネ実現可能性判定'!$E:$E,0)-1,0),"//")</f>
        <v>//</v>
      </c>
      <c r="V93" s="175" t="str">
        <f ca="1">_xlfn.IFNA(OFFSET('(非表示)新規再エネ実現可能性判定'!$I$1,MATCH(O93,'(非表示)新規再エネ実現可能性判定'!$H:$H,0)-1,0),"//")</f>
        <v>//</v>
      </c>
      <c r="W93" s="175" t="str">
        <f t="shared" si="5"/>
        <v/>
      </c>
    </row>
    <row r="94" spans="2:23" ht="20">
      <c r="F94" s="31"/>
      <c r="G94" s="31"/>
      <c r="H94" s="31"/>
      <c r="I94" s="268"/>
      <c r="J94" s="31"/>
      <c r="K94" s="31"/>
      <c r="L94" s="285"/>
      <c r="M94" s="285"/>
      <c r="N94" s="285"/>
      <c r="O94" s="286"/>
      <c r="R94" s="423">
        <f t="shared" si="6"/>
        <v>87</v>
      </c>
      <c r="S94" s="222">
        <f t="shared" si="7"/>
        <v>0</v>
      </c>
      <c r="T94" s="222" t="str">
        <f ca="1">_xlfn.IFNA(OFFSET('(非表示)新規再エネ実現可能性判定'!$C$1,MATCH(M94,'(非表示)新規再エネ実現可能性判定'!$B:$B,0)-1,0),"//")</f>
        <v>//</v>
      </c>
      <c r="U94" s="175" t="str">
        <f ca="1">_xlfn.IFNA(OFFSET('(非表示)新規再エネ実現可能性判定'!$F$1,MATCH(N94,'(非表示)新規再エネ実現可能性判定'!$E:$E,0)-1,0),"//")</f>
        <v>//</v>
      </c>
      <c r="V94" s="175" t="str">
        <f ca="1">_xlfn.IFNA(OFFSET('(非表示)新規再エネ実現可能性判定'!$I$1,MATCH(O94,'(非表示)新規再エネ実現可能性判定'!$H:$H,0)-1,0),"//")</f>
        <v>//</v>
      </c>
      <c r="W94" s="175" t="str">
        <f t="shared" si="5"/>
        <v/>
      </c>
    </row>
    <row r="95" spans="2:23" ht="20">
      <c r="F95" s="31"/>
      <c r="G95" s="31"/>
      <c r="H95" s="31"/>
      <c r="I95" s="268"/>
      <c r="J95" s="31"/>
      <c r="K95" s="31"/>
      <c r="L95" s="285"/>
      <c r="M95" s="285"/>
      <c r="N95" s="285"/>
      <c r="O95" s="286"/>
      <c r="R95" s="423">
        <f t="shared" si="6"/>
        <v>88</v>
      </c>
      <c r="S95" s="222">
        <f t="shared" si="7"/>
        <v>0</v>
      </c>
      <c r="T95" s="222" t="str">
        <f ca="1">_xlfn.IFNA(OFFSET('(非表示)新規再エネ実現可能性判定'!$C$1,MATCH(M95,'(非表示)新規再エネ実現可能性判定'!$B:$B,0)-1,0),"//")</f>
        <v>//</v>
      </c>
      <c r="U95" s="175" t="str">
        <f ca="1">_xlfn.IFNA(OFFSET('(非表示)新規再エネ実現可能性判定'!$F$1,MATCH(N95,'(非表示)新規再エネ実現可能性判定'!$E:$E,0)-1,0),"//")</f>
        <v>//</v>
      </c>
      <c r="V95" s="175" t="str">
        <f ca="1">_xlfn.IFNA(OFFSET('(非表示)新規再エネ実現可能性判定'!$I$1,MATCH(O95,'(非表示)新規再エネ実現可能性判定'!$H:$H,0)-1,0),"//")</f>
        <v>//</v>
      </c>
      <c r="W95" s="175" t="str">
        <f t="shared" si="5"/>
        <v/>
      </c>
    </row>
    <row r="96" spans="2:23" ht="9.75" customHeight="1">
      <c r="D96" s="14"/>
      <c r="E96" s="15"/>
      <c r="F96" s="15"/>
      <c r="G96" s="248"/>
      <c r="H96" s="15"/>
      <c r="I96" s="235"/>
      <c r="J96" s="15"/>
      <c r="K96" s="15"/>
      <c r="L96" s="278"/>
      <c r="M96" s="278"/>
      <c r="N96" s="278"/>
      <c r="O96" s="18"/>
      <c r="P96" s="30"/>
      <c r="R96" s="423">
        <f t="shared" si="6"/>
        <v>89</v>
      </c>
      <c r="S96" s="222">
        <f t="shared" si="7"/>
        <v>0</v>
      </c>
      <c r="T96" s="222" t="str">
        <f ca="1">_xlfn.IFNA(OFFSET('(非表示)新規再エネ実現可能性判定'!$C$1,MATCH(M96,'(非表示)新規再エネ実現可能性判定'!$B:$B,0)-1,0),"//")</f>
        <v>//</v>
      </c>
      <c r="U96" s="175" t="str">
        <f ca="1">_xlfn.IFNA(OFFSET('(非表示)新規再エネ実現可能性判定'!$F$1,MATCH(N96,'(非表示)新規再エネ実現可能性判定'!$E:$E,0)-1,0),"//")</f>
        <v>//</v>
      </c>
      <c r="V96" s="175" t="str">
        <f ca="1">_xlfn.IFNA(OFFSET('(非表示)新規再エネ実現可能性判定'!$I$1,MATCH(O96,'(非表示)新規再エネ実現可能性判定'!$H:$H,0)-1,0),"//")</f>
        <v>//</v>
      </c>
      <c r="W96" s="175" t="str">
        <f t="shared" si="5"/>
        <v/>
      </c>
    </row>
    <row r="97" spans="2:23" ht="21">
      <c r="D97" s="237" t="s">
        <v>198</v>
      </c>
      <c r="F97" s="237"/>
      <c r="G97" s="269"/>
      <c r="I97" s="228"/>
      <c r="P97" s="19"/>
      <c r="R97" s="423">
        <f t="shared" si="6"/>
        <v>90</v>
      </c>
      <c r="S97" s="222">
        <f t="shared" si="7"/>
        <v>0</v>
      </c>
      <c r="T97" s="222" t="str">
        <f ca="1">_xlfn.IFNA(OFFSET('(非表示)新規再エネ実現可能性判定'!$C$1,MATCH(M97,'(非表示)新規再エネ実現可能性判定'!$B:$B,0)-1,0),"//")</f>
        <v>//</v>
      </c>
      <c r="U97" s="175" t="str">
        <f ca="1">_xlfn.IFNA(OFFSET('(非表示)新規再エネ実現可能性判定'!$F$1,MATCH(N97,'(非表示)新規再エネ実現可能性判定'!$E:$E,0)-1,0),"//")</f>
        <v>//</v>
      </c>
      <c r="V97" s="175" t="str">
        <f ca="1">_xlfn.IFNA(OFFSET('(非表示)新規再エネ実現可能性判定'!$I$1,MATCH(O97,'(非表示)新規再エネ実現可能性判定'!$H:$H,0)-1,0),"//")</f>
        <v>//</v>
      </c>
      <c r="W97" s="175" t="str">
        <f t="shared" si="5"/>
        <v/>
      </c>
    </row>
    <row r="98" spans="2:23" ht="21">
      <c r="D98" s="237"/>
      <c r="F98" s="1361" t="s">
        <v>8</v>
      </c>
      <c r="G98" s="1362" t="s">
        <v>185</v>
      </c>
      <c r="H98" s="1362" t="s">
        <v>180</v>
      </c>
      <c r="I98" s="1363" t="s">
        <v>31</v>
      </c>
      <c r="J98" s="1362" t="s">
        <v>186</v>
      </c>
      <c r="K98" s="1362" t="s">
        <v>81</v>
      </c>
      <c r="L98" s="1366" t="s">
        <v>187</v>
      </c>
      <c r="M98" s="1366"/>
      <c r="N98" s="1366"/>
      <c r="O98" s="279"/>
      <c r="P98" s="19"/>
      <c r="R98" s="423">
        <f t="shared" si="6"/>
        <v>91</v>
      </c>
      <c r="S98" s="222">
        <f t="shared" si="7"/>
        <v>0</v>
      </c>
      <c r="T98" s="222" t="str">
        <f ca="1">_xlfn.IFNA(OFFSET('(非表示)新規再エネ実現可能性判定'!$C$1,MATCH(M98,'(非表示)新規再エネ実現可能性判定'!$B:$B,0)-1,0),"//")</f>
        <v>//</v>
      </c>
      <c r="U98" s="175" t="str">
        <f ca="1">_xlfn.IFNA(OFFSET('(非表示)新規再エネ実現可能性判定'!$F$1,MATCH(N98,'(非表示)新規再エネ実現可能性判定'!$E:$E,0)-1,0),"//")</f>
        <v>//</v>
      </c>
      <c r="V98" s="175" t="str">
        <f ca="1">_xlfn.IFNA(OFFSET('(非表示)新規再エネ実現可能性判定'!$I$1,MATCH(O98,'(非表示)新規再エネ実現可能性判定'!$H:$H,0)-1,0),"//")</f>
        <v>//</v>
      </c>
      <c r="W98" s="175" t="str">
        <f t="shared" si="5"/>
        <v/>
      </c>
    </row>
    <row r="99" spans="2:23" ht="36" customHeight="1">
      <c r="D99" s="16"/>
      <c r="E99" s="271"/>
      <c r="F99" s="1361"/>
      <c r="G99" s="1362"/>
      <c r="H99" s="1362"/>
      <c r="I99" s="1363"/>
      <c r="J99" s="1362"/>
      <c r="K99" s="1362"/>
      <c r="L99" s="294" t="s">
        <v>225</v>
      </c>
      <c r="M99" s="294" t="s">
        <v>109</v>
      </c>
      <c r="N99" s="294" t="s">
        <v>110</v>
      </c>
      <c r="O99" s="280" t="s">
        <v>320</v>
      </c>
      <c r="P99" s="19"/>
      <c r="R99" s="423">
        <f t="shared" si="6"/>
        <v>92</v>
      </c>
      <c r="S99" s="222">
        <f t="shared" si="7"/>
        <v>0</v>
      </c>
      <c r="T99" s="222" t="str">
        <f ca="1">_xlfn.IFNA(OFFSET('(非表示)新規再エネ実現可能性判定'!$C$1,MATCH(M99,'(非表示)新規再エネ実現可能性判定'!$B:$B,0)-1,0),"//")</f>
        <v>判定</v>
      </c>
      <c r="U99" s="175" t="str">
        <f ca="1">_xlfn.IFNA(OFFSET('(非表示)新規再エネ実現可能性判定'!$F$1,MATCH(N99,'(非表示)新規再エネ実現可能性判定'!$E:$E,0)-1,0),"//")</f>
        <v>判定</v>
      </c>
      <c r="V99" s="175" t="str">
        <f ca="1">_xlfn.IFNA(OFFSET('(非表示)新規再エネ実現可能性判定'!$I$1,MATCH(O99,'(非表示)新規再エネ実現可能性判定'!$H:$H,0)-1,0),"//")</f>
        <v>//</v>
      </c>
      <c r="W99" s="175" t="str">
        <f t="shared" ca="1" si="5"/>
        <v>//</v>
      </c>
    </row>
    <row r="100" spans="2:23" s="11" customFormat="1" ht="20" hidden="1">
      <c r="B100" s="21"/>
      <c r="C100" s="21"/>
      <c r="D100" s="22"/>
      <c r="E100" s="128"/>
      <c r="F100" s="488"/>
      <c r="G100" s="479"/>
      <c r="H100" s="495"/>
      <c r="I100" s="502"/>
      <c r="J100" s="503"/>
      <c r="K100" s="504"/>
      <c r="L100" s="510"/>
      <c r="M100" s="510"/>
      <c r="N100" s="510"/>
      <c r="O100" s="511"/>
      <c r="P100" s="24"/>
      <c r="Q100" s="21"/>
      <c r="R100" s="431">
        <f t="shared" si="6"/>
        <v>93</v>
      </c>
      <c r="S100" s="125">
        <f t="shared" si="7"/>
        <v>0</v>
      </c>
      <c r="T100" s="125" t="str">
        <f ca="1">_xlfn.IFNA(OFFSET('(非表示)新規再エネ実現可能性判定'!$C$1,MATCH(M100,'(非表示)新規再エネ実現可能性判定'!$B:$B,0)-1,0),"//")</f>
        <v>//</v>
      </c>
      <c r="U100" s="255" t="str">
        <f ca="1">_xlfn.IFNA(OFFSET('(非表示)新規再エネ実現可能性判定'!$F$1,MATCH(N100,'(非表示)新規再エネ実現可能性判定'!$E:$E,0)-1,0),"//")</f>
        <v>//</v>
      </c>
      <c r="V100" s="255" t="str">
        <f ca="1">_xlfn.IFNA(OFFSET('(非表示)新規再エネ実現可能性判定'!$I$1,MATCH(O100,'(非表示)新規再エネ実現可能性判定'!$H:$H,0)-1,0),"//")</f>
        <v>//</v>
      </c>
      <c r="W100" s="255" t="str">
        <f t="shared" si="5"/>
        <v/>
      </c>
    </row>
    <row r="101" spans="2:23" s="11" customFormat="1" ht="20">
      <c r="B101" s="21"/>
      <c r="C101" s="21"/>
      <c r="D101" s="22"/>
      <c r="E101" s="128"/>
      <c r="F101" s="501" t="str">
        <f ca="1">IFERROR(OFFSET('4.1(2)新規再エネ導入予定（設備情報）'!$F$1,MATCH(G101,'4.1(2)新規再エネ導入予定（設備情報）'!$G:$G,0)-1,0),"")</f>
        <v/>
      </c>
      <c r="G101" s="509"/>
      <c r="H101" s="505" t="str">
        <f ca="1">IFERROR(OFFSET('4.1(2)新規再エネ導入予定（設備情報）'!$H$1,MATCH(G101,'4.1(2)新規再エネ導入予定（設備情報）'!$G:$G,0)-1,0)&amp;"","")</f>
        <v/>
      </c>
      <c r="I101" s="506" t="str">
        <f ca="1">IFERROR(OFFSET('4.1(2)新規再エネ導入予定（設備情報）'!$L$1,MATCH(G101,'4.1(2)新規再エネ導入予定（設備情報）'!$G:$G,0)-1,0),"")</f>
        <v/>
      </c>
      <c r="J101" s="507" t="str">
        <f ca="1">IFERROR(OFFSET('4.1(2)新規再エネ導入予定（設備情報）'!$O$1,MATCH(G101,'4.1(2)新規再エネ導入予定（設備情報）'!$G:$G,0)-1,0),"")</f>
        <v/>
      </c>
      <c r="K101" s="508" t="str">
        <f ca="1">IFERROR(OFFSET('4.1(2)新規再エネ導入予定（設備情報）'!$P$1,MATCH(G101,'4.1(2)新規再エネ導入予定（設備情報）'!$G:$G,0)-1,0),"")</f>
        <v/>
      </c>
      <c r="L101" s="486"/>
      <c r="M101" s="486"/>
      <c r="N101" s="486"/>
      <c r="O101" s="483"/>
      <c r="P101" s="24"/>
      <c r="Q101" s="21"/>
      <c r="R101" s="431">
        <f t="shared" si="6"/>
        <v>94</v>
      </c>
      <c r="S101" s="125">
        <f t="shared" si="7"/>
        <v>0</v>
      </c>
      <c r="T101" s="125" t="str">
        <f ca="1">_xlfn.IFNA(OFFSET('(非表示)新規再エネ実現可能性判定'!$C$1,MATCH(M101,'(非表示)新規再エネ実現可能性判定'!$B:$B,0)-1,0),"//")</f>
        <v>//</v>
      </c>
      <c r="U101" s="255" t="str">
        <f ca="1">_xlfn.IFNA(OFFSET('(非表示)新規再エネ実現可能性判定'!$F$1,MATCH(N101,'(非表示)新規再エネ実現可能性判定'!$E:$E,0)-1,0),"//")</f>
        <v>//</v>
      </c>
      <c r="V101" s="255" t="str">
        <f ca="1">_xlfn.IFNA(OFFSET('(非表示)新規再エネ実現可能性判定'!$I$1,MATCH(O101,'(非表示)新規再エネ実現可能性判定'!$H:$H,0)-1,0),"//")</f>
        <v>//</v>
      </c>
      <c r="W101" s="255" t="str">
        <f t="shared" si="5"/>
        <v/>
      </c>
    </row>
    <row r="102" spans="2:23" s="11" customFormat="1" ht="20">
      <c r="B102" s="21"/>
      <c r="C102" s="21"/>
      <c r="D102" s="22"/>
      <c r="E102" s="128"/>
      <c r="F102" s="501" t="str">
        <f ca="1">IFERROR(OFFSET('4.1(2)新規再エネ導入予定（設備情報）'!$F$1,MATCH(G102,'4.1(2)新規再エネ導入予定（設備情報）'!$G:$G,0)-1,0),"")</f>
        <v/>
      </c>
      <c r="G102" s="509"/>
      <c r="H102" s="505" t="str">
        <f ca="1">IFERROR(OFFSET('4.1(2)新規再エネ導入予定（設備情報）'!$H$1,MATCH(G102,'4.1(2)新規再エネ導入予定（設備情報）'!$G:$G,0)-1,0)&amp;"","")</f>
        <v/>
      </c>
      <c r="I102" s="506" t="str">
        <f ca="1">IFERROR(OFFSET('4.1(2)新規再エネ導入予定（設備情報）'!$L$1,MATCH(G102,'4.1(2)新規再エネ導入予定（設備情報）'!$G:$G,0)-1,0),"")</f>
        <v/>
      </c>
      <c r="J102" s="507" t="str">
        <f ca="1">IFERROR(OFFSET('4.1(2)新規再エネ導入予定（設備情報）'!$O$1,MATCH(G102,'4.1(2)新規再エネ導入予定（設備情報）'!$G:$G,0)-1,0),"")</f>
        <v/>
      </c>
      <c r="K102" s="508" t="str">
        <f ca="1">IFERROR(OFFSET('4.1(2)新規再エネ導入予定（設備情報）'!$P$1,MATCH(G102,'4.1(2)新規再エネ導入予定（設備情報）'!$G:$G,0)-1,0),"")</f>
        <v/>
      </c>
      <c r="L102" s="486"/>
      <c r="M102" s="486"/>
      <c r="N102" s="486"/>
      <c r="O102" s="483"/>
      <c r="P102" s="24"/>
      <c r="Q102" s="21"/>
      <c r="R102" s="431">
        <f t="shared" si="6"/>
        <v>95</v>
      </c>
      <c r="S102" s="125">
        <f t="shared" si="7"/>
        <v>0</v>
      </c>
      <c r="T102" s="125" t="str">
        <f ca="1">_xlfn.IFNA(OFFSET('(非表示)新規再エネ実現可能性判定'!$C$1,MATCH(M102,'(非表示)新規再エネ実現可能性判定'!$B:$B,0)-1,0),"//")</f>
        <v>//</v>
      </c>
      <c r="U102" s="255" t="str">
        <f ca="1">_xlfn.IFNA(OFFSET('(非表示)新規再エネ実現可能性判定'!$F$1,MATCH(N102,'(非表示)新規再エネ実現可能性判定'!$E:$E,0)-1,0),"//")</f>
        <v>//</v>
      </c>
      <c r="V102" s="255" t="str">
        <f ca="1">_xlfn.IFNA(OFFSET('(非表示)新規再エネ実現可能性判定'!$I$1,MATCH(O102,'(非表示)新規再エネ実現可能性判定'!$H:$H,0)-1,0),"//")</f>
        <v>//</v>
      </c>
      <c r="W102" s="255" t="str">
        <f t="shared" si="5"/>
        <v/>
      </c>
    </row>
    <row r="103" spans="2:23" s="11" customFormat="1" ht="20">
      <c r="B103" s="21"/>
      <c r="C103" s="21"/>
      <c r="D103" s="22"/>
      <c r="E103" s="128"/>
      <c r="F103" s="501" t="str">
        <f ca="1">IFERROR(OFFSET('4.1(2)新規再エネ導入予定（設備情報）'!$F$1,MATCH(G103,'4.1(2)新規再エネ導入予定（設備情報）'!$G:$G,0)-1,0),"")</f>
        <v/>
      </c>
      <c r="G103" s="509"/>
      <c r="H103" s="505" t="str">
        <f ca="1">IFERROR(OFFSET('4.1(2)新規再エネ導入予定（設備情報）'!$H$1,MATCH(G103,'4.1(2)新規再エネ導入予定（設備情報）'!$G:$G,0)-1,0)&amp;"","")</f>
        <v/>
      </c>
      <c r="I103" s="506" t="str">
        <f ca="1">IFERROR(OFFSET('4.1(2)新規再エネ導入予定（設備情報）'!$L$1,MATCH(G103,'4.1(2)新規再エネ導入予定（設備情報）'!$G:$G,0)-1,0),"")</f>
        <v/>
      </c>
      <c r="J103" s="507" t="str">
        <f ca="1">IFERROR(OFFSET('4.1(2)新規再エネ導入予定（設備情報）'!$O$1,MATCH(G103,'4.1(2)新規再エネ導入予定（設備情報）'!$G:$G,0)-1,0),"")</f>
        <v/>
      </c>
      <c r="K103" s="508" t="str">
        <f ca="1">IFERROR(OFFSET('4.1(2)新規再エネ導入予定（設備情報）'!$P$1,MATCH(G103,'4.1(2)新規再エネ導入予定（設備情報）'!$G:$G,0)-1,0),"")</f>
        <v/>
      </c>
      <c r="L103" s="486"/>
      <c r="M103" s="486"/>
      <c r="N103" s="486"/>
      <c r="O103" s="483"/>
      <c r="P103" s="24"/>
      <c r="Q103" s="21"/>
      <c r="R103" s="431">
        <f t="shared" si="6"/>
        <v>96</v>
      </c>
      <c r="S103" s="125">
        <f t="shared" si="7"/>
        <v>0</v>
      </c>
      <c r="T103" s="125" t="str">
        <f ca="1">_xlfn.IFNA(OFFSET('(非表示)新規再エネ実現可能性判定'!$C$1,MATCH(M103,'(非表示)新規再エネ実現可能性判定'!$B:$B,0)-1,0),"//")</f>
        <v>//</v>
      </c>
      <c r="U103" s="255" t="str">
        <f ca="1">_xlfn.IFNA(OFFSET('(非表示)新規再エネ実現可能性判定'!$F$1,MATCH(N103,'(非表示)新規再エネ実現可能性判定'!$E:$E,0)-1,0),"//")</f>
        <v>//</v>
      </c>
      <c r="V103" s="255" t="str">
        <f ca="1">_xlfn.IFNA(OFFSET('(非表示)新規再エネ実現可能性判定'!$I$1,MATCH(O103,'(非表示)新規再エネ実現可能性判定'!$H:$H,0)-1,0),"//")</f>
        <v>//</v>
      </c>
      <c r="W103" s="255" t="str">
        <f t="shared" si="5"/>
        <v/>
      </c>
    </row>
    <row r="104" spans="2:23" ht="20">
      <c r="D104" s="16"/>
      <c r="E104" s="272"/>
      <c r="F104" s="281" t="s">
        <v>26</v>
      </c>
      <c r="G104" s="240"/>
      <c r="H104" s="240"/>
      <c r="I104" s="273"/>
      <c r="J104" s="274"/>
      <c r="K104" s="499">
        <f ca="1">SUM(OFFSET(K$100,0,0,ROW()-ROW(K$100),1))</f>
        <v>0</v>
      </c>
      <c r="L104" s="251"/>
      <c r="M104" s="251"/>
      <c r="N104" s="251"/>
      <c r="O104" s="251"/>
      <c r="P104" s="19"/>
      <c r="R104" s="423">
        <f t="shared" si="6"/>
        <v>97</v>
      </c>
      <c r="S104" s="222">
        <f t="shared" si="7"/>
        <v>0</v>
      </c>
      <c r="T104" s="222" t="str">
        <f ca="1">_xlfn.IFNA(OFFSET('(非表示)新規再エネ実現可能性判定'!$C$1,MATCH(M104,'(非表示)新規再エネ実現可能性判定'!$B:$B,0)-1,0),"//")</f>
        <v>//</v>
      </c>
      <c r="U104" s="175" t="str">
        <f ca="1">_xlfn.IFNA(OFFSET('(非表示)新規再エネ実現可能性判定'!$F$1,MATCH(N104,'(非表示)新規再エネ実現可能性判定'!$E:$E,0)-1,0),"//")</f>
        <v>//</v>
      </c>
      <c r="V104" s="175" t="str">
        <f ca="1">_xlfn.IFNA(OFFSET('(非表示)新規再エネ実現可能性判定'!$I$1,MATCH(O104,'(非表示)新規再エネ実現可能性判定'!$H:$H,0)-1,0),"//")</f>
        <v>//</v>
      </c>
      <c r="W104" s="175" t="str">
        <f t="shared" si="5"/>
        <v/>
      </c>
    </row>
    <row r="105" spans="2:23" ht="20">
      <c r="D105" s="46"/>
      <c r="E105" s="26"/>
      <c r="F105" s="26"/>
      <c r="G105" s="4"/>
      <c r="H105" s="4"/>
      <c r="I105" s="122"/>
      <c r="J105" s="4"/>
      <c r="K105" s="4"/>
      <c r="L105" s="287"/>
      <c r="M105" s="287"/>
      <c r="N105" s="287"/>
      <c r="O105" s="288"/>
      <c r="P105" s="27"/>
      <c r="Q105"/>
      <c r="R105" s="423">
        <f t="shared" si="6"/>
        <v>98</v>
      </c>
      <c r="S105" s="222">
        <f t="shared" si="7"/>
        <v>0</v>
      </c>
      <c r="T105" s="222" t="str">
        <f ca="1">_xlfn.IFNA(OFFSET('(非表示)新規再エネ実現可能性判定'!$C$1,MATCH(M105,'(非表示)新規再エネ実現可能性判定'!$B:$B,0)-1,0),"//")</f>
        <v>//</v>
      </c>
      <c r="U105" s="175" t="str">
        <f ca="1">_xlfn.IFNA(OFFSET('(非表示)新規再エネ実現可能性判定'!$F$1,MATCH(N105,'(非表示)新規再エネ実現可能性判定'!$E:$E,0)-1,0),"//")</f>
        <v>//</v>
      </c>
      <c r="V105" s="175" t="str">
        <f ca="1">_xlfn.IFNA(OFFSET('(非表示)新規再エネ実現可能性判定'!$I$1,MATCH(O105,'(非表示)新規再エネ実現可能性判定'!$H:$H,0)-1,0),"//")</f>
        <v>//</v>
      </c>
      <c r="W105" s="175" t="str">
        <f t="shared" si="5"/>
        <v/>
      </c>
    </row>
    <row r="106" spans="2:23" ht="20">
      <c r="F106" s="31"/>
      <c r="G106" s="31"/>
      <c r="H106" s="31"/>
      <c r="I106" s="268"/>
      <c r="J106" s="31"/>
      <c r="K106" s="31"/>
      <c r="L106" s="285"/>
      <c r="M106" s="285"/>
      <c r="N106" s="285"/>
      <c r="O106" s="286"/>
      <c r="R106" s="423">
        <f t="shared" si="6"/>
        <v>99</v>
      </c>
      <c r="S106" s="222">
        <f t="shared" si="7"/>
        <v>0</v>
      </c>
      <c r="T106" s="222" t="str">
        <f ca="1">_xlfn.IFNA(OFFSET('(非表示)新規再エネ実現可能性判定'!$C$1,MATCH(M106,'(非表示)新規再エネ実現可能性判定'!$B:$B,0)-1,0),"//")</f>
        <v>//</v>
      </c>
      <c r="U106" s="175" t="str">
        <f ca="1">_xlfn.IFNA(OFFSET('(非表示)新規再エネ実現可能性判定'!$F$1,MATCH(N106,'(非表示)新規再エネ実現可能性判定'!$E:$E,0)-1,0),"//")</f>
        <v>//</v>
      </c>
      <c r="V106" s="175" t="str">
        <f ca="1">_xlfn.IFNA(OFFSET('(非表示)新規再エネ実現可能性判定'!$I$1,MATCH(O106,'(非表示)新規再エネ実現可能性判定'!$H:$H,0)-1,0),"//")</f>
        <v>//</v>
      </c>
      <c r="W106" s="175" t="str">
        <f t="shared" si="5"/>
        <v/>
      </c>
    </row>
    <row r="107" spans="2:23" ht="20">
      <c r="F107" s="31"/>
      <c r="G107" s="31"/>
      <c r="H107" s="31"/>
      <c r="I107" s="268"/>
      <c r="J107" s="31"/>
      <c r="K107" s="31"/>
      <c r="L107" s="285"/>
      <c r="M107" s="285"/>
      <c r="N107" s="285"/>
      <c r="O107" s="286"/>
      <c r="R107" s="423">
        <f t="shared" si="6"/>
        <v>100</v>
      </c>
      <c r="S107" s="222">
        <f t="shared" si="7"/>
        <v>0</v>
      </c>
      <c r="T107" s="222" t="str">
        <f ca="1">_xlfn.IFNA(OFFSET('(非表示)新規再エネ実現可能性判定'!$C$1,MATCH(M107,'(非表示)新規再エネ実現可能性判定'!$B:$B,0)-1,0),"//")</f>
        <v>//</v>
      </c>
      <c r="U107" s="175" t="str">
        <f ca="1">_xlfn.IFNA(OFFSET('(非表示)新規再エネ実現可能性判定'!$F$1,MATCH(N107,'(非表示)新規再エネ実現可能性判定'!$E:$E,0)-1,0),"//")</f>
        <v>//</v>
      </c>
      <c r="V107" s="175" t="str">
        <f ca="1">_xlfn.IFNA(OFFSET('(非表示)新規再エネ実現可能性判定'!$I$1,MATCH(O107,'(非表示)新規再エネ実現可能性判定'!$H:$H,0)-1,0),"//")</f>
        <v>//</v>
      </c>
      <c r="W107" s="175" t="str">
        <f t="shared" si="5"/>
        <v/>
      </c>
    </row>
    <row r="108" spans="2:23" ht="9.75" customHeight="1">
      <c r="D108" s="14"/>
      <c r="E108" s="15"/>
      <c r="F108" s="15"/>
      <c r="G108" s="248"/>
      <c r="H108" s="15"/>
      <c r="I108" s="235"/>
      <c r="J108" s="15"/>
      <c r="K108" s="15"/>
      <c r="L108" s="278"/>
      <c r="M108" s="278"/>
      <c r="N108" s="278"/>
      <c r="O108" s="18"/>
      <c r="P108" s="30"/>
      <c r="R108" s="423">
        <f t="shared" si="6"/>
        <v>101</v>
      </c>
      <c r="S108" s="222">
        <f t="shared" si="7"/>
        <v>0</v>
      </c>
      <c r="T108" s="222" t="str">
        <f ca="1">_xlfn.IFNA(OFFSET('(非表示)新規再エネ実現可能性判定'!$C$1,MATCH(M108,'(非表示)新規再エネ実現可能性判定'!$B:$B,0)-1,0),"//")</f>
        <v>//</v>
      </c>
      <c r="U108" s="175" t="str">
        <f ca="1">_xlfn.IFNA(OFFSET('(非表示)新規再エネ実現可能性判定'!$F$1,MATCH(N108,'(非表示)新規再エネ実現可能性判定'!$E:$E,0)-1,0),"//")</f>
        <v>//</v>
      </c>
      <c r="V108" s="175" t="str">
        <f ca="1">_xlfn.IFNA(OFFSET('(非表示)新規再エネ実現可能性判定'!$I$1,MATCH(O108,'(非表示)新規再エネ実現可能性判定'!$H:$H,0)-1,0),"//")</f>
        <v>//</v>
      </c>
      <c r="W108" s="175" t="str">
        <f t="shared" si="5"/>
        <v/>
      </c>
    </row>
    <row r="109" spans="2:23" ht="21">
      <c r="D109" s="237" t="s">
        <v>188</v>
      </c>
      <c r="F109" s="237"/>
      <c r="G109" s="269"/>
      <c r="I109" s="228"/>
      <c r="P109" s="19"/>
      <c r="R109" s="423">
        <f t="shared" si="6"/>
        <v>102</v>
      </c>
      <c r="S109" s="222">
        <f t="shared" si="7"/>
        <v>0</v>
      </c>
      <c r="T109" s="222" t="str">
        <f ca="1">_xlfn.IFNA(OFFSET('(非表示)新規再エネ実現可能性判定'!$C$1,MATCH(M109,'(非表示)新規再エネ実現可能性判定'!$B:$B,0)-1,0),"//")</f>
        <v>//</v>
      </c>
      <c r="U109" s="175" t="str">
        <f ca="1">_xlfn.IFNA(OFFSET('(非表示)新規再エネ実現可能性判定'!$F$1,MATCH(N109,'(非表示)新規再エネ実現可能性判定'!$E:$E,0)-1,0),"//")</f>
        <v>//</v>
      </c>
      <c r="V109" s="175" t="str">
        <f ca="1">_xlfn.IFNA(OFFSET('(非表示)新規再エネ実現可能性判定'!$I$1,MATCH(O109,'(非表示)新規再エネ実現可能性判定'!$H:$H,0)-1,0),"//")</f>
        <v>//</v>
      </c>
      <c r="W109" s="175" t="str">
        <f t="shared" si="5"/>
        <v/>
      </c>
    </row>
    <row r="110" spans="2:23" ht="21">
      <c r="D110" s="237"/>
      <c r="F110" s="1361" t="s">
        <v>8</v>
      </c>
      <c r="G110" s="1362" t="s">
        <v>185</v>
      </c>
      <c r="H110" s="1362" t="s">
        <v>180</v>
      </c>
      <c r="I110" s="1363" t="s">
        <v>31</v>
      </c>
      <c r="J110" s="1362" t="s">
        <v>186</v>
      </c>
      <c r="K110" s="1362" t="s">
        <v>81</v>
      </c>
      <c r="L110" s="1366" t="s">
        <v>187</v>
      </c>
      <c r="M110" s="1366"/>
      <c r="N110" s="1366"/>
      <c r="O110" s="279"/>
      <c r="P110" s="19"/>
      <c r="R110" s="423">
        <f t="shared" si="6"/>
        <v>103</v>
      </c>
      <c r="S110" s="222">
        <f t="shared" si="7"/>
        <v>0</v>
      </c>
      <c r="T110" s="222" t="str">
        <f ca="1">_xlfn.IFNA(OFFSET('(非表示)新規再エネ実現可能性判定'!$C$1,MATCH(M110,'(非表示)新規再エネ実現可能性判定'!$B:$B,0)-1,0),"//")</f>
        <v>//</v>
      </c>
      <c r="U110" s="175" t="str">
        <f ca="1">_xlfn.IFNA(OFFSET('(非表示)新規再エネ実現可能性判定'!$F$1,MATCH(N110,'(非表示)新規再エネ実現可能性判定'!$E:$E,0)-1,0),"//")</f>
        <v>//</v>
      </c>
      <c r="V110" s="175" t="str">
        <f ca="1">_xlfn.IFNA(OFFSET('(非表示)新規再エネ実現可能性判定'!$I$1,MATCH(O110,'(非表示)新規再エネ実現可能性判定'!$H:$H,0)-1,0),"//")</f>
        <v>//</v>
      </c>
      <c r="W110" s="175" t="str">
        <f t="shared" si="5"/>
        <v/>
      </c>
    </row>
    <row r="111" spans="2:23" ht="36" customHeight="1">
      <c r="D111" s="16"/>
      <c r="E111" s="271"/>
      <c r="F111" s="1361"/>
      <c r="G111" s="1362"/>
      <c r="H111" s="1362"/>
      <c r="I111" s="1363"/>
      <c r="J111" s="1362"/>
      <c r="K111" s="1362"/>
      <c r="L111" s="294" t="s">
        <v>225</v>
      </c>
      <c r="M111" s="294" t="s">
        <v>109</v>
      </c>
      <c r="N111" s="294" t="s">
        <v>110</v>
      </c>
      <c r="O111" s="280" t="s">
        <v>320</v>
      </c>
      <c r="P111" s="19"/>
      <c r="R111" s="423">
        <f t="shared" si="6"/>
        <v>104</v>
      </c>
      <c r="S111" s="222">
        <f t="shared" si="7"/>
        <v>0</v>
      </c>
      <c r="T111" s="222" t="str">
        <f ca="1">_xlfn.IFNA(OFFSET('(非表示)新規再エネ実現可能性判定'!$C$1,MATCH(M111,'(非表示)新規再エネ実現可能性判定'!$B:$B,0)-1,0),"//")</f>
        <v>判定</v>
      </c>
      <c r="U111" s="175" t="str">
        <f ca="1">_xlfn.IFNA(OFFSET('(非表示)新規再エネ実現可能性判定'!$F$1,MATCH(N111,'(非表示)新規再エネ実現可能性判定'!$E:$E,0)-1,0),"//")</f>
        <v>判定</v>
      </c>
      <c r="V111" s="175" t="str">
        <f ca="1">_xlfn.IFNA(OFFSET('(非表示)新規再エネ実現可能性判定'!$I$1,MATCH(O111,'(非表示)新規再エネ実現可能性判定'!$H:$H,0)-1,0),"//")</f>
        <v>//</v>
      </c>
      <c r="W111" s="175" t="str">
        <f t="shared" ca="1" si="5"/>
        <v>//</v>
      </c>
    </row>
    <row r="112" spans="2:23" s="11" customFormat="1" ht="20" hidden="1">
      <c r="B112" s="21"/>
      <c r="C112" s="21"/>
      <c r="D112" s="22"/>
      <c r="E112" s="128"/>
      <c r="F112" s="488"/>
      <c r="G112" s="479"/>
      <c r="H112" s="495"/>
      <c r="I112" s="502"/>
      <c r="J112" s="503"/>
      <c r="K112" s="504"/>
      <c r="L112" s="510"/>
      <c r="M112" s="510"/>
      <c r="N112" s="510"/>
      <c r="O112" s="511"/>
      <c r="P112" s="24"/>
      <c r="Q112" s="21"/>
      <c r="R112" s="431">
        <f t="shared" si="6"/>
        <v>105</v>
      </c>
      <c r="S112" s="125">
        <f t="shared" si="7"/>
        <v>0</v>
      </c>
      <c r="T112" s="125" t="str">
        <f ca="1">_xlfn.IFNA(OFFSET('(非表示)新規再エネ実現可能性判定'!$C$1,MATCH(M112,'(非表示)新規再エネ実現可能性判定'!$B:$B,0)-1,0),"//")</f>
        <v>//</v>
      </c>
      <c r="U112" s="255" t="str">
        <f ca="1">_xlfn.IFNA(OFFSET('(非表示)新規再エネ実現可能性判定'!$F$1,MATCH(N112,'(非表示)新規再エネ実現可能性判定'!$E:$E,0)-1,0),"//")</f>
        <v>//</v>
      </c>
      <c r="V112" s="255" t="str">
        <f ca="1">_xlfn.IFNA(OFFSET('(非表示)新規再エネ実現可能性判定'!$I$1,MATCH(O112,'(非表示)新規再エネ実現可能性判定'!$H:$H,0)-1,0),"//")</f>
        <v>//</v>
      </c>
      <c r="W112" s="255" t="str">
        <f t="shared" si="5"/>
        <v/>
      </c>
    </row>
    <row r="113" spans="2:23" s="11" customFormat="1" ht="20">
      <c r="B113" s="21"/>
      <c r="C113" s="21"/>
      <c r="D113" s="22"/>
      <c r="E113" s="128"/>
      <c r="F113" s="501" t="str">
        <f ca="1">IFERROR(OFFSET('4.1(2)新規再エネ導入予定（設備情報）'!$F$1,MATCH(G113,'4.1(2)新規再エネ導入予定（設備情報）'!$G:$G,0)-1,0),"")</f>
        <v/>
      </c>
      <c r="G113" s="509"/>
      <c r="H113" s="505" t="str">
        <f ca="1">IFERROR(OFFSET('4.1(2)新規再エネ導入予定（設備情報）'!$H$1,MATCH(G113,'4.1(2)新規再エネ導入予定（設備情報）'!$G:$G,0)-1,0)&amp;"","")</f>
        <v/>
      </c>
      <c r="I113" s="506" t="str">
        <f ca="1">IFERROR(OFFSET('4.1(2)新規再エネ導入予定（設備情報）'!$L$1,MATCH(G113,'4.1(2)新規再エネ導入予定（設備情報）'!$G:$G,0)-1,0),"")</f>
        <v/>
      </c>
      <c r="J113" s="507" t="str">
        <f ca="1">IFERROR(OFFSET('4.1(2)新規再エネ導入予定（設備情報）'!$O$1,MATCH(G113,'4.1(2)新規再エネ導入予定（設備情報）'!$G:$G,0)-1,0),"")</f>
        <v/>
      </c>
      <c r="K113" s="508" t="str">
        <f ca="1">IFERROR(OFFSET('4.1(2)新規再エネ導入予定（設備情報）'!$P$1,MATCH(G113,'4.1(2)新規再エネ導入予定（設備情報）'!$G:$G,0)-1,0),"")</f>
        <v/>
      </c>
      <c r="L113" s="486"/>
      <c r="M113" s="486"/>
      <c r="N113" s="486"/>
      <c r="O113" s="483"/>
      <c r="P113" s="24"/>
      <c r="Q113" s="21"/>
      <c r="R113" s="431">
        <f t="shared" si="6"/>
        <v>106</v>
      </c>
      <c r="S113" s="125">
        <f t="shared" si="7"/>
        <v>0</v>
      </c>
      <c r="T113" s="125" t="str">
        <f ca="1">_xlfn.IFNA(OFFSET('(非表示)新規再エネ実現可能性判定'!$C$1,MATCH(M113,'(非表示)新規再エネ実現可能性判定'!$B:$B,0)-1,0),"//")</f>
        <v>//</v>
      </c>
      <c r="U113" s="255" t="str">
        <f ca="1">_xlfn.IFNA(OFFSET('(非表示)新規再エネ実現可能性判定'!$F$1,MATCH(N113,'(非表示)新規再エネ実現可能性判定'!$E:$E,0)-1,0),"//")</f>
        <v>//</v>
      </c>
      <c r="V113" s="255" t="str">
        <f ca="1">_xlfn.IFNA(OFFSET('(非表示)新規再エネ実現可能性判定'!$I$1,MATCH(O113,'(非表示)新規再エネ実現可能性判定'!$H:$H,0)-1,0),"//")</f>
        <v>//</v>
      </c>
      <c r="W113" s="255" t="str">
        <f t="shared" si="5"/>
        <v/>
      </c>
    </row>
    <row r="114" spans="2:23" s="11" customFormat="1" ht="20">
      <c r="B114" s="21"/>
      <c r="C114" s="21"/>
      <c r="D114" s="22"/>
      <c r="E114" s="128"/>
      <c r="F114" s="501" t="str">
        <f ca="1">IFERROR(OFFSET('4.1(2)新規再エネ導入予定（設備情報）'!$F$1,MATCH(G114,'4.1(2)新規再エネ導入予定（設備情報）'!$G:$G,0)-1,0),"")</f>
        <v/>
      </c>
      <c r="G114" s="509"/>
      <c r="H114" s="505" t="str">
        <f ca="1">IFERROR(OFFSET('4.1(2)新規再エネ導入予定（設備情報）'!$H$1,MATCH(G114,'4.1(2)新規再エネ導入予定（設備情報）'!$G:$G,0)-1,0)&amp;"","")</f>
        <v/>
      </c>
      <c r="I114" s="506" t="str">
        <f ca="1">IFERROR(OFFSET('4.1(2)新規再エネ導入予定（設備情報）'!$L$1,MATCH(G114,'4.1(2)新規再エネ導入予定（設備情報）'!$G:$G,0)-1,0),"")</f>
        <v/>
      </c>
      <c r="J114" s="507" t="str">
        <f ca="1">IFERROR(OFFSET('4.1(2)新規再エネ導入予定（設備情報）'!$O$1,MATCH(G114,'4.1(2)新規再エネ導入予定（設備情報）'!$G:$G,0)-1,0),"")</f>
        <v/>
      </c>
      <c r="K114" s="508" t="str">
        <f ca="1">IFERROR(OFFSET('4.1(2)新規再エネ導入予定（設備情報）'!$P$1,MATCH(G114,'4.1(2)新規再エネ導入予定（設備情報）'!$G:$G,0)-1,0),"")</f>
        <v/>
      </c>
      <c r="L114" s="486"/>
      <c r="M114" s="486"/>
      <c r="N114" s="486"/>
      <c r="O114" s="483"/>
      <c r="P114" s="24"/>
      <c r="Q114" s="21"/>
      <c r="R114" s="431">
        <f t="shared" si="6"/>
        <v>107</v>
      </c>
      <c r="S114" s="125">
        <f t="shared" si="7"/>
        <v>0</v>
      </c>
      <c r="T114" s="125" t="str">
        <f ca="1">_xlfn.IFNA(OFFSET('(非表示)新規再エネ実現可能性判定'!$C$1,MATCH(M114,'(非表示)新規再エネ実現可能性判定'!$B:$B,0)-1,0),"//")</f>
        <v>//</v>
      </c>
      <c r="U114" s="255" t="str">
        <f ca="1">_xlfn.IFNA(OFFSET('(非表示)新規再エネ実現可能性判定'!$F$1,MATCH(N114,'(非表示)新規再エネ実現可能性判定'!$E:$E,0)-1,0),"//")</f>
        <v>//</v>
      </c>
      <c r="V114" s="255" t="str">
        <f ca="1">_xlfn.IFNA(OFFSET('(非表示)新規再エネ実現可能性判定'!$I$1,MATCH(O114,'(非表示)新規再エネ実現可能性判定'!$H:$H,0)-1,0),"//")</f>
        <v>//</v>
      </c>
      <c r="W114" s="255" t="str">
        <f t="shared" si="5"/>
        <v/>
      </c>
    </row>
    <row r="115" spans="2:23" s="11" customFormat="1" ht="20">
      <c r="B115" s="21"/>
      <c r="C115" s="21"/>
      <c r="D115" s="22"/>
      <c r="E115" s="128"/>
      <c r="F115" s="501" t="str">
        <f ca="1">IFERROR(OFFSET('4.1(2)新規再エネ導入予定（設備情報）'!$F$1,MATCH(G115,'4.1(2)新規再エネ導入予定（設備情報）'!$G:$G,0)-1,0),"")</f>
        <v/>
      </c>
      <c r="G115" s="509"/>
      <c r="H115" s="505" t="str">
        <f ca="1">IFERROR(OFFSET('4.1(2)新規再エネ導入予定（設備情報）'!$H$1,MATCH(G115,'4.1(2)新規再エネ導入予定（設備情報）'!$G:$G,0)-1,0)&amp;"","")</f>
        <v/>
      </c>
      <c r="I115" s="506" t="str">
        <f ca="1">IFERROR(OFFSET('4.1(2)新規再エネ導入予定（設備情報）'!$L$1,MATCH(G115,'4.1(2)新規再エネ導入予定（設備情報）'!$G:$G,0)-1,0),"")</f>
        <v/>
      </c>
      <c r="J115" s="507" t="str">
        <f ca="1">IFERROR(OFFSET('4.1(2)新規再エネ導入予定（設備情報）'!$O$1,MATCH(G115,'4.1(2)新規再エネ導入予定（設備情報）'!$G:$G,0)-1,0),"")</f>
        <v/>
      </c>
      <c r="K115" s="508" t="str">
        <f ca="1">IFERROR(OFFSET('4.1(2)新規再エネ導入予定（設備情報）'!$P$1,MATCH(G115,'4.1(2)新規再エネ導入予定（設備情報）'!$G:$G,0)-1,0),"")</f>
        <v/>
      </c>
      <c r="L115" s="486"/>
      <c r="M115" s="486"/>
      <c r="N115" s="486"/>
      <c r="O115" s="483"/>
      <c r="P115" s="24"/>
      <c r="Q115" s="21"/>
      <c r="R115" s="431">
        <f t="shared" si="6"/>
        <v>108</v>
      </c>
      <c r="S115" s="125">
        <f t="shared" si="7"/>
        <v>0</v>
      </c>
      <c r="T115" s="125" t="str">
        <f ca="1">_xlfn.IFNA(OFFSET('(非表示)新規再エネ実現可能性判定'!$C$1,MATCH(M115,'(非表示)新規再エネ実現可能性判定'!$B:$B,0)-1,0),"//")</f>
        <v>//</v>
      </c>
      <c r="U115" s="255" t="str">
        <f ca="1">_xlfn.IFNA(OFFSET('(非表示)新規再エネ実現可能性判定'!$F$1,MATCH(N115,'(非表示)新規再エネ実現可能性判定'!$E:$E,0)-1,0),"//")</f>
        <v>//</v>
      </c>
      <c r="V115" s="255" t="str">
        <f ca="1">_xlfn.IFNA(OFFSET('(非表示)新規再エネ実現可能性判定'!$I$1,MATCH(O115,'(非表示)新規再エネ実現可能性判定'!$H:$H,0)-1,0),"//")</f>
        <v>//</v>
      </c>
      <c r="W115" s="255" t="str">
        <f t="shared" si="5"/>
        <v/>
      </c>
    </row>
    <row r="116" spans="2:23" ht="20">
      <c r="D116" s="16"/>
      <c r="E116" s="272"/>
      <c r="F116" s="281" t="s">
        <v>26</v>
      </c>
      <c r="G116" s="240"/>
      <c r="H116" s="240"/>
      <c r="I116" s="273"/>
      <c r="J116" s="274"/>
      <c r="K116" s="499">
        <f ca="1">SUM(OFFSET(K$112,0,0,ROW()-ROW(K$112),1))</f>
        <v>0</v>
      </c>
      <c r="L116" s="251"/>
      <c r="M116" s="251"/>
      <c r="N116" s="251"/>
      <c r="O116" s="251"/>
      <c r="P116" s="19"/>
      <c r="R116" s="423">
        <f t="shared" si="6"/>
        <v>109</v>
      </c>
      <c r="S116" s="222">
        <f t="shared" si="7"/>
        <v>0</v>
      </c>
      <c r="T116" s="222" t="str">
        <f ca="1">_xlfn.IFNA(OFFSET('(非表示)新規再エネ実現可能性判定'!$C$1,MATCH(M116,'(非表示)新規再エネ実現可能性判定'!$B:$B,0)-1,0),"//")</f>
        <v>//</v>
      </c>
      <c r="U116" s="175" t="str">
        <f ca="1">_xlfn.IFNA(OFFSET('(非表示)新規再エネ実現可能性判定'!$F$1,MATCH(N116,'(非表示)新規再エネ実現可能性判定'!$E:$E,0)-1,0),"//")</f>
        <v>//</v>
      </c>
      <c r="V116" s="175" t="str">
        <f ca="1">_xlfn.IFNA(OFFSET('(非表示)新規再エネ実現可能性判定'!$I$1,MATCH(O116,'(非表示)新規再エネ実現可能性判定'!$H:$H,0)-1,0),"//")</f>
        <v>//</v>
      </c>
      <c r="W116" s="175" t="str">
        <f t="shared" si="5"/>
        <v/>
      </c>
    </row>
    <row r="117" spans="2:23" ht="20">
      <c r="D117" s="46"/>
      <c r="E117" s="26"/>
      <c r="F117" s="26"/>
      <c r="G117" s="4"/>
      <c r="H117" s="4"/>
      <c r="I117" s="122"/>
      <c r="J117" s="4"/>
      <c r="K117" s="4"/>
      <c r="L117" s="287"/>
      <c r="M117" s="287"/>
      <c r="N117" s="287"/>
      <c r="O117" s="288"/>
      <c r="P117" s="27"/>
      <c r="Q117"/>
      <c r="R117" s="423">
        <f t="shared" si="6"/>
        <v>110</v>
      </c>
      <c r="S117" s="222">
        <f t="shared" si="7"/>
        <v>0</v>
      </c>
      <c r="T117" s="222" t="str">
        <f ca="1">_xlfn.IFNA(OFFSET('(非表示)新規再エネ実現可能性判定'!$C$1,MATCH(M117,'(非表示)新規再エネ実現可能性判定'!$B:$B,0)-1,0),"//")</f>
        <v>//</v>
      </c>
      <c r="U117" s="175" t="str">
        <f ca="1">_xlfn.IFNA(OFFSET('(非表示)新規再エネ実現可能性判定'!$F$1,MATCH(N117,'(非表示)新規再エネ実現可能性判定'!$E:$E,0)-1,0),"//")</f>
        <v>//</v>
      </c>
      <c r="V117" s="175" t="str">
        <f ca="1">_xlfn.IFNA(OFFSET('(非表示)新規再エネ実現可能性判定'!$I$1,MATCH(O117,'(非表示)新規再エネ実現可能性判定'!$H:$H,0)-1,0),"//")</f>
        <v>//</v>
      </c>
      <c r="W117" s="175" t="str">
        <f t="shared" si="5"/>
        <v/>
      </c>
    </row>
    <row r="118" spans="2:23" ht="20">
      <c r="F118" s="31"/>
      <c r="G118" s="31"/>
      <c r="H118" s="31"/>
      <c r="I118" s="268"/>
      <c r="J118" s="31"/>
      <c r="K118" s="31"/>
      <c r="L118" s="285"/>
      <c r="M118" s="285"/>
      <c r="N118" s="285"/>
      <c r="O118" s="286"/>
      <c r="R118" s="423">
        <f t="shared" si="6"/>
        <v>111</v>
      </c>
      <c r="S118" s="222">
        <f t="shared" si="7"/>
        <v>0</v>
      </c>
      <c r="T118" s="222" t="str">
        <f ca="1">_xlfn.IFNA(OFFSET('(非表示)新規再エネ実現可能性判定'!$C$1,MATCH(M118,'(非表示)新規再エネ実現可能性判定'!$B:$B,0)-1,0),"//")</f>
        <v>//</v>
      </c>
      <c r="U118" s="175" t="str">
        <f ca="1">_xlfn.IFNA(OFFSET('(非表示)新規再エネ実現可能性判定'!$F$1,MATCH(N118,'(非表示)新規再エネ実現可能性判定'!$E:$E,0)-1,0),"//")</f>
        <v>//</v>
      </c>
      <c r="V118" s="175" t="str">
        <f ca="1">_xlfn.IFNA(OFFSET('(非表示)新規再エネ実現可能性判定'!$I$1,MATCH(O118,'(非表示)新規再エネ実現可能性判定'!$H:$H,0)-1,0),"//")</f>
        <v>//</v>
      </c>
      <c r="W118" s="175" t="str">
        <f t="shared" si="5"/>
        <v/>
      </c>
    </row>
    <row r="119" spans="2:23" ht="20">
      <c r="F119" s="31"/>
      <c r="G119" s="31"/>
      <c r="H119" s="31"/>
      <c r="I119" s="268"/>
      <c r="J119" s="31"/>
      <c r="K119" s="31"/>
      <c r="L119" s="285"/>
      <c r="M119" s="285"/>
      <c r="N119" s="285"/>
      <c r="O119" s="286"/>
      <c r="R119" s="423">
        <f t="shared" si="6"/>
        <v>112</v>
      </c>
      <c r="S119" s="222">
        <f t="shared" si="7"/>
        <v>0</v>
      </c>
      <c r="T119" s="222" t="str">
        <f ca="1">_xlfn.IFNA(OFFSET('(非表示)新規再エネ実現可能性判定'!$C$1,MATCH(M119,'(非表示)新規再エネ実現可能性判定'!$B:$B,0)-1,0),"//")</f>
        <v>//</v>
      </c>
      <c r="U119" s="175" t="str">
        <f ca="1">_xlfn.IFNA(OFFSET('(非表示)新規再エネ実現可能性判定'!$F$1,MATCH(N119,'(非表示)新規再エネ実現可能性判定'!$E:$E,0)-1,0),"//")</f>
        <v>//</v>
      </c>
      <c r="V119" s="175" t="str">
        <f ca="1">_xlfn.IFNA(OFFSET('(非表示)新規再エネ実現可能性判定'!$I$1,MATCH(O119,'(非表示)新規再エネ実現可能性判定'!$H:$H,0)-1,0),"//")</f>
        <v>//</v>
      </c>
      <c r="W119" s="175" t="str">
        <f t="shared" si="5"/>
        <v/>
      </c>
    </row>
    <row r="120" spans="2:23" ht="9.75" customHeight="1">
      <c r="D120" s="14"/>
      <c r="E120" s="15"/>
      <c r="F120" s="15"/>
      <c r="G120" s="248"/>
      <c r="H120" s="15"/>
      <c r="I120" s="235"/>
      <c r="J120" s="15"/>
      <c r="K120" s="15"/>
      <c r="L120" s="278"/>
      <c r="M120" s="278"/>
      <c r="N120" s="278"/>
      <c r="O120" s="18"/>
      <c r="P120" s="30"/>
      <c r="R120" s="423">
        <f t="shared" si="6"/>
        <v>113</v>
      </c>
      <c r="S120" s="222">
        <f t="shared" si="7"/>
        <v>0</v>
      </c>
      <c r="T120" s="222" t="str">
        <f ca="1">_xlfn.IFNA(OFFSET('(非表示)新規再エネ実現可能性判定'!$C$1,MATCH(M120,'(非表示)新規再エネ実現可能性判定'!$B:$B,0)-1,0),"//")</f>
        <v>//</v>
      </c>
      <c r="U120" s="175" t="str">
        <f ca="1">_xlfn.IFNA(OFFSET('(非表示)新規再エネ実現可能性判定'!$F$1,MATCH(N120,'(非表示)新規再エネ実現可能性判定'!$E:$E,0)-1,0),"//")</f>
        <v>//</v>
      </c>
      <c r="V120" s="175" t="str">
        <f ca="1">_xlfn.IFNA(OFFSET('(非表示)新規再エネ実現可能性判定'!$I$1,MATCH(O120,'(非表示)新規再エネ実現可能性判定'!$H:$H,0)-1,0),"//")</f>
        <v>//</v>
      </c>
      <c r="W120" s="175" t="str">
        <f t="shared" si="5"/>
        <v/>
      </c>
    </row>
    <row r="121" spans="2:23" ht="21">
      <c r="D121" s="237" t="s">
        <v>189</v>
      </c>
      <c r="F121" s="237"/>
      <c r="G121" s="269"/>
      <c r="I121" s="228"/>
      <c r="P121" s="19"/>
      <c r="R121" s="423">
        <f t="shared" si="6"/>
        <v>114</v>
      </c>
      <c r="S121" s="222">
        <f t="shared" si="7"/>
        <v>0</v>
      </c>
      <c r="T121" s="222" t="str">
        <f ca="1">_xlfn.IFNA(OFFSET('(非表示)新規再エネ実現可能性判定'!$C$1,MATCH(M121,'(非表示)新規再エネ実現可能性判定'!$B:$B,0)-1,0),"//")</f>
        <v>//</v>
      </c>
      <c r="U121" s="175" t="str">
        <f ca="1">_xlfn.IFNA(OFFSET('(非表示)新規再エネ実現可能性判定'!$F$1,MATCH(N121,'(非表示)新規再エネ実現可能性判定'!$E:$E,0)-1,0),"//")</f>
        <v>//</v>
      </c>
      <c r="V121" s="175" t="str">
        <f ca="1">_xlfn.IFNA(OFFSET('(非表示)新規再エネ実現可能性判定'!$I$1,MATCH(O121,'(非表示)新規再エネ実現可能性判定'!$H:$H,0)-1,0),"//")</f>
        <v>//</v>
      </c>
      <c r="W121" s="175" t="str">
        <f t="shared" si="5"/>
        <v/>
      </c>
    </row>
    <row r="122" spans="2:23" ht="21">
      <c r="D122" s="237"/>
      <c r="F122" s="1361" t="s">
        <v>8</v>
      </c>
      <c r="G122" s="1362" t="s">
        <v>185</v>
      </c>
      <c r="H122" s="1362" t="s">
        <v>180</v>
      </c>
      <c r="I122" s="1363" t="s">
        <v>31</v>
      </c>
      <c r="J122" s="1362" t="s">
        <v>186</v>
      </c>
      <c r="K122" s="1362" t="s">
        <v>81</v>
      </c>
      <c r="L122" s="1366" t="s">
        <v>187</v>
      </c>
      <c r="M122" s="1366"/>
      <c r="N122" s="1366"/>
      <c r="O122" s="279"/>
      <c r="P122" s="19"/>
      <c r="R122" s="423">
        <f t="shared" si="6"/>
        <v>115</v>
      </c>
      <c r="S122" s="222">
        <f t="shared" si="7"/>
        <v>0</v>
      </c>
      <c r="T122" s="222" t="str">
        <f ca="1">_xlfn.IFNA(OFFSET('(非表示)新規再エネ実現可能性判定'!$C$1,MATCH(M122,'(非表示)新規再エネ実現可能性判定'!$B:$B,0)-1,0),"//")</f>
        <v>//</v>
      </c>
      <c r="U122" s="175" t="str">
        <f ca="1">_xlfn.IFNA(OFFSET('(非表示)新規再エネ実現可能性判定'!$F$1,MATCH(N122,'(非表示)新規再エネ実現可能性判定'!$E:$E,0)-1,0),"//")</f>
        <v>//</v>
      </c>
      <c r="V122" s="175" t="str">
        <f ca="1">_xlfn.IFNA(OFFSET('(非表示)新規再エネ実現可能性判定'!$I$1,MATCH(O122,'(非表示)新規再エネ実現可能性判定'!$H:$H,0)-1,0),"//")</f>
        <v>//</v>
      </c>
      <c r="W122" s="175" t="str">
        <f t="shared" si="5"/>
        <v/>
      </c>
    </row>
    <row r="123" spans="2:23" ht="36" customHeight="1">
      <c r="D123" s="16"/>
      <c r="E123" s="271"/>
      <c r="F123" s="1361"/>
      <c r="G123" s="1362"/>
      <c r="H123" s="1362"/>
      <c r="I123" s="1363"/>
      <c r="J123" s="1362"/>
      <c r="K123" s="1362"/>
      <c r="L123" s="294" t="s">
        <v>225</v>
      </c>
      <c r="M123" s="294" t="s">
        <v>109</v>
      </c>
      <c r="N123" s="294" t="s">
        <v>110</v>
      </c>
      <c r="O123" s="280" t="s">
        <v>320</v>
      </c>
      <c r="P123" s="19"/>
      <c r="R123" s="423">
        <f t="shared" si="6"/>
        <v>116</v>
      </c>
      <c r="S123" s="222">
        <f t="shared" si="7"/>
        <v>0</v>
      </c>
      <c r="T123" s="222" t="str">
        <f ca="1">_xlfn.IFNA(OFFSET('(非表示)新規再エネ実現可能性判定'!$C$1,MATCH(M123,'(非表示)新規再エネ実現可能性判定'!$B:$B,0)-1,0),"//")</f>
        <v>判定</v>
      </c>
      <c r="U123" s="175" t="str">
        <f ca="1">_xlfn.IFNA(OFFSET('(非表示)新規再エネ実現可能性判定'!$F$1,MATCH(N123,'(非表示)新規再エネ実現可能性判定'!$E:$E,0)-1,0),"//")</f>
        <v>判定</v>
      </c>
      <c r="V123" s="175" t="str">
        <f ca="1">_xlfn.IFNA(OFFSET('(非表示)新規再エネ実現可能性判定'!$I$1,MATCH(O123,'(非表示)新規再エネ実現可能性判定'!$H:$H,0)-1,0),"//")</f>
        <v>//</v>
      </c>
      <c r="W123" s="175" t="str">
        <f t="shared" ca="1" si="5"/>
        <v>//</v>
      </c>
    </row>
    <row r="124" spans="2:23" s="11" customFormat="1" ht="20" hidden="1">
      <c r="B124" s="21"/>
      <c r="C124" s="21"/>
      <c r="D124" s="22"/>
      <c r="E124" s="128"/>
      <c r="F124" s="488"/>
      <c r="G124" s="479"/>
      <c r="H124" s="495"/>
      <c r="I124" s="502"/>
      <c r="J124" s="503"/>
      <c r="K124" s="504"/>
      <c r="L124" s="510"/>
      <c r="M124" s="510"/>
      <c r="N124" s="510"/>
      <c r="O124" s="511"/>
      <c r="P124" s="24"/>
      <c r="Q124" s="21"/>
      <c r="R124" s="431">
        <f t="shared" si="6"/>
        <v>117</v>
      </c>
      <c r="S124" s="125">
        <f t="shared" si="7"/>
        <v>0</v>
      </c>
      <c r="T124" s="125" t="str">
        <f ca="1">_xlfn.IFNA(OFFSET('(非表示)新規再エネ実現可能性判定'!$C$1,MATCH(M124,'(非表示)新規再エネ実現可能性判定'!$B:$B,0)-1,0),"//")</f>
        <v>//</v>
      </c>
      <c r="U124" s="255" t="str">
        <f ca="1">_xlfn.IFNA(OFFSET('(非表示)新規再エネ実現可能性判定'!$F$1,MATCH(N124,'(非表示)新規再エネ実現可能性判定'!$E:$E,0)-1,0),"//")</f>
        <v>//</v>
      </c>
      <c r="V124" s="255" t="str">
        <f ca="1">_xlfn.IFNA(OFFSET('(非表示)新規再エネ実現可能性判定'!$I$1,MATCH(O124,'(非表示)新規再エネ実現可能性判定'!$H:$H,0)-1,0),"//")</f>
        <v>//</v>
      </c>
      <c r="W124" s="255" t="str">
        <f t="shared" si="5"/>
        <v/>
      </c>
    </row>
    <row r="125" spans="2:23" s="11" customFormat="1" ht="20">
      <c r="B125" s="21"/>
      <c r="C125" s="21"/>
      <c r="D125" s="22"/>
      <c r="E125" s="128"/>
      <c r="F125" s="501" t="str">
        <f ca="1">IFERROR(OFFSET('4.1(2)新規再エネ導入予定（設備情報）'!$F$1,MATCH(G125,'4.1(2)新規再エネ導入予定（設備情報）'!$G:$G,0)-1,0),"")</f>
        <v/>
      </c>
      <c r="G125" s="509"/>
      <c r="H125" s="505" t="str">
        <f ca="1">IFERROR(OFFSET('4.1(2)新規再エネ導入予定（設備情報）'!$H$1,MATCH(G125,'4.1(2)新規再エネ導入予定（設備情報）'!$G:$G,0)-1,0)&amp;"","")</f>
        <v/>
      </c>
      <c r="I125" s="506" t="str">
        <f ca="1">IFERROR(OFFSET('4.1(2)新規再エネ導入予定（設備情報）'!$L$1,MATCH(G125,'4.1(2)新規再エネ導入予定（設備情報）'!$G:$G,0)-1,0),"")</f>
        <v/>
      </c>
      <c r="J125" s="507" t="str">
        <f ca="1">IFERROR(OFFSET('4.1(2)新規再エネ導入予定（設備情報）'!$O$1,MATCH(G125,'4.1(2)新規再エネ導入予定（設備情報）'!$G:$G,0)-1,0),"")</f>
        <v/>
      </c>
      <c r="K125" s="508" t="str">
        <f ca="1">IFERROR(OFFSET('4.1(2)新規再エネ導入予定（設備情報）'!$P$1,MATCH(G125,'4.1(2)新規再エネ導入予定（設備情報）'!$G:$G,0)-1,0),"")</f>
        <v/>
      </c>
      <c r="L125" s="486"/>
      <c r="M125" s="486"/>
      <c r="N125" s="486"/>
      <c r="O125" s="483"/>
      <c r="P125" s="24"/>
      <c r="Q125" s="21"/>
      <c r="R125" s="431">
        <f t="shared" si="6"/>
        <v>118</v>
      </c>
      <c r="S125" s="125">
        <f t="shared" si="7"/>
        <v>0</v>
      </c>
      <c r="T125" s="125" t="str">
        <f ca="1">_xlfn.IFNA(OFFSET('(非表示)新規再エネ実現可能性判定'!$C$1,MATCH(M125,'(非表示)新規再エネ実現可能性判定'!$B:$B,0)-1,0),"//")</f>
        <v>//</v>
      </c>
      <c r="U125" s="255" t="str">
        <f ca="1">_xlfn.IFNA(OFFSET('(非表示)新規再エネ実現可能性判定'!$F$1,MATCH(N125,'(非表示)新規再エネ実現可能性判定'!$E:$E,0)-1,0),"//")</f>
        <v>//</v>
      </c>
      <c r="V125" s="255" t="str">
        <f ca="1">_xlfn.IFNA(OFFSET('(非表示)新規再エネ実現可能性判定'!$I$1,MATCH(O125,'(非表示)新規再エネ実現可能性判定'!$H:$H,0)-1,0),"//")</f>
        <v>//</v>
      </c>
      <c r="W125" s="255" t="str">
        <f t="shared" si="5"/>
        <v/>
      </c>
    </row>
    <row r="126" spans="2:23" s="11" customFormat="1" ht="20">
      <c r="B126" s="21"/>
      <c r="C126" s="21"/>
      <c r="D126" s="22"/>
      <c r="E126" s="128"/>
      <c r="F126" s="501" t="str">
        <f ca="1">IFERROR(OFFSET('4.1(2)新規再エネ導入予定（設備情報）'!$F$1,MATCH(G126,'4.1(2)新規再エネ導入予定（設備情報）'!$G:$G,0)-1,0),"")</f>
        <v/>
      </c>
      <c r="G126" s="509"/>
      <c r="H126" s="505" t="str">
        <f ca="1">IFERROR(OFFSET('4.1(2)新規再エネ導入予定（設備情報）'!$H$1,MATCH(G126,'4.1(2)新規再エネ導入予定（設備情報）'!$G:$G,0)-1,0)&amp;"","")</f>
        <v/>
      </c>
      <c r="I126" s="506" t="str">
        <f ca="1">IFERROR(OFFSET('4.1(2)新規再エネ導入予定（設備情報）'!$L$1,MATCH(G126,'4.1(2)新規再エネ導入予定（設備情報）'!$G:$G,0)-1,0),"")</f>
        <v/>
      </c>
      <c r="J126" s="507" t="str">
        <f ca="1">IFERROR(OFFSET('4.1(2)新規再エネ導入予定（設備情報）'!$O$1,MATCH(G126,'4.1(2)新規再エネ導入予定（設備情報）'!$G:$G,0)-1,0),"")</f>
        <v/>
      </c>
      <c r="K126" s="508" t="str">
        <f ca="1">IFERROR(OFFSET('4.1(2)新規再エネ導入予定（設備情報）'!$P$1,MATCH(G126,'4.1(2)新規再エネ導入予定（設備情報）'!$G:$G,0)-1,0),"")</f>
        <v/>
      </c>
      <c r="L126" s="486"/>
      <c r="M126" s="486"/>
      <c r="N126" s="486"/>
      <c r="O126" s="483"/>
      <c r="P126" s="24"/>
      <c r="Q126" s="21"/>
      <c r="R126" s="431">
        <f t="shared" si="6"/>
        <v>119</v>
      </c>
      <c r="S126" s="125">
        <f t="shared" si="7"/>
        <v>0</v>
      </c>
      <c r="T126" s="125" t="str">
        <f ca="1">_xlfn.IFNA(OFFSET('(非表示)新規再エネ実現可能性判定'!$C$1,MATCH(M126,'(非表示)新規再エネ実現可能性判定'!$B:$B,0)-1,0),"//")</f>
        <v>//</v>
      </c>
      <c r="U126" s="255" t="str">
        <f ca="1">_xlfn.IFNA(OFFSET('(非表示)新規再エネ実現可能性判定'!$F$1,MATCH(N126,'(非表示)新規再エネ実現可能性判定'!$E:$E,0)-1,0),"//")</f>
        <v>//</v>
      </c>
      <c r="V126" s="255" t="str">
        <f ca="1">_xlfn.IFNA(OFFSET('(非表示)新規再エネ実現可能性判定'!$I$1,MATCH(O126,'(非表示)新規再エネ実現可能性判定'!$H:$H,0)-1,0),"//")</f>
        <v>//</v>
      </c>
      <c r="W126" s="255" t="str">
        <f t="shared" si="5"/>
        <v/>
      </c>
    </row>
    <row r="127" spans="2:23" s="11" customFormat="1" ht="20">
      <c r="B127" s="21"/>
      <c r="C127" s="21"/>
      <c r="D127" s="22"/>
      <c r="E127" s="128"/>
      <c r="F127" s="501" t="str">
        <f ca="1">IFERROR(OFFSET('4.1(2)新規再エネ導入予定（設備情報）'!$F$1,MATCH(G127,'4.1(2)新規再エネ導入予定（設備情報）'!$G:$G,0)-1,0),"")</f>
        <v/>
      </c>
      <c r="G127" s="509"/>
      <c r="H127" s="505" t="str">
        <f ca="1">IFERROR(OFFSET('4.1(2)新規再エネ導入予定（設備情報）'!$H$1,MATCH(G127,'4.1(2)新規再エネ導入予定（設備情報）'!$G:$G,0)-1,0)&amp;"","")</f>
        <v/>
      </c>
      <c r="I127" s="506" t="str">
        <f ca="1">IFERROR(OFFSET('4.1(2)新規再エネ導入予定（設備情報）'!$L$1,MATCH(G127,'4.1(2)新規再エネ導入予定（設備情報）'!$G:$G,0)-1,0),"")</f>
        <v/>
      </c>
      <c r="J127" s="507" t="str">
        <f ca="1">IFERROR(OFFSET('4.1(2)新規再エネ導入予定（設備情報）'!$O$1,MATCH(G127,'4.1(2)新規再エネ導入予定（設備情報）'!$G:$G,0)-1,0),"")</f>
        <v/>
      </c>
      <c r="K127" s="508" t="str">
        <f ca="1">IFERROR(OFFSET('4.1(2)新規再エネ導入予定（設備情報）'!$P$1,MATCH(G127,'4.1(2)新規再エネ導入予定（設備情報）'!$G:$G,0)-1,0),"")</f>
        <v/>
      </c>
      <c r="L127" s="486"/>
      <c r="M127" s="486"/>
      <c r="N127" s="486"/>
      <c r="O127" s="483"/>
      <c r="P127" s="24"/>
      <c r="Q127" s="21"/>
      <c r="R127" s="431">
        <f t="shared" si="6"/>
        <v>120</v>
      </c>
      <c r="S127" s="125">
        <f t="shared" si="7"/>
        <v>0</v>
      </c>
      <c r="T127" s="125" t="str">
        <f ca="1">_xlfn.IFNA(OFFSET('(非表示)新規再エネ実現可能性判定'!$C$1,MATCH(M127,'(非表示)新規再エネ実現可能性判定'!$B:$B,0)-1,0),"//")</f>
        <v>//</v>
      </c>
      <c r="U127" s="255" t="str">
        <f ca="1">_xlfn.IFNA(OFFSET('(非表示)新規再エネ実現可能性判定'!$F$1,MATCH(N127,'(非表示)新規再エネ実現可能性判定'!$E:$E,0)-1,0),"//")</f>
        <v>//</v>
      </c>
      <c r="V127" s="255" t="str">
        <f ca="1">_xlfn.IFNA(OFFSET('(非表示)新規再エネ実現可能性判定'!$I$1,MATCH(O127,'(非表示)新規再エネ実現可能性判定'!$H:$H,0)-1,0),"//")</f>
        <v>//</v>
      </c>
      <c r="W127" s="255" t="str">
        <f t="shared" si="5"/>
        <v/>
      </c>
    </row>
    <row r="128" spans="2:23" ht="20">
      <c r="D128" s="16"/>
      <c r="E128" s="272"/>
      <c r="F128" s="281" t="s">
        <v>26</v>
      </c>
      <c r="G128" s="240"/>
      <c r="H128" s="240"/>
      <c r="I128" s="273"/>
      <c r="J128" s="274"/>
      <c r="K128" s="499">
        <f ca="1">SUM(OFFSET(K$124,0,0,ROW()-ROW(K$124),1))</f>
        <v>0</v>
      </c>
      <c r="L128" s="251"/>
      <c r="M128" s="251"/>
      <c r="N128" s="251"/>
      <c r="O128" s="251"/>
      <c r="P128" s="19"/>
      <c r="R128" s="423">
        <f t="shared" si="6"/>
        <v>121</v>
      </c>
      <c r="S128" s="222">
        <f t="shared" si="7"/>
        <v>0</v>
      </c>
      <c r="T128" s="222" t="str">
        <f ca="1">_xlfn.IFNA(OFFSET('(非表示)新規再エネ実現可能性判定'!$C$1,MATCH(M128,'(非表示)新規再エネ実現可能性判定'!$B:$B,0)-1,0),"//")</f>
        <v>//</v>
      </c>
      <c r="U128" s="175" t="str">
        <f ca="1">_xlfn.IFNA(OFFSET('(非表示)新規再エネ実現可能性判定'!$F$1,MATCH(N128,'(非表示)新規再エネ実現可能性判定'!$E:$E,0)-1,0),"//")</f>
        <v>//</v>
      </c>
      <c r="V128" s="175" t="str">
        <f ca="1">_xlfn.IFNA(OFFSET('(非表示)新規再エネ実現可能性判定'!$I$1,MATCH(O128,'(非表示)新規再エネ実現可能性判定'!$H:$H,0)-1,0),"//")</f>
        <v>//</v>
      </c>
      <c r="W128" s="175" t="str">
        <f t="shared" si="5"/>
        <v/>
      </c>
    </row>
    <row r="129" spans="2:23" ht="20">
      <c r="D129" s="46"/>
      <c r="E129" s="26"/>
      <c r="F129" s="26"/>
      <c r="G129" s="4"/>
      <c r="H129" s="4"/>
      <c r="I129" s="122"/>
      <c r="J129" s="4"/>
      <c r="K129" s="4"/>
      <c r="L129" s="287"/>
      <c r="M129" s="287"/>
      <c r="N129" s="287"/>
      <c r="O129" s="288"/>
      <c r="P129" s="27"/>
      <c r="Q129"/>
      <c r="R129" s="423">
        <f t="shared" si="6"/>
        <v>122</v>
      </c>
      <c r="S129" s="222">
        <f t="shared" si="7"/>
        <v>0</v>
      </c>
      <c r="T129" s="222" t="str">
        <f ca="1">_xlfn.IFNA(OFFSET('(非表示)新規再エネ実現可能性判定'!$C$1,MATCH(M129,'(非表示)新規再エネ実現可能性判定'!$B:$B,0)-1,0),"//")</f>
        <v>//</v>
      </c>
      <c r="U129" s="175" t="str">
        <f ca="1">_xlfn.IFNA(OFFSET('(非表示)新規再エネ実現可能性判定'!$F$1,MATCH(N129,'(非表示)新規再エネ実現可能性判定'!$E:$E,0)-1,0),"//")</f>
        <v>//</v>
      </c>
      <c r="V129" s="175" t="str">
        <f ca="1">_xlfn.IFNA(OFFSET('(非表示)新規再エネ実現可能性判定'!$I$1,MATCH(O129,'(非表示)新規再エネ実現可能性判定'!$H:$H,0)-1,0),"//")</f>
        <v>//</v>
      </c>
      <c r="W129" s="175" t="str">
        <f t="shared" si="5"/>
        <v/>
      </c>
    </row>
    <row r="130" spans="2:23" ht="20">
      <c r="F130" s="31"/>
      <c r="G130" s="31"/>
      <c r="H130" s="31"/>
      <c r="I130" s="268"/>
      <c r="J130" s="31"/>
      <c r="K130" s="31"/>
      <c r="L130" s="285"/>
      <c r="M130" s="285"/>
      <c r="N130" s="285"/>
      <c r="O130" s="286"/>
      <c r="R130" s="423">
        <f t="shared" si="6"/>
        <v>123</v>
      </c>
      <c r="S130" s="222">
        <f t="shared" si="7"/>
        <v>0</v>
      </c>
      <c r="T130" s="222" t="str">
        <f ca="1">_xlfn.IFNA(OFFSET('(非表示)新規再エネ実現可能性判定'!$C$1,MATCH(M130,'(非表示)新規再エネ実現可能性判定'!$B:$B,0)-1,0),"//")</f>
        <v>//</v>
      </c>
      <c r="U130" s="175" t="str">
        <f ca="1">_xlfn.IFNA(OFFSET('(非表示)新規再エネ実現可能性判定'!$F$1,MATCH(N130,'(非表示)新規再エネ実現可能性判定'!$E:$E,0)-1,0),"//")</f>
        <v>//</v>
      </c>
      <c r="V130" s="175" t="str">
        <f ca="1">_xlfn.IFNA(OFFSET('(非表示)新規再エネ実現可能性判定'!$I$1,MATCH(O130,'(非表示)新規再エネ実現可能性判定'!$H:$H,0)-1,0),"//")</f>
        <v>//</v>
      </c>
      <c r="W130" s="175" t="str">
        <f t="shared" si="5"/>
        <v/>
      </c>
    </row>
    <row r="131" spans="2:23" ht="20">
      <c r="F131" s="31"/>
      <c r="G131" s="31"/>
      <c r="H131" s="31"/>
      <c r="I131" s="268"/>
      <c r="J131" s="31"/>
      <c r="K131" s="31"/>
      <c r="L131" s="285"/>
      <c r="M131" s="285"/>
      <c r="N131" s="285"/>
      <c r="O131" s="286"/>
      <c r="R131" s="423">
        <f t="shared" si="6"/>
        <v>124</v>
      </c>
      <c r="S131" s="222">
        <f t="shared" si="7"/>
        <v>0</v>
      </c>
      <c r="T131" s="222" t="str">
        <f ca="1">_xlfn.IFNA(OFFSET('(非表示)新規再エネ実現可能性判定'!$C$1,MATCH(M131,'(非表示)新規再エネ実現可能性判定'!$B:$B,0)-1,0),"//")</f>
        <v>//</v>
      </c>
      <c r="U131" s="175" t="str">
        <f ca="1">_xlfn.IFNA(OFFSET('(非表示)新規再エネ実現可能性判定'!$F$1,MATCH(N131,'(非表示)新規再エネ実現可能性判定'!$E:$E,0)-1,0),"//")</f>
        <v>//</v>
      </c>
      <c r="V131" s="175" t="str">
        <f ca="1">_xlfn.IFNA(OFFSET('(非表示)新規再エネ実現可能性判定'!$I$1,MATCH(O131,'(非表示)新規再エネ実現可能性判定'!$H:$H,0)-1,0),"//")</f>
        <v>//</v>
      </c>
      <c r="W131" s="175" t="str">
        <f t="shared" si="5"/>
        <v/>
      </c>
    </row>
    <row r="132" spans="2:23" ht="9.75" customHeight="1">
      <c r="D132" s="14"/>
      <c r="E132" s="15"/>
      <c r="F132" s="15"/>
      <c r="G132" s="248"/>
      <c r="H132" s="15"/>
      <c r="I132" s="235"/>
      <c r="J132" s="15"/>
      <c r="K132" s="15"/>
      <c r="L132" s="278"/>
      <c r="M132" s="278"/>
      <c r="N132" s="278"/>
      <c r="O132" s="18"/>
      <c r="P132" s="30"/>
      <c r="R132" s="423">
        <f t="shared" si="6"/>
        <v>125</v>
      </c>
      <c r="S132" s="222">
        <f t="shared" si="7"/>
        <v>0</v>
      </c>
      <c r="T132" s="222" t="str">
        <f ca="1">_xlfn.IFNA(OFFSET('(非表示)新規再エネ実現可能性判定'!$C$1,MATCH(M132,'(非表示)新規再エネ実現可能性判定'!$B:$B,0)-1,0),"//")</f>
        <v>//</v>
      </c>
      <c r="U132" s="175" t="str">
        <f ca="1">_xlfn.IFNA(OFFSET('(非表示)新規再エネ実現可能性判定'!$F$1,MATCH(N132,'(非表示)新規再エネ実現可能性判定'!$E:$E,0)-1,0),"//")</f>
        <v>//</v>
      </c>
      <c r="V132" s="175" t="str">
        <f ca="1">_xlfn.IFNA(OFFSET('(非表示)新規再エネ実現可能性判定'!$I$1,MATCH(O132,'(非表示)新規再エネ実現可能性判定'!$H:$H,0)-1,0),"//")</f>
        <v>//</v>
      </c>
      <c r="W132" s="175" t="str">
        <f t="shared" si="5"/>
        <v/>
      </c>
    </row>
    <row r="133" spans="2:23" ht="21">
      <c r="D133" s="237" t="s">
        <v>92</v>
      </c>
      <c r="F133" s="237"/>
      <c r="G133" s="269"/>
      <c r="I133" s="228"/>
      <c r="P133" s="19"/>
      <c r="R133" s="423">
        <f t="shared" si="6"/>
        <v>126</v>
      </c>
      <c r="S133" s="222">
        <f t="shared" si="7"/>
        <v>0</v>
      </c>
      <c r="T133" s="222" t="str">
        <f ca="1">_xlfn.IFNA(OFFSET('(非表示)新規再エネ実現可能性判定'!$C$1,MATCH(M133,'(非表示)新規再エネ実現可能性判定'!$B:$B,0)-1,0),"//")</f>
        <v>//</v>
      </c>
      <c r="U133" s="175" t="str">
        <f ca="1">_xlfn.IFNA(OFFSET('(非表示)新規再エネ実現可能性判定'!$F$1,MATCH(N133,'(非表示)新規再エネ実現可能性判定'!$E:$E,0)-1,0),"//")</f>
        <v>//</v>
      </c>
      <c r="V133" s="175" t="str">
        <f ca="1">_xlfn.IFNA(OFFSET('(非表示)新規再エネ実現可能性判定'!$I$1,MATCH(O133,'(非表示)新規再エネ実現可能性判定'!$H:$H,0)-1,0),"//")</f>
        <v>//</v>
      </c>
      <c r="W133" s="175" t="str">
        <f t="shared" si="5"/>
        <v/>
      </c>
    </row>
    <row r="134" spans="2:23" ht="21">
      <c r="D134" s="237"/>
      <c r="F134" s="1361" t="s">
        <v>8</v>
      </c>
      <c r="G134" s="1362" t="s">
        <v>185</v>
      </c>
      <c r="H134" s="1362" t="s">
        <v>180</v>
      </c>
      <c r="I134" s="1363" t="s">
        <v>31</v>
      </c>
      <c r="J134" s="1362" t="s">
        <v>186</v>
      </c>
      <c r="K134" s="1362" t="s">
        <v>199</v>
      </c>
      <c r="L134" s="1366" t="s">
        <v>187</v>
      </c>
      <c r="M134" s="1366"/>
      <c r="N134" s="1366"/>
      <c r="O134" s="279"/>
      <c r="P134" s="19"/>
      <c r="R134" s="423">
        <f t="shared" si="6"/>
        <v>127</v>
      </c>
      <c r="S134" s="222">
        <f t="shared" si="7"/>
        <v>0</v>
      </c>
      <c r="T134" s="222" t="str">
        <f ca="1">_xlfn.IFNA(OFFSET('(非表示)新規再エネ実現可能性判定'!$C$1,MATCH(M134,'(非表示)新規再エネ実現可能性判定'!$B:$B,0)-1,0),"//")</f>
        <v>//</v>
      </c>
      <c r="U134" s="175" t="str">
        <f ca="1">_xlfn.IFNA(OFFSET('(非表示)新規再エネ実現可能性判定'!$F$1,MATCH(N134,'(非表示)新規再エネ実現可能性判定'!$E:$E,0)-1,0),"//")</f>
        <v>//</v>
      </c>
      <c r="V134" s="175" t="str">
        <f ca="1">_xlfn.IFNA(OFFSET('(非表示)新規再エネ実現可能性判定'!$I$1,MATCH(O134,'(非表示)新規再エネ実現可能性判定'!$H:$H,0)-1,0),"//")</f>
        <v>//</v>
      </c>
      <c r="W134" s="175" t="str">
        <f t="shared" si="5"/>
        <v/>
      </c>
    </row>
    <row r="135" spans="2:23" ht="36" customHeight="1">
      <c r="D135" s="16"/>
      <c r="E135" s="271"/>
      <c r="F135" s="1361"/>
      <c r="G135" s="1362"/>
      <c r="H135" s="1362"/>
      <c r="I135" s="1363"/>
      <c r="J135" s="1362"/>
      <c r="K135" s="1362"/>
      <c r="L135" s="294" t="s">
        <v>225</v>
      </c>
      <c r="M135" s="294" t="s">
        <v>109</v>
      </c>
      <c r="N135" s="294" t="s">
        <v>110</v>
      </c>
      <c r="O135" s="280" t="s">
        <v>320</v>
      </c>
      <c r="P135" s="19"/>
      <c r="R135" s="423">
        <f t="shared" si="6"/>
        <v>128</v>
      </c>
      <c r="S135" s="222">
        <f t="shared" si="7"/>
        <v>0</v>
      </c>
      <c r="T135" s="222" t="str">
        <f ca="1">_xlfn.IFNA(OFFSET('(非表示)新規再エネ実現可能性判定'!$C$1,MATCH(M135,'(非表示)新規再エネ実現可能性判定'!$B:$B,0)-1,0),"//")</f>
        <v>判定</v>
      </c>
      <c r="U135" s="175" t="str">
        <f ca="1">_xlfn.IFNA(OFFSET('(非表示)新規再エネ実現可能性判定'!$F$1,MATCH(N135,'(非表示)新規再エネ実現可能性判定'!$E:$E,0)-1,0),"//")</f>
        <v>判定</v>
      </c>
      <c r="V135" s="175" t="str">
        <f ca="1">_xlfn.IFNA(OFFSET('(非表示)新規再エネ実現可能性判定'!$I$1,MATCH(O135,'(非表示)新規再エネ実現可能性判定'!$H:$H,0)-1,0),"//")</f>
        <v>//</v>
      </c>
      <c r="W135" s="175" t="str">
        <f t="shared" ca="1" si="5"/>
        <v>//</v>
      </c>
    </row>
    <row r="136" spans="2:23" s="11" customFormat="1" ht="20" hidden="1">
      <c r="B136" s="21"/>
      <c r="C136" s="21"/>
      <c r="D136" s="22"/>
      <c r="E136" s="128"/>
      <c r="F136" s="488"/>
      <c r="G136" s="479"/>
      <c r="H136" s="495"/>
      <c r="I136" s="502"/>
      <c r="J136" s="503"/>
      <c r="K136" s="504"/>
      <c r="L136" s="510"/>
      <c r="M136" s="510"/>
      <c r="N136" s="510"/>
      <c r="O136" s="511"/>
      <c r="P136" s="24"/>
      <c r="Q136" s="21"/>
      <c r="R136" s="431">
        <f t="shared" si="6"/>
        <v>129</v>
      </c>
      <c r="S136" s="125">
        <f t="shared" si="7"/>
        <v>0</v>
      </c>
      <c r="T136" s="125" t="str">
        <f ca="1">_xlfn.IFNA(OFFSET('(非表示)新規再エネ実現可能性判定'!$C$1,MATCH(M136,'(非表示)新規再エネ実現可能性判定'!$B:$B,0)-1,0),"//")</f>
        <v>//</v>
      </c>
      <c r="U136" s="255" t="str">
        <f ca="1">_xlfn.IFNA(OFFSET('(非表示)新規再エネ実現可能性判定'!$F$1,MATCH(N136,'(非表示)新規再エネ実現可能性判定'!$E:$E,0)-1,0),"//")</f>
        <v>//</v>
      </c>
      <c r="V136" s="255" t="str">
        <f ca="1">_xlfn.IFNA(OFFSET('(非表示)新規再エネ実現可能性判定'!$I$1,MATCH(O136,'(非表示)新規再エネ実現可能性判定'!$H:$H,0)-1,0),"//")</f>
        <v>//</v>
      </c>
      <c r="W136" s="255" t="str">
        <f t="shared" ref="W136:W165" si="8">IF(COUNTBLANK($L136:$O136)=0,IF(V136="//","//",IF(S136=0,1,MIN(T136:V136))),"")</f>
        <v/>
      </c>
    </row>
    <row r="137" spans="2:23" s="11" customFormat="1" ht="20">
      <c r="B137" s="21"/>
      <c r="C137" s="21"/>
      <c r="D137" s="22"/>
      <c r="E137" s="128"/>
      <c r="F137" s="501" t="str">
        <f ca="1">IFERROR(OFFSET('4.1(2)新規再エネ導入予定（設備情報）'!$F$1,MATCH(G137,'4.1(2)新規再エネ導入予定（設備情報）'!$G:$G,0)-1,0),"")</f>
        <v/>
      </c>
      <c r="G137" s="509"/>
      <c r="H137" s="505" t="str">
        <f ca="1">IFERROR(OFFSET('4.1(2)新規再エネ導入予定（設備情報）'!$H$1,MATCH(G137,'4.1(2)新規再エネ導入予定（設備情報）'!$G:$G,0)-1,0)&amp;"","")</f>
        <v/>
      </c>
      <c r="I137" s="506" t="str">
        <f ca="1">IFERROR(OFFSET('4.1(2)新規再エネ導入予定（設備情報）'!$L$1,MATCH(G137,'4.1(2)新規再エネ導入予定（設備情報）'!$G:$G,0)-1,0),"")</f>
        <v/>
      </c>
      <c r="J137" s="507" t="str">
        <f ca="1">IFERROR(OFFSET('4.1(2)新規再エネ導入予定（設備情報）'!$O$1,MATCH(G137,'4.1(2)新規再エネ導入予定（設備情報）'!$G:$G,0)-1,0),"")</f>
        <v/>
      </c>
      <c r="K137" s="508" t="str">
        <f ca="1">IFERROR(OFFSET('4.1(2)新規再エネ導入予定（設備情報）'!$P$1,MATCH(G137,'4.1(2)新規再エネ導入予定（設備情報）'!$G:$G,0)-1,0),"")</f>
        <v/>
      </c>
      <c r="L137" s="486"/>
      <c r="M137" s="486"/>
      <c r="N137" s="486"/>
      <c r="O137" s="483"/>
      <c r="P137" s="24"/>
      <c r="Q137" s="21"/>
      <c r="R137" s="431">
        <f t="shared" ref="R137:R165" si="9">ROW()-7</f>
        <v>130</v>
      </c>
      <c r="S137" s="125">
        <f t="shared" ref="S137:S165" si="10">IF(L137="確認済",1,0)</f>
        <v>0</v>
      </c>
      <c r="T137" s="125" t="str">
        <f ca="1">_xlfn.IFNA(OFFSET('(非表示)新規再エネ実現可能性判定'!$C$1,MATCH(M137,'(非表示)新規再エネ実現可能性判定'!$B:$B,0)-1,0),"//")</f>
        <v>//</v>
      </c>
      <c r="U137" s="255" t="str">
        <f ca="1">_xlfn.IFNA(OFFSET('(非表示)新規再エネ実現可能性判定'!$F$1,MATCH(N137,'(非表示)新規再エネ実現可能性判定'!$E:$E,0)-1,0),"//")</f>
        <v>//</v>
      </c>
      <c r="V137" s="255" t="str">
        <f ca="1">_xlfn.IFNA(OFFSET('(非表示)新規再エネ実現可能性判定'!$I$1,MATCH(O137,'(非表示)新規再エネ実現可能性判定'!$H:$H,0)-1,0),"//")</f>
        <v>//</v>
      </c>
      <c r="W137" s="255" t="str">
        <f t="shared" si="8"/>
        <v/>
      </c>
    </row>
    <row r="138" spans="2:23" s="11" customFormat="1" ht="20">
      <c r="B138" s="21"/>
      <c r="C138" s="21"/>
      <c r="D138" s="22"/>
      <c r="E138" s="128"/>
      <c r="F138" s="501" t="str">
        <f ca="1">IFERROR(OFFSET('4.1(2)新規再エネ導入予定（設備情報）'!$F$1,MATCH(G138,'4.1(2)新規再エネ導入予定（設備情報）'!$G:$G,0)-1,0),"")</f>
        <v/>
      </c>
      <c r="G138" s="509"/>
      <c r="H138" s="505" t="str">
        <f ca="1">IFERROR(OFFSET('4.1(2)新規再エネ導入予定（設備情報）'!$H$1,MATCH(G138,'4.1(2)新規再エネ導入予定（設備情報）'!$G:$G,0)-1,0)&amp;"","")</f>
        <v/>
      </c>
      <c r="I138" s="506" t="str">
        <f ca="1">IFERROR(OFFSET('4.1(2)新規再エネ導入予定（設備情報）'!$L$1,MATCH(G138,'4.1(2)新規再エネ導入予定（設備情報）'!$G:$G,0)-1,0),"")</f>
        <v/>
      </c>
      <c r="J138" s="507" t="str">
        <f ca="1">IFERROR(OFFSET('4.1(2)新規再エネ導入予定（設備情報）'!$O$1,MATCH(G138,'4.1(2)新規再エネ導入予定（設備情報）'!$G:$G,0)-1,0),"")</f>
        <v/>
      </c>
      <c r="K138" s="508" t="str">
        <f ca="1">IFERROR(OFFSET('4.1(2)新規再エネ導入予定（設備情報）'!$P$1,MATCH(G138,'4.1(2)新規再エネ導入予定（設備情報）'!$G:$G,0)-1,0),"")</f>
        <v/>
      </c>
      <c r="L138" s="486"/>
      <c r="M138" s="486"/>
      <c r="N138" s="486"/>
      <c r="O138" s="483"/>
      <c r="P138" s="24"/>
      <c r="Q138" s="21"/>
      <c r="R138" s="431">
        <f t="shared" si="9"/>
        <v>131</v>
      </c>
      <c r="S138" s="125">
        <f t="shared" si="10"/>
        <v>0</v>
      </c>
      <c r="T138" s="125" t="str">
        <f ca="1">_xlfn.IFNA(OFFSET('(非表示)新規再エネ実現可能性判定'!$C$1,MATCH(M138,'(非表示)新規再エネ実現可能性判定'!$B:$B,0)-1,0),"//")</f>
        <v>//</v>
      </c>
      <c r="U138" s="255" t="str">
        <f ca="1">_xlfn.IFNA(OFFSET('(非表示)新規再エネ実現可能性判定'!$F$1,MATCH(N138,'(非表示)新規再エネ実現可能性判定'!$E:$E,0)-1,0),"//")</f>
        <v>//</v>
      </c>
      <c r="V138" s="255" t="str">
        <f ca="1">_xlfn.IFNA(OFFSET('(非表示)新規再エネ実現可能性判定'!$I$1,MATCH(O138,'(非表示)新規再エネ実現可能性判定'!$H:$H,0)-1,0),"//")</f>
        <v>//</v>
      </c>
      <c r="W138" s="255" t="str">
        <f t="shared" si="8"/>
        <v/>
      </c>
    </row>
    <row r="139" spans="2:23" s="11" customFormat="1" ht="20">
      <c r="B139" s="21"/>
      <c r="C139" s="21"/>
      <c r="D139" s="22"/>
      <c r="E139" s="128"/>
      <c r="F139" s="501" t="str">
        <f ca="1">IFERROR(OFFSET('4.1(2)新規再エネ導入予定（設備情報）'!$F$1,MATCH(G139,'4.1(2)新規再エネ導入予定（設備情報）'!$G:$G,0)-1,0),"")</f>
        <v/>
      </c>
      <c r="G139" s="509"/>
      <c r="H139" s="505" t="str">
        <f ca="1">IFERROR(OFFSET('4.1(2)新規再エネ導入予定（設備情報）'!$H$1,MATCH(G139,'4.1(2)新規再エネ導入予定（設備情報）'!$G:$G,0)-1,0)&amp;"","")</f>
        <v/>
      </c>
      <c r="I139" s="506" t="str">
        <f ca="1">IFERROR(OFFSET('4.1(2)新規再エネ導入予定（設備情報）'!$L$1,MATCH(G139,'4.1(2)新規再エネ導入予定（設備情報）'!$G:$G,0)-1,0),"")</f>
        <v/>
      </c>
      <c r="J139" s="507" t="str">
        <f ca="1">IFERROR(OFFSET('4.1(2)新規再エネ導入予定（設備情報）'!$O$1,MATCH(G139,'4.1(2)新規再エネ導入予定（設備情報）'!$G:$G,0)-1,0),"")</f>
        <v/>
      </c>
      <c r="K139" s="508" t="str">
        <f ca="1">IFERROR(OFFSET('4.1(2)新規再エネ導入予定（設備情報）'!$P$1,MATCH(G139,'4.1(2)新規再エネ導入予定（設備情報）'!$G:$G,0)-1,0),"")</f>
        <v/>
      </c>
      <c r="L139" s="486"/>
      <c r="M139" s="486"/>
      <c r="N139" s="486"/>
      <c r="O139" s="483"/>
      <c r="P139" s="24"/>
      <c r="Q139" s="21"/>
      <c r="R139" s="431">
        <f t="shared" si="9"/>
        <v>132</v>
      </c>
      <c r="S139" s="125">
        <f t="shared" si="10"/>
        <v>0</v>
      </c>
      <c r="T139" s="125" t="str">
        <f ca="1">_xlfn.IFNA(OFFSET('(非表示)新規再エネ実現可能性判定'!$C$1,MATCH(M139,'(非表示)新規再エネ実現可能性判定'!$B:$B,0)-1,0),"//")</f>
        <v>//</v>
      </c>
      <c r="U139" s="255" t="str">
        <f ca="1">_xlfn.IFNA(OFFSET('(非表示)新規再エネ実現可能性判定'!$F$1,MATCH(N139,'(非表示)新規再エネ実現可能性判定'!$E:$E,0)-1,0),"//")</f>
        <v>//</v>
      </c>
      <c r="V139" s="255" t="str">
        <f ca="1">_xlfn.IFNA(OFFSET('(非表示)新規再エネ実現可能性判定'!$I$1,MATCH(O139,'(非表示)新規再エネ実現可能性判定'!$H:$H,0)-1,0),"//")</f>
        <v>//</v>
      </c>
      <c r="W139" s="255" t="str">
        <f t="shared" si="8"/>
        <v/>
      </c>
    </row>
    <row r="140" spans="2:23" ht="20">
      <c r="D140" s="16"/>
      <c r="E140" s="272"/>
      <c r="F140" s="281" t="s">
        <v>26</v>
      </c>
      <c r="G140" s="240"/>
      <c r="H140" s="240"/>
      <c r="I140" s="273"/>
      <c r="J140" s="274"/>
      <c r="K140" s="499">
        <f ca="1">SUM(OFFSET(K$136,0,0,ROW()-ROW(K$136),1))</f>
        <v>0</v>
      </c>
      <c r="L140" s="251"/>
      <c r="M140" s="251"/>
      <c r="N140" s="251"/>
      <c r="O140" s="251"/>
      <c r="P140" s="19"/>
      <c r="R140" s="423">
        <f t="shared" si="9"/>
        <v>133</v>
      </c>
      <c r="S140" s="222">
        <f t="shared" si="10"/>
        <v>0</v>
      </c>
      <c r="T140" s="222" t="str">
        <f ca="1">_xlfn.IFNA(OFFSET('(非表示)新規再エネ実現可能性判定'!$C$1,MATCH(M140,'(非表示)新規再エネ実現可能性判定'!$B:$B,0)-1,0),"//")</f>
        <v>//</v>
      </c>
      <c r="U140" s="175" t="str">
        <f ca="1">_xlfn.IFNA(OFFSET('(非表示)新規再エネ実現可能性判定'!$F$1,MATCH(N140,'(非表示)新規再エネ実現可能性判定'!$E:$E,0)-1,0),"//")</f>
        <v>//</v>
      </c>
      <c r="V140" s="175" t="str">
        <f ca="1">_xlfn.IFNA(OFFSET('(非表示)新規再エネ実現可能性判定'!$I$1,MATCH(O140,'(非表示)新規再エネ実現可能性判定'!$H:$H,0)-1,0),"//")</f>
        <v>//</v>
      </c>
      <c r="W140" s="175" t="str">
        <f t="shared" si="8"/>
        <v/>
      </c>
    </row>
    <row r="141" spans="2:23" ht="20">
      <c r="D141" s="46"/>
      <c r="E141" s="26"/>
      <c r="F141" s="26"/>
      <c r="G141" s="4"/>
      <c r="H141" s="4"/>
      <c r="I141" s="122"/>
      <c r="J141" s="4"/>
      <c r="K141" s="4"/>
      <c r="L141" s="287"/>
      <c r="M141" s="287"/>
      <c r="N141" s="287"/>
      <c r="O141" s="288"/>
      <c r="P141" s="27"/>
      <c r="Q141"/>
      <c r="R141" s="423">
        <f t="shared" si="9"/>
        <v>134</v>
      </c>
      <c r="S141" s="222">
        <f t="shared" si="10"/>
        <v>0</v>
      </c>
      <c r="T141" s="222" t="str">
        <f ca="1">_xlfn.IFNA(OFFSET('(非表示)新規再エネ実現可能性判定'!$C$1,MATCH(M141,'(非表示)新規再エネ実現可能性判定'!$B:$B,0)-1,0),"//")</f>
        <v>//</v>
      </c>
      <c r="U141" s="175" t="str">
        <f ca="1">_xlfn.IFNA(OFFSET('(非表示)新規再エネ実現可能性判定'!$F$1,MATCH(N141,'(非表示)新規再エネ実現可能性判定'!$E:$E,0)-1,0),"//")</f>
        <v>//</v>
      </c>
      <c r="V141" s="175" t="str">
        <f ca="1">_xlfn.IFNA(OFFSET('(非表示)新規再エネ実現可能性判定'!$I$1,MATCH(O141,'(非表示)新規再エネ実現可能性判定'!$H:$H,0)-1,0),"//")</f>
        <v>//</v>
      </c>
      <c r="W141" s="175" t="str">
        <f t="shared" si="8"/>
        <v/>
      </c>
    </row>
    <row r="142" spans="2:23" ht="20">
      <c r="F142" s="31"/>
      <c r="G142" s="31"/>
      <c r="H142" s="31"/>
      <c r="I142" s="268"/>
      <c r="J142" s="31"/>
      <c r="K142" s="31"/>
      <c r="L142" s="285"/>
      <c r="M142" s="285"/>
      <c r="N142" s="285"/>
      <c r="O142" s="286"/>
      <c r="R142" s="423">
        <f t="shared" si="9"/>
        <v>135</v>
      </c>
      <c r="S142" s="222">
        <f t="shared" si="10"/>
        <v>0</v>
      </c>
      <c r="T142" s="222" t="str">
        <f ca="1">_xlfn.IFNA(OFFSET('(非表示)新規再エネ実現可能性判定'!$C$1,MATCH(M142,'(非表示)新規再エネ実現可能性判定'!$B:$B,0)-1,0),"//")</f>
        <v>//</v>
      </c>
      <c r="U142" s="175" t="str">
        <f ca="1">_xlfn.IFNA(OFFSET('(非表示)新規再エネ実現可能性判定'!$F$1,MATCH(N142,'(非表示)新規再エネ実現可能性判定'!$E:$E,0)-1,0),"//")</f>
        <v>//</v>
      </c>
      <c r="V142" s="175" t="str">
        <f ca="1">_xlfn.IFNA(OFFSET('(非表示)新規再エネ実現可能性判定'!$I$1,MATCH(O142,'(非表示)新規再エネ実現可能性判定'!$H:$H,0)-1,0),"//")</f>
        <v>//</v>
      </c>
      <c r="W142" s="175" t="str">
        <f t="shared" si="8"/>
        <v/>
      </c>
    </row>
    <row r="143" spans="2:23" ht="20">
      <c r="F143" s="31"/>
      <c r="G143" s="31"/>
      <c r="H143" s="31"/>
      <c r="I143" s="268"/>
      <c r="J143" s="31"/>
      <c r="K143" s="31"/>
      <c r="L143" s="285"/>
      <c r="M143" s="285"/>
      <c r="N143" s="285"/>
      <c r="O143" s="286"/>
      <c r="R143" s="423">
        <f t="shared" si="9"/>
        <v>136</v>
      </c>
      <c r="S143" s="222">
        <f t="shared" si="10"/>
        <v>0</v>
      </c>
      <c r="T143" s="222" t="str">
        <f ca="1">_xlfn.IFNA(OFFSET('(非表示)新規再エネ実現可能性判定'!$C$1,MATCH(M143,'(非表示)新規再エネ実現可能性判定'!$B:$B,0)-1,0),"//")</f>
        <v>//</v>
      </c>
      <c r="U143" s="175" t="str">
        <f ca="1">_xlfn.IFNA(OFFSET('(非表示)新規再エネ実現可能性判定'!$F$1,MATCH(N143,'(非表示)新規再エネ実現可能性判定'!$E:$E,0)-1,0),"//")</f>
        <v>//</v>
      </c>
      <c r="V143" s="175" t="str">
        <f ca="1">_xlfn.IFNA(OFFSET('(非表示)新規再エネ実現可能性判定'!$I$1,MATCH(O143,'(非表示)新規再エネ実現可能性判定'!$H:$H,0)-1,0),"//")</f>
        <v>//</v>
      </c>
      <c r="W143" s="175" t="str">
        <f t="shared" si="8"/>
        <v/>
      </c>
    </row>
    <row r="144" spans="2:23" ht="9.75" customHeight="1">
      <c r="D144" s="14"/>
      <c r="E144" s="15"/>
      <c r="F144" s="15"/>
      <c r="G144" s="248"/>
      <c r="H144" s="15"/>
      <c r="I144" s="235"/>
      <c r="J144" s="15"/>
      <c r="K144" s="15"/>
      <c r="L144" s="278"/>
      <c r="M144" s="278"/>
      <c r="N144" s="278"/>
      <c r="O144" s="18"/>
      <c r="P144" s="30"/>
      <c r="R144" s="423">
        <f t="shared" si="9"/>
        <v>137</v>
      </c>
      <c r="S144" s="222">
        <f t="shared" si="10"/>
        <v>0</v>
      </c>
      <c r="T144" s="222" t="str">
        <f ca="1">_xlfn.IFNA(OFFSET('(非表示)新規再エネ実現可能性判定'!$C$1,MATCH(M144,'(非表示)新規再エネ実現可能性判定'!$B:$B,0)-1,0),"//")</f>
        <v>//</v>
      </c>
      <c r="U144" s="175" t="str">
        <f ca="1">_xlfn.IFNA(OFFSET('(非表示)新規再エネ実現可能性判定'!$F$1,MATCH(N144,'(非表示)新規再エネ実現可能性判定'!$E:$E,0)-1,0),"//")</f>
        <v>//</v>
      </c>
      <c r="V144" s="175" t="str">
        <f ca="1">_xlfn.IFNA(OFFSET('(非表示)新規再エネ実現可能性判定'!$I$1,MATCH(O144,'(非表示)新規再エネ実現可能性判定'!$H:$H,0)-1,0),"//")</f>
        <v>//</v>
      </c>
      <c r="W144" s="175" t="str">
        <f t="shared" si="8"/>
        <v/>
      </c>
    </row>
    <row r="145" spans="2:23" ht="26.5">
      <c r="D145" s="237" t="str">
        <f>"【その他発電】"&amp;" "&amp;IF('4.1(2)新規再エネ導入予定（設備情報）'!H147="〇〇発電(こちらに発電方式を記載ください)","",'4.1(2)新規再エネ導入予定（設備情報）'!H147)</f>
        <v xml:space="preserve">【その他発電】 </v>
      </c>
      <c r="F145" s="237"/>
      <c r="G145" s="430"/>
      <c r="I145" s="228"/>
      <c r="P145" s="19"/>
      <c r="R145" s="423">
        <f t="shared" si="9"/>
        <v>138</v>
      </c>
      <c r="S145" s="222">
        <f t="shared" si="10"/>
        <v>0</v>
      </c>
      <c r="T145" s="222" t="str">
        <f ca="1">_xlfn.IFNA(OFFSET('(非表示)新規再エネ実現可能性判定'!$C$1,MATCH(M145,'(非表示)新規再エネ実現可能性判定'!$B:$B,0)-1,0),"//")</f>
        <v>//</v>
      </c>
      <c r="U145" s="175" t="str">
        <f ca="1">_xlfn.IFNA(OFFSET('(非表示)新規再エネ実現可能性判定'!$F$1,MATCH(N145,'(非表示)新規再エネ実現可能性判定'!$E:$E,0)-1,0),"//")</f>
        <v>//</v>
      </c>
      <c r="V145" s="175" t="str">
        <f ca="1">_xlfn.IFNA(OFFSET('(非表示)新規再エネ実現可能性判定'!$I$1,MATCH(O145,'(非表示)新規再エネ実現可能性判定'!$H:$H,0)-1,0),"//")</f>
        <v>//</v>
      </c>
      <c r="W145" s="175" t="str">
        <f t="shared" si="8"/>
        <v/>
      </c>
    </row>
    <row r="146" spans="2:23" ht="21">
      <c r="D146" s="237"/>
      <c r="F146" s="1361" t="s">
        <v>8</v>
      </c>
      <c r="G146" s="1362" t="s">
        <v>185</v>
      </c>
      <c r="H146" s="1362" t="s">
        <v>180</v>
      </c>
      <c r="I146" s="1363" t="s">
        <v>31</v>
      </c>
      <c r="J146" s="1362" t="s">
        <v>186</v>
      </c>
      <c r="K146" s="1362" t="s">
        <v>81</v>
      </c>
      <c r="L146" s="1366" t="s">
        <v>187</v>
      </c>
      <c r="M146" s="1366"/>
      <c r="N146" s="1366"/>
      <c r="O146" s="279"/>
      <c r="P146" s="19"/>
      <c r="R146" s="423">
        <f t="shared" si="9"/>
        <v>139</v>
      </c>
      <c r="S146" s="222">
        <f t="shared" si="10"/>
        <v>0</v>
      </c>
      <c r="T146" s="222" t="str">
        <f ca="1">_xlfn.IFNA(OFFSET('(非表示)新規再エネ実現可能性判定'!$C$1,MATCH(M146,'(非表示)新規再エネ実現可能性判定'!$B:$B,0)-1,0),"//")</f>
        <v>//</v>
      </c>
      <c r="U146" s="175" t="str">
        <f ca="1">_xlfn.IFNA(OFFSET('(非表示)新規再エネ実現可能性判定'!$F$1,MATCH(N146,'(非表示)新規再エネ実現可能性判定'!$E:$E,0)-1,0),"//")</f>
        <v>//</v>
      </c>
      <c r="V146" s="175" t="str">
        <f ca="1">_xlfn.IFNA(OFFSET('(非表示)新規再エネ実現可能性判定'!$I$1,MATCH(O146,'(非表示)新規再エネ実現可能性判定'!$H:$H,0)-1,0),"//")</f>
        <v>//</v>
      </c>
      <c r="W146" s="175" t="str">
        <f t="shared" si="8"/>
        <v/>
      </c>
    </row>
    <row r="147" spans="2:23" ht="36" customHeight="1">
      <c r="D147" s="16"/>
      <c r="E147" s="271"/>
      <c r="F147" s="1361"/>
      <c r="G147" s="1362"/>
      <c r="H147" s="1362"/>
      <c r="I147" s="1363"/>
      <c r="J147" s="1362"/>
      <c r="K147" s="1362"/>
      <c r="L147" s="294" t="s">
        <v>225</v>
      </c>
      <c r="M147" s="294" t="s">
        <v>109</v>
      </c>
      <c r="N147" s="294" t="s">
        <v>110</v>
      </c>
      <c r="O147" s="280" t="s">
        <v>320</v>
      </c>
      <c r="P147" s="19"/>
      <c r="R147" s="423">
        <f t="shared" si="9"/>
        <v>140</v>
      </c>
      <c r="S147" s="222">
        <f t="shared" si="10"/>
        <v>0</v>
      </c>
      <c r="T147" s="222" t="str">
        <f ca="1">_xlfn.IFNA(OFFSET('(非表示)新規再エネ実現可能性判定'!$C$1,MATCH(M147,'(非表示)新規再エネ実現可能性判定'!$B:$B,0)-1,0),"//")</f>
        <v>判定</v>
      </c>
      <c r="U147" s="175" t="str">
        <f ca="1">_xlfn.IFNA(OFFSET('(非表示)新規再エネ実現可能性判定'!$F$1,MATCH(N147,'(非表示)新規再エネ実現可能性判定'!$E:$E,0)-1,0),"//")</f>
        <v>判定</v>
      </c>
      <c r="V147" s="175" t="str">
        <f ca="1">_xlfn.IFNA(OFFSET('(非表示)新規再エネ実現可能性判定'!$I$1,MATCH(O147,'(非表示)新規再エネ実現可能性判定'!$H:$H,0)-1,0),"//")</f>
        <v>//</v>
      </c>
      <c r="W147" s="175" t="str">
        <f t="shared" ca="1" si="8"/>
        <v>//</v>
      </c>
    </row>
    <row r="148" spans="2:23" s="11" customFormat="1" ht="20" hidden="1">
      <c r="B148" s="21"/>
      <c r="C148" s="21"/>
      <c r="D148" s="22"/>
      <c r="E148" s="128"/>
      <c r="F148" s="488"/>
      <c r="G148" s="479"/>
      <c r="H148" s="495"/>
      <c r="I148" s="502"/>
      <c r="J148" s="503"/>
      <c r="K148" s="504"/>
      <c r="L148" s="510"/>
      <c r="M148" s="510"/>
      <c r="N148" s="510"/>
      <c r="O148" s="511"/>
      <c r="P148" s="24"/>
      <c r="Q148" s="21"/>
      <c r="R148" s="431">
        <f t="shared" si="9"/>
        <v>141</v>
      </c>
      <c r="S148" s="125">
        <f t="shared" si="10"/>
        <v>0</v>
      </c>
      <c r="T148" s="125" t="str">
        <f ca="1">_xlfn.IFNA(OFFSET('(非表示)新規再エネ実現可能性判定'!$C$1,MATCH(M148,'(非表示)新規再エネ実現可能性判定'!$B:$B,0)-1,0),"//")</f>
        <v>//</v>
      </c>
      <c r="U148" s="255" t="str">
        <f ca="1">_xlfn.IFNA(OFFSET('(非表示)新規再エネ実現可能性判定'!$F$1,MATCH(N148,'(非表示)新規再エネ実現可能性判定'!$E:$E,0)-1,0),"//")</f>
        <v>//</v>
      </c>
      <c r="V148" s="255" t="str">
        <f ca="1">_xlfn.IFNA(OFFSET('(非表示)新規再エネ実現可能性判定'!$I$1,MATCH(O148,'(非表示)新規再エネ実現可能性判定'!$H:$H,0)-1,0),"//")</f>
        <v>//</v>
      </c>
      <c r="W148" s="255" t="str">
        <f t="shared" si="8"/>
        <v/>
      </c>
    </row>
    <row r="149" spans="2:23" s="11" customFormat="1" ht="20">
      <c r="B149" s="21"/>
      <c r="C149" s="21"/>
      <c r="D149" s="22"/>
      <c r="E149" s="128"/>
      <c r="F149" s="501" t="str">
        <f ca="1">IFERROR(OFFSET('4.1(2)新規再エネ導入予定（設備情報）'!$F$1,MATCH(G149,'4.1(2)新規再エネ導入予定（設備情報）'!$G:$G,0)-1,0),"")</f>
        <v/>
      </c>
      <c r="G149" s="509"/>
      <c r="H149" s="505" t="str">
        <f ca="1">IFERROR(OFFSET('4.1(2)新規再エネ導入予定（設備情報）'!$H$1,MATCH(G149,'4.1(2)新規再エネ導入予定（設備情報）'!$G:$G,0)-1,0)&amp;"","")</f>
        <v/>
      </c>
      <c r="I149" s="506" t="str">
        <f ca="1">IFERROR(OFFSET('4.1(2)新規再エネ導入予定（設備情報）'!$L$1,MATCH(G149,'4.1(2)新規再エネ導入予定（設備情報）'!$G:$G,0)-1,0),"")</f>
        <v/>
      </c>
      <c r="J149" s="507" t="str">
        <f ca="1">IFERROR(OFFSET('4.1(2)新規再エネ導入予定（設備情報）'!$O$1,MATCH(G149,'4.1(2)新規再エネ導入予定（設備情報）'!$G:$G,0)-1,0),"")</f>
        <v/>
      </c>
      <c r="K149" s="508" t="str">
        <f ca="1">IFERROR(OFFSET('4.1(2)新規再エネ導入予定（設備情報）'!$P$1,MATCH(G149,'4.1(2)新規再エネ導入予定（設備情報）'!$G:$G,0)-1,0),"")</f>
        <v/>
      </c>
      <c r="L149" s="486"/>
      <c r="M149" s="486"/>
      <c r="N149" s="486"/>
      <c r="O149" s="483"/>
      <c r="P149" s="24"/>
      <c r="Q149" s="21"/>
      <c r="R149" s="431">
        <f t="shared" si="9"/>
        <v>142</v>
      </c>
      <c r="S149" s="125">
        <f t="shared" si="10"/>
        <v>0</v>
      </c>
      <c r="T149" s="125" t="str">
        <f ca="1">_xlfn.IFNA(OFFSET('(非表示)新規再エネ実現可能性判定'!$C$1,MATCH(M149,'(非表示)新規再エネ実現可能性判定'!$B:$B,0)-1,0),"//")</f>
        <v>//</v>
      </c>
      <c r="U149" s="255" t="str">
        <f ca="1">_xlfn.IFNA(OFFSET('(非表示)新規再エネ実現可能性判定'!$F$1,MATCH(N149,'(非表示)新規再エネ実現可能性判定'!$E:$E,0)-1,0),"//")</f>
        <v>//</v>
      </c>
      <c r="V149" s="255" t="str">
        <f ca="1">_xlfn.IFNA(OFFSET('(非表示)新規再エネ実現可能性判定'!$I$1,MATCH(O149,'(非表示)新規再エネ実現可能性判定'!$H:$H,0)-1,0),"//")</f>
        <v>//</v>
      </c>
      <c r="W149" s="255" t="str">
        <f t="shared" si="8"/>
        <v/>
      </c>
    </row>
    <row r="150" spans="2:23" s="11" customFormat="1" ht="20">
      <c r="B150" s="21"/>
      <c r="C150" s="21"/>
      <c r="D150" s="22"/>
      <c r="E150" s="128"/>
      <c r="F150" s="501" t="str">
        <f ca="1">IFERROR(OFFSET('4.1(2)新規再エネ導入予定（設備情報）'!$F$1,MATCH(G150,'4.1(2)新規再エネ導入予定（設備情報）'!$G:$G,0)-1,0),"")</f>
        <v/>
      </c>
      <c r="G150" s="509"/>
      <c r="H150" s="505" t="str">
        <f ca="1">IFERROR(OFFSET('4.1(2)新規再エネ導入予定（設備情報）'!$H$1,MATCH(G150,'4.1(2)新規再エネ導入予定（設備情報）'!$G:$G,0)-1,0)&amp;"","")</f>
        <v/>
      </c>
      <c r="I150" s="506" t="str">
        <f ca="1">IFERROR(OFFSET('4.1(2)新規再エネ導入予定（設備情報）'!$L$1,MATCH(G150,'4.1(2)新規再エネ導入予定（設備情報）'!$G:$G,0)-1,0),"")</f>
        <v/>
      </c>
      <c r="J150" s="507" t="str">
        <f ca="1">IFERROR(OFFSET('4.1(2)新規再エネ導入予定（設備情報）'!$O$1,MATCH(G150,'4.1(2)新規再エネ導入予定（設備情報）'!$G:$G,0)-1,0),"")</f>
        <v/>
      </c>
      <c r="K150" s="508" t="str">
        <f ca="1">IFERROR(OFFSET('4.1(2)新規再エネ導入予定（設備情報）'!$P$1,MATCH(G150,'4.1(2)新規再エネ導入予定（設備情報）'!$G:$G,0)-1,0),"")</f>
        <v/>
      </c>
      <c r="L150" s="486"/>
      <c r="M150" s="486"/>
      <c r="N150" s="486"/>
      <c r="O150" s="483"/>
      <c r="P150" s="24"/>
      <c r="Q150" s="21"/>
      <c r="R150" s="431">
        <f t="shared" si="9"/>
        <v>143</v>
      </c>
      <c r="S150" s="125">
        <f t="shared" si="10"/>
        <v>0</v>
      </c>
      <c r="T150" s="125" t="str">
        <f ca="1">_xlfn.IFNA(OFFSET('(非表示)新規再エネ実現可能性判定'!$C$1,MATCH(M150,'(非表示)新規再エネ実現可能性判定'!$B:$B,0)-1,0),"//")</f>
        <v>//</v>
      </c>
      <c r="U150" s="255" t="str">
        <f ca="1">_xlfn.IFNA(OFFSET('(非表示)新規再エネ実現可能性判定'!$F$1,MATCH(N150,'(非表示)新規再エネ実現可能性判定'!$E:$E,0)-1,0),"//")</f>
        <v>//</v>
      </c>
      <c r="V150" s="255" t="str">
        <f ca="1">_xlfn.IFNA(OFFSET('(非表示)新規再エネ実現可能性判定'!$I$1,MATCH(O150,'(非表示)新規再エネ実現可能性判定'!$H:$H,0)-1,0),"//")</f>
        <v>//</v>
      </c>
      <c r="W150" s="255" t="str">
        <f t="shared" si="8"/>
        <v/>
      </c>
    </row>
    <row r="151" spans="2:23" s="11" customFormat="1" ht="20">
      <c r="B151" s="21"/>
      <c r="C151" s="21"/>
      <c r="D151" s="22"/>
      <c r="E151" s="128"/>
      <c r="F151" s="501" t="str">
        <f ca="1">IFERROR(OFFSET('4.1(2)新規再エネ導入予定（設備情報）'!$F$1,MATCH(G151,'4.1(2)新規再エネ導入予定（設備情報）'!$G:$G,0)-1,0),"")</f>
        <v/>
      </c>
      <c r="G151" s="509"/>
      <c r="H151" s="505" t="str">
        <f ca="1">IFERROR(OFFSET('4.1(2)新規再エネ導入予定（設備情報）'!$H$1,MATCH(G151,'4.1(2)新規再エネ導入予定（設備情報）'!$G:$G,0)-1,0)&amp;"","")</f>
        <v/>
      </c>
      <c r="I151" s="506" t="str">
        <f ca="1">IFERROR(OFFSET('4.1(2)新規再エネ導入予定（設備情報）'!$L$1,MATCH(G151,'4.1(2)新規再エネ導入予定（設備情報）'!$G:$G,0)-1,0),"")</f>
        <v/>
      </c>
      <c r="J151" s="507" t="str">
        <f ca="1">IFERROR(OFFSET('4.1(2)新規再エネ導入予定（設備情報）'!$O$1,MATCH(G151,'4.1(2)新規再エネ導入予定（設備情報）'!$G:$G,0)-1,0),"")</f>
        <v/>
      </c>
      <c r="K151" s="508" t="str">
        <f ca="1">IFERROR(OFFSET('4.1(2)新規再エネ導入予定（設備情報）'!$P$1,MATCH(G151,'4.1(2)新規再エネ導入予定（設備情報）'!$G:$G,0)-1,0),"")</f>
        <v/>
      </c>
      <c r="L151" s="486"/>
      <c r="M151" s="486"/>
      <c r="N151" s="486"/>
      <c r="O151" s="483"/>
      <c r="P151" s="24"/>
      <c r="Q151" s="21"/>
      <c r="R151" s="431">
        <f t="shared" si="9"/>
        <v>144</v>
      </c>
      <c r="S151" s="125">
        <f t="shared" si="10"/>
        <v>0</v>
      </c>
      <c r="T151" s="125" t="str">
        <f ca="1">_xlfn.IFNA(OFFSET('(非表示)新規再エネ実現可能性判定'!$C$1,MATCH(M151,'(非表示)新規再エネ実現可能性判定'!$B:$B,0)-1,0),"//")</f>
        <v>//</v>
      </c>
      <c r="U151" s="255" t="str">
        <f ca="1">_xlfn.IFNA(OFFSET('(非表示)新規再エネ実現可能性判定'!$F$1,MATCH(N151,'(非表示)新規再エネ実現可能性判定'!$E:$E,0)-1,0),"//")</f>
        <v>//</v>
      </c>
      <c r="V151" s="255" t="str">
        <f ca="1">_xlfn.IFNA(OFFSET('(非表示)新規再エネ実現可能性判定'!$I$1,MATCH(O151,'(非表示)新規再エネ実現可能性判定'!$H:$H,0)-1,0),"//")</f>
        <v>//</v>
      </c>
      <c r="W151" s="255" t="str">
        <f t="shared" si="8"/>
        <v/>
      </c>
    </row>
    <row r="152" spans="2:23" ht="20">
      <c r="D152" s="16"/>
      <c r="E152" s="272"/>
      <c r="F152" s="281" t="s">
        <v>26</v>
      </c>
      <c r="G152" s="240"/>
      <c r="H152" s="240"/>
      <c r="I152" s="273"/>
      <c r="J152" s="274"/>
      <c r="K152" s="499">
        <f ca="1">SUM(OFFSET(K$148,0,0,ROW()-ROW(K$148),1))</f>
        <v>0</v>
      </c>
      <c r="L152" s="251"/>
      <c r="M152" s="251"/>
      <c r="N152" s="251"/>
      <c r="O152" s="251"/>
      <c r="P152" s="19"/>
      <c r="R152" s="423">
        <f t="shared" si="9"/>
        <v>145</v>
      </c>
      <c r="S152" s="222">
        <f t="shared" si="10"/>
        <v>0</v>
      </c>
      <c r="T152" s="222" t="str">
        <f ca="1">_xlfn.IFNA(OFFSET('(非表示)新規再エネ実現可能性判定'!$C$1,MATCH(M152,'(非表示)新規再エネ実現可能性判定'!$B:$B,0)-1,0),"//")</f>
        <v>//</v>
      </c>
      <c r="U152" s="175" t="str">
        <f ca="1">_xlfn.IFNA(OFFSET('(非表示)新規再エネ実現可能性判定'!$F$1,MATCH(N152,'(非表示)新規再エネ実現可能性判定'!$E:$E,0)-1,0),"//")</f>
        <v>//</v>
      </c>
      <c r="V152" s="175" t="str">
        <f ca="1">_xlfn.IFNA(OFFSET('(非表示)新規再エネ実現可能性判定'!$I$1,MATCH(O152,'(非表示)新規再エネ実現可能性判定'!$H:$H,0)-1,0),"//")</f>
        <v>//</v>
      </c>
      <c r="W152" s="175" t="str">
        <f t="shared" si="8"/>
        <v/>
      </c>
    </row>
    <row r="153" spans="2:23" ht="20">
      <c r="D153" s="46"/>
      <c r="E153" s="26"/>
      <c r="F153" s="26"/>
      <c r="G153" s="4"/>
      <c r="H153" s="4"/>
      <c r="I153" s="122"/>
      <c r="J153" s="4"/>
      <c r="K153" s="4"/>
      <c r="L153" s="287"/>
      <c r="M153" s="287"/>
      <c r="N153" s="287"/>
      <c r="O153" s="288"/>
      <c r="P153" s="27"/>
      <c r="Q153"/>
      <c r="R153" s="423">
        <f t="shared" si="9"/>
        <v>146</v>
      </c>
      <c r="S153" s="222">
        <f t="shared" si="10"/>
        <v>0</v>
      </c>
      <c r="T153" s="222" t="str">
        <f ca="1">_xlfn.IFNA(OFFSET('(非表示)新規再エネ実現可能性判定'!$C$1,MATCH(M153,'(非表示)新規再エネ実現可能性判定'!$B:$B,0)-1,0),"//")</f>
        <v>//</v>
      </c>
      <c r="U153" s="175" t="str">
        <f ca="1">_xlfn.IFNA(OFFSET('(非表示)新規再エネ実現可能性判定'!$F$1,MATCH(N153,'(非表示)新規再エネ実現可能性判定'!$E:$E,0)-1,0),"//")</f>
        <v>//</v>
      </c>
      <c r="V153" s="175" t="str">
        <f ca="1">_xlfn.IFNA(OFFSET('(非表示)新規再エネ実現可能性判定'!$I$1,MATCH(O153,'(非表示)新規再エネ実現可能性判定'!$H:$H,0)-1,0),"//")</f>
        <v>//</v>
      </c>
      <c r="W153" s="175" t="str">
        <f t="shared" si="8"/>
        <v/>
      </c>
    </row>
    <row r="154" spans="2:23" ht="20">
      <c r="G154"/>
      <c r="H154"/>
      <c r="I154" s="88"/>
      <c r="J154"/>
      <c r="K154"/>
      <c r="L154" s="289"/>
      <c r="M154" s="289"/>
      <c r="N154" s="289"/>
      <c r="O154" s="3"/>
      <c r="Q154"/>
      <c r="R154" s="423">
        <f t="shared" si="9"/>
        <v>147</v>
      </c>
      <c r="S154" s="222">
        <f t="shared" si="10"/>
        <v>0</v>
      </c>
      <c r="T154" s="222" t="str">
        <f ca="1">_xlfn.IFNA(OFFSET('(非表示)新規再エネ実現可能性判定'!$C$1,MATCH(M154,'(非表示)新規再エネ実現可能性判定'!$B:$B,0)-1,0),"//")</f>
        <v>//</v>
      </c>
      <c r="U154" s="175" t="str">
        <f ca="1">_xlfn.IFNA(OFFSET('(非表示)新規再エネ実現可能性判定'!$F$1,MATCH(N154,'(非表示)新規再エネ実現可能性判定'!$E:$E,0)-1,0),"//")</f>
        <v>//</v>
      </c>
      <c r="V154" s="175" t="str">
        <f ca="1">_xlfn.IFNA(OFFSET('(非表示)新規再エネ実現可能性判定'!$I$1,MATCH(O154,'(非表示)新規再エネ実現可能性判定'!$H:$H,0)-1,0),"//")</f>
        <v>//</v>
      </c>
      <c r="W154" s="175" t="str">
        <f t="shared" si="8"/>
        <v/>
      </c>
    </row>
    <row r="155" spans="2:23" ht="20">
      <c r="F155" s="31"/>
      <c r="G155" s="31"/>
      <c r="H155" s="31"/>
      <c r="I155" s="268"/>
      <c r="J155" s="31"/>
      <c r="K155" s="31"/>
      <c r="L155" s="285"/>
      <c r="M155" s="285"/>
      <c r="N155" s="285"/>
      <c r="O155" s="286"/>
      <c r="R155" s="423">
        <f t="shared" si="9"/>
        <v>148</v>
      </c>
      <c r="S155" s="222">
        <f t="shared" si="10"/>
        <v>0</v>
      </c>
      <c r="T155" s="222" t="str">
        <f ca="1">_xlfn.IFNA(OFFSET('(非表示)新規再エネ実現可能性判定'!$C$1,MATCH(M155,'(非表示)新規再エネ実現可能性判定'!$B:$B,0)-1,0),"//")</f>
        <v>//</v>
      </c>
      <c r="U155" s="175" t="str">
        <f ca="1">_xlfn.IFNA(OFFSET('(非表示)新規再エネ実現可能性判定'!$F$1,MATCH(N155,'(非表示)新規再エネ実現可能性判定'!$E:$E,0)-1,0),"//")</f>
        <v>//</v>
      </c>
      <c r="V155" s="175" t="str">
        <f ca="1">_xlfn.IFNA(OFFSET('(非表示)新規再エネ実現可能性判定'!$I$1,MATCH(O155,'(非表示)新規再エネ実現可能性判定'!$H:$H,0)-1,0),"//")</f>
        <v>//</v>
      </c>
      <c r="W155" s="175" t="str">
        <f t="shared" si="8"/>
        <v/>
      </c>
    </row>
    <row r="156" spans="2:23" ht="9.75" customHeight="1">
      <c r="D156" s="14"/>
      <c r="E156" s="15"/>
      <c r="F156" s="15"/>
      <c r="G156" s="248"/>
      <c r="H156" s="15"/>
      <c r="I156" s="235"/>
      <c r="J156" s="15"/>
      <c r="K156" s="15"/>
      <c r="L156" s="278"/>
      <c r="M156" s="278"/>
      <c r="N156" s="278"/>
      <c r="O156" s="18"/>
      <c r="P156" s="30"/>
      <c r="R156" s="423">
        <f t="shared" si="9"/>
        <v>149</v>
      </c>
      <c r="S156" s="222">
        <f t="shared" si="10"/>
        <v>0</v>
      </c>
      <c r="T156" s="222" t="str">
        <f ca="1">_xlfn.IFNA(OFFSET('(非表示)新規再エネ実現可能性判定'!$C$1,MATCH(M156,'(非表示)新規再エネ実現可能性判定'!$B:$B,0)-1,0),"//")</f>
        <v>//</v>
      </c>
      <c r="U156" s="175" t="str">
        <f ca="1">_xlfn.IFNA(OFFSET('(非表示)新規再エネ実現可能性判定'!$F$1,MATCH(N156,'(非表示)新規再エネ実現可能性判定'!$E:$E,0)-1,0),"//")</f>
        <v>//</v>
      </c>
      <c r="V156" s="175" t="str">
        <f ca="1">_xlfn.IFNA(OFFSET('(非表示)新規再エネ実現可能性判定'!$I$1,MATCH(O156,'(非表示)新規再エネ実現可能性判定'!$H:$H,0)-1,0),"//")</f>
        <v>//</v>
      </c>
      <c r="W156" s="175" t="str">
        <f t="shared" si="8"/>
        <v/>
      </c>
    </row>
    <row r="157" spans="2:23" ht="21">
      <c r="D157" s="237" t="s">
        <v>318</v>
      </c>
      <c r="F157" s="237"/>
      <c r="G157" s="269"/>
      <c r="I157" s="228"/>
      <c r="P157" s="19"/>
      <c r="R157" s="423">
        <f t="shared" si="9"/>
        <v>150</v>
      </c>
      <c r="S157" s="222">
        <f t="shared" si="10"/>
        <v>0</v>
      </c>
      <c r="T157" s="222" t="str">
        <f ca="1">_xlfn.IFNA(OFFSET('(非表示)新規再エネ実現可能性判定'!$C$1,MATCH(M157,'(非表示)新規再エネ実現可能性判定'!$B:$B,0)-1,0),"//")</f>
        <v>//</v>
      </c>
      <c r="U157" s="175" t="str">
        <f ca="1">_xlfn.IFNA(OFFSET('(非表示)新規再エネ実現可能性判定'!$F$1,MATCH(N157,'(非表示)新規再エネ実現可能性判定'!$E:$E,0)-1,0),"//")</f>
        <v>//</v>
      </c>
      <c r="V157" s="175" t="str">
        <f ca="1">_xlfn.IFNA(OFFSET('(非表示)新規再エネ実現可能性判定'!$I$1,MATCH(O157,'(非表示)新規再エネ実現可能性判定'!$H:$H,0)-1,0),"//")</f>
        <v>//</v>
      </c>
      <c r="W157" s="175" t="str">
        <f t="shared" si="8"/>
        <v/>
      </c>
    </row>
    <row r="158" spans="2:23" ht="21" customHeight="1">
      <c r="D158" s="237"/>
      <c r="F158" s="1361" t="s">
        <v>8</v>
      </c>
      <c r="G158" s="1362" t="s">
        <v>185</v>
      </c>
      <c r="H158" s="1362" t="s">
        <v>180</v>
      </c>
      <c r="I158" s="1363" t="s">
        <v>31</v>
      </c>
      <c r="J158" s="1362" t="s">
        <v>186</v>
      </c>
      <c r="K158" s="1362" t="s">
        <v>81</v>
      </c>
      <c r="L158" s="1366" t="s">
        <v>187</v>
      </c>
      <c r="M158" s="1366"/>
      <c r="N158" s="1366"/>
      <c r="O158" s="279"/>
      <c r="P158" s="19"/>
      <c r="R158" s="423">
        <f t="shared" si="9"/>
        <v>151</v>
      </c>
      <c r="S158" s="222">
        <f t="shared" si="10"/>
        <v>0</v>
      </c>
      <c r="T158" s="222" t="str">
        <f ca="1">_xlfn.IFNA(OFFSET('(非表示)新規再エネ実現可能性判定'!$C$1,MATCH(M158,'(非表示)新規再エネ実現可能性判定'!$B:$B,0)-1,0),"//")</f>
        <v>//</v>
      </c>
      <c r="U158" s="175" t="str">
        <f ca="1">_xlfn.IFNA(OFFSET('(非表示)新規再エネ実現可能性判定'!$F$1,MATCH(N158,'(非表示)新規再エネ実現可能性判定'!$E:$E,0)-1,0),"//")</f>
        <v>//</v>
      </c>
      <c r="V158" s="175" t="str">
        <f ca="1">_xlfn.IFNA(OFFSET('(非表示)新規再エネ実現可能性判定'!$I$1,MATCH(O158,'(非表示)新規再エネ実現可能性判定'!$H:$H,0)-1,0),"//")</f>
        <v>//</v>
      </c>
      <c r="W158" s="175" t="str">
        <f t="shared" si="8"/>
        <v/>
      </c>
    </row>
    <row r="159" spans="2:23" ht="36" customHeight="1">
      <c r="D159" s="16"/>
      <c r="E159" s="271"/>
      <c r="F159" s="1361"/>
      <c r="G159" s="1362"/>
      <c r="H159" s="1362"/>
      <c r="I159" s="1363"/>
      <c r="J159" s="1362"/>
      <c r="K159" s="1362"/>
      <c r="L159" s="294" t="s">
        <v>225</v>
      </c>
      <c r="M159" s="294" t="s">
        <v>109</v>
      </c>
      <c r="N159" s="294" t="s">
        <v>110</v>
      </c>
      <c r="O159" s="280" t="s">
        <v>320</v>
      </c>
      <c r="P159" s="19"/>
      <c r="R159" s="423">
        <f t="shared" si="9"/>
        <v>152</v>
      </c>
      <c r="S159" s="222">
        <f t="shared" si="10"/>
        <v>0</v>
      </c>
      <c r="T159" s="222" t="str">
        <f ca="1">_xlfn.IFNA(OFFSET('(非表示)新規再エネ実現可能性判定'!$C$1,MATCH(M159,'(非表示)新規再エネ実現可能性判定'!$B:$B,0)-1,0),"//")</f>
        <v>判定</v>
      </c>
      <c r="U159" s="175" t="str">
        <f ca="1">_xlfn.IFNA(OFFSET('(非表示)新規再エネ実現可能性判定'!$F$1,MATCH(N159,'(非表示)新規再エネ実現可能性判定'!$E:$E,0)-1,0),"//")</f>
        <v>判定</v>
      </c>
      <c r="V159" s="175" t="str">
        <f ca="1">_xlfn.IFNA(OFFSET('(非表示)新規再エネ実現可能性判定'!$I$1,MATCH(O159,'(非表示)新規再エネ実現可能性判定'!$H:$H,0)-1,0),"//")</f>
        <v>//</v>
      </c>
      <c r="W159" s="175" t="str">
        <f t="shared" ca="1" si="8"/>
        <v>//</v>
      </c>
    </row>
    <row r="160" spans="2:23" s="11" customFormat="1" ht="20" hidden="1">
      <c r="B160" s="21"/>
      <c r="C160" s="21"/>
      <c r="D160" s="22"/>
      <c r="E160" s="128"/>
      <c r="F160" s="488"/>
      <c r="G160" s="479"/>
      <c r="H160" s="495"/>
      <c r="I160" s="502"/>
      <c r="J160" s="503"/>
      <c r="K160" s="504"/>
      <c r="L160" s="510"/>
      <c r="M160" s="510"/>
      <c r="N160" s="510"/>
      <c r="O160" s="511"/>
      <c r="P160" s="24"/>
      <c r="Q160" s="21"/>
      <c r="R160" s="431">
        <f t="shared" si="9"/>
        <v>153</v>
      </c>
      <c r="S160" s="125">
        <f t="shared" si="10"/>
        <v>0</v>
      </c>
      <c r="T160" s="125" t="str">
        <f ca="1">_xlfn.IFNA(OFFSET('(非表示)新規再エネ実現可能性判定'!$C$1,MATCH(M160,'(非表示)新規再エネ実現可能性判定'!$B:$B,0)-1,0),"//")</f>
        <v>//</v>
      </c>
      <c r="U160" s="255" t="str">
        <f ca="1">_xlfn.IFNA(OFFSET('(非表示)新規再エネ実現可能性判定'!$F$1,MATCH(N160,'(非表示)新規再エネ実現可能性判定'!$E:$E,0)-1,0),"//")</f>
        <v>//</v>
      </c>
      <c r="V160" s="255" t="str">
        <f ca="1">_xlfn.IFNA(OFFSET('(非表示)新規再エネ実現可能性判定'!$I$1,MATCH(O160,'(非表示)新規再エネ実現可能性判定'!$H:$H,0)-1,0),"//")</f>
        <v>//</v>
      </c>
      <c r="W160" s="255" t="str">
        <f t="shared" si="8"/>
        <v/>
      </c>
    </row>
    <row r="161" spans="2:23" s="11" customFormat="1" ht="20">
      <c r="B161" s="21"/>
      <c r="C161" s="21"/>
      <c r="D161" s="22"/>
      <c r="E161" s="128"/>
      <c r="F161" s="501" t="str">
        <f ca="1">IFERROR(OFFSET('4.1(2)新規再エネ導入予定（設備情報）'!$F$1,MATCH(G161,'4.1(2)新規再エネ導入予定（設備情報）'!$G:$G,0)-1,0),"")</f>
        <v/>
      </c>
      <c r="G161" s="509"/>
      <c r="H161" s="505" t="str">
        <f ca="1">IFERROR(OFFSET('4.1(2)新規再エネ導入予定（設備情報）'!$H$1,MATCH(G161,'4.1(2)新規再エネ導入予定（設備情報）'!$G:$G,0)-1,0)&amp;"","")</f>
        <v/>
      </c>
      <c r="I161" s="506" t="str">
        <f ca="1">IFERROR(OFFSET('4.1(2)新規再エネ導入予定（設備情報）'!$L$1,MATCH(G161,'4.1(2)新規再エネ導入予定（設備情報）'!$G:$G,0)-1,0),"")</f>
        <v/>
      </c>
      <c r="J161" s="507" t="str">
        <f ca="1">IFERROR(OFFSET('4.1(2)新規再エネ導入予定（設備情報）'!$O$1,MATCH(G161,'4.1(2)新規再エネ導入予定（設備情報）'!$G:$G,0)-1,0),"")</f>
        <v/>
      </c>
      <c r="K161" s="508" t="str">
        <f ca="1">IFERROR(OFFSET('4.1(2)新規再エネ導入予定（設備情報）'!$P$1,MATCH(G161,'4.1(2)新規再エネ導入予定（設備情報）'!$G:$G,0)-1,0),"")</f>
        <v/>
      </c>
      <c r="L161" s="486"/>
      <c r="M161" s="486"/>
      <c r="N161" s="486"/>
      <c r="O161" s="483"/>
      <c r="P161" s="24"/>
      <c r="Q161" s="21"/>
      <c r="R161" s="431">
        <f t="shared" si="9"/>
        <v>154</v>
      </c>
      <c r="S161" s="125">
        <f t="shared" si="10"/>
        <v>0</v>
      </c>
      <c r="T161" s="125" t="str">
        <f ca="1">_xlfn.IFNA(OFFSET('(非表示)新規再エネ実現可能性判定'!$C$1,MATCH(M161,'(非表示)新規再エネ実現可能性判定'!$B:$B,0)-1,0),"//")</f>
        <v>//</v>
      </c>
      <c r="U161" s="255" t="str">
        <f ca="1">_xlfn.IFNA(OFFSET('(非表示)新規再エネ実現可能性判定'!$F$1,MATCH(N161,'(非表示)新規再エネ実現可能性判定'!$E:$E,0)-1,0),"//")</f>
        <v>//</v>
      </c>
      <c r="V161" s="255" t="str">
        <f ca="1">_xlfn.IFNA(OFFSET('(非表示)新規再エネ実現可能性判定'!$I$1,MATCH(O161,'(非表示)新規再エネ実現可能性判定'!$H:$H,0)-1,0),"//")</f>
        <v>//</v>
      </c>
      <c r="W161" s="255" t="str">
        <f t="shared" si="8"/>
        <v/>
      </c>
    </row>
    <row r="162" spans="2:23" s="11" customFormat="1" ht="20">
      <c r="B162" s="21"/>
      <c r="C162" s="21"/>
      <c r="D162" s="22"/>
      <c r="E162" s="128"/>
      <c r="F162" s="501" t="str">
        <f ca="1">IFERROR(OFFSET('4.1(2)新規再エネ導入予定（設備情報）'!$F$1,MATCH(G162,'4.1(2)新規再エネ導入予定（設備情報）'!$G:$G,0)-1,0),"")</f>
        <v/>
      </c>
      <c r="G162" s="509"/>
      <c r="H162" s="505" t="str">
        <f ca="1">IFERROR(OFFSET('4.1(2)新規再エネ導入予定（設備情報）'!$H$1,MATCH(G162,'4.1(2)新規再エネ導入予定（設備情報）'!$G:$G,0)-1,0)&amp;"","")</f>
        <v/>
      </c>
      <c r="I162" s="506" t="str">
        <f ca="1">IFERROR(OFFSET('4.1(2)新規再エネ導入予定（設備情報）'!$L$1,MATCH(G162,'4.1(2)新規再エネ導入予定（設備情報）'!$G:$G,0)-1,0),"")</f>
        <v/>
      </c>
      <c r="J162" s="507" t="str">
        <f ca="1">IFERROR(OFFSET('4.1(2)新規再エネ導入予定（設備情報）'!$O$1,MATCH(G162,'4.1(2)新規再エネ導入予定（設備情報）'!$G:$G,0)-1,0),"")</f>
        <v/>
      </c>
      <c r="K162" s="508" t="str">
        <f ca="1">IFERROR(OFFSET('4.1(2)新規再エネ導入予定（設備情報）'!$P$1,MATCH(G162,'4.1(2)新規再エネ導入予定（設備情報）'!$G:$G,0)-1,0),"")</f>
        <v/>
      </c>
      <c r="L162" s="486"/>
      <c r="M162" s="486"/>
      <c r="N162" s="486"/>
      <c r="O162" s="483"/>
      <c r="P162" s="24"/>
      <c r="Q162" s="21"/>
      <c r="R162" s="431">
        <f t="shared" si="9"/>
        <v>155</v>
      </c>
      <c r="S162" s="125">
        <f t="shared" si="10"/>
        <v>0</v>
      </c>
      <c r="T162" s="125" t="str">
        <f ca="1">_xlfn.IFNA(OFFSET('(非表示)新規再エネ実現可能性判定'!$C$1,MATCH(M162,'(非表示)新規再エネ実現可能性判定'!$B:$B,0)-1,0),"//")</f>
        <v>//</v>
      </c>
      <c r="U162" s="255" t="str">
        <f ca="1">_xlfn.IFNA(OFFSET('(非表示)新規再エネ実現可能性判定'!$F$1,MATCH(N162,'(非表示)新規再エネ実現可能性判定'!$E:$E,0)-1,0),"//")</f>
        <v>//</v>
      </c>
      <c r="V162" s="255" t="str">
        <f ca="1">_xlfn.IFNA(OFFSET('(非表示)新規再エネ実現可能性判定'!$I$1,MATCH(O162,'(非表示)新規再エネ実現可能性判定'!$H:$H,0)-1,0),"//")</f>
        <v>//</v>
      </c>
      <c r="W162" s="255" t="str">
        <f t="shared" si="8"/>
        <v/>
      </c>
    </row>
    <row r="163" spans="2:23" s="11" customFormat="1" ht="20">
      <c r="B163" s="21"/>
      <c r="C163" s="21"/>
      <c r="D163" s="22"/>
      <c r="E163" s="128"/>
      <c r="F163" s="501" t="str">
        <f ca="1">IFERROR(OFFSET('4.1(2)新規再エネ導入予定（設備情報）'!$F$1,MATCH(G163,'4.1(2)新規再エネ導入予定（設備情報）'!$G:$G,0)-1,0),"")</f>
        <v/>
      </c>
      <c r="G163" s="509"/>
      <c r="H163" s="505" t="str">
        <f ca="1">IFERROR(OFFSET('4.1(2)新規再エネ導入予定（設備情報）'!$H$1,MATCH(G163,'4.1(2)新規再エネ導入予定（設備情報）'!$G:$G,0)-1,0)&amp;"","")</f>
        <v/>
      </c>
      <c r="I163" s="506" t="str">
        <f ca="1">IFERROR(OFFSET('4.1(2)新規再エネ導入予定（設備情報）'!$L$1,MATCH(G163,'4.1(2)新規再エネ導入予定（設備情報）'!$G:$G,0)-1,0),"")</f>
        <v/>
      </c>
      <c r="J163" s="507" t="str">
        <f ca="1">IFERROR(OFFSET('4.1(2)新規再エネ導入予定（設備情報）'!$O$1,MATCH(G163,'4.1(2)新規再エネ導入予定（設備情報）'!$G:$G,0)-1,0),"")</f>
        <v/>
      </c>
      <c r="K163" s="508" t="str">
        <f ca="1">IFERROR(OFFSET('4.1(2)新規再エネ導入予定（設備情報）'!$P$1,MATCH(G163,'4.1(2)新規再エネ導入予定（設備情報）'!$G:$G,0)-1,0),"")</f>
        <v/>
      </c>
      <c r="L163" s="486"/>
      <c r="M163" s="486"/>
      <c r="N163" s="486"/>
      <c r="O163" s="483"/>
      <c r="P163" s="24"/>
      <c r="Q163" s="21"/>
      <c r="R163" s="431">
        <f t="shared" si="9"/>
        <v>156</v>
      </c>
      <c r="S163" s="125">
        <f t="shared" si="10"/>
        <v>0</v>
      </c>
      <c r="T163" s="125" t="str">
        <f ca="1">_xlfn.IFNA(OFFSET('(非表示)新規再エネ実現可能性判定'!$C$1,MATCH(M163,'(非表示)新規再エネ実現可能性判定'!$B:$B,0)-1,0),"//")</f>
        <v>//</v>
      </c>
      <c r="U163" s="255" t="str">
        <f ca="1">_xlfn.IFNA(OFFSET('(非表示)新規再エネ実現可能性判定'!$F$1,MATCH(N163,'(非表示)新規再エネ実現可能性判定'!$E:$E,0)-1,0),"//")</f>
        <v>//</v>
      </c>
      <c r="V163" s="255" t="str">
        <f ca="1">_xlfn.IFNA(OFFSET('(非表示)新規再エネ実現可能性判定'!$I$1,MATCH(O163,'(非表示)新規再エネ実現可能性判定'!$H:$H,0)-1,0),"//")</f>
        <v>//</v>
      </c>
      <c r="W163" s="255" t="str">
        <f t="shared" si="8"/>
        <v/>
      </c>
    </row>
    <row r="164" spans="2:23" ht="20">
      <c r="D164" s="16"/>
      <c r="E164" s="272"/>
      <c r="F164" s="281" t="s">
        <v>26</v>
      </c>
      <c r="G164" s="240"/>
      <c r="H164" s="240"/>
      <c r="I164" s="273"/>
      <c r="J164" s="274"/>
      <c r="K164" s="499">
        <f ca="1">SUM(OFFSET(K$160,0,0,ROW()-ROW(K$160),1))</f>
        <v>0</v>
      </c>
      <c r="L164" s="251"/>
      <c r="M164" s="251"/>
      <c r="N164" s="251"/>
      <c r="O164" s="251"/>
      <c r="P164" s="19"/>
      <c r="R164" s="423">
        <f t="shared" si="9"/>
        <v>157</v>
      </c>
      <c r="S164" s="222">
        <f t="shared" si="10"/>
        <v>0</v>
      </c>
      <c r="T164" s="222" t="str">
        <f ca="1">_xlfn.IFNA(OFFSET('(非表示)新規再エネ実現可能性判定'!$C$1,MATCH(M164,'(非表示)新規再エネ実現可能性判定'!$B:$B,0)-1,0),"//")</f>
        <v>//</v>
      </c>
      <c r="U164" s="175" t="str">
        <f ca="1">_xlfn.IFNA(OFFSET('(非表示)新規再エネ実現可能性判定'!$F$1,MATCH(N164,'(非表示)新規再エネ実現可能性判定'!$E:$E,0)-1,0),"//")</f>
        <v>//</v>
      </c>
      <c r="V164" s="175" t="str">
        <f ca="1">_xlfn.IFNA(OFFSET('(非表示)新規再エネ実現可能性判定'!$I$1,MATCH(O164,'(非表示)新規再エネ実現可能性判定'!$H:$H,0)-1,0),"//")</f>
        <v>//</v>
      </c>
      <c r="W164" s="175" t="str">
        <f t="shared" si="8"/>
        <v/>
      </c>
    </row>
    <row r="165" spans="2:23" ht="20">
      <c r="D165" s="46"/>
      <c r="E165" s="26"/>
      <c r="F165" s="26"/>
      <c r="G165" s="4"/>
      <c r="H165" s="4"/>
      <c r="I165" s="122"/>
      <c r="J165" s="4"/>
      <c r="K165" s="4"/>
      <c r="L165" s="287"/>
      <c r="M165" s="287"/>
      <c r="N165" s="287"/>
      <c r="O165" s="288"/>
      <c r="P165" s="27"/>
      <c r="Q165"/>
      <c r="R165" s="423">
        <f t="shared" si="9"/>
        <v>158</v>
      </c>
      <c r="S165" s="222">
        <f t="shared" si="10"/>
        <v>0</v>
      </c>
      <c r="T165" s="222" t="str">
        <f ca="1">_xlfn.IFNA(OFFSET('(非表示)新規再エネ実現可能性判定'!$C$1,MATCH(M165,'(非表示)新規再エネ実現可能性判定'!$B:$B,0)-1,0),"//")</f>
        <v>//</v>
      </c>
      <c r="U165" s="175" t="str">
        <f ca="1">_xlfn.IFNA(OFFSET('(非表示)新規再エネ実現可能性判定'!$F$1,MATCH(N165,'(非表示)新規再エネ実現可能性判定'!$E:$E,0)-1,0),"//")</f>
        <v>//</v>
      </c>
      <c r="V165" s="175" t="str">
        <f ca="1">_xlfn.IFNA(OFFSET('(非表示)新規再エネ実現可能性判定'!$I$1,MATCH(O165,'(非表示)新規再エネ実現可能性判定'!$H:$H,0)-1,0),"//")</f>
        <v>//</v>
      </c>
      <c r="W165" s="175" t="str">
        <f t="shared" si="8"/>
        <v/>
      </c>
    </row>
    <row r="166" spans="2:23">
      <c r="F166" s="31"/>
      <c r="G166" s="31"/>
      <c r="H166" s="31"/>
      <c r="I166" s="268"/>
      <c r="J166" s="31"/>
      <c r="K166" s="31"/>
      <c r="L166" s="285"/>
      <c r="M166" s="285"/>
      <c r="N166" s="285"/>
      <c r="O166" s="286"/>
      <c r="R166" s="121"/>
      <c r="S166" s="121"/>
      <c r="T166" s="121"/>
      <c r="U166" s="121"/>
      <c r="V166" s="121"/>
      <c r="W166" s="121"/>
    </row>
    <row r="167" spans="2:23" ht="14.25" customHeight="1">
      <c r="I167" s="228"/>
      <c r="J167"/>
      <c r="K167"/>
      <c r="L167" s="289"/>
      <c r="M167" s="289"/>
      <c r="N167" s="289"/>
      <c r="O167" s="3"/>
      <c r="P167"/>
      <c r="Q167"/>
      <c r="S167" s="121"/>
      <c r="T167" s="121"/>
    </row>
    <row r="168" spans="2:23" ht="25.5" customHeight="1">
      <c r="D168" s="883" t="s">
        <v>166</v>
      </c>
      <c r="F168"/>
      <c r="G168"/>
      <c r="H168"/>
      <c r="I168" s="88"/>
      <c r="J168"/>
      <c r="K168"/>
      <c r="L168" s="289"/>
      <c r="M168" s="289"/>
      <c r="N168" s="289"/>
      <c r="O168" s="3"/>
      <c r="P168"/>
      <c r="Q168"/>
      <c r="S168" s="275" t="s">
        <v>419</v>
      </c>
      <c r="T168" s="121"/>
    </row>
    <row r="169" spans="2:23">
      <c r="E169" s="1364" t="s">
        <v>162</v>
      </c>
      <c r="F169" s="1365"/>
      <c r="G169" s="1365"/>
      <c r="H169" s="1365"/>
      <c r="I169" s="1359">
        <f ca="1">K80</f>
        <v>0</v>
      </c>
      <c r="J169" s="1360"/>
      <c r="K169"/>
      <c r="L169" s="290"/>
      <c r="M169" s="289"/>
      <c r="N169" s="289"/>
      <c r="O169" s="3"/>
      <c r="P169"/>
      <c r="Q169"/>
      <c r="S169" s="121">
        <f ca="1">IF('4.1(2)新規再エネ導入予定（設備情報）'!J171='4.1(2)新規再エネ導入予定(FS調査、系統接続検討状況)'!I169,1,0)</f>
        <v>1</v>
      </c>
      <c r="T169" s="121"/>
    </row>
    <row r="170" spans="2:23">
      <c r="E170" s="1364" t="s">
        <v>284</v>
      </c>
      <c r="F170" s="1365"/>
      <c r="G170" s="1365"/>
      <c r="H170" s="1365"/>
      <c r="I170" s="1359">
        <f ca="1">K92</f>
        <v>0</v>
      </c>
      <c r="J170" s="1360"/>
      <c r="K170"/>
      <c r="L170" s="290"/>
      <c r="M170" s="289"/>
      <c r="N170" s="289"/>
      <c r="O170" s="3"/>
      <c r="P170"/>
      <c r="Q170"/>
      <c r="S170" s="121">
        <f ca="1">IF('4.1(2)新規再エネ導入予定（設備情報）'!J172='4.1(2)新規再エネ導入予定(FS調査、系統接続検討状況)'!I170,1,0)</f>
        <v>1</v>
      </c>
      <c r="T170" s="121"/>
    </row>
    <row r="171" spans="2:23">
      <c r="E171" s="1364" t="s">
        <v>91</v>
      </c>
      <c r="F171" s="1365"/>
      <c r="G171" s="1365"/>
      <c r="H171" s="1365"/>
      <c r="I171" s="1359">
        <f ca="1">K104</f>
        <v>0</v>
      </c>
      <c r="J171" s="1360"/>
      <c r="K171"/>
      <c r="L171" s="290"/>
      <c r="M171" s="289"/>
      <c r="N171" s="289"/>
      <c r="O171" s="3"/>
      <c r="P171"/>
      <c r="Q171"/>
      <c r="S171" s="121">
        <f ca="1">IF('4.1(2)新規再エネ導入予定（設備情報）'!J173='4.1(2)新規再エネ導入予定(FS調査、系統接続検討状況)'!I171,1,0)</f>
        <v>1</v>
      </c>
      <c r="T171" s="121"/>
    </row>
    <row r="172" spans="2:23">
      <c r="E172" s="1364" t="s">
        <v>163</v>
      </c>
      <c r="F172" s="1365"/>
      <c r="G172" s="1365"/>
      <c r="H172" s="1365"/>
      <c r="I172" s="1359">
        <f ca="1">K116</f>
        <v>0</v>
      </c>
      <c r="J172" s="1360"/>
      <c r="K172"/>
      <c r="L172" s="290"/>
      <c r="M172" s="289"/>
      <c r="N172" s="289"/>
      <c r="O172" s="3"/>
      <c r="P172"/>
      <c r="Q172"/>
      <c r="S172" s="121">
        <f ca="1">IF('4.1(2)新規再エネ導入予定（設備情報）'!J174='4.1(2)新規再エネ導入予定(FS調査、系統接続検討状況)'!I172,1,0)</f>
        <v>1</v>
      </c>
      <c r="T172" s="121"/>
    </row>
    <row r="173" spans="2:23">
      <c r="E173" s="1364" t="s">
        <v>164</v>
      </c>
      <c r="F173" s="1365"/>
      <c r="G173" s="1365"/>
      <c r="H173" s="1365"/>
      <c r="I173" s="1359">
        <f ca="1">K128</f>
        <v>0</v>
      </c>
      <c r="J173" s="1360"/>
      <c r="K173"/>
      <c r="L173" s="290"/>
      <c r="M173" s="289"/>
      <c r="N173" s="289"/>
      <c r="O173" s="3"/>
      <c r="P173"/>
      <c r="Q173"/>
      <c r="S173" s="121">
        <f ca="1">IF('4.1(2)新規再エネ導入予定（設備情報）'!J175='4.1(2)新規再エネ導入予定(FS調査、系統接続検討状況)'!I173,1,0)</f>
        <v>1</v>
      </c>
      <c r="T173" s="121"/>
    </row>
    <row r="174" spans="2:23">
      <c r="E174" s="1364" t="s">
        <v>165</v>
      </c>
      <c r="F174" s="1365"/>
      <c r="G174" s="1365"/>
      <c r="H174" s="1365"/>
      <c r="I174" s="1359">
        <f ca="1">K140</f>
        <v>0</v>
      </c>
      <c r="J174" s="1360"/>
      <c r="K174"/>
      <c r="L174" s="290"/>
      <c r="M174" s="289"/>
      <c r="N174" s="289"/>
      <c r="O174" s="3"/>
      <c r="P174"/>
      <c r="Q174"/>
      <c r="S174" s="121">
        <f ca="1">IF('4.1(2)新規再エネ導入予定（設備情報）'!J176='4.1(2)新規再エネ導入予定(FS調査、系統接続検討状況)'!I174,1,0)</f>
        <v>1</v>
      </c>
      <c r="T174" s="121"/>
    </row>
    <row r="175" spans="2:23">
      <c r="E175" s="1364" t="s">
        <v>224</v>
      </c>
      <c r="F175" s="1365"/>
      <c r="G175" s="1365"/>
      <c r="H175" s="1365"/>
      <c r="I175" s="1359">
        <f ca="1">K152</f>
        <v>0</v>
      </c>
      <c r="J175" s="1360"/>
      <c r="K175"/>
      <c r="L175" s="290"/>
      <c r="M175" s="289"/>
      <c r="N175" s="289"/>
      <c r="O175" s="3"/>
      <c r="P175"/>
      <c r="Q175"/>
      <c r="S175" s="121">
        <f ca="1">IF('4.1(2)新規再エネ導入予定（設備情報）'!J177='4.1(2)新規再エネ導入予定(FS調査、系統接続検討状況)'!I175,1,0)</f>
        <v>1</v>
      </c>
      <c r="T175" s="121"/>
    </row>
    <row r="176" spans="2:23">
      <c r="E176" s="1364" t="s">
        <v>316</v>
      </c>
      <c r="F176" s="1365"/>
      <c r="G176" s="1365"/>
      <c r="H176" s="1365"/>
      <c r="I176" s="1359">
        <f ca="1">SUM(I169:I175)</f>
        <v>0</v>
      </c>
      <c r="J176" s="1360"/>
      <c r="K176"/>
      <c r="L176" s="290"/>
      <c r="M176" s="289"/>
      <c r="N176" s="289"/>
      <c r="O176" s="3"/>
      <c r="P176"/>
      <c r="Q176"/>
      <c r="S176" s="121">
        <f ca="1">IF('4.1(2)新規再エネ導入予定（設備情報）'!J178='4.1(2)新規再エネ導入予定(FS調査、系統接続検討状況)'!I176,1,0)</f>
        <v>1</v>
      </c>
      <c r="T176" s="121"/>
    </row>
    <row r="177" spans="4:20">
      <c r="E177" s="1364" t="s">
        <v>317</v>
      </c>
      <c r="F177" s="1365"/>
      <c r="G177" s="1365"/>
      <c r="H177" s="1365"/>
      <c r="I177" s="1359">
        <f ca="1">K164</f>
        <v>0</v>
      </c>
      <c r="J177" s="1360"/>
      <c r="K177"/>
      <c r="L177" s="290"/>
      <c r="M177" s="289"/>
      <c r="N177" s="289"/>
      <c r="O177" s="3"/>
      <c r="P177"/>
      <c r="Q177"/>
      <c r="S177" s="121">
        <f ca="1">IF('4.1(2)新規再エネ導入予定（設備情報）'!J179='4.1(2)新規再エネ導入予定(FS調査、系統接続検討状況)'!I177,1,0)</f>
        <v>1</v>
      </c>
      <c r="T177" s="121"/>
    </row>
    <row r="178" spans="4:20" ht="12.75" customHeight="1">
      <c r="I178" s="228"/>
      <c r="J178"/>
      <c r="K178"/>
      <c r="L178" s="289"/>
      <c r="M178" s="289"/>
      <c r="N178" s="289"/>
      <c r="O178" s="3"/>
      <c r="P178"/>
      <c r="Q178"/>
      <c r="S178" s="1">
        <f ca="1">PRODUCT(S169:S177)</f>
        <v>1</v>
      </c>
    </row>
    <row r="179" spans="4:20">
      <c r="D179"/>
      <c r="E179"/>
      <c r="F179"/>
      <c r="G179"/>
      <c r="H179"/>
      <c r="I179" s="88"/>
      <c r="J179"/>
      <c r="K179"/>
      <c r="L179" s="289"/>
      <c r="M179" s="289"/>
      <c r="N179" s="289"/>
      <c r="O179" s="3"/>
      <c r="P179"/>
      <c r="Q179"/>
    </row>
    <row r="180" spans="4:20">
      <c r="D180"/>
      <c r="E180"/>
      <c r="F180"/>
      <c r="G180"/>
      <c r="H180"/>
      <c r="I180" s="88"/>
      <c r="J180"/>
      <c r="K180"/>
      <c r="L180" s="289"/>
      <c r="M180" s="289"/>
      <c r="N180" s="289"/>
      <c r="O180" s="3"/>
      <c r="P180"/>
      <c r="Q180"/>
    </row>
    <row r="181" spans="4:20">
      <c r="D181"/>
      <c r="E181"/>
      <c r="F181"/>
      <c r="G181"/>
      <c r="H181"/>
      <c r="I181" s="88"/>
      <c r="J181"/>
      <c r="K181"/>
      <c r="L181" s="289"/>
      <c r="M181" s="289"/>
      <c r="N181" s="289"/>
      <c r="O181" s="3"/>
      <c r="P181"/>
      <c r="Q181"/>
    </row>
    <row r="182" spans="4:20">
      <c r="D182"/>
      <c r="E182"/>
      <c r="F182"/>
      <c r="G182"/>
      <c r="H182"/>
      <c r="I182" s="88"/>
      <c r="J182"/>
      <c r="K182"/>
      <c r="L182" s="289"/>
      <c r="M182" s="289"/>
      <c r="N182" s="289"/>
      <c r="O182" s="3"/>
      <c r="P182"/>
      <c r="Q182"/>
    </row>
    <row r="183" spans="4:20">
      <c r="D183"/>
      <c r="E183"/>
      <c r="F183"/>
      <c r="G183"/>
      <c r="H183"/>
      <c r="I183" s="88"/>
      <c r="J183"/>
      <c r="K183"/>
      <c r="L183" s="289"/>
      <c r="M183" s="289"/>
      <c r="N183" s="289"/>
      <c r="O183" s="3"/>
      <c r="P183"/>
      <c r="Q183"/>
    </row>
    <row r="184" spans="4:20">
      <c r="D184"/>
      <c r="E184"/>
      <c r="F184"/>
      <c r="G184"/>
      <c r="H184"/>
      <c r="I184" s="88"/>
      <c r="J184"/>
      <c r="K184"/>
      <c r="L184" s="289"/>
      <c r="M184" s="289"/>
      <c r="N184" s="289"/>
      <c r="O184" s="3"/>
    </row>
    <row r="185" spans="4:20">
      <c r="D185"/>
      <c r="E185"/>
      <c r="F185"/>
      <c r="G185"/>
      <c r="H185"/>
      <c r="I185" s="88"/>
      <c r="J185"/>
      <c r="K185"/>
      <c r="L185" s="289"/>
      <c r="M185" s="289"/>
      <c r="N185" s="289"/>
      <c r="O185" s="3"/>
    </row>
    <row r="186" spans="4:20">
      <c r="D186"/>
      <c r="E186"/>
      <c r="F186"/>
      <c r="G186"/>
      <c r="H186"/>
      <c r="I186" s="88"/>
      <c r="J186"/>
      <c r="K186"/>
      <c r="L186" s="289"/>
      <c r="M186" s="289"/>
      <c r="N186" s="289"/>
      <c r="O186" s="3"/>
      <c r="R186" s="13"/>
    </row>
    <row r="187" spans="4:20" ht="37.5" customHeight="1">
      <c r="D187"/>
      <c r="E187"/>
      <c r="F187"/>
      <c r="G187"/>
      <c r="H187"/>
      <c r="I187" s="88"/>
      <c r="J187"/>
      <c r="K187"/>
      <c r="L187" s="289"/>
      <c r="M187" s="289"/>
      <c r="N187" s="289"/>
      <c r="O187" s="3"/>
    </row>
    <row r="188" spans="4:20">
      <c r="D188"/>
      <c r="E188"/>
      <c r="F188"/>
      <c r="G188"/>
      <c r="H188"/>
      <c r="I188" s="88"/>
      <c r="J188"/>
      <c r="K188"/>
      <c r="L188" s="289"/>
      <c r="M188" s="289"/>
      <c r="N188" s="289"/>
      <c r="O188" s="3"/>
    </row>
    <row r="189" spans="4:20">
      <c r="D189"/>
      <c r="E189"/>
      <c r="F189"/>
      <c r="G189"/>
      <c r="H189"/>
      <c r="I189" s="88"/>
      <c r="J189"/>
      <c r="K189"/>
      <c r="L189" s="289"/>
      <c r="M189" s="289"/>
      <c r="N189" s="289"/>
      <c r="O189" s="3"/>
    </row>
    <row r="190" spans="4:20">
      <c r="D190"/>
      <c r="E190"/>
      <c r="F190"/>
      <c r="G190"/>
      <c r="H190"/>
      <c r="I190" s="88"/>
      <c r="J190"/>
      <c r="K190"/>
      <c r="L190" s="289"/>
      <c r="M190" s="289"/>
      <c r="N190" s="289"/>
      <c r="O190" s="3"/>
    </row>
    <row r="191" spans="4:20">
      <c r="D191"/>
      <c r="E191"/>
      <c r="F191"/>
      <c r="G191"/>
      <c r="H191"/>
      <c r="I191" s="88"/>
      <c r="J191"/>
      <c r="K191"/>
      <c r="L191" s="289"/>
      <c r="M191" s="289"/>
      <c r="N191" s="289"/>
      <c r="O191" s="3"/>
    </row>
    <row r="192" spans="4:20">
      <c r="D192"/>
      <c r="E192"/>
      <c r="F192"/>
      <c r="G192"/>
      <c r="H192"/>
      <c r="I192" s="88"/>
      <c r="J192"/>
      <c r="K192"/>
      <c r="L192" s="289"/>
      <c r="M192" s="289"/>
      <c r="N192" s="289"/>
      <c r="O192" s="3"/>
    </row>
    <row r="193" spans="4:18">
      <c r="D193"/>
      <c r="E193"/>
      <c r="F193"/>
      <c r="G193"/>
      <c r="H193"/>
      <c r="I193" s="88"/>
      <c r="J193"/>
      <c r="K193"/>
      <c r="L193" s="289"/>
      <c r="M193" s="289"/>
      <c r="N193" s="289"/>
      <c r="O193" s="3"/>
    </row>
    <row r="194" spans="4:18">
      <c r="D194"/>
      <c r="E194"/>
      <c r="F194"/>
      <c r="G194"/>
      <c r="H194"/>
      <c r="I194" s="88"/>
      <c r="J194"/>
      <c r="K194"/>
      <c r="L194" s="289"/>
      <c r="M194" s="289"/>
      <c r="N194" s="289"/>
      <c r="O194" s="3"/>
    </row>
    <row r="195" spans="4:18">
      <c r="D195"/>
      <c r="E195"/>
      <c r="F195"/>
      <c r="G195"/>
      <c r="H195"/>
      <c r="I195" s="88"/>
      <c r="J195"/>
      <c r="K195"/>
      <c r="L195" s="289"/>
      <c r="M195" s="289"/>
      <c r="N195" s="289"/>
      <c r="O195" s="3"/>
    </row>
    <row r="196" spans="4:18">
      <c r="D196"/>
      <c r="E196"/>
      <c r="F196"/>
      <c r="G196"/>
      <c r="H196"/>
      <c r="I196" s="88"/>
      <c r="J196"/>
      <c r="K196"/>
      <c r="L196" s="289"/>
      <c r="M196" s="289"/>
      <c r="N196" s="289"/>
      <c r="O196" s="3"/>
      <c r="R196" s="13"/>
    </row>
    <row r="197" spans="4:18">
      <c r="D197"/>
      <c r="E197"/>
      <c r="F197"/>
      <c r="G197"/>
      <c r="H197"/>
      <c r="I197" s="88"/>
      <c r="J197"/>
      <c r="K197"/>
      <c r="L197" s="289"/>
      <c r="M197" s="289"/>
      <c r="N197" s="289"/>
      <c r="O197" s="3"/>
      <c r="R197" s="13"/>
    </row>
    <row r="198" spans="4:18">
      <c r="D198"/>
      <c r="E198"/>
      <c r="F198"/>
      <c r="G198"/>
      <c r="H198"/>
      <c r="I198" s="88"/>
      <c r="J198"/>
      <c r="K198"/>
      <c r="L198" s="289"/>
      <c r="M198" s="289"/>
      <c r="N198" s="289"/>
      <c r="O198" s="3"/>
      <c r="R198" s="13"/>
    </row>
    <row r="199" spans="4:18" ht="37.5" customHeight="1">
      <c r="D199"/>
      <c r="E199"/>
      <c r="F199"/>
      <c r="G199"/>
      <c r="H199"/>
      <c r="I199" s="88"/>
      <c r="J199"/>
      <c r="K199"/>
      <c r="L199" s="289"/>
      <c r="M199" s="289"/>
      <c r="N199" s="289"/>
      <c r="O199" s="3"/>
    </row>
    <row r="200" spans="4:18">
      <c r="D200"/>
      <c r="E200"/>
      <c r="F200"/>
      <c r="G200"/>
      <c r="H200"/>
      <c r="I200" s="88"/>
      <c r="J200"/>
      <c r="K200"/>
      <c r="L200" s="289"/>
      <c r="M200" s="289"/>
      <c r="N200" s="289"/>
      <c r="O200" s="3"/>
    </row>
    <row r="201" spans="4:18">
      <c r="D201"/>
      <c r="E201"/>
      <c r="F201"/>
      <c r="G201"/>
      <c r="H201"/>
      <c r="I201" s="88"/>
      <c r="J201"/>
      <c r="K201"/>
      <c r="L201" s="289"/>
      <c r="M201" s="289"/>
      <c r="N201" s="289"/>
      <c r="O201" s="3"/>
    </row>
    <row r="202" spans="4:18">
      <c r="D202"/>
      <c r="E202"/>
      <c r="F202"/>
      <c r="G202"/>
      <c r="H202"/>
      <c r="I202" s="88"/>
      <c r="J202"/>
      <c r="K202"/>
      <c r="L202" s="289"/>
      <c r="M202" s="289"/>
      <c r="N202" s="289"/>
      <c r="O202" s="3"/>
    </row>
    <row r="203" spans="4:18">
      <c r="D203"/>
      <c r="E203"/>
      <c r="F203"/>
      <c r="G203"/>
      <c r="H203"/>
      <c r="I203" s="88"/>
      <c r="J203"/>
      <c r="K203"/>
      <c r="L203" s="289"/>
      <c r="M203" s="289"/>
      <c r="N203" s="289"/>
      <c r="O203" s="3"/>
    </row>
    <row r="204" spans="4:18">
      <c r="D204"/>
      <c r="E204"/>
      <c r="F204"/>
      <c r="G204"/>
      <c r="H204"/>
      <c r="I204" s="88"/>
      <c r="J204"/>
      <c r="K204"/>
      <c r="L204" s="289"/>
      <c r="M204" s="289"/>
      <c r="N204" s="289"/>
      <c r="O204" s="3"/>
    </row>
    <row r="205" spans="4:18">
      <c r="D205"/>
      <c r="E205"/>
      <c r="F205"/>
      <c r="G205"/>
      <c r="H205"/>
      <c r="I205" s="88"/>
      <c r="J205"/>
      <c r="K205"/>
      <c r="L205" s="289"/>
      <c r="M205" s="289"/>
      <c r="N205" s="289"/>
      <c r="O205" s="3"/>
    </row>
    <row r="206" spans="4:18">
      <c r="E206"/>
      <c r="F206"/>
      <c r="G206"/>
      <c r="H206"/>
      <c r="I206" s="276"/>
      <c r="J206"/>
      <c r="K206"/>
      <c r="L206" s="289"/>
      <c r="M206" s="289"/>
      <c r="N206" s="289"/>
      <c r="O206" s="3"/>
    </row>
    <row r="207" spans="4:18">
      <c r="E207"/>
      <c r="F207"/>
      <c r="G207"/>
      <c r="H207"/>
      <c r="I207" s="276"/>
      <c r="J207"/>
      <c r="K207"/>
      <c r="L207" s="289"/>
      <c r="M207" s="289"/>
      <c r="N207" s="289"/>
      <c r="O207" s="3"/>
    </row>
    <row r="208" spans="4:18">
      <c r="E208"/>
      <c r="F208"/>
      <c r="G208"/>
      <c r="H208"/>
      <c r="I208" s="276"/>
      <c r="J208"/>
      <c r="K208"/>
      <c r="L208" s="289"/>
      <c r="M208" s="289"/>
      <c r="N208" s="289"/>
      <c r="O208" s="3"/>
      <c r="R208" s="13"/>
    </row>
    <row r="209" spans="5:15">
      <c r="E209"/>
      <c r="F209"/>
      <c r="G209"/>
      <c r="H209"/>
      <c r="I209" s="276"/>
      <c r="J209"/>
      <c r="K209"/>
      <c r="L209" s="289"/>
      <c r="M209" s="289"/>
      <c r="N209" s="289"/>
      <c r="O209" s="3"/>
    </row>
  </sheetData>
  <sheetProtection algorithmName="SHA-512" hashValue="Fg/6fohBklHlW9CCvMXkRr677XIgaSdPN/mcOAw7DfzWdMbHG/prptRVy4PaW7DftPAUdsJEzzPMIXQ3LTpclQ==" saltValue="av5yL+u2sIlVqqMDgk+ykg==" spinCount="100000" sheet="1" formatCells="0" insertRows="0" deleteRows="0"/>
  <mergeCells count="81">
    <mergeCell ref="A2:T2"/>
    <mergeCell ref="L158:N158"/>
    <mergeCell ref="E177:H177"/>
    <mergeCell ref="I177:J177"/>
    <mergeCell ref="F158:F159"/>
    <mergeCell ref="G158:G159"/>
    <mergeCell ref="H158:H159"/>
    <mergeCell ref="I158:I159"/>
    <mergeCell ref="J158:J159"/>
    <mergeCell ref="K158:K159"/>
    <mergeCell ref="E169:H169"/>
    <mergeCell ref="E170:H170"/>
    <mergeCell ref="I174:J174"/>
    <mergeCell ref="I175:J175"/>
    <mergeCell ref="I176:J176"/>
    <mergeCell ref="I169:J169"/>
    <mergeCell ref="K146:K147"/>
    <mergeCell ref="L146:N146"/>
    <mergeCell ref="F146:F147"/>
    <mergeCell ref="G146:G147"/>
    <mergeCell ref="H146:H147"/>
    <mergeCell ref="I146:I147"/>
    <mergeCell ref="J146:J147"/>
    <mergeCell ref="E6:F7"/>
    <mergeCell ref="F86:F87"/>
    <mergeCell ref="J86:J87"/>
    <mergeCell ref="K86:K87"/>
    <mergeCell ref="L6:N6"/>
    <mergeCell ref="I6:I7"/>
    <mergeCell ref="I86:I87"/>
    <mergeCell ref="L86:N86"/>
    <mergeCell ref="J6:J7"/>
    <mergeCell ref="K6:K7"/>
    <mergeCell ref="G6:G7"/>
    <mergeCell ref="H6:H7"/>
    <mergeCell ref="G86:G87"/>
    <mergeCell ref="H86:H87"/>
    <mergeCell ref="K134:K135"/>
    <mergeCell ref="I98:I99"/>
    <mergeCell ref="L134:N134"/>
    <mergeCell ref="L98:N98"/>
    <mergeCell ref="L110:N110"/>
    <mergeCell ref="L122:N122"/>
    <mergeCell ref="I122:I123"/>
    <mergeCell ref="J122:J123"/>
    <mergeCell ref="K122:K123"/>
    <mergeCell ref="J98:J99"/>
    <mergeCell ref="K98:K99"/>
    <mergeCell ref="I110:I111"/>
    <mergeCell ref="K110:K111"/>
    <mergeCell ref="J110:J111"/>
    <mergeCell ref="F110:F111"/>
    <mergeCell ref="F122:F123"/>
    <mergeCell ref="G122:G123"/>
    <mergeCell ref="H122:H123"/>
    <mergeCell ref="F98:F99"/>
    <mergeCell ref="G98:G99"/>
    <mergeCell ref="H98:H99"/>
    <mergeCell ref="G110:G111"/>
    <mergeCell ref="H110:H111"/>
    <mergeCell ref="E174:H174"/>
    <mergeCell ref="E176:H176"/>
    <mergeCell ref="E171:H171"/>
    <mergeCell ref="E172:H172"/>
    <mergeCell ref="E173:H173"/>
    <mergeCell ref="E175:H175"/>
    <mergeCell ref="I171:J171"/>
    <mergeCell ref="I172:J172"/>
    <mergeCell ref="I173:J173"/>
    <mergeCell ref="F134:F135"/>
    <mergeCell ref="G134:G135"/>
    <mergeCell ref="H134:H135"/>
    <mergeCell ref="I134:I135"/>
    <mergeCell ref="J134:J135"/>
    <mergeCell ref="I170:J170"/>
    <mergeCell ref="R6:R7"/>
    <mergeCell ref="T6:T7"/>
    <mergeCell ref="U6:U7"/>
    <mergeCell ref="V6:V7"/>
    <mergeCell ref="W6:W7"/>
    <mergeCell ref="S6:S7"/>
  </mergeCells>
  <phoneticPr fontId="1"/>
  <conditionalFormatting sqref="E169:H175 E177:H177">
    <cfRule type="expression" dxfId="2615" priority="1">
      <formula>$S169=0</formula>
    </cfRule>
  </conditionalFormatting>
  <conditionalFormatting sqref="F9:O13 F14 F15:O19 F20 F21:O25 F27:O31 F33:O37 F39:O43 F45:O49 F51:O55 F57:O61 F63:O67 F69:O73 F75:O79">
    <cfRule type="expression" dxfId="2614" priority="17">
      <formula>$R9=""</formula>
    </cfRule>
    <cfRule type="notContainsBlanks" dxfId="2613" priority="18">
      <formula>LEN(TRIM(F9))&gt;0</formula>
    </cfRule>
  </conditionalFormatting>
  <conditionalFormatting sqref="F88:O91">
    <cfRule type="expression" dxfId="2612" priority="15">
      <formula>$R88=""</formula>
    </cfRule>
    <cfRule type="notContainsBlanks" dxfId="2611" priority="16">
      <formula>LEN(TRIM(F88))&gt;0</formula>
    </cfRule>
  </conditionalFormatting>
  <conditionalFormatting sqref="F100:O103">
    <cfRule type="expression" dxfId="2610" priority="13">
      <formula>$R100=""</formula>
    </cfRule>
    <cfRule type="notContainsBlanks" dxfId="2609" priority="14">
      <formula>LEN(TRIM(F100))&gt;0</formula>
    </cfRule>
  </conditionalFormatting>
  <conditionalFormatting sqref="F112:O115">
    <cfRule type="expression" dxfId="2608" priority="11">
      <formula>$R112=""</formula>
    </cfRule>
    <cfRule type="notContainsBlanks" dxfId="2607" priority="12">
      <formula>LEN(TRIM(F112))&gt;0</formula>
    </cfRule>
  </conditionalFormatting>
  <conditionalFormatting sqref="F124:O127">
    <cfRule type="expression" dxfId="2606" priority="9">
      <formula>$R124=""</formula>
    </cfRule>
    <cfRule type="notContainsBlanks" dxfId="2605" priority="10">
      <formula>LEN(TRIM(F124))&gt;0</formula>
    </cfRule>
  </conditionalFormatting>
  <conditionalFormatting sqref="F136:O139">
    <cfRule type="expression" dxfId="2604" priority="7">
      <formula>$R136=""</formula>
    </cfRule>
    <cfRule type="notContainsBlanks" dxfId="2603" priority="8">
      <formula>LEN(TRIM(F136))&gt;0</formula>
    </cfRule>
  </conditionalFormatting>
  <conditionalFormatting sqref="F148:O151">
    <cfRule type="expression" dxfId="2602" priority="5">
      <formula>$R148=""</formula>
    </cfRule>
    <cfRule type="notContainsBlanks" dxfId="2601" priority="6">
      <formula>LEN(TRIM(F148))&gt;0</formula>
    </cfRule>
  </conditionalFormatting>
  <conditionalFormatting sqref="F160:O163">
    <cfRule type="expression" dxfId="2600" priority="3">
      <formula>$R160=""</formula>
    </cfRule>
    <cfRule type="notContainsBlanks" dxfId="2599" priority="4">
      <formula>LEN(TRIM(F160))&gt;0</formula>
    </cfRule>
  </conditionalFormatting>
  <conditionalFormatting sqref="K80 K92 K104 K116 K128 K140 K152 K164 I169:J177">
    <cfRule type="cellIs" dxfId="2598" priority="2" operator="notEqual">
      <formula>0</formula>
    </cfRule>
  </conditionalFormatting>
  <dataValidations count="5">
    <dataValidation type="decimal" operator="greaterThanOrEqual" allowBlank="1" showInputMessage="1" showErrorMessage="1" error="数値で入力してください" sqref="E80 K62:N62 K26:N26 K44:N44 K32:N32 K20:N20 K68:N68 K14:N14 K50:N50 K8:O8 K38:N38 K74:N74 K56:N56" xr:uid="{341809A3-F8EF-4860-B9D6-AA66F81A354B}">
      <formula1>0</formula1>
    </dataValidation>
    <dataValidation type="list" allowBlank="1" showInputMessage="1" showErrorMessage="1" sqref="I92 I104 I116 I128 I140 I152 I164" xr:uid="{D5E8E598-4DBE-487E-B06B-BB4F5BC71478}">
      <formula1>"オンサイト,オフサイト"</formula1>
    </dataValidation>
    <dataValidation type="list" allowBlank="1" showInputMessage="1" showErrorMessage="1" sqref="L148:L151 L15:L19 L21:L25 L27:L31 L33:L37 L160:L163 L45:L49 L51:L55 L57:L61 L63:L67 L88:L91 L75:L79 L100:L103 L112:L115 L124:L127 L136:L139 L39:L43 L69:L73 L9:L13" xr:uid="{055AC950-1F93-44D2-807D-59813714930E}">
      <formula1>"未実施,確認済"</formula1>
    </dataValidation>
    <dataValidation type="list" allowBlank="1" showInputMessage="1" showErrorMessage="1" sqref="M160:N163 M15:N19 M21:N25 M27:N31 M33:N37 M148:N151 M45:N49 M51:N55 M57:N61 M63:N67 M88:N91 M75:N79 M100:N103 M112:N115 M124:N127 M136:N139 M39:N43 M69:N73 M9:N13" xr:uid="{66C108F3-8C95-487B-8294-35CABC4B2CFC}">
      <formula1>"未実施,実施中,実施済"</formula1>
    </dataValidation>
    <dataValidation type="textLength" operator="lessThan" allowBlank="1" showInputMessage="1" showErrorMessage="1" sqref="E8:E79" xr:uid="{4745F9D7-1FA6-42E8-8DFB-BD6A8E81F34E}">
      <formula1>1</formula1>
    </dataValidation>
  </dataValidations>
  <pageMargins left="0.7" right="0.7" top="0.75" bottom="0.75" header="0.3" footer="0.3"/>
  <pageSetup paperSize="8" scale="22"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20">
        <x14:dataValidation type="list" allowBlank="1" showInputMessage="1" showErrorMessage="1" xr:uid="{E9ECF10F-03FB-4F01-9A47-95EC269EAA6C}">
          <x14:formula1>
            <xm:f>IF($J9="低圧",OFFSET('(非表示)新規再エネ実現可能性判定'!$H$5,0,0,5,1),OFFSET('(非表示)新規再エネ実現可能性判定'!$H$14,0,0,21,1))</xm:f>
          </x14:formula1>
          <xm:sqref>O160:O163 O148:O151 O136:O139 O124:O127 O112:O115 O100:O103 O88:O91 O15:O19 O75:O79 O69:O73 O63:O67 O57:O61 O51:O55 O45:O49 O39:O43 O33:O37 O27:O31 O21:O25 O9:O13</xm:sqref>
        </x14:dataValidation>
        <x14:dataValidation type="list" allowBlank="1" showInputMessage="1" showErrorMessage="1" xr:uid="{8DE9751E-2CFE-41DE-B8B0-60D16DE85E68}">
          <x14:formula1>
            <xm:f>OFFSET('4.1(2)新規再エネ導入予定（設備情報）'!AB$7,'4.1(2)新規再エネ導入予定（設備情報）'!$Z$188,0,'4.1(2)新規再エネ導入予定（設備情報）'!$Y$188,1)</xm:f>
          </x14:formula1>
          <xm:sqref>G148:G151</xm:sqref>
        </x14:dataValidation>
        <x14:dataValidation type="list" allowBlank="1" showInputMessage="1" showErrorMessage="1" xr:uid="{41439DCA-C028-4FBF-9B61-37FB06CAD01E}">
          <x14:formula1>
            <xm:f>OFFSET('4.1(2)新規再エネ導入予定（設備情報）'!AB$7,'4.1(2)新規再エネ導入予定（設備情報）'!$Z$184,0,'4.1(2)新規再エネ導入予定（設備情報）'!$Y$184,1)</xm:f>
          </x14:formula1>
          <xm:sqref>G100:G103</xm:sqref>
        </x14:dataValidation>
        <x14:dataValidation type="list" allowBlank="1" showInputMessage="1" showErrorMessage="1" xr:uid="{DF52F534-3480-4F37-83E7-90F300944E61}">
          <x14:formula1>
            <xm:f>OFFSET('4.1(2)新規再エネ導入予定（設備情報）'!AB$7,'4.1(2)新規再エネ導入予定（設備情報）'!$Z$185,0,'4.1(2)新規再エネ導入予定（設備情報）'!$Y$185,1)</xm:f>
          </x14:formula1>
          <xm:sqref>G112:G115</xm:sqref>
        </x14:dataValidation>
        <x14:dataValidation type="list" allowBlank="1" showInputMessage="1" showErrorMessage="1" xr:uid="{9563546D-BCB8-4F1F-AA0B-1CD5455966C3}">
          <x14:formula1>
            <xm:f>OFFSET('4.1(2)新規再エネ導入予定（設備情報）'!AB$7,'4.1(2)新規再エネ導入予定（設備情報）'!$Z$186,0,'4.1(2)新規再エネ導入予定（設備情報）'!$Y$186,1)</xm:f>
          </x14:formula1>
          <xm:sqref>G124:G127</xm:sqref>
        </x14:dataValidation>
        <x14:dataValidation type="list" allowBlank="1" showInputMessage="1" showErrorMessage="1" xr:uid="{4042CC58-6768-4B21-A824-F9C068E8453F}">
          <x14:formula1>
            <xm:f>OFFSET('4.1(2)新規再エネ導入予定（設備情報）'!AB$7,'4.1(2)新規再エネ導入予定（設備情報）'!$Z$189,0,'4.1(2)新規再エネ導入予定（設備情報）'!$Y$189,1)</xm:f>
          </x14:formula1>
          <xm:sqref>G160:G163</xm:sqref>
        </x14:dataValidation>
        <x14:dataValidation type="list" allowBlank="1" showInputMessage="1" showErrorMessage="1" xr:uid="{78F66B26-BE1C-4B96-90E4-28C29FFD8B37}">
          <x14:formula1>
            <xm:f>OFFSET('4.1(2)新規再エネ導入予定（設備情報）'!AB$7,'4.1(2)新規再エネ導入予定（設備情報）'!$Z$183,0,'4.1(2)新規再エネ導入予定（設備情報）'!$Y$183,1)</xm:f>
          </x14:formula1>
          <xm:sqref>G88:G91</xm:sqref>
        </x14:dataValidation>
        <x14:dataValidation type="list" allowBlank="1" showInputMessage="1" showErrorMessage="1" xr:uid="{72DD48D3-5B36-4478-97F9-68A7E7FFD9AC}">
          <x14:formula1>
            <xm:f>OFFSET('4.1(2)新規再エネ導入予定（設備情報）'!AB$7,'4.1(2)新規再エネ導入予定（設備情報）'!$Z$174,0,'4.1(2)新規再エネ導入予定（設備情報）'!$Y$174,1)</xm:f>
          </x14:formula1>
          <xm:sqref>G27:G31</xm:sqref>
        </x14:dataValidation>
        <x14:dataValidation type="list" allowBlank="1" showInputMessage="1" showErrorMessage="1" xr:uid="{4F8AEED1-D291-45E8-8F20-5581E5023ADC}">
          <x14:formula1>
            <xm:f>OFFSET('4.1(2)新規再エネ導入予定（設備情報）'!AB$7,'4.1(2)新規再エネ導入予定（設備情報）'!$Z$175,0,'4.1(2)新規再エネ導入予定（設備情報）'!$Y$175,1)</xm:f>
          </x14:formula1>
          <xm:sqref>G33:G37</xm:sqref>
        </x14:dataValidation>
        <x14:dataValidation type="list" allowBlank="1" showInputMessage="1" showErrorMessage="1" xr:uid="{D95BEFEB-FE44-4B74-88F6-D6794DB69D72}">
          <x14:formula1>
            <xm:f>OFFSET('4.1(2)新規再エネ導入予定（設備情報）'!AB$7,'4.1(2)新規再エネ導入予定（設備情報）'!$Z$177,0,'4.1(2)新規再エネ導入予定（設備情報）'!$Y$177,1)</xm:f>
          </x14:formula1>
          <xm:sqref>G45:G49</xm:sqref>
        </x14:dataValidation>
        <x14:dataValidation type="list" allowBlank="1" showInputMessage="1" showErrorMessage="1" xr:uid="{735BE704-E662-4B72-9CEE-D6927B95125C}">
          <x14:formula1>
            <xm:f>OFFSET('4.1(2)新規再エネ導入予定（設備情報）'!AB$7,'4.1(2)新規再エネ導入予定（設備情報）'!$Z$178,0,'4.1(2)新規再エネ導入予定（設備情報）'!$Y$178,1)</xm:f>
          </x14:formula1>
          <xm:sqref>G51:G55</xm:sqref>
        </x14:dataValidation>
        <x14:dataValidation type="list" allowBlank="1" showInputMessage="1" showErrorMessage="1" xr:uid="{F38C4CCE-EF97-486E-90FA-A1427E70406A}">
          <x14:formula1>
            <xm:f>OFFSET('4.1(2)新規再エネ導入予定（設備情報）'!AB$7,'4.1(2)新規再エネ導入予定（設備情報）'!$Z$179,0,'4.1(2)新規再エネ導入予定（設備情報）'!$Y$179,1)</xm:f>
          </x14:formula1>
          <xm:sqref>G57:G61</xm:sqref>
        </x14:dataValidation>
        <x14:dataValidation type="list" allowBlank="1" showInputMessage="1" showErrorMessage="1" xr:uid="{BC95D3C9-C148-42DB-80E0-E3FA17637613}">
          <x14:formula1>
            <xm:f>OFFSET('4.1(2)新規再エネ導入予定（設備情報）'!AB$7,'4.1(2)新規再エネ導入予定（設備情報）'!$Z$180,0,'4.1(2)新規再エネ導入予定（設備情報）'!$Y$180,1)</xm:f>
          </x14:formula1>
          <xm:sqref>G63:G67</xm:sqref>
        </x14:dataValidation>
        <x14:dataValidation type="list" allowBlank="1" showInputMessage="1" showErrorMessage="1" xr:uid="{242C551A-BD08-45C8-8673-826F58BA3863}">
          <x14:formula1>
            <xm:f>OFFSET('4.1(2)新規再エネ導入予定（設備情報）'!AB$7,'4.1(2)新規再エネ導入予定（設備情報）'!$Z$181,0,'4.1(2)新規再エネ導入予定（設備情報）'!$Y$181,1)</xm:f>
          </x14:formula1>
          <xm:sqref>G69:G73</xm:sqref>
        </x14:dataValidation>
        <x14:dataValidation type="list" allowBlank="1" showInputMessage="1" showErrorMessage="1" xr:uid="{49592FBA-D582-4F76-998F-ABD8E4F08901}">
          <x14:formula1>
            <xm:f>OFFSET('4.1(2)新規再エネ導入予定（設備情報）'!AB$7,'4.1(2)新規再エネ導入予定（設備情報）'!$Z$182,0,'4.1(2)新規再エネ導入予定（設備情報）'!$Y$182,1)</xm:f>
          </x14:formula1>
          <xm:sqref>G75:G79</xm:sqref>
        </x14:dataValidation>
        <x14:dataValidation type="list" allowBlank="1" showInputMessage="1" showErrorMessage="1" xr:uid="{5985C2F6-0B7F-4717-A7A2-4D6DED6E8D5B}">
          <x14:formula1>
            <xm:f>OFFSET('4.1(2)新規再エネ導入予定（設備情報）'!AB$7,'4.1(2)新規再エネ導入予定（設備情報）'!$Z$176,0,'4.1(2)新規再エネ導入予定（設備情報）'!$Y$176,1)</xm:f>
          </x14:formula1>
          <xm:sqref>G39:G43</xm:sqref>
        </x14:dataValidation>
        <x14:dataValidation type="list" allowBlank="1" showInputMessage="1" showErrorMessage="1" xr:uid="{33AC30AF-1D67-4E05-8A38-F0D6647BF001}">
          <x14:formula1>
            <xm:f>OFFSET('4.1(2)新規再エネ導入予定（設備情報）'!AB$7,'4.1(2)新規再エネ導入予定（設備情報）'!$Z$172,0,'4.1(2)新規再エネ導入予定（設備情報）'!$Y$172,1)</xm:f>
          </x14:formula1>
          <xm:sqref>G15:G19</xm:sqref>
        </x14:dataValidation>
        <x14:dataValidation type="list" allowBlank="1" showInputMessage="1" showErrorMessage="1" xr:uid="{CE89ED37-B337-4916-B2A7-95D7A629FE05}">
          <x14:formula1>
            <xm:f>OFFSET('4.1(2)新規再エネ導入予定（設備情報）'!AB$7,'4.1(2)新規再エネ導入予定（設備情報）'!$Z$173,0,'4.1(2)新規再エネ導入予定（設備情報）'!$Y$173,1)</xm:f>
          </x14:formula1>
          <xm:sqref>G21:G25</xm:sqref>
        </x14:dataValidation>
        <x14:dataValidation type="list" allowBlank="1" showInputMessage="1" showErrorMessage="1" xr:uid="{F0FAD70E-4266-4778-88CB-C4E945FB8D73}">
          <x14:formula1>
            <xm:f>OFFSET('4.1(2)新規再エネ導入予定（設備情報）'!AB$7,'4.1(2)新規再エネ導入予定（設備情報）'!$Z$171,0,'4.1(2)新規再エネ導入予定（設備情報）'!$Y$171,1)</xm:f>
          </x14:formula1>
          <xm:sqref>G9:G13</xm:sqref>
        </x14:dataValidation>
        <x14:dataValidation type="list" allowBlank="1" showInputMessage="1" showErrorMessage="1" xr:uid="{E23714CD-88E0-46E1-988A-A33B740A0A37}">
          <x14:formula1>
            <xm:f>OFFSET('4.1(2)新規再エネ導入予定（設備情報）'!AB$7,'4.1(2)新規再エネ導入予定（設備情報）'!$Z$187,0,'4.1(2)新規再エネ導入予定（設備情報）'!$Y$187,1)</xm:f>
          </x14:formula1>
          <xm:sqref>G136:G139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5867-962F-4089-8E8B-9BFBE47C3A86}">
  <sheetPr codeName="Sheet3">
    <tabColor theme="7" tint="0.79998168889431442"/>
    <pageSetUpPr autoPageBreaks="0" fitToPage="1"/>
  </sheetPr>
  <dimension ref="A1:AJ218"/>
  <sheetViews>
    <sheetView showGridLines="0" zoomScaleNormal="100" zoomScaleSheetLayoutView="100" workbookViewId="0"/>
  </sheetViews>
  <sheetFormatPr defaultColWidth="9" defaultRowHeight="18"/>
  <cols>
    <col min="1" max="1" width="2.33203125" customWidth="1"/>
    <col min="2" max="3" width="2.58203125" style="13" customWidth="1"/>
    <col min="4" max="4" width="2.33203125" style="13" customWidth="1"/>
    <col min="5" max="5" width="5.08203125" style="13" customWidth="1"/>
    <col min="6" max="6" width="20.83203125" style="13" customWidth="1"/>
    <col min="7" max="7" width="24.08203125" style="13" customWidth="1"/>
    <col min="8" max="8" width="12.33203125" style="13" customWidth="1"/>
    <col min="9" max="9" width="11.58203125" style="250" customWidth="1"/>
    <col min="10" max="10" width="13.75" style="13" customWidth="1"/>
    <col min="11" max="11" width="14.08203125" style="13" bestFit="1" customWidth="1"/>
    <col min="12" max="12" width="29.25" style="13" customWidth="1"/>
    <col min="13" max="16" width="14.08203125" style="229" customWidth="1"/>
    <col min="17" max="17" width="11.75" style="229" customWidth="1"/>
    <col min="18" max="18" width="3.58203125" style="13" customWidth="1"/>
    <col min="19" max="19" width="2.33203125" style="13" customWidth="1"/>
    <col min="20" max="20" width="11.25" style="2" customWidth="1"/>
    <col min="21" max="21" width="2.83203125" customWidth="1"/>
    <col min="22" max="22" width="9" hidden="1" customWidth="1"/>
    <col min="23" max="23" width="9" style="2" hidden="1" customWidth="1"/>
    <col min="24" max="27" width="9" style="121" hidden="1" customWidth="1"/>
    <col min="28" max="28" width="9" style="259" hidden="1" customWidth="1"/>
    <col min="29" max="34" width="9" hidden="1" customWidth="1"/>
    <col min="35" max="35" width="9.33203125" hidden="1" customWidth="1"/>
    <col min="36" max="36" width="9" hidden="1" customWidth="1"/>
    <col min="38" max="38" width="9.33203125" bestFit="1" customWidth="1"/>
  </cols>
  <sheetData>
    <row r="1" spans="1:36" ht="24" customHeight="1">
      <c r="A1" s="44" t="s">
        <v>344</v>
      </c>
      <c r="C1"/>
      <c r="I1" s="13"/>
      <c r="L1" s="227"/>
      <c r="N1" s="227"/>
      <c r="Q1" s="227"/>
      <c r="R1" s="229"/>
      <c r="S1" s="229"/>
    </row>
    <row r="2" spans="1:36" ht="48" customHeight="1">
      <c r="A2" s="1351" t="s">
        <v>345</v>
      </c>
      <c r="B2" s="1351"/>
      <c r="C2" s="1351"/>
      <c r="D2" s="1351"/>
      <c r="E2" s="1351"/>
      <c r="F2" s="1351"/>
      <c r="G2" s="1351"/>
      <c r="H2" s="1351"/>
      <c r="I2" s="1351"/>
      <c r="J2" s="1351"/>
      <c r="K2" s="1351"/>
      <c r="L2" s="1351"/>
      <c r="M2" s="1351"/>
      <c r="N2" s="1351"/>
      <c r="O2" s="1351"/>
      <c r="P2" s="1351"/>
      <c r="Q2" s="1351"/>
      <c r="R2" s="1351"/>
      <c r="S2" s="1351"/>
    </row>
    <row r="3" spans="1:36" ht="17.25" customHeight="1">
      <c r="D3" s="230"/>
      <c r="E3" s="230"/>
      <c r="F3" s="230"/>
      <c r="G3" s="230"/>
      <c r="H3" s="230"/>
      <c r="I3" s="260"/>
      <c r="J3" s="230"/>
      <c r="K3" s="230"/>
      <c r="L3" s="230"/>
      <c r="M3" s="233"/>
      <c r="N3" s="233"/>
      <c r="O3" s="233"/>
      <c r="P3" s="233"/>
      <c r="Q3" s="233"/>
      <c r="V3" s="1" t="s">
        <v>314</v>
      </c>
      <c r="W3" s="472"/>
    </row>
    <row r="4" spans="1:36" ht="9.75" customHeight="1">
      <c r="D4" s="234"/>
      <c r="E4" s="15"/>
      <c r="F4" s="15"/>
      <c r="G4" s="15"/>
      <c r="H4" s="15"/>
      <c r="I4" s="249"/>
      <c r="J4" s="15"/>
      <c r="K4" s="15"/>
      <c r="L4" s="15"/>
      <c r="M4" s="236"/>
      <c r="N4" s="236"/>
      <c r="O4" s="236"/>
      <c r="P4" s="236"/>
      <c r="Q4" s="236"/>
      <c r="R4" s="30"/>
    </row>
    <row r="5" spans="1:36" ht="24.75" customHeight="1">
      <c r="D5" s="237" t="s">
        <v>7</v>
      </c>
      <c r="R5" s="19"/>
    </row>
    <row r="6" spans="1:36" ht="21" customHeight="1">
      <c r="D6" s="237"/>
      <c r="E6" s="1367" t="s">
        <v>8</v>
      </c>
      <c r="F6" s="1368"/>
      <c r="G6" s="1373" t="s">
        <v>185</v>
      </c>
      <c r="H6" s="1373" t="s">
        <v>180</v>
      </c>
      <c r="I6" s="1371" t="s">
        <v>31</v>
      </c>
      <c r="J6" s="1373" t="s">
        <v>186</v>
      </c>
      <c r="K6" s="1373" t="s">
        <v>81</v>
      </c>
      <c r="L6" s="1289" t="s">
        <v>183</v>
      </c>
      <c r="M6" s="1300" t="s">
        <v>184</v>
      </c>
      <c r="N6" s="1300"/>
      <c r="O6" s="1300"/>
      <c r="P6" s="1300"/>
      <c r="Q6" s="1379" t="s">
        <v>303</v>
      </c>
      <c r="R6" s="19"/>
      <c r="T6" s="1379" t="s">
        <v>396</v>
      </c>
      <c r="V6" s="1375" t="s">
        <v>305</v>
      </c>
      <c r="W6" s="1375" t="s">
        <v>505</v>
      </c>
      <c r="X6" s="1375" t="s">
        <v>395</v>
      </c>
      <c r="Y6" s="1375" t="s">
        <v>311</v>
      </c>
      <c r="Z6" s="1375" t="s">
        <v>420</v>
      </c>
      <c r="AA6" s="1375" t="s">
        <v>421</v>
      </c>
      <c r="AB6" s="1375" t="s">
        <v>404</v>
      </c>
      <c r="AC6" s="1375" t="s">
        <v>397</v>
      </c>
      <c r="AD6" s="1375" t="s">
        <v>398</v>
      </c>
      <c r="AE6" s="1375" t="s">
        <v>399</v>
      </c>
      <c r="AF6" s="1375" t="s">
        <v>400</v>
      </c>
      <c r="AG6" s="1375" t="s">
        <v>401</v>
      </c>
      <c r="AH6" s="1377" t="s">
        <v>506</v>
      </c>
      <c r="AI6" s="1375" t="s">
        <v>402</v>
      </c>
      <c r="AJ6" s="1375" t="s">
        <v>403</v>
      </c>
    </row>
    <row r="7" spans="1:36" ht="42" customHeight="1">
      <c r="D7" s="16"/>
      <c r="E7" s="1369"/>
      <c r="F7" s="1370"/>
      <c r="G7" s="1374"/>
      <c r="H7" s="1374"/>
      <c r="I7" s="1372"/>
      <c r="J7" s="1374"/>
      <c r="K7" s="1374"/>
      <c r="L7" s="1290"/>
      <c r="M7" s="434" t="s">
        <v>196</v>
      </c>
      <c r="N7" s="434" t="s">
        <v>101</v>
      </c>
      <c r="O7" s="434" t="s">
        <v>195</v>
      </c>
      <c r="P7" s="365" t="s">
        <v>100</v>
      </c>
      <c r="Q7" s="1380"/>
      <c r="R7" s="19"/>
      <c r="T7" s="1380"/>
      <c r="V7" s="1376"/>
      <c r="W7" s="1376"/>
      <c r="X7" s="1376"/>
      <c r="Y7" s="1376"/>
      <c r="Z7" s="1376"/>
      <c r="AA7" s="1376"/>
      <c r="AB7" s="1376"/>
      <c r="AC7" s="1376"/>
      <c r="AD7" s="1376"/>
      <c r="AE7" s="1376"/>
      <c r="AF7" s="1376"/>
      <c r="AG7" s="1376"/>
      <c r="AH7" s="1378"/>
      <c r="AI7" s="1376"/>
      <c r="AJ7" s="1376"/>
    </row>
    <row r="8" spans="1:36" ht="20">
      <c r="D8" s="188"/>
      <c r="E8" s="190" t="s">
        <v>431</v>
      </c>
      <c r="F8" s="191"/>
      <c r="G8" s="474"/>
      <c r="H8" s="475"/>
      <c r="I8" s="476"/>
      <c r="J8" s="477"/>
      <c r="K8" s="478"/>
      <c r="L8" s="478"/>
      <c r="M8" s="477"/>
      <c r="N8" s="477"/>
      <c r="O8" s="477"/>
      <c r="P8" s="477"/>
      <c r="Q8" s="500"/>
      <c r="R8" s="19"/>
      <c r="T8" s="487"/>
      <c r="V8" s="175">
        <f>ROW()-7</f>
        <v>1</v>
      </c>
      <c r="W8" s="215">
        <f ca="1">IF(OFFSET('4.1(2)新規再エネ導入予定（設備情報）'!$O$1,MATCH(X8,'4.1(2)新規再エネ導入予定（設備情報）'!$Z:$Z,0)-1,0)="低圧",1,0)</f>
        <v>0</v>
      </c>
      <c r="X8" s="125" t="str">
        <f ca="1">IFERROR(IF(AND(G8="",L8&lt;&gt;""),MAX(OFFSET($X$8,0,0,ROW()-8,1)),OFFSET('4.1(2)新規再エネ導入予定（設備情報）'!$Z$1,MATCH($G8,'4.1(2)新規再エネ導入予定（設備情報）'!$G:$G,0)-1,0)),"")</f>
        <v/>
      </c>
      <c r="Y8" s="261">
        <f t="shared" ref="Y8:Y9" si="0">IF(T8="○",1,0)</f>
        <v>0</v>
      </c>
      <c r="Z8" s="261">
        <f t="shared" ref="Z8:Z39" ca="1" si="1">SUMIF($X$8:$X$171,X8,$Y$8:$Y$171)</f>
        <v>0</v>
      </c>
      <c r="AA8" s="261">
        <f>IF($M8="合意済",1,0)</f>
        <v>0</v>
      </c>
      <c r="AB8" s="262">
        <f t="shared" ref="AB8:AB39" ca="1" si="2">IF(COUNTIFS($X$8:$X$171,X8,$Y$8:$Y$171,1)=0,1,COUNTIFS($X$8:$X$171,X8,$Y$8:$Y$171,1,$AA$8:$AA$171,1))</f>
        <v>1</v>
      </c>
      <c r="AC8" s="175" t="str">
        <f>IF(M8="","",IF(OR(M8="説明済",M8="協議中",M8="合意済"),1,0))</f>
        <v/>
      </c>
      <c r="AD8" s="175" t="str">
        <f>IF(N8="","",IF(OR(N8="説明済",N8="協議中",N8="合意済"),1,0))</f>
        <v/>
      </c>
      <c r="AE8" s="175" t="str">
        <f>IF(O8="","",IF(OR(O8="説明済",O8="協議中",O8="合意済"),1,0))</f>
        <v/>
      </c>
      <c r="AF8" s="175" t="str">
        <f>IF(P8="","",IF(OR(P8="説明済",P8="協議中",P8="合意済"),1,0))</f>
        <v/>
      </c>
      <c r="AG8" s="175" t="str">
        <f>IF(COUNTBLANK(AD8:AF8)=0,PRODUCT(AD8:AF8),"E")</f>
        <v>E</v>
      </c>
      <c r="AH8" s="175" cm="1">
        <f t="array" ref="AH8">_xlfn.IFS(COUNTIF($N8:$P8,"合意済")=3,4,OR(COUNTIF($N8:$P8,"合意済")=2,COUNTIF($N8:$P8,"合意済")=1),3,COUNTIF($N8:$P8,"合意済")=0,2)</f>
        <v>2</v>
      </c>
      <c r="AI8" s="175" t="e">
        <f t="shared" ref="AI8:AI11" ca="1" si="3">IF(AND(W8*AA8*AC8=1,AD8*AE8*AF8=0),2,AB8*AC8*AG8*(AH8))</f>
        <v>#VALUE!</v>
      </c>
      <c r="AJ8" s="175" t="str">
        <f t="shared" ref="AJ8:AJ39" ca="1" si="4">IFERROR(_xlfn.MINIFS($AI$8:$AI$171,$X$8:$X$171,X8),"")</f>
        <v/>
      </c>
    </row>
    <row r="9" spans="1:36" s="11" customFormat="1" hidden="1">
      <c r="B9" s="21"/>
      <c r="C9" s="21"/>
      <c r="D9" s="36"/>
      <c r="E9" s="124"/>
      <c r="F9" s="707"/>
      <c r="G9" s="479"/>
      <c r="H9" s="495"/>
      <c r="I9" s="496"/>
      <c r="J9" s="497"/>
      <c r="K9" s="498"/>
      <c r="L9" s="481"/>
      <c r="M9" s="484"/>
      <c r="N9" s="484"/>
      <c r="O9" s="484"/>
      <c r="P9" s="484"/>
      <c r="Q9" s="484"/>
      <c r="R9" s="24"/>
      <c r="S9" s="21"/>
      <c r="T9" s="484"/>
      <c r="V9" s="255">
        <f t="shared" ref="V9:V72" si="5">ROW()-7</f>
        <v>2</v>
      </c>
      <c r="W9" s="129">
        <f ca="1">IF(OFFSET('4.1(2)新規再エネ導入予定（設備情報）'!$O$1,MATCH(X9,'4.1(2)新規再エネ導入予定（設備情報）'!$Z:$Z,0)-1,0)="低圧",1,0)</f>
        <v>0</v>
      </c>
      <c r="X9" s="125" t="str">
        <f ca="1">IFERROR(IF(AND(G9="",L9&lt;&gt;""),MAX(OFFSET($X$8,0,0,ROW()-8,1)),OFFSET('4.1(2)新規再エネ導入予定（設備情報）'!$Z$1,MATCH($G9,'4.1(2)新規再エネ導入予定（設備情報）'!$G:$G,0)-1,0)),"")</f>
        <v/>
      </c>
      <c r="Y9" s="224">
        <f t="shared" si="0"/>
        <v>0</v>
      </c>
      <c r="Z9" s="224">
        <f t="shared" ca="1" si="1"/>
        <v>0</v>
      </c>
      <c r="AA9" s="224">
        <f t="shared" ref="AA9:AA64" si="6">IF($M9="合意済",1,0)</f>
        <v>0</v>
      </c>
      <c r="AB9" s="277">
        <f t="shared" ca="1" si="2"/>
        <v>1</v>
      </c>
      <c r="AC9" s="255" t="str">
        <f t="shared" ref="AC9:AC24" si="7">IF(M9="","",IF(OR(M9="説明済",M9="協議中",M9="合意済"),1,0))</f>
        <v/>
      </c>
      <c r="AD9" s="255" t="str">
        <f t="shared" ref="AD9:AD67" si="8">IF(N9="","",IF(OR(N9="説明済",N9="協議中",N9="合意済"),1,0))</f>
        <v/>
      </c>
      <c r="AE9" s="255" t="str">
        <f t="shared" ref="AE9:AE40" si="9">IF(O9="","",IF(OR(O9="説明済",O9="協議中",O9="合意済"),1,0))</f>
        <v/>
      </c>
      <c r="AF9" s="255" t="str">
        <f t="shared" ref="AF9:AF40" si="10">IF(P9="","",IF(OR(P9="説明済",P9="協議中",P9="合意済"),1,0))</f>
        <v/>
      </c>
      <c r="AG9" s="255" t="str">
        <f t="shared" ref="AG9:AG19" si="11">IF(COUNTBLANK(AD9:AF9)=0,PRODUCT(AD9:AF9),"E")</f>
        <v>E</v>
      </c>
      <c r="AH9" s="255" cm="1">
        <f t="array" ref="AH9">_xlfn.IFS(COUNTIF($N9:$P9,"合意済")=3,4,OR(COUNTIF($N9:$P9,"合意済")=2,COUNTIF($N9:$P9,"合意済")=1),3,COUNTIF($N9:$P9,"合意済")=0,2)</f>
        <v>2</v>
      </c>
      <c r="AI9" s="255" t="e">
        <f t="shared" ca="1" si="3"/>
        <v>#VALUE!</v>
      </c>
      <c r="AJ9" s="255" t="str">
        <f t="shared" ca="1" si="4"/>
        <v/>
      </c>
    </row>
    <row r="10" spans="1:36" s="11" customFormat="1">
      <c r="B10" s="21"/>
      <c r="C10" s="21"/>
      <c r="D10" s="36"/>
      <c r="E10" s="124"/>
      <c r="F10" s="489" t="str">
        <f ca="1">IFERROR(OFFSET('4.1(2)新規再エネ導入予定（設備情報）'!$F$1,MATCH(G10,'4.1(2)新規再エネ導入予定（設備情報）'!$G:$G,0)-1,0),"")</f>
        <v/>
      </c>
      <c r="G10" s="480"/>
      <c r="H10" s="491" t="str">
        <f ca="1">IFERROR(OFFSET('4.1(2)新規再エネ導入予定（設備情報）'!$H$1,MATCH(G10,'4.1(2)新規再エネ導入予定（設備情報）'!$G:$G,0)-1,0)&amp;"","")</f>
        <v/>
      </c>
      <c r="I10" s="492" t="str">
        <f ca="1">IFERROR(OFFSET('4.1(2)新規再エネ導入予定（設備情報）'!$L$1,MATCH(G10,'4.1(2)新規再エネ導入予定（設備情報）'!$G:$G,0)-1,0),"")</f>
        <v/>
      </c>
      <c r="J10" s="493" t="str">
        <f ca="1">IFERROR(OFFSET('4.1(2)新規再エネ導入予定（設備情報）'!$O$1,MATCH(G10,'4.1(2)新規再エネ導入予定（設備情報）'!$G:$G,0)-1,0),"")</f>
        <v/>
      </c>
      <c r="K10" s="494" t="str">
        <f ca="1">IFERROR(OFFSET('4.1(2)新規再エネ導入予定（設備情報）'!$P$1,MATCH(G10,'4.1(2)新規再エネ導入予定（設備情報）'!$G:$G,0)-1,0),"")</f>
        <v/>
      </c>
      <c r="L10" s="482"/>
      <c r="M10" s="485"/>
      <c r="N10" s="485"/>
      <c r="O10" s="485"/>
      <c r="P10" s="485"/>
      <c r="Q10" s="485"/>
      <c r="R10" s="24"/>
      <c r="S10" s="21"/>
      <c r="T10" s="485"/>
      <c r="V10" s="255">
        <f t="shared" si="5"/>
        <v>3</v>
      </c>
      <c r="W10" s="129">
        <f ca="1">IF(OFFSET('4.1(2)新規再エネ導入予定（設備情報）'!$O$1,MATCH(X10,'4.1(2)新規再エネ導入予定（設備情報）'!$Z:$Z,0)-1,0)="低圧",1,0)</f>
        <v>0</v>
      </c>
      <c r="X10" s="125" t="str">
        <f ca="1">IFERROR(IF(AND(G10="",L10&lt;&gt;""),MAX(OFFSET($X$8,0,0,ROW()-8,1)),OFFSET('4.1(2)新規再エネ導入予定（設備情報）'!$Z$1,MATCH($G10,'4.1(2)新規再エネ導入予定（設備情報）'!$G:$G,0)-1,0)),"")</f>
        <v/>
      </c>
      <c r="Y10" s="125">
        <f>IF(T10="○",1,0)</f>
        <v>0</v>
      </c>
      <c r="Z10" s="224">
        <f t="shared" ca="1" si="1"/>
        <v>0</v>
      </c>
      <c r="AA10" s="125">
        <f t="shared" si="6"/>
        <v>0</v>
      </c>
      <c r="AB10" s="277">
        <f t="shared" ca="1" si="2"/>
        <v>1</v>
      </c>
      <c r="AC10" s="255" t="str">
        <f t="shared" si="7"/>
        <v/>
      </c>
      <c r="AD10" s="255" t="str">
        <f t="shared" si="8"/>
        <v/>
      </c>
      <c r="AE10" s="255" t="str">
        <f t="shared" si="9"/>
        <v/>
      </c>
      <c r="AF10" s="255" t="str">
        <f t="shared" si="10"/>
        <v/>
      </c>
      <c r="AG10" s="255" t="str">
        <f>IF(COUNTBLANK(AD10:AF10)=0,PRODUCT(AD10:AF10),"E")</f>
        <v>E</v>
      </c>
      <c r="AH10" s="255" cm="1">
        <f t="array" ref="AH10">_xlfn.IFS(COUNTIF($N10:$P10,"合意済")=3,4,OR(COUNTIF($N10:$P10,"合意済")=2,COUNTIF($N10:$P10,"合意済")=1),3,COUNTIF($N10:$P10,"合意済")=0,2)</f>
        <v>2</v>
      </c>
      <c r="AI10" s="255" t="e">
        <f t="shared" ca="1" si="3"/>
        <v>#VALUE!</v>
      </c>
      <c r="AJ10" s="255" t="str">
        <f t="shared" ca="1" si="4"/>
        <v/>
      </c>
    </row>
    <row r="11" spans="1:36" s="11" customFormat="1">
      <c r="B11" s="21"/>
      <c r="C11" s="21"/>
      <c r="D11" s="36"/>
      <c r="E11" s="124"/>
      <c r="F11" s="489" t="str">
        <f ca="1">IFERROR(OFFSET('4.1(2)新規再エネ導入予定（設備情報）'!$F$1,MATCH(G11,'4.1(2)新規再エネ導入予定（設備情報）'!$G:$G,0)-1,0),"")</f>
        <v/>
      </c>
      <c r="G11" s="480"/>
      <c r="H11" s="491" t="str">
        <f ca="1">IFERROR(OFFSET('4.1(2)新規再エネ導入予定（設備情報）'!$H$1,MATCH(G11,'4.1(2)新規再エネ導入予定（設備情報）'!$G:$G,0)-1,0)&amp;"","")</f>
        <v/>
      </c>
      <c r="I11" s="492" t="str">
        <f ca="1">IFERROR(OFFSET('4.1(2)新規再エネ導入予定（設備情報）'!$L$1,MATCH(G11,'4.1(2)新規再エネ導入予定（設備情報）'!$G:$G,0)-1,0),"")</f>
        <v/>
      </c>
      <c r="J11" s="493" t="str">
        <f ca="1">IFERROR(OFFSET('4.1(2)新規再エネ導入予定（設備情報）'!$O$1,MATCH(G11,'4.1(2)新規再エネ導入予定（設備情報）'!$G:$G,0)-1,0),"")</f>
        <v/>
      </c>
      <c r="K11" s="494" t="str">
        <f ca="1">IFERROR(OFFSET('4.1(2)新規再エネ導入予定（設備情報）'!$P$1,MATCH(G11,'4.1(2)新規再エネ導入予定（設備情報）'!$G:$G,0)-1,0),"")</f>
        <v/>
      </c>
      <c r="L11" s="482"/>
      <c r="M11" s="486"/>
      <c r="N11" s="486"/>
      <c r="O11" s="486"/>
      <c r="P11" s="486"/>
      <c r="Q11" s="486"/>
      <c r="R11" s="24"/>
      <c r="S11" s="21"/>
      <c r="T11" s="485"/>
      <c r="V11" s="255">
        <f t="shared" si="5"/>
        <v>4</v>
      </c>
      <c r="W11" s="129">
        <f ca="1">IF(OFFSET('4.1(2)新規再エネ導入予定（設備情報）'!$O$1,MATCH(X11,'4.1(2)新規再エネ導入予定（設備情報）'!$Z:$Z,0)-1,0)="低圧",1,0)</f>
        <v>0</v>
      </c>
      <c r="X11" s="125" t="str">
        <f ca="1">IFERROR(IF(AND(G11="",L11&lt;&gt;""),MAX(OFFSET($X$8,0,0,ROW()-8,1)),OFFSET('4.1(2)新規再エネ導入予定（設備情報）'!$Z$1,MATCH($G11,'4.1(2)新規再エネ導入予定（設備情報）'!$G:$G,0)-1,0)),"")</f>
        <v/>
      </c>
      <c r="Y11" s="125">
        <f t="shared" ref="Y11:Y73" si="12">IF(T11="○",1,0)</f>
        <v>0</v>
      </c>
      <c r="Z11" s="224">
        <f t="shared" ca="1" si="1"/>
        <v>0</v>
      </c>
      <c r="AA11" s="125">
        <f t="shared" si="6"/>
        <v>0</v>
      </c>
      <c r="AB11" s="277">
        <f t="shared" ca="1" si="2"/>
        <v>1</v>
      </c>
      <c r="AC11" s="255" t="str">
        <f t="shared" si="7"/>
        <v/>
      </c>
      <c r="AD11" s="255" t="str">
        <f t="shared" si="8"/>
        <v/>
      </c>
      <c r="AE11" s="255" t="str">
        <f t="shared" si="9"/>
        <v/>
      </c>
      <c r="AF11" s="255" t="str">
        <f t="shared" si="10"/>
        <v/>
      </c>
      <c r="AG11" s="255" t="str">
        <f>IF(COUNTBLANK(AD11:AF11)=0,PRODUCT(AD11:AF11),"E")</f>
        <v>E</v>
      </c>
      <c r="AH11" s="255" cm="1">
        <f t="array" ref="AH11">_xlfn.IFS(COUNTIF($N11:$P11,"合意済")=3,4,OR(COUNTIF($N11:$P11,"合意済")=2,COUNTIF($N11:$P11,"合意済")=1),3,COUNTIF($N11:$P11,"合意済")=0,2)</f>
        <v>2</v>
      </c>
      <c r="AI11" s="255" t="e">
        <f t="shared" ca="1" si="3"/>
        <v>#VALUE!</v>
      </c>
      <c r="AJ11" s="255" t="str">
        <f t="shared" ca="1" si="4"/>
        <v/>
      </c>
    </row>
    <row r="12" spans="1:36" s="11" customFormat="1">
      <c r="B12" s="21"/>
      <c r="C12" s="21"/>
      <c r="D12" s="36"/>
      <c r="E12" s="124"/>
      <c r="F12" s="489" t="str">
        <f ca="1">IFERROR(OFFSET('4.1(2)新規再エネ導入予定（設備情報）'!$F$1,MATCH(G12,'4.1(2)新規再エネ導入予定（設備情報）'!$G:$G,0)-1,0),"")</f>
        <v/>
      </c>
      <c r="G12" s="480"/>
      <c r="H12" s="491" t="str">
        <f ca="1">IFERROR(OFFSET('4.1(2)新規再エネ導入予定（設備情報）'!$H$1,MATCH(G12,'4.1(2)新規再エネ導入予定（設備情報）'!$G:$G,0)-1,0)&amp;"","")</f>
        <v/>
      </c>
      <c r="I12" s="492" t="str">
        <f ca="1">IFERROR(OFFSET('4.1(2)新規再エネ導入予定（設備情報）'!$L$1,MATCH(G12,'4.1(2)新規再エネ導入予定（設備情報）'!$G:$G,0)-1,0),"")</f>
        <v/>
      </c>
      <c r="J12" s="493" t="str">
        <f ca="1">IFERROR(OFFSET('4.1(2)新規再エネ導入予定（設備情報）'!$O$1,MATCH(G12,'4.1(2)新規再エネ導入予定（設備情報）'!$G:$G,0)-1,0),"")</f>
        <v/>
      </c>
      <c r="K12" s="494" t="str">
        <f ca="1">IFERROR(OFFSET('4.1(2)新規再エネ導入予定（設備情報）'!$P$1,MATCH(G12,'4.1(2)新規再エネ導入予定（設備情報）'!$G:$G,0)-1,0),"")</f>
        <v/>
      </c>
      <c r="L12" s="483"/>
      <c r="M12" s="486"/>
      <c r="N12" s="486"/>
      <c r="O12" s="486"/>
      <c r="P12" s="486"/>
      <c r="Q12" s="486"/>
      <c r="R12" s="24"/>
      <c r="S12" s="21"/>
      <c r="T12" s="485"/>
      <c r="V12" s="255">
        <f t="shared" si="5"/>
        <v>5</v>
      </c>
      <c r="W12" s="129">
        <f ca="1">IF(OFFSET('4.1(2)新規再エネ導入予定（設備情報）'!$O$1,MATCH(X12,'4.1(2)新規再エネ導入予定（設備情報）'!$Z:$Z,0)-1,0)="低圧",1,0)</f>
        <v>0</v>
      </c>
      <c r="X12" s="125" t="str">
        <f ca="1">IFERROR(IF(AND(G12="",L12&lt;&gt;""),MAX(OFFSET($X$8,0,0,ROW()-8,1)),OFFSET('4.1(2)新規再エネ導入予定（設備情報）'!$Z$1,MATCH($G12,'4.1(2)新規再エネ導入予定（設備情報）'!$G:$G,0)-1,0)),"")</f>
        <v/>
      </c>
      <c r="Y12" s="125">
        <f t="shared" si="12"/>
        <v>0</v>
      </c>
      <c r="Z12" s="224">
        <f t="shared" ca="1" si="1"/>
        <v>0</v>
      </c>
      <c r="AA12" s="125">
        <f t="shared" si="6"/>
        <v>0</v>
      </c>
      <c r="AB12" s="277">
        <f t="shared" ca="1" si="2"/>
        <v>1</v>
      </c>
      <c r="AC12" s="255" t="str">
        <f t="shared" si="7"/>
        <v/>
      </c>
      <c r="AD12" s="255" t="str">
        <f t="shared" si="8"/>
        <v/>
      </c>
      <c r="AE12" s="255" t="str">
        <f t="shared" si="9"/>
        <v/>
      </c>
      <c r="AF12" s="255" t="str">
        <f t="shared" si="10"/>
        <v/>
      </c>
      <c r="AG12" s="255" t="str">
        <f>IF(COUNTBLANK(AD12:AF12)=0,PRODUCT(AD12:AF12),"E")</f>
        <v>E</v>
      </c>
      <c r="AH12" s="255" cm="1">
        <f t="array" ref="AH12">_xlfn.IFS(COUNTIF($N12:$P12,"合意済")=3,4,OR(COUNTIF($N12:$P12,"合意済")=2,COUNTIF($N12:$P12,"合意済")=1),3,COUNTIF($N12:$P12,"合意済")=0,2)</f>
        <v>2</v>
      </c>
      <c r="AI12" s="255" t="e">
        <f ca="1">IF(AND(W12*AA12*AC12=1,AD12*AE12*AF12=0),2,AB12*AC12*AG12*(AH12))</f>
        <v>#VALUE!</v>
      </c>
      <c r="AJ12" s="255" t="str">
        <f t="shared" ca="1" si="4"/>
        <v/>
      </c>
    </row>
    <row r="13" spans="1:36" s="11" customFormat="1">
      <c r="B13" s="21"/>
      <c r="C13" s="21"/>
      <c r="D13" s="36"/>
      <c r="E13" s="124"/>
      <c r="F13" s="489" t="str">
        <f ca="1">IFERROR(OFFSET('4.1(2)新規再エネ導入予定（設備情報）'!$F$1,MATCH(G13,'4.1(2)新規再エネ導入予定（設備情報）'!$G:$G,0)-1,0),"")</f>
        <v/>
      </c>
      <c r="G13" s="480"/>
      <c r="H13" s="491" t="str">
        <f ca="1">IFERROR(OFFSET('4.1(2)新規再エネ導入予定（設備情報）'!$H$1,MATCH(G13,'4.1(2)新規再エネ導入予定（設備情報）'!$G:$G,0)-1,0)&amp;"","")</f>
        <v/>
      </c>
      <c r="I13" s="492" t="str">
        <f ca="1">IFERROR(OFFSET('4.1(2)新規再エネ導入予定（設備情報）'!$L$1,MATCH(G13,'4.1(2)新規再エネ導入予定（設備情報）'!$G:$G,0)-1,0),"")</f>
        <v/>
      </c>
      <c r="J13" s="493" t="str">
        <f ca="1">IFERROR(OFFSET('4.1(2)新規再エネ導入予定（設備情報）'!$O$1,MATCH(G13,'4.1(2)新規再エネ導入予定（設備情報）'!$G:$G,0)-1,0),"")</f>
        <v/>
      </c>
      <c r="K13" s="494" t="str">
        <f ca="1">IFERROR(OFFSET('4.1(2)新規再エネ導入予定（設備情報）'!$P$1,MATCH(G13,'4.1(2)新規再エネ導入予定（設備情報）'!$G:$G,0)-1,0),"")</f>
        <v/>
      </c>
      <c r="L13" s="483"/>
      <c r="M13" s="486"/>
      <c r="N13" s="486"/>
      <c r="O13" s="486"/>
      <c r="P13" s="486"/>
      <c r="Q13" s="486"/>
      <c r="R13" s="24"/>
      <c r="S13" s="21"/>
      <c r="T13" s="485"/>
      <c r="V13" s="255">
        <f t="shared" si="5"/>
        <v>6</v>
      </c>
      <c r="W13" s="129">
        <f ca="1">IF(OFFSET('4.1(2)新規再エネ導入予定（設備情報）'!$O$1,MATCH(X13,'4.1(2)新規再エネ導入予定（設備情報）'!$Z:$Z,0)-1,0)="低圧",1,0)</f>
        <v>0</v>
      </c>
      <c r="X13" s="125" t="str">
        <f ca="1">IFERROR(IF(AND(G13="",L13&lt;&gt;""),MAX(OFFSET($X$8,0,0,ROW()-8,1)),OFFSET('4.1(2)新規再エネ導入予定（設備情報）'!$Z$1,MATCH($G13,'4.1(2)新規再エネ導入予定（設備情報）'!$G:$G,0)-1,0)),"")</f>
        <v/>
      </c>
      <c r="Y13" s="125">
        <f t="shared" si="12"/>
        <v>0</v>
      </c>
      <c r="Z13" s="224">
        <f t="shared" ca="1" si="1"/>
        <v>0</v>
      </c>
      <c r="AA13" s="125">
        <f t="shared" si="6"/>
        <v>0</v>
      </c>
      <c r="AB13" s="277">
        <f t="shared" ca="1" si="2"/>
        <v>1</v>
      </c>
      <c r="AC13" s="255" t="str">
        <f t="shared" si="7"/>
        <v/>
      </c>
      <c r="AD13" s="255" t="str">
        <f t="shared" si="8"/>
        <v/>
      </c>
      <c r="AE13" s="255" t="str">
        <f t="shared" si="9"/>
        <v/>
      </c>
      <c r="AF13" s="255" t="str">
        <f t="shared" si="10"/>
        <v/>
      </c>
      <c r="AG13" s="255" t="str">
        <f>IF(COUNTBLANK(AD13:AF13)=0,PRODUCT(AD13:AF13),"E")</f>
        <v>E</v>
      </c>
      <c r="AH13" s="255" cm="1">
        <f t="array" ref="AH13">_xlfn.IFS(COUNTIF($N13:$P13,"合意済")=3,4,OR(COUNTIF($N13:$P13,"合意済")=2,COUNTIF($N13:$P13,"合意済")=1),3,COUNTIF($N13:$P13,"合意済")=0,2)</f>
        <v>2</v>
      </c>
      <c r="AI13" s="255" t="e">
        <f t="shared" ref="AI13:AI76" ca="1" si="13">IF(AND(W13*AA13*AC13=1,AD13*AE13*AF13=0),2,AB13*AC13*AG13*(AH13))</f>
        <v>#VALUE!</v>
      </c>
      <c r="AJ13" s="255" t="str">
        <f t="shared" ca="1" si="4"/>
        <v/>
      </c>
    </row>
    <row r="14" spans="1:36" ht="20">
      <c r="D14" s="188"/>
      <c r="E14" s="190" t="s">
        <v>16</v>
      </c>
      <c r="F14" s="191"/>
      <c r="G14" s="474"/>
      <c r="H14" s="475"/>
      <c r="I14" s="476"/>
      <c r="J14" s="477"/>
      <c r="K14" s="478"/>
      <c r="L14" s="478"/>
      <c r="M14" s="477"/>
      <c r="N14" s="477"/>
      <c r="O14" s="477"/>
      <c r="P14" s="477"/>
      <c r="Q14" s="500"/>
      <c r="R14" s="19"/>
      <c r="T14" s="487"/>
      <c r="V14" s="175">
        <f t="shared" si="5"/>
        <v>7</v>
      </c>
      <c r="W14" s="215">
        <f ca="1">IF(OFFSET('4.1(2)新規再エネ導入予定（設備情報）'!$O$1,MATCH(X14,'4.1(2)新規再エネ導入予定（設備情報）'!$Z:$Z,0)-1,0)="低圧",1,0)</f>
        <v>0</v>
      </c>
      <c r="X14" s="125" t="str">
        <f ca="1">IFERROR(IF(AND(G14="",L14&lt;&gt;""),MAX(OFFSET($X$8,0,0,ROW()-8,1)),OFFSET('4.1(2)新規再エネ導入予定（設備情報）'!$Z$1,MATCH($G14,'4.1(2)新規再エネ導入予定（設備情報）'!$G:$G,0)-1,0)),"")</f>
        <v/>
      </c>
      <c r="Y14" s="263">
        <f t="shared" si="12"/>
        <v>0</v>
      </c>
      <c r="Z14" s="261">
        <f t="shared" ca="1" si="1"/>
        <v>0</v>
      </c>
      <c r="AA14" s="263">
        <f t="shared" si="6"/>
        <v>0</v>
      </c>
      <c r="AB14" s="262">
        <f t="shared" ca="1" si="2"/>
        <v>1</v>
      </c>
      <c r="AC14" s="175" t="str">
        <f t="shared" si="7"/>
        <v/>
      </c>
      <c r="AD14" s="175" t="str">
        <f t="shared" si="8"/>
        <v/>
      </c>
      <c r="AE14" s="175" t="str">
        <f t="shared" si="9"/>
        <v/>
      </c>
      <c r="AF14" s="175" t="str">
        <f t="shared" si="10"/>
        <v/>
      </c>
      <c r="AG14" s="175" t="str">
        <f>IF(COUNTBLANK(AD14:AF14)=0,PRODUCT(AD14:AF14),"E")</f>
        <v>E</v>
      </c>
      <c r="AH14" s="175" cm="1">
        <f t="array" ref="AH14">_xlfn.IFS(COUNTIF($N14:$P14,"合意済")=3,4,OR(COUNTIF($N14:$P14,"合意済")=2,COUNTIF($N14:$P14,"合意済")=1),3,COUNTIF($N14:$P14,"合意済")=0,2)</f>
        <v>2</v>
      </c>
      <c r="AI14" s="175" t="e">
        <f t="shared" ca="1" si="13"/>
        <v>#VALUE!</v>
      </c>
      <c r="AJ14" s="175" t="str">
        <f t="shared" ca="1" si="4"/>
        <v/>
      </c>
    </row>
    <row r="15" spans="1:36" s="11" customFormat="1" hidden="1">
      <c r="B15" s="21"/>
      <c r="C15" s="21"/>
      <c r="D15" s="36"/>
      <c r="E15" s="124"/>
      <c r="F15" s="707"/>
      <c r="G15" s="479"/>
      <c r="H15" s="495"/>
      <c r="I15" s="496"/>
      <c r="J15" s="497"/>
      <c r="K15" s="498"/>
      <c r="L15" s="481"/>
      <c r="M15" s="484"/>
      <c r="N15" s="484"/>
      <c r="O15" s="484"/>
      <c r="P15" s="484"/>
      <c r="Q15" s="484"/>
      <c r="R15" s="24"/>
      <c r="S15" s="21"/>
      <c r="T15" s="484"/>
      <c r="V15" s="255">
        <f t="shared" si="5"/>
        <v>8</v>
      </c>
      <c r="W15" s="129">
        <f ca="1">IF(OFFSET('4.1(2)新規再エネ導入予定（設備情報）'!$O$1,MATCH(X15,'4.1(2)新規再エネ導入予定（設備情報）'!$Z:$Z,0)-1,0)="低圧",1,0)</f>
        <v>0</v>
      </c>
      <c r="X15" s="125" t="str">
        <f ca="1">IFERROR(IF(AND(G15="",L15&lt;&gt;""),MAX(OFFSET($X$8,0,0,ROW()-8,1)),OFFSET('4.1(2)新規再エネ導入予定（設備情報）'!$Z$1,MATCH($G15,'4.1(2)新規再エネ導入予定（設備情報）'!$G:$G,0)-1,0)),"")</f>
        <v/>
      </c>
      <c r="Y15" s="224">
        <f t="shared" si="12"/>
        <v>0</v>
      </c>
      <c r="Z15" s="224">
        <f t="shared" ca="1" si="1"/>
        <v>0</v>
      </c>
      <c r="AA15" s="224">
        <f t="shared" si="6"/>
        <v>0</v>
      </c>
      <c r="AB15" s="277">
        <f t="shared" ca="1" si="2"/>
        <v>1</v>
      </c>
      <c r="AC15" s="255" t="str">
        <f t="shared" si="7"/>
        <v/>
      </c>
      <c r="AD15" s="255" t="str">
        <f t="shared" si="8"/>
        <v/>
      </c>
      <c r="AE15" s="255" t="str">
        <f t="shared" si="9"/>
        <v/>
      </c>
      <c r="AF15" s="255" t="str">
        <f t="shared" si="10"/>
        <v/>
      </c>
      <c r="AG15" s="255" t="str">
        <f t="shared" si="11"/>
        <v>E</v>
      </c>
      <c r="AH15" s="255" cm="1">
        <f t="array" ref="AH15">_xlfn.IFS(COUNTIF($N15:$P15,"合意済")=3,4,OR(COUNTIF($N15:$P15,"合意済")=2,COUNTIF($N15:$P15,"合意済")=1),3,COUNTIF($N15:$P15,"合意済")=0,2)</f>
        <v>2</v>
      </c>
      <c r="AI15" s="255" t="e">
        <f t="shared" ca="1" si="13"/>
        <v>#VALUE!</v>
      </c>
      <c r="AJ15" s="255" t="str">
        <f t="shared" ca="1" si="4"/>
        <v/>
      </c>
    </row>
    <row r="16" spans="1:36" s="11" customFormat="1">
      <c r="B16" s="21"/>
      <c r="C16" s="21"/>
      <c r="D16" s="36"/>
      <c r="E16" s="124"/>
      <c r="F16" s="489" t="str">
        <f ca="1">IFERROR(OFFSET('4.1(2)新規再エネ導入予定（設備情報）'!$F$1,MATCH(G16,'4.1(2)新規再エネ導入予定（設備情報）'!$G:$G,0)-1,0),"")</f>
        <v/>
      </c>
      <c r="G16" s="480"/>
      <c r="H16" s="491" t="str">
        <f ca="1">IFERROR(OFFSET('4.1(2)新規再エネ導入予定（設備情報）'!$H$1,MATCH(G16,'4.1(2)新規再エネ導入予定（設備情報）'!$G:$G,0)-1,0)&amp;"","")</f>
        <v/>
      </c>
      <c r="I16" s="492" t="str">
        <f ca="1">IFERROR(OFFSET('4.1(2)新規再エネ導入予定（設備情報）'!$L$1,MATCH(G16,'4.1(2)新規再エネ導入予定（設備情報）'!$G:$G,0)-1,0),"")</f>
        <v/>
      </c>
      <c r="J16" s="493" t="str">
        <f ca="1">IFERROR(OFFSET('4.1(2)新規再エネ導入予定（設備情報）'!$O$1,MATCH(G16,'4.1(2)新規再エネ導入予定（設備情報）'!$G:$G,0)-1,0),"")</f>
        <v/>
      </c>
      <c r="K16" s="494" t="str">
        <f ca="1">IFERROR(OFFSET('4.1(2)新規再エネ導入予定（設備情報）'!$P$1,MATCH(G16,'4.1(2)新規再エネ導入予定（設備情報）'!$G:$G,0)-1,0),"")</f>
        <v/>
      </c>
      <c r="L16" s="483"/>
      <c r="M16" s="486"/>
      <c r="N16" s="485"/>
      <c r="O16" s="485"/>
      <c r="P16" s="485"/>
      <c r="Q16" s="485"/>
      <c r="R16" s="24"/>
      <c r="S16" s="21"/>
      <c r="T16" s="485"/>
      <c r="V16" s="255">
        <f t="shared" si="5"/>
        <v>9</v>
      </c>
      <c r="W16" s="129">
        <f ca="1">IF(OFFSET('4.1(2)新規再エネ導入予定（設備情報）'!$O$1,MATCH(X16,'4.1(2)新規再エネ導入予定（設備情報）'!$Z:$Z,0)-1,0)="低圧",1,0)</f>
        <v>0</v>
      </c>
      <c r="X16" s="125" t="str">
        <f ca="1">IFERROR(IF(AND(G16="",L16&lt;&gt;""),MAX(OFFSET($X$8,0,0,ROW()-8,1)),OFFSET('4.1(2)新規再エネ導入予定（設備情報）'!$Z$1,MATCH($G16,'4.1(2)新規再エネ導入予定（設備情報）'!$G:$G,0)-1,0)),"")</f>
        <v/>
      </c>
      <c r="Y16" s="223">
        <f t="shared" si="12"/>
        <v>0</v>
      </c>
      <c r="Z16" s="224">
        <f t="shared" ca="1" si="1"/>
        <v>0</v>
      </c>
      <c r="AA16" s="223">
        <f t="shared" si="6"/>
        <v>0</v>
      </c>
      <c r="AB16" s="277">
        <f t="shared" ca="1" si="2"/>
        <v>1</v>
      </c>
      <c r="AC16" s="255" t="str">
        <f t="shared" si="7"/>
        <v/>
      </c>
      <c r="AD16" s="255" t="str">
        <f t="shared" si="8"/>
        <v/>
      </c>
      <c r="AE16" s="255" t="str">
        <f t="shared" si="9"/>
        <v/>
      </c>
      <c r="AF16" s="255" t="str">
        <f t="shared" si="10"/>
        <v/>
      </c>
      <c r="AG16" s="255" t="str">
        <f>IF(COUNTBLANK(AD16:AF16)=0,PRODUCT(AD16:AF16),"E")</f>
        <v>E</v>
      </c>
      <c r="AH16" s="255" cm="1">
        <f t="array" ref="AH16">_xlfn.IFS(COUNTIF($N16:$P16,"合意済")=3,4,OR(COUNTIF($N16:$P16,"合意済")=2,COUNTIF($N16:$P16,"合意済")=1),3,COUNTIF($N16:$P16,"合意済")=0,2)</f>
        <v>2</v>
      </c>
      <c r="AI16" s="255" t="e">
        <f t="shared" ca="1" si="13"/>
        <v>#VALUE!</v>
      </c>
      <c r="AJ16" s="255" t="str">
        <f t="shared" ca="1" si="4"/>
        <v/>
      </c>
    </row>
    <row r="17" spans="2:36" s="11" customFormat="1">
      <c r="B17" s="21"/>
      <c r="C17" s="21"/>
      <c r="D17" s="36"/>
      <c r="E17" s="124"/>
      <c r="F17" s="489" t="str">
        <f ca="1">IFERROR(OFFSET('4.1(2)新規再エネ導入予定（設備情報）'!$F$1,MATCH(G17,'4.1(2)新規再エネ導入予定（設備情報）'!$G:$G,0)-1,0),"")</f>
        <v/>
      </c>
      <c r="G17" s="480"/>
      <c r="H17" s="491" t="str">
        <f ca="1">IFERROR(OFFSET('4.1(2)新規再エネ導入予定（設備情報）'!$H$1,MATCH(G17,'4.1(2)新規再エネ導入予定（設備情報）'!$G:$G,0)-1,0)&amp;"","")</f>
        <v/>
      </c>
      <c r="I17" s="492" t="str">
        <f ca="1">IFERROR(OFFSET('4.1(2)新規再エネ導入予定（設備情報）'!$L$1,MATCH(G17,'4.1(2)新規再エネ導入予定（設備情報）'!$G:$G,0)-1,0),"")</f>
        <v/>
      </c>
      <c r="J17" s="493" t="str">
        <f ca="1">IFERROR(OFFSET('4.1(2)新規再エネ導入予定（設備情報）'!$O$1,MATCH(G17,'4.1(2)新規再エネ導入予定（設備情報）'!$G:$G,0)-1,0),"")</f>
        <v/>
      </c>
      <c r="K17" s="494" t="str">
        <f ca="1">IFERROR(OFFSET('4.1(2)新規再エネ導入予定（設備情報）'!$P$1,MATCH(G17,'4.1(2)新規再エネ導入予定（設備情報）'!$G:$G,0)-1,0),"")</f>
        <v/>
      </c>
      <c r="L17" s="483"/>
      <c r="M17" s="486"/>
      <c r="N17" s="486"/>
      <c r="O17" s="486"/>
      <c r="P17" s="486"/>
      <c r="Q17" s="486"/>
      <c r="R17" s="24"/>
      <c r="S17" s="21"/>
      <c r="T17" s="486"/>
      <c r="V17" s="255">
        <f t="shared" si="5"/>
        <v>10</v>
      </c>
      <c r="W17" s="129">
        <f ca="1">IF(OFFSET('4.1(2)新規再エネ導入予定（設備情報）'!$O$1,MATCH(X17,'4.1(2)新規再エネ導入予定（設備情報）'!$Z:$Z,0)-1,0)="低圧",1,0)</f>
        <v>0</v>
      </c>
      <c r="X17" s="125" t="str">
        <f ca="1">IFERROR(IF(AND(G17="",L17&lt;&gt;""),MAX(OFFSET($X$8,0,0,ROW()-8,1)),OFFSET('4.1(2)新規再エネ導入予定（設備情報）'!$Z$1,MATCH($G17,'4.1(2)新規再エネ導入予定（設備情報）'!$G:$G,0)-1,0)),"")</f>
        <v/>
      </c>
      <c r="Y17" s="223">
        <f t="shared" si="12"/>
        <v>0</v>
      </c>
      <c r="Z17" s="224">
        <f t="shared" ca="1" si="1"/>
        <v>0</v>
      </c>
      <c r="AA17" s="223">
        <f t="shared" si="6"/>
        <v>0</v>
      </c>
      <c r="AB17" s="277">
        <f t="shared" ca="1" si="2"/>
        <v>1</v>
      </c>
      <c r="AC17" s="255" t="str">
        <f t="shared" si="7"/>
        <v/>
      </c>
      <c r="AD17" s="255" t="str">
        <f t="shared" si="8"/>
        <v/>
      </c>
      <c r="AE17" s="255" t="str">
        <f t="shared" si="9"/>
        <v/>
      </c>
      <c r="AF17" s="255" t="str">
        <f t="shared" si="10"/>
        <v/>
      </c>
      <c r="AG17" s="255" t="str">
        <f t="shared" si="11"/>
        <v>E</v>
      </c>
      <c r="AH17" s="255" cm="1">
        <f t="array" ref="AH17">_xlfn.IFS(COUNTIF($N17:$P17,"合意済")=3,4,OR(COUNTIF($N17:$P17,"合意済")=2,COUNTIF($N17:$P17,"合意済")=1),3,COUNTIF($N17:$P17,"合意済")=0,2)</f>
        <v>2</v>
      </c>
      <c r="AI17" s="255" t="e">
        <f t="shared" ca="1" si="13"/>
        <v>#VALUE!</v>
      </c>
      <c r="AJ17" s="255" t="str">
        <f t="shared" ca="1" si="4"/>
        <v/>
      </c>
    </row>
    <row r="18" spans="2:36" s="11" customFormat="1">
      <c r="B18" s="21"/>
      <c r="C18" s="21"/>
      <c r="D18" s="36"/>
      <c r="E18" s="124"/>
      <c r="F18" s="489" t="str">
        <f ca="1">IFERROR(OFFSET('4.1(2)新規再エネ導入予定（設備情報）'!$F$1,MATCH(G18,'4.1(2)新規再エネ導入予定（設備情報）'!$G:$G,0)-1,0),"")</f>
        <v/>
      </c>
      <c r="G18" s="480"/>
      <c r="H18" s="491" t="str">
        <f ca="1">IFERROR(OFFSET('4.1(2)新規再エネ導入予定（設備情報）'!$H$1,MATCH(G18,'4.1(2)新規再エネ導入予定（設備情報）'!$G:$G,0)-1,0)&amp;"","")</f>
        <v/>
      </c>
      <c r="I18" s="492" t="str">
        <f ca="1">IFERROR(OFFSET('4.1(2)新規再エネ導入予定（設備情報）'!$L$1,MATCH(G18,'4.1(2)新規再エネ導入予定（設備情報）'!$G:$G,0)-1,0),"")</f>
        <v/>
      </c>
      <c r="J18" s="493" t="str">
        <f ca="1">IFERROR(OFFSET('4.1(2)新規再エネ導入予定（設備情報）'!$O$1,MATCH(G18,'4.1(2)新規再エネ導入予定（設備情報）'!$G:$G,0)-1,0),"")</f>
        <v/>
      </c>
      <c r="K18" s="494" t="str">
        <f ca="1">IFERROR(OFFSET('4.1(2)新規再エネ導入予定（設備情報）'!$P$1,MATCH(G18,'4.1(2)新規再エネ導入予定（設備情報）'!$G:$G,0)-1,0),"")</f>
        <v/>
      </c>
      <c r="L18" s="483"/>
      <c r="M18" s="486"/>
      <c r="N18" s="486"/>
      <c r="O18" s="486"/>
      <c r="P18" s="486"/>
      <c r="Q18" s="486"/>
      <c r="R18" s="24"/>
      <c r="S18" s="21"/>
      <c r="T18" s="486"/>
      <c r="V18" s="255">
        <f t="shared" si="5"/>
        <v>11</v>
      </c>
      <c r="W18" s="129">
        <f ca="1">IF(OFFSET('4.1(2)新規再エネ導入予定（設備情報）'!$O$1,MATCH(X18,'4.1(2)新規再エネ導入予定（設備情報）'!$Z:$Z,0)-1,0)="低圧",1,0)</f>
        <v>0</v>
      </c>
      <c r="X18" s="125" t="str">
        <f ca="1">IFERROR(IF(AND(G18="",L18&lt;&gt;""),MAX(OFFSET($X$8,0,0,ROW()-8,1)),OFFSET('4.1(2)新規再エネ導入予定（設備情報）'!$Z$1,MATCH($G18,'4.1(2)新規再エネ導入予定（設備情報）'!$G:$G,0)-1,0)),"")</f>
        <v/>
      </c>
      <c r="Y18" s="223">
        <f t="shared" si="12"/>
        <v>0</v>
      </c>
      <c r="Z18" s="224">
        <f t="shared" ca="1" si="1"/>
        <v>0</v>
      </c>
      <c r="AA18" s="223">
        <f t="shared" si="6"/>
        <v>0</v>
      </c>
      <c r="AB18" s="277">
        <f t="shared" ca="1" si="2"/>
        <v>1</v>
      </c>
      <c r="AC18" s="255" t="str">
        <f t="shared" si="7"/>
        <v/>
      </c>
      <c r="AD18" s="255" t="str">
        <f t="shared" si="8"/>
        <v/>
      </c>
      <c r="AE18" s="255" t="str">
        <f t="shared" si="9"/>
        <v/>
      </c>
      <c r="AF18" s="255" t="str">
        <f t="shared" si="10"/>
        <v/>
      </c>
      <c r="AG18" s="255" t="str">
        <f t="shared" si="11"/>
        <v>E</v>
      </c>
      <c r="AH18" s="255" cm="1">
        <f t="array" ref="AH18">_xlfn.IFS(COUNTIF($N18:$P18,"合意済")=3,4,OR(COUNTIF($N18:$P18,"合意済")=2,COUNTIF($N18:$P18,"合意済")=1),3,COUNTIF($N18:$P18,"合意済")=0,2)</f>
        <v>2</v>
      </c>
      <c r="AI18" s="255" t="e">
        <f t="shared" ca="1" si="13"/>
        <v>#VALUE!</v>
      </c>
      <c r="AJ18" s="255" t="str">
        <f t="shared" ca="1" si="4"/>
        <v/>
      </c>
    </row>
    <row r="19" spans="2:36" s="11" customFormat="1">
      <c r="B19" s="21"/>
      <c r="C19" s="21"/>
      <c r="D19" s="36"/>
      <c r="E19" s="124"/>
      <c r="F19" s="489" t="str">
        <f ca="1">IFERROR(OFFSET('4.1(2)新規再エネ導入予定（設備情報）'!$F$1,MATCH(G19,'4.1(2)新規再エネ導入予定（設備情報）'!$G:$G,0)-1,0),"")</f>
        <v/>
      </c>
      <c r="G19" s="480"/>
      <c r="H19" s="491" t="str">
        <f ca="1">IFERROR(OFFSET('4.1(2)新規再エネ導入予定（設備情報）'!$H$1,MATCH(G19,'4.1(2)新規再エネ導入予定（設備情報）'!$G:$G,0)-1,0)&amp;"","")</f>
        <v/>
      </c>
      <c r="I19" s="492" t="str">
        <f ca="1">IFERROR(OFFSET('4.1(2)新規再エネ導入予定（設備情報）'!$L$1,MATCH(G19,'4.1(2)新規再エネ導入予定（設備情報）'!$G:$G,0)-1,0),"")</f>
        <v/>
      </c>
      <c r="J19" s="493" t="str">
        <f ca="1">IFERROR(OFFSET('4.1(2)新規再エネ導入予定（設備情報）'!$O$1,MATCH(G19,'4.1(2)新規再エネ導入予定（設備情報）'!$G:$G,0)-1,0),"")</f>
        <v/>
      </c>
      <c r="K19" s="494" t="str">
        <f ca="1">IFERROR(OFFSET('4.1(2)新規再エネ導入予定（設備情報）'!$P$1,MATCH(G19,'4.1(2)新規再エネ導入予定（設備情報）'!$G:$G,0)-1,0),"")</f>
        <v/>
      </c>
      <c r="L19" s="483"/>
      <c r="M19" s="486"/>
      <c r="N19" s="486"/>
      <c r="O19" s="486"/>
      <c r="P19" s="486"/>
      <c r="Q19" s="486"/>
      <c r="R19" s="24"/>
      <c r="S19" s="21"/>
      <c r="T19" s="486"/>
      <c r="V19" s="255">
        <f t="shared" si="5"/>
        <v>12</v>
      </c>
      <c r="W19" s="129">
        <f ca="1">IF(OFFSET('4.1(2)新規再エネ導入予定（設備情報）'!$O$1,MATCH(X19,'4.1(2)新規再エネ導入予定（設備情報）'!$Z:$Z,0)-1,0)="低圧",1,0)</f>
        <v>0</v>
      </c>
      <c r="X19" s="125" t="str">
        <f ca="1">IFERROR(IF(AND(G19="",L19&lt;&gt;""),MAX(OFFSET($X$8,0,0,ROW()-8,1)),OFFSET('4.1(2)新規再エネ導入予定（設備情報）'!$Z$1,MATCH($G19,'4.1(2)新規再エネ導入予定（設備情報）'!$G:$G,0)-1,0)),"")</f>
        <v/>
      </c>
      <c r="Y19" s="223">
        <f t="shared" si="12"/>
        <v>0</v>
      </c>
      <c r="Z19" s="224">
        <f t="shared" ca="1" si="1"/>
        <v>0</v>
      </c>
      <c r="AA19" s="223">
        <f t="shared" si="6"/>
        <v>0</v>
      </c>
      <c r="AB19" s="277">
        <f t="shared" ca="1" si="2"/>
        <v>1</v>
      </c>
      <c r="AC19" s="255" t="str">
        <f t="shared" si="7"/>
        <v/>
      </c>
      <c r="AD19" s="255" t="str">
        <f t="shared" si="8"/>
        <v/>
      </c>
      <c r="AE19" s="255" t="str">
        <f t="shared" si="9"/>
        <v/>
      </c>
      <c r="AF19" s="255" t="str">
        <f t="shared" si="10"/>
        <v/>
      </c>
      <c r="AG19" s="255" t="str">
        <f t="shared" si="11"/>
        <v>E</v>
      </c>
      <c r="AH19" s="255" cm="1">
        <f t="array" ref="AH19">_xlfn.IFS(COUNTIF($N19:$P19,"合意済")=3,4,OR(COUNTIF($N19:$P19,"合意済")=2,COUNTIF($N19:$P19,"合意済")=1),3,COUNTIF($N19:$P19,"合意済")=0,2)</f>
        <v>2</v>
      </c>
      <c r="AI19" s="255" t="e">
        <f t="shared" ca="1" si="13"/>
        <v>#VALUE!</v>
      </c>
      <c r="AJ19" s="255" t="str">
        <f t="shared" ca="1" si="4"/>
        <v/>
      </c>
    </row>
    <row r="20" spans="2:36" ht="18" customHeight="1">
      <c r="D20" s="188"/>
      <c r="E20" s="190" t="s">
        <v>17</v>
      </c>
      <c r="F20" s="191"/>
      <c r="G20" s="474"/>
      <c r="H20" s="475"/>
      <c r="I20" s="476"/>
      <c r="J20" s="477"/>
      <c r="K20" s="478"/>
      <c r="L20" s="478"/>
      <c r="M20" s="477"/>
      <c r="N20" s="477"/>
      <c r="O20" s="477"/>
      <c r="P20" s="477"/>
      <c r="Q20" s="500"/>
      <c r="R20" s="19"/>
      <c r="T20" s="487"/>
      <c r="V20" s="175">
        <f t="shared" si="5"/>
        <v>13</v>
      </c>
      <c r="W20" s="215">
        <f ca="1">IF(OFFSET('4.1(2)新規再エネ導入予定（設備情報）'!$O$1,MATCH(X20,'4.1(2)新規再エネ導入予定（設備情報）'!$Z:$Z,0)-1,0)="低圧",1,0)</f>
        <v>0</v>
      </c>
      <c r="X20" s="125" t="str">
        <f ca="1">IFERROR(IF(AND(G20="",L20&lt;&gt;""),MAX(OFFSET($X$8,0,0,ROW()-8,1)),OFFSET('4.1(2)新規再エネ導入予定（設備情報）'!$Z$1,MATCH($G20,'4.1(2)新規再エネ導入予定（設備情報）'!$G:$G,0)-1,0)),"")</f>
        <v/>
      </c>
      <c r="Y20" s="263">
        <f t="shared" si="12"/>
        <v>0</v>
      </c>
      <c r="Z20" s="261">
        <f t="shared" ca="1" si="1"/>
        <v>0</v>
      </c>
      <c r="AA20" s="263">
        <f t="shared" si="6"/>
        <v>0</v>
      </c>
      <c r="AB20" s="262">
        <f t="shared" ca="1" si="2"/>
        <v>1</v>
      </c>
      <c r="AC20" s="175" t="str">
        <f t="shared" si="7"/>
        <v/>
      </c>
      <c r="AD20" s="175" t="str">
        <f t="shared" si="8"/>
        <v/>
      </c>
      <c r="AE20" s="175" t="str">
        <f t="shared" si="9"/>
        <v/>
      </c>
      <c r="AF20" s="175" t="str">
        <f t="shared" si="10"/>
        <v/>
      </c>
      <c r="AG20" s="175" t="str">
        <f t="shared" ref="AG20:AG72" si="14">IF(COUNTBLANK(AD20:AF20)=0,IF(W20=1,AC20,PRODUCT(AD20:AF20)),"E")</f>
        <v>E</v>
      </c>
      <c r="AH20" s="175" cm="1">
        <f t="array" ref="AH20">_xlfn.IFS(COUNTIF($N20:$P20,"合意済")=3,4,OR(COUNTIF($N20:$P20,"合意済")=2,COUNTIF($N20:$P20,"合意済")=1),3,COUNTIF($N20:$P20,"合意済")=0,2)</f>
        <v>2</v>
      </c>
      <c r="AI20" s="175" t="e">
        <f t="shared" ca="1" si="13"/>
        <v>#VALUE!</v>
      </c>
      <c r="AJ20" s="175" t="str">
        <f t="shared" ca="1" si="4"/>
        <v/>
      </c>
    </row>
    <row r="21" spans="2:36" s="11" customFormat="1" hidden="1">
      <c r="B21" s="21"/>
      <c r="C21" s="21"/>
      <c r="D21" s="36"/>
      <c r="E21" s="124"/>
      <c r="F21" s="707"/>
      <c r="G21" s="479"/>
      <c r="H21" s="495"/>
      <c r="I21" s="496"/>
      <c r="J21" s="497"/>
      <c r="K21" s="498"/>
      <c r="L21" s="481"/>
      <c r="M21" s="484"/>
      <c r="N21" s="484"/>
      <c r="O21" s="484"/>
      <c r="P21" s="484"/>
      <c r="Q21" s="484"/>
      <c r="R21" s="24"/>
      <c r="S21" s="21"/>
      <c r="T21" s="484"/>
      <c r="V21" s="255">
        <f t="shared" si="5"/>
        <v>14</v>
      </c>
      <c r="W21" s="129">
        <f ca="1">IF(OFFSET('4.1(2)新規再エネ導入予定（設備情報）'!$O$1,MATCH(X21,'4.1(2)新規再エネ導入予定（設備情報）'!$Z:$Z,0)-1,0)="低圧",1,0)</f>
        <v>0</v>
      </c>
      <c r="X21" s="125" t="str">
        <f ca="1">IFERROR(IF(AND(G21="",L21&lt;&gt;""),MAX(OFFSET($X$8,0,0,ROW()-8,1)),OFFSET('4.1(2)新規再エネ導入予定（設備情報）'!$Z$1,MATCH($G21,'4.1(2)新規再エネ導入予定（設備情報）'!$G:$G,0)-1,0)),"")</f>
        <v/>
      </c>
      <c r="Y21" s="224">
        <f t="shared" si="12"/>
        <v>0</v>
      </c>
      <c r="Z21" s="224">
        <f t="shared" ca="1" si="1"/>
        <v>0</v>
      </c>
      <c r="AA21" s="224">
        <f t="shared" si="6"/>
        <v>0</v>
      </c>
      <c r="AB21" s="277">
        <f t="shared" ca="1" si="2"/>
        <v>1</v>
      </c>
      <c r="AC21" s="255" t="str">
        <f t="shared" si="7"/>
        <v/>
      </c>
      <c r="AD21" s="255" t="str">
        <f t="shared" si="8"/>
        <v/>
      </c>
      <c r="AE21" s="255" t="str">
        <f t="shared" si="9"/>
        <v/>
      </c>
      <c r="AF21" s="255" t="str">
        <f t="shared" si="10"/>
        <v/>
      </c>
      <c r="AG21" s="255" t="str">
        <f t="shared" si="14"/>
        <v>E</v>
      </c>
      <c r="AH21" s="255" cm="1">
        <f t="array" ref="AH21">_xlfn.IFS(COUNTIF($N21:$P21,"合意済")=3,4,OR(COUNTIF($N21:$P21,"合意済")=2,COUNTIF($N21:$P21,"合意済")=1),3,COUNTIF($N21:$P21,"合意済")=0,2)</f>
        <v>2</v>
      </c>
      <c r="AI21" s="255" t="e">
        <f t="shared" ca="1" si="13"/>
        <v>#VALUE!</v>
      </c>
      <c r="AJ21" s="255" t="str">
        <f t="shared" ca="1" si="4"/>
        <v/>
      </c>
    </row>
    <row r="22" spans="2:36" s="11" customFormat="1">
      <c r="B22" s="21"/>
      <c r="C22" s="21"/>
      <c r="D22" s="36"/>
      <c r="E22" s="124"/>
      <c r="F22" s="489" t="str">
        <f ca="1">IFERROR(OFFSET('4.1(2)新規再エネ導入予定（設備情報）'!$F$1,MATCH(G22,'4.1(2)新規再エネ導入予定（設備情報）'!$G:$G,0)-1,0),"")</f>
        <v/>
      </c>
      <c r="G22" s="480"/>
      <c r="H22" s="491" t="str">
        <f ca="1">IFERROR(OFFSET('4.1(2)新規再エネ導入予定（設備情報）'!$H$1,MATCH(G22,'4.1(2)新規再エネ導入予定（設備情報）'!$G:$G,0)-1,0)&amp;"","")</f>
        <v/>
      </c>
      <c r="I22" s="492" t="str">
        <f ca="1">IFERROR(OFFSET('4.1(2)新規再エネ導入予定（設備情報）'!$L$1,MATCH(G22,'4.1(2)新規再エネ導入予定（設備情報）'!$G:$G,0)-1,0),"")</f>
        <v/>
      </c>
      <c r="J22" s="493" t="str">
        <f ca="1">IFERROR(OFFSET('4.1(2)新規再エネ導入予定（設備情報）'!$O$1,MATCH(G22,'4.1(2)新規再エネ導入予定（設備情報）'!$G:$G,0)-1,0),"")</f>
        <v/>
      </c>
      <c r="K22" s="494" t="str">
        <f ca="1">IFERROR(OFFSET('4.1(2)新規再エネ導入予定（設備情報）'!$P$1,MATCH(G22,'4.1(2)新規再エネ導入予定（設備情報）'!$G:$G,0)-1,0),"")</f>
        <v/>
      </c>
      <c r="L22" s="483"/>
      <c r="M22" s="486"/>
      <c r="N22" s="486"/>
      <c r="O22" s="486"/>
      <c r="P22" s="486"/>
      <c r="Q22" s="486"/>
      <c r="R22" s="24"/>
      <c r="S22" s="21"/>
      <c r="T22" s="486"/>
      <c r="V22" s="255">
        <f t="shared" si="5"/>
        <v>15</v>
      </c>
      <c r="W22" s="129">
        <f ca="1">IF(OFFSET('4.1(2)新規再エネ導入予定（設備情報）'!$O$1,MATCH(X22,'4.1(2)新規再エネ導入予定（設備情報）'!$Z:$Z,0)-1,0)="低圧",1,0)</f>
        <v>0</v>
      </c>
      <c r="X22" s="125" t="str">
        <f ca="1">IFERROR(IF(AND(G22="",L22&lt;&gt;""),MAX(OFFSET($X$8,0,0,ROW()-8,1)),OFFSET('4.1(2)新規再エネ導入予定（設備情報）'!$Z$1,MATCH($G22,'4.1(2)新規再エネ導入予定（設備情報）'!$G:$G,0)-1,0)),"")</f>
        <v/>
      </c>
      <c r="Y22" s="223">
        <f t="shared" si="12"/>
        <v>0</v>
      </c>
      <c r="Z22" s="224">
        <f t="shared" ca="1" si="1"/>
        <v>0</v>
      </c>
      <c r="AA22" s="223">
        <f t="shared" si="6"/>
        <v>0</v>
      </c>
      <c r="AB22" s="277">
        <f t="shared" ca="1" si="2"/>
        <v>1</v>
      </c>
      <c r="AC22" s="255" t="str">
        <f t="shared" si="7"/>
        <v/>
      </c>
      <c r="AD22" s="255" t="str">
        <f t="shared" si="8"/>
        <v/>
      </c>
      <c r="AE22" s="255" t="str">
        <f t="shared" si="9"/>
        <v/>
      </c>
      <c r="AF22" s="255" t="str">
        <f t="shared" si="10"/>
        <v/>
      </c>
      <c r="AG22" s="255" t="str">
        <f t="shared" si="14"/>
        <v>E</v>
      </c>
      <c r="AH22" s="255" cm="1">
        <f t="array" ref="AH22">_xlfn.IFS(COUNTIF($N22:$P22,"合意済")=3,4,OR(COUNTIF($N22:$P22,"合意済")=2,COUNTIF($N22:$P22,"合意済")=1),3,COUNTIF($N22:$P22,"合意済")=0,2)</f>
        <v>2</v>
      </c>
      <c r="AI22" s="255" t="e">
        <f t="shared" ca="1" si="13"/>
        <v>#VALUE!</v>
      </c>
      <c r="AJ22" s="255" t="str">
        <f t="shared" ca="1" si="4"/>
        <v/>
      </c>
    </row>
    <row r="23" spans="2:36" s="11" customFormat="1">
      <c r="B23" s="21"/>
      <c r="C23" s="21"/>
      <c r="D23" s="36"/>
      <c r="E23" s="124"/>
      <c r="F23" s="489" t="str">
        <f ca="1">IFERROR(OFFSET('4.1(2)新規再エネ導入予定（設備情報）'!$F$1,MATCH(G23,'4.1(2)新規再エネ導入予定（設備情報）'!$G:$G,0)-1,0),"")</f>
        <v/>
      </c>
      <c r="G23" s="480"/>
      <c r="H23" s="491" t="str">
        <f ca="1">IFERROR(OFFSET('4.1(2)新規再エネ導入予定（設備情報）'!$H$1,MATCH(G23,'4.1(2)新規再エネ導入予定（設備情報）'!$G:$G,0)-1,0)&amp;"","")</f>
        <v/>
      </c>
      <c r="I23" s="492" t="str">
        <f ca="1">IFERROR(OFFSET('4.1(2)新規再エネ導入予定（設備情報）'!$L$1,MATCH(G23,'4.1(2)新規再エネ導入予定（設備情報）'!$G:$G,0)-1,0),"")</f>
        <v/>
      </c>
      <c r="J23" s="493" t="str">
        <f ca="1">IFERROR(OFFSET('4.1(2)新規再エネ導入予定（設備情報）'!$O$1,MATCH(G23,'4.1(2)新規再エネ導入予定（設備情報）'!$G:$G,0)-1,0),"")</f>
        <v/>
      </c>
      <c r="K23" s="494" t="str">
        <f ca="1">IFERROR(OFFSET('4.1(2)新規再エネ導入予定（設備情報）'!$P$1,MATCH(G23,'4.1(2)新規再エネ導入予定（設備情報）'!$G:$G,0)-1,0),"")</f>
        <v/>
      </c>
      <c r="L23" s="483"/>
      <c r="M23" s="486"/>
      <c r="N23" s="486"/>
      <c r="O23" s="486"/>
      <c r="P23" s="486"/>
      <c r="Q23" s="486"/>
      <c r="R23" s="24"/>
      <c r="S23" s="21"/>
      <c r="T23" s="486"/>
      <c r="V23" s="255">
        <f t="shared" si="5"/>
        <v>16</v>
      </c>
      <c r="W23" s="129">
        <f ca="1">IF(OFFSET('4.1(2)新規再エネ導入予定（設備情報）'!$O$1,MATCH(X23,'4.1(2)新規再エネ導入予定（設備情報）'!$Z:$Z,0)-1,0)="低圧",1,0)</f>
        <v>0</v>
      </c>
      <c r="X23" s="125" t="str">
        <f ca="1">IFERROR(IF(AND(G23="",L23&lt;&gt;""),MAX(OFFSET($X$8,0,0,ROW()-8,1)),OFFSET('4.1(2)新規再エネ導入予定（設備情報）'!$Z$1,MATCH($G23,'4.1(2)新規再エネ導入予定（設備情報）'!$G:$G,0)-1,0)),"")</f>
        <v/>
      </c>
      <c r="Y23" s="223">
        <f t="shared" ref="Y23" si="15">IF(T23="○",1,0)</f>
        <v>0</v>
      </c>
      <c r="Z23" s="224">
        <f t="shared" ca="1" si="1"/>
        <v>0</v>
      </c>
      <c r="AA23" s="223">
        <f t="shared" si="6"/>
        <v>0</v>
      </c>
      <c r="AB23" s="277">
        <f t="shared" ca="1" si="2"/>
        <v>1</v>
      </c>
      <c r="AC23" s="255" t="str">
        <f t="shared" ref="AC23" si="16">IF(M23="","",IF(OR(M23="説明済",M23="協議中",M23="合意済"),1,0))</f>
        <v/>
      </c>
      <c r="AD23" s="255" t="str">
        <f t="shared" ref="AD23" si="17">IF(N23="","",IF(OR(N23="説明済",N23="協議中",N23="合意済"),1,0))</f>
        <v/>
      </c>
      <c r="AE23" s="255" t="str">
        <f t="shared" ref="AE23" si="18">IF(O23="","",IF(OR(O23="説明済",O23="協議中",O23="合意済"),1,0))</f>
        <v/>
      </c>
      <c r="AF23" s="255" t="str">
        <f t="shared" ref="AF23" si="19">IF(P23="","",IF(OR(P23="説明済",P23="協議中",P23="合意済"),1,0))</f>
        <v/>
      </c>
      <c r="AG23" s="255" t="str">
        <f t="shared" ref="AG23" si="20">IF(COUNTBLANK(AD23:AF23)=0,IF(W23=1,AC23,PRODUCT(AD23:AF23)),"E")</f>
        <v>E</v>
      </c>
      <c r="AH23" s="255" cm="1">
        <f t="array" ref="AH23">_xlfn.IFS(COUNTIF($N23:$P23,"合意済")=3,4,OR(COUNTIF($N23:$P23,"合意済")=2,COUNTIF($N23:$P23,"合意済")=1),3,COUNTIF($N23:$P23,"合意済")=0,2)</f>
        <v>2</v>
      </c>
      <c r="AI23" s="255" t="e">
        <f t="shared" ref="AI23" ca="1" si="21">IF(AND(W23*AA23*AC23=1,AD23*AE23*AF23=0),2,AB23*AC23*AG23*(AH23))</f>
        <v>#VALUE!</v>
      </c>
      <c r="AJ23" s="255" t="str">
        <f t="shared" ca="1" si="4"/>
        <v/>
      </c>
    </row>
    <row r="24" spans="2:36" s="11" customFormat="1">
      <c r="B24" s="21"/>
      <c r="C24" s="21"/>
      <c r="D24" s="36"/>
      <c r="E24" s="124"/>
      <c r="F24" s="489" t="str">
        <f ca="1">IFERROR(OFFSET('4.1(2)新規再エネ導入予定（設備情報）'!$F$1,MATCH(G24,'4.1(2)新規再エネ導入予定（設備情報）'!$G:$G,0)-1,0),"")</f>
        <v/>
      </c>
      <c r="G24" s="480"/>
      <c r="H24" s="491" t="str">
        <f ca="1">IFERROR(OFFSET('4.1(2)新規再エネ導入予定（設備情報）'!$H$1,MATCH(G24,'4.1(2)新規再エネ導入予定（設備情報）'!$G:$G,0)-1,0)&amp;"","")</f>
        <v/>
      </c>
      <c r="I24" s="492" t="str">
        <f ca="1">IFERROR(OFFSET('4.1(2)新規再エネ導入予定（設備情報）'!$L$1,MATCH(G24,'4.1(2)新規再エネ導入予定（設備情報）'!$G:$G,0)-1,0),"")</f>
        <v/>
      </c>
      <c r="J24" s="493" t="str">
        <f ca="1">IFERROR(OFFSET('4.1(2)新規再エネ導入予定（設備情報）'!$O$1,MATCH(G24,'4.1(2)新規再エネ導入予定（設備情報）'!$G:$G,0)-1,0),"")</f>
        <v/>
      </c>
      <c r="K24" s="494" t="str">
        <f ca="1">IFERROR(OFFSET('4.1(2)新規再エネ導入予定（設備情報）'!$P$1,MATCH(G24,'4.1(2)新規再エネ導入予定（設備情報）'!$G:$G,0)-1,0),"")</f>
        <v/>
      </c>
      <c r="L24" s="483"/>
      <c r="M24" s="486"/>
      <c r="N24" s="486"/>
      <c r="O24" s="486"/>
      <c r="P24" s="486"/>
      <c r="Q24" s="486"/>
      <c r="R24" s="24"/>
      <c r="S24" s="21"/>
      <c r="T24" s="486"/>
      <c r="V24" s="255">
        <f t="shared" si="5"/>
        <v>17</v>
      </c>
      <c r="W24" s="129">
        <f ca="1">IF(OFFSET('4.1(2)新規再エネ導入予定（設備情報）'!$O$1,MATCH(X24,'4.1(2)新規再エネ導入予定（設備情報）'!$Z:$Z,0)-1,0)="低圧",1,0)</f>
        <v>0</v>
      </c>
      <c r="X24" s="125" t="str">
        <f ca="1">IFERROR(IF(AND(G24="",L24&lt;&gt;""),MAX(OFFSET($X$8,0,0,ROW()-8,1)),OFFSET('4.1(2)新規再エネ導入予定（設備情報）'!$Z$1,MATCH($G24,'4.1(2)新規再エネ導入予定（設備情報）'!$G:$G,0)-1,0)),"")</f>
        <v/>
      </c>
      <c r="Y24" s="223">
        <f t="shared" si="12"/>
        <v>0</v>
      </c>
      <c r="Z24" s="224">
        <f t="shared" ca="1" si="1"/>
        <v>0</v>
      </c>
      <c r="AA24" s="223">
        <f t="shared" si="6"/>
        <v>0</v>
      </c>
      <c r="AB24" s="277">
        <f t="shared" ca="1" si="2"/>
        <v>1</v>
      </c>
      <c r="AC24" s="255" t="str">
        <f t="shared" si="7"/>
        <v/>
      </c>
      <c r="AD24" s="255" t="str">
        <f t="shared" si="8"/>
        <v/>
      </c>
      <c r="AE24" s="255" t="str">
        <f t="shared" si="9"/>
        <v/>
      </c>
      <c r="AF24" s="255" t="str">
        <f t="shared" si="10"/>
        <v/>
      </c>
      <c r="AG24" s="255" t="str">
        <f t="shared" si="14"/>
        <v>E</v>
      </c>
      <c r="AH24" s="255" cm="1">
        <f t="array" ref="AH24">_xlfn.IFS(COUNTIF($N24:$P24,"合意済")=3,4,OR(COUNTIF($N24:$P24,"合意済")=2,COUNTIF($N24:$P24,"合意済")=1),3,COUNTIF($N24:$P24,"合意済")=0,2)</f>
        <v>2</v>
      </c>
      <c r="AI24" s="255" t="e">
        <f t="shared" ca="1" si="13"/>
        <v>#VALUE!</v>
      </c>
      <c r="AJ24" s="255" t="str">
        <f t="shared" ca="1" si="4"/>
        <v/>
      </c>
    </row>
    <row r="25" spans="2:36" s="11" customFormat="1">
      <c r="B25" s="21"/>
      <c r="C25" s="21"/>
      <c r="D25" s="36"/>
      <c r="E25" s="124"/>
      <c r="F25" s="489" t="str">
        <f ca="1">IFERROR(OFFSET('4.1(2)新規再エネ導入予定（設備情報）'!$F$1,MATCH(G25,'4.1(2)新規再エネ導入予定（設備情報）'!$G:$G,0)-1,0),"")</f>
        <v/>
      </c>
      <c r="G25" s="480"/>
      <c r="H25" s="491" t="str">
        <f ca="1">IFERROR(OFFSET('4.1(2)新規再エネ導入予定（設備情報）'!$H$1,MATCH(G25,'4.1(2)新規再エネ導入予定（設備情報）'!$G:$G,0)-1,0)&amp;"","")</f>
        <v/>
      </c>
      <c r="I25" s="492" t="str">
        <f ca="1">IFERROR(OFFSET('4.1(2)新規再エネ導入予定（設備情報）'!$L$1,MATCH(G25,'4.1(2)新規再エネ導入予定（設備情報）'!$G:$G,0)-1,0),"")</f>
        <v/>
      </c>
      <c r="J25" s="493" t="str">
        <f ca="1">IFERROR(OFFSET('4.1(2)新規再エネ導入予定（設備情報）'!$O$1,MATCH(G25,'4.1(2)新規再エネ導入予定（設備情報）'!$G:$G,0)-1,0),"")</f>
        <v/>
      </c>
      <c r="K25" s="494" t="str">
        <f ca="1">IFERROR(OFFSET('4.1(2)新規再エネ導入予定（設備情報）'!$P$1,MATCH(G25,'4.1(2)新規再エネ導入予定（設備情報）'!$G:$G,0)-1,0),"")</f>
        <v/>
      </c>
      <c r="L25" s="483"/>
      <c r="M25" s="486"/>
      <c r="N25" s="486"/>
      <c r="O25" s="486"/>
      <c r="P25" s="486"/>
      <c r="Q25" s="486"/>
      <c r="R25" s="24"/>
      <c r="S25" s="21"/>
      <c r="T25" s="486"/>
      <c r="V25" s="255">
        <f t="shared" si="5"/>
        <v>18</v>
      </c>
      <c r="W25" s="129">
        <f ca="1">IF(OFFSET('4.1(2)新規再エネ導入予定（設備情報）'!$O$1,MATCH(X25,'4.1(2)新規再エネ導入予定（設備情報）'!$Z:$Z,0)-1,0)="低圧",1,0)</f>
        <v>0</v>
      </c>
      <c r="X25" s="125" t="str">
        <f ca="1">IFERROR(IF(AND(G25="",L25&lt;&gt;""),MAX(OFFSET($X$8,0,0,ROW()-8,1)),OFFSET('4.1(2)新規再エネ導入予定（設備情報）'!$Z$1,MATCH($G25,'4.1(2)新規再エネ導入予定（設備情報）'!$G:$G,0)-1,0)),"")</f>
        <v/>
      </c>
      <c r="Y25" s="223">
        <f t="shared" si="12"/>
        <v>0</v>
      </c>
      <c r="Z25" s="224">
        <f t="shared" ca="1" si="1"/>
        <v>0</v>
      </c>
      <c r="AA25" s="223">
        <f t="shared" si="6"/>
        <v>0</v>
      </c>
      <c r="AB25" s="277">
        <f t="shared" ca="1" si="2"/>
        <v>1</v>
      </c>
      <c r="AC25" s="255" t="str">
        <f t="shared" ref="AC25:AC65" si="22">IF(M25="","",IF(OR(M25="説明済",M25="協議中",M25="合意済"),1,0))</f>
        <v/>
      </c>
      <c r="AD25" s="255" t="str">
        <f t="shared" si="8"/>
        <v/>
      </c>
      <c r="AE25" s="255" t="str">
        <f t="shared" si="9"/>
        <v/>
      </c>
      <c r="AF25" s="255" t="str">
        <f t="shared" si="10"/>
        <v/>
      </c>
      <c r="AG25" s="255" t="str">
        <f t="shared" si="14"/>
        <v>E</v>
      </c>
      <c r="AH25" s="255" cm="1">
        <f t="array" ref="AH25">_xlfn.IFS(COUNTIF($N25:$P25,"合意済")=3,4,OR(COUNTIF($N25:$P25,"合意済")=2,COUNTIF($N25:$P25,"合意済")=1),3,COUNTIF($N25:$P25,"合意済")=0,2)</f>
        <v>2</v>
      </c>
      <c r="AI25" s="255" t="e">
        <f t="shared" ca="1" si="13"/>
        <v>#VALUE!</v>
      </c>
      <c r="AJ25" s="255" t="str">
        <f t="shared" ca="1" si="4"/>
        <v/>
      </c>
    </row>
    <row r="26" spans="2:36" ht="18" customHeight="1">
      <c r="D26" s="188"/>
      <c r="E26" s="190" t="s">
        <v>18</v>
      </c>
      <c r="F26" s="191"/>
      <c r="G26" s="474"/>
      <c r="H26" s="475"/>
      <c r="I26" s="476"/>
      <c r="J26" s="477"/>
      <c r="K26" s="478"/>
      <c r="L26" s="478"/>
      <c r="M26" s="477"/>
      <c r="N26" s="477"/>
      <c r="O26" s="477"/>
      <c r="P26" s="477"/>
      <c r="Q26" s="500"/>
      <c r="R26" s="19"/>
      <c r="T26" s="487"/>
      <c r="V26" s="175">
        <f t="shared" si="5"/>
        <v>19</v>
      </c>
      <c r="W26" s="215">
        <f ca="1">IF(OFFSET('4.1(2)新規再エネ導入予定（設備情報）'!$O$1,MATCH(X26,'4.1(2)新規再エネ導入予定（設備情報）'!$Z:$Z,0)-1,0)="低圧",1,0)</f>
        <v>0</v>
      </c>
      <c r="X26" s="125" t="str">
        <f ca="1">IFERROR(IF(AND(G26="",L26&lt;&gt;""),MAX(OFFSET($X$8,0,0,ROW()-8,1)),OFFSET('4.1(2)新規再エネ導入予定（設備情報）'!$Z$1,MATCH($G26,'4.1(2)新規再エネ導入予定（設備情報）'!$G:$G,0)-1,0)),"")</f>
        <v/>
      </c>
      <c r="Y26" s="263">
        <f t="shared" si="12"/>
        <v>0</v>
      </c>
      <c r="Z26" s="261">
        <f t="shared" ca="1" si="1"/>
        <v>0</v>
      </c>
      <c r="AA26" s="263">
        <f t="shared" si="6"/>
        <v>0</v>
      </c>
      <c r="AB26" s="262">
        <f t="shared" ca="1" si="2"/>
        <v>1</v>
      </c>
      <c r="AC26" s="175" t="str">
        <f t="shared" si="22"/>
        <v/>
      </c>
      <c r="AD26" s="175" t="str">
        <f t="shared" si="8"/>
        <v/>
      </c>
      <c r="AE26" s="175" t="str">
        <f t="shared" si="9"/>
        <v/>
      </c>
      <c r="AF26" s="175" t="str">
        <f t="shared" si="10"/>
        <v/>
      </c>
      <c r="AG26" s="175" t="str">
        <f t="shared" si="14"/>
        <v>E</v>
      </c>
      <c r="AH26" s="175" cm="1">
        <f t="array" ref="AH26">_xlfn.IFS(COUNTIF($N26:$P26,"合意済")=3,4,OR(COUNTIF($N26:$P26,"合意済")=2,COUNTIF($N26:$P26,"合意済")=1),3,COUNTIF($N26:$P26,"合意済")=0,2)</f>
        <v>2</v>
      </c>
      <c r="AI26" s="175" t="e">
        <f t="shared" ca="1" si="13"/>
        <v>#VALUE!</v>
      </c>
      <c r="AJ26" s="175" t="str">
        <f t="shared" ca="1" si="4"/>
        <v/>
      </c>
    </row>
    <row r="27" spans="2:36" s="11" customFormat="1" hidden="1">
      <c r="B27" s="21"/>
      <c r="C27" s="21"/>
      <c r="D27" s="36"/>
      <c r="E27" s="124"/>
      <c r="F27" s="707"/>
      <c r="G27" s="479"/>
      <c r="H27" s="495"/>
      <c r="I27" s="496"/>
      <c r="J27" s="497"/>
      <c r="K27" s="498"/>
      <c r="L27" s="481"/>
      <c r="M27" s="484"/>
      <c r="N27" s="484"/>
      <c r="O27" s="484"/>
      <c r="P27" s="484"/>
      <c r="Q27" s="484"/>
      <c r="R27" s="24"/>
      <c r="S27" s="21"/>
      <c r="T27" s="484"/>
      <c r="V27" s="255">
        <f t="shared" si="5"/>
        <v>20</v>
      </c>
      <c r="W27" s="129">
        <f ca="1">IF(OFFSET('4.1(2)新規再エネ導入予定（設備情報）'!$O$1,MATCH(X27,'4.1(2)新規再エネ導入予定（設備情報）'!$Z:$Z,0)-1,0)="低圧",1,0)</f>
        <v>0</v>
      </c>
      <c r="X27" s="125" t="str">
        <f ca="1">IFERROR(IF(AND(G27="",L27&lt;&gt;""),MAX(OFFSET($X$8,0,0,ROW()-8,1)),OFFSET('4.1(2)新規再エネ導入予定（設備情報）'!$Z$1,MATCH($G27,'4.1(2)新規再エネ導入予定（設備情報）'!$G:$G,0)-1,0)),"")</f>
        <v/>
      </c>
      <c r="Y27" s="224">
        <f t="shared" si="12"/>
        <v>0</v>
      </c>
      <c r="Z27" s="224">
        <f t="shared" ca="1" si="1"/>
        <v>0</v>
      </c>
      <c r="AA27" s="224">
        <f t="shared" si="6"/>
        <v>0</v>
      </c>
      <c r="AB27" s="277">
        <f t="shared" ca="1" si="2"/>
        <v>1</v>
      </c>
      <c r="AC27" s="255" t="str">
        <f t="shared" si="22"/>
        <v/>
      </c>
      <c r="AD27" s="255" t="str">
        <f t="shared" si="8"/>
        <v/>
      </c>
      <c r="AE27" s="255" t="str">
        <f t="shared" si="9"/>
        <v/>
      </c>
      <c r="AF27" s="255" t="str">
        <f t="shared" si="10"/>
        <v/>
      </c>
      <c r="AG27" s="255" t="str">
        <f t="shared" si="14"/>
        <v>E</v>
      </c>
      <c r="AH27" s="255" cm="1">
        <f t="array" ref="AH27">_xlfn.IFS(COUNTIF($N27:$P27,"合意済")=3,4,OR(COUNTIF($N27:$P27,"合意済")=2,COUNTIF($N27:$P27,"合意済")=1),3,COUNTIF($N27:$P27,"合意済")=0,2)</f>
        <v>2</v>
      </c>
      <c r="AI27" s="255" t="e">
        <f t="shared" ca="1" si="13"/>
        <v>#VALUE!</v>
      </c>
      <c r="AJ27" s="255" t="str">
        <f t="shared" ca="1" si="4"/>
        <v/>
      </c>
    </row>
    <row r="28" spans="2:36" s="11" customFormat="1">
      <c r="B28" s="21"/>
      <c r="C28" s="21"/>
      <c r="D28" s="36"/>
      <c r="E28" s="124"/>
      <c r="F28" s="489" t="str">
        <f ca="1">IFERROR(OFFSET('4.1(2)新規再エネ導入予定（設備情報）'!$F$1,MATCH(G28,'4.1(2)新規再エネ導入予定（設備情報）'!$G:$G,0)-1,0),"")</f>
        <v/>
      </c>
      <c r="G28" s="480"/>
      <c r="H28" s="491" t="str">
        <f ca="1">IFERROR(OFFSET('4.1(2)新規再エネ導入予定（設備情報）'!$H$1,MATCH(G28,'4.1(2)新規再エネ導入予定（設備情報）'!$G:$G,0)-1,0)&amp;"","")</f>
        <v/>
      </c>
      <c r="I28" s="492" t="str">
        <f ca="1">IFERROR(OFFSET('4.1(2)新規再エネ導入予定（設備情報）'!$L$1,MATCH(G28,'4.1(2)新規再エネ導入予定（設備情報）'!$G:$G,0)-1,0),"")</f>
        <v/>
      </c>
      <c r="J28" s="493" t="str">
        <f ca="1">IFERROR(OFFSET('4.1(2)新規再エネ導入予定（設備情報）'!$O$1,MATCH(G28,'4.1(2)新規再エネ導入予定（設備情報）'!$G:$G,0)-1,0),"")</f>
        <v/>
      </c>
      <c r="K28" s="494" t="str">
        <f ca="1">IFERROR(OFFSET('4.1(2)新規再エネ導入予定（設備情報）'!$P$1,MATCH(G28,'4.1(2)新規再エネ導入予定（設備情報）'!$G:$G,0)-1,0),"")</f>
        <v/>
      </c>
      <c r="L28" s="483"/>
      <c r="M28" s="486"/>
      <c r="N28" s="486"/>
      <c r="O28" s="486"/>
      <c r="P28" s="486"/>
      <c r="Q28" s="486"/>
      <c r="R28" s="24"/>
      <c r="S28" s="21"/>
      <c r="T28" s="486"/>
      <c r="V28" s="255">
        <f t="shared" si="5"/>
        <v>21</v>
      </c>
      <c r="W28" s="129">
        <f ca="1">IF(OFFSET('4.1(2)新規再エネ導入予定（設備情報）'!$O$1,MATCH(X28,'4.1(2)新規再エネ導入予定（設備情報）'!$Z:$Z,0)-1,0)="低圧",1,0)</f>
        <v>0</v>
      </c>
      <c r="X28" s="125" t="str">
        <f ca="1">IFERROR(IF(AND(G28="",L28&lt;&gt;""),MAX(OFFSET($X$8,0,0,ROW()-8,1)),OFFSET('4.1(2)新規再エネ導入予定（設備情報）'!$Z$1,MATCH($G28,'4.1(2)新規再エネ導入予定（設備情報）'!$G:$G,0)-1,0)),"")</f>
        <v/>
      </c>
      <c r="Y28" s="223">
        <f t="shared" si="12"/>
        <v>0</v>
      </c>
      <c r="Z28" s="224">
        <f t="shared" ca="1" si="1"/>
        <v>0</v>
      </c>
      <c r="AA28" s="223">
        <f t="shared" si="6"/>
        <v>0</v>
      </c>
      <c r="AB28" s="277">
        <f t="shared" ca="1" si="2"/>
        <v>1</v>
      </c>
      <c r="AC28" s="255" t="str">
        <f t="shared" si="22"/>
        <v/>
      </c>
      <c r="AD28" s="255" t="str">
        <f t="shared" si="8"/>
        <v/>
      </c>
      <c r="AE28" s="255" t="str">
        <f t="shared" si="9"/>
        <v/>
      </c>
      <c r="AF28" s="255" t="str">
        <f t="shared" si="10"/>
        <v/>
      </c>
      <c r="AG28" s="255" t="str">
        <f t="shared" si="14"/>
        <v>E</v>
      </c>
      <c r="AH28" s="255" cm="1">
        <f t="array" ref="AH28">_xlfn.IFS(COUNTIF($N28:$P28,"合意済")=3,4,OR(COUNTIF($N28:$P28,"合意済")=2,COUNTIF($N28:$P28,"合意済")=1),3,COUNTIF($N28:$P28,"合意済")=0,2)</f>
        <v>2</v>
      </c>
      <c r="AI28" s="255" t="e">
        <f t="shared" ca="1" si="13"/>
        <v>#VALUE!</v>
      </c>
      <c r="AJ28" s="255" t="str">
        <f t="shared" ca="1" si="4"/>
        <v/>
      </c>
    </row>
    <row r="29" spans="2:36" s="11" customFormat="1">
      <c r="B29" s="21"/>
      <c r="C29" s="21"/>
      <c r="D29" s="36"/>
      <c r="E29" s="124"/>
      <c r="F29" s="489" t="str">
        <f ca="1">IFERROR(OFFSET('4.1(2)新規再エネ導入予定（設備情報）'!$F$1,MATCH(G29,'4.1(2)新規再エネ導入予定（設備情報）'!$G:$G,0)-1,0),"")</f>
        <v/>
      </c>
      <c r="G29" s="480"/>
      <c r="H29" s="491" t="str">
        <f ca="1">IFERROR(OFFSET('4.1(2)新規再エネ導入予定（設備情報）'!$H$1,MATCH(G29,'4.1(2)新規再エネ導入予定（設備情報）'!$G:$G,0)-1,0)&amp;"","")</f>
        <v/>
      </c>
      <c r="I29" s="492" t="str">
        <f ca="1">IFERROR(OFFSET('4.1(2)新規再エネ導入予定（設備情報）'!$L$1,MATCH(G29,'4.1(2)新規再エネ導入予定（設備情報）'!$G:$G,0)-1,0),"")</f>
        <v/>
      </c>
      <c r="J29" s="493" t="str">
        <f ca="1">IFERROR(OFFSET('4.1(2)新規再エネ導入予定（設備情報）'!$O$1,MATCH(G29,'4.1(2)新規再エネ導入予定（設備情報）'!$G:$G,0)-1,0),"")</f>
        <v/>
      </c>
      <c r="K29" s="494" t="str">
        <f ca="1">IFERROR(OFFSET('4.1(2)新規再エネ導入予定（設備情報）'!$P$1,MATCH(G29,'4.1(2)新規再エネ導入予定（設備情報）'!$G:$G,0)-1,0),"")</f>
        <v/>
      </c>
      <c r="L29" s="483"/>
      <c r="M29" s="486"/>
      <c r="N29" s="486"/>
      <c r="O29" s="486"/>
      <c r="P29" s="486"/>
      <c r="Q29" s="486"/>
      <c r="R29" s="24"/>
      <c r="S29" s="21"/>
      <c r="T29" s="486"/>
      <c r="V29" s="255">
        <f t="shared" si="5"/>
        <v>22</v>
      </c>
      <c r="W29" s="129">
        <f ca="1">IF(OFFSET('4.1(2)新規再エネ導入予定（設備情報）'!$O$1,MATCH(X29,'4.1(2)新規再エネ導入予定（設備情報）'!$Z:$Z,0)-1,0)="低圧",1,0)</f>
        <v>0</v>
      </c>
      <c r="X29" s="125" t="str">
        <f ca="1">IFERROR(IF(AND(G29="",L29&lt;&gt;""),MAX(OFFSET($X$8,0,0,ROW()-8,1)),OFFSET('4.1(2)新規再エネ導入予定（設備情報）'!$Z$1,MATCH($G29,'4.1(2)新規再エネ導入予定（設備情報）'!$G:$G,0)-1,0)),"")</f>
        <v/>
      </c>
      <c r="Y29" s="223">
        <f t="shared" si="12"/>
        <v>0</v>
      </c>
      <c r="Z29" s="224">
        <f t="shared" ca="1" si="1"/>
        <v>0</v>
      </c>
      <c r="AA29" s="223">
        <f t="shared" si="6"/>
        <v>0</v>
      </c>
      <c r="AB29" s="277">
        <f t="shared" ca="1" si="2"/>
        <v>1</v>
      </c>
      <c r="AC29" s="255" t="str">
        <f t="shared" si="22"/>
        <v/>
      </c>
      <c r="AD29" s="255" t="str">
        <f t="shared" si="8"/>
        <v/>
      </c>
      <c r="AE29" s="255" t="str">
        <f t="shared" si="9"/>
        <v/>
      </c>
      <c r="AF29" s="255" t="str">
        <f t="shared" si="10"/>
        <v/>
      </c>
      <c r="AG29" s="255" t="str">
        <f t="shared" si="14"/>
        <v>E</v>
      </c>
      <c r="AH29" s="255" cm="1">
        <f t="array" ref="AH29">_xlfn.IFS(COUNTIF($N29:$P29,"合意済")=3,4,OR(COUNTIF($N29:$P29,"合意済")=2,COUNTIF($N29:$P29,"合意済")=1),3,COUNTIF($N29:$P29,"合意済")=0,2)</f>
        <v>2</v>
      </c>
      <c r="AI29" s="255" t="e">
        <f t="shared" ca="1" si="13"/>
        <v>#VALUE!</v>
      </c>
      <c r="AJ29" s="255" t="str">
        <f t="shared" ca="1" si="4"/>
        <v/>
      </c>
    </row>
    <row r="30" spans="2:36" s="11" customFormat="1">
      <c r="B30" s="21"/>
      <c r="C30" s="21"/>
      <c r="D30" s="36"/>
      <c r="E30" s="124"/>
      <c r="F30" s="489" t="str">
        <f ca="1">IFERROR(OFFSET('4.1(2)新規再エネ導入予定（設備情報）'!$F$1,MATCH(G30,'4.1(2)新規再エネ導入予定（設備情報）'!$G:$G,0)-1,0),"")</f>
        <v/>
      </c>
      <c r="G30" s="480"/>
      <c r="H30" s="491" t="str">
        <f ca="1">IFERROR(OFFSET('4.1(2)新規再エネ導入予定（設備情報）'!$H$1,MATCH(G30,'4.1(2)新規再エネ導入予定（設備情報）'!$G:$G,0)-1,0)&amp;"","")</f>
        <v/>
      </c>
      <c r="I30" s="492" t="str">
        <f ca="1">IFERROR(OFFSET('4.1(2)新規再エネ導入予定（設備情報）'!$L$1,MATCH(G30,'4.1(2)新規再エネ導入予定（設備情報）'!$G:$G,0)-1,0),"")</f>
        <v/>
      </c>
      <c r="J30" s="493" t="str">
        <f ca="1">IFERROR(OFFSET('4.1(2)新規再エネ導入予定（設備情報）'!$O$1,MATCH(G30,'4.1(2)新規再エネ導入予定（設備情報）'!$G:$G,0)-1,0),"")</f>
        <v/>
      </c>
      <c r="K30" s="494" t="str">
        <f ca="1">IFERROR(OFFSET('4.1(2)新規再エネ導入予定（設備情報）'!$P$1,MATCH(G30,'4.1(2)新規再エネ導入予定（設備情報）'!$G:$G,0)-1,0),"")</f>
        <v/>
      </c>
      <c r="L30" s="483"/>
      <c r="M30" s="486"/>
      <c r="N30" s="486"/>
      <c r="O30" s="486"/>
      <c r="P30" s="486"/>
      <c r="Q30" s="486"/>
      <c r="R30" s="24"/>
      <c r="S30" s="21"/>
      <c r="T30" s="486"/>
      <c r="V30" s="255">
        <f t="shared" si="5"/>
        <v>23</v>
      </c>
      <c r="W30" s="129">
        <f ca="1">IF(OFFSET('4.1(2)新規再エネ導入予定（設備情報）'!$O$1,MATCH(X30,'4.1(2)新規再エネ導入予定（設備情報）'!$Z:$Z,0)-1,0)="低圧",1,0)</f>
        <v>0</v>
      </c>
      <c r="X30" s="125" t="str">
        <f ca="1">IFERROR(IF(AND(G30="",L30&lt;&gt;""),MAX(OFFSET($X$8,0,0,ROW()-8,1)),OFFSET('4.1(2)新規再エネ導入予定（設備情報）'!$Z$1,MATCH($G30,'4.1(2)新規再エネ導入予定（設備情報）'!$G:$G,0)-1,0)),"")</f>
        <v/>
      </c>
      <c r="Y30" s="223">
        <f t="shared" si="12"/>
        <v>0</v>
      </c>
      <c r="Z30" s="224">
        <f t="shared" ca="1" si="1"/>
        <v>0</v>
      </c>
      <c r="AA30" s="223">
        <f t="shared" si="6"/>
        <v>0</v>
      </c>
      <c r="AB30" s="277">
        <f t="shared" ca="1" si="2"/>
        <v>1</v>
      </c>
      <c r="AC30" s="255" t="str">
        <f t="shared" si="22"/>
        <v/>
      </c>
      <c r="AD30" s="255" t="str">
        <f t="shared" si="8"/>
        <v/>
      </c>
      <c r="AE30" s="255" t="str">
        <f t="shared" si="9"/>
        <v/>
      </c>
      <c r="AF30" s="255" t="str">
        <f t="shared" si="10"/>
        <v/>
      </c>
      <c r="AG30" s="255" t="str">
        <f t="shared" si="14"/>
        <v>E</v>
      </c>
      <c r="AH30" s="255" cm="1">
        <f t="array" ref="AH30">_xlfn.IFS(COUNTIF($N30:$P30,"合意済")=3,4,OR(COUNTIF($N30:$P30,"合意済")=2,COUNTIF($N30:$P30,"合意済")=1),3,COUNTIF($N30:$P30,"合意済")=0,2)</f>
        <v>2</v>
      </c>
      <c r="AI30" s="255" t="e">
        <f t="shared" ca="1" si="13"/>
        <v>#VALUE!</v>
      </c>
      <c r="AJ30" s="255" t="str">
        <f t="shared" ca="1" si="4"/>
        <v/>
      </c>
    </row>
    <row r="31" spans="2:36" s="11" customFormat="1">
      <c r="B31" s="21"/>
      <c r="C31" s="21"/>
      <c r="D31" s="36"/>
      <c r="E31" s="124"/>
      <c r="F31" s="489" t="str">
        <f ca="1">IFERROR(OFFSET('4.1(2)新規再エネ導入予定（設備情報）'!$F$1,MATCH(G31,'4.1(2)新規再エネ導入予定（設備情報）'!$G:$G,0)-1,0),"")</f>
        <v/>
      </c>
      <c r="G31" s="480"/>
      <c r="H31" s="491" t="str">
        <f ca="1">IFERROR(OFFSET('4.1(2)新規再エネ導入予定（設備情報）'!$H$1,MATCH(G31,'4.1(2)新規再エネ導入予定（設備情報）'!$G:$G,0)-1,0)&amp;"","")</f>
        <v/>
      </c>
      <c r="I31" s="492" t="str">
        <f ca="1">IFERROR(OFFSET('4.1(2)新規再エネ導入予定（設備情報）'!$L$1,MATCH(G31,'4.1(2)新規再エネ導入予定（設備情報）'!$G:$G,0)-1,0),"")</f>
        <v/>
      </c>
      <c r="J31" s="493" t="str">
        <f ca="1">IFERROR(OFFSET('4.1(2)新規再エネ導入予定（設備情報）'!$O$1,MATCH(G31,'4.1(2)新規再エネ導入予定（設備情報）'!$G:$G,0)-1,0),"")</f>
        <v/>
      </c>
      <c r="K31" s="494" t="str">
        <f ca="1">IFERROR(OFFSET('4.1(2)新規再エネ導入予定（設備情報）'!$P$1,MATCH(G31,'4.1(2)新規再エネ導入予定（設備情報）'!$G:$G,0)-1,0),"")</f>
        <v/>
      </c>
      <c r="L31" s="483"/>
      <c r="M31" s="486"/>
      <c r="N31" s="486"/>
      <c r="O31" s="486"/>
      <c r="P31" s="486"/>
      <c r="Q31" s="486"/>
      <c r="R31" s="24"/>
      <c r="S31" s="21"/>
      <c r="T31" s="486"/>
      <c r="V31" s="255">
        <f t="shared" si="5"/>
        <v>24</v>
      </c>
      <c r="W31" s="129">
        <f ca="1">IF(OFFSET('4.1(2)新規再エネ導入予定（設備情報）'!$O$1,MATCH(X31,'4.1(2)新規再エネ導入予定（設備情報）'!$Z:$Z,0)-1,0)="低圧",1,0)</f>
        <v>0</v>
      </c>
      <c r="X31" s="125" t="str">
        <f ca="1">IFERROR(IF(AND(G31="",L31&lt;&gt;""),MAX(OFFSET($X$8,0,0,ROW()-8,1)),OFFSET('4.1(2)新規再エネ導入予定（設備情報）'!$Z$1,MATCH($G31,'4.1(2)新規再エネ導入予定（設備情報）'!$G:$G,0)-1,0)),"")</f>
        <v/>
      </c>
      <c r="Y31" s="223">
        <f t="shared" si="12"/>
        <v>0</v>
      </c>
      <c r="Z31" s="224">
        <f t="shared" ca="1" si="1"/>
        <v>0</v>
      </c>
      <c r="AA31" s="223">
        <f t="shared" si="6"/>
        <v>0</v>
      </c>
      <c r="AB31" s="277">
        <f t="shared" ca="1" si="2"/>
        <v>1</v>
      </c>
      <c r="AC31" s="255" t="str">
        <f t="shared" si="22"/>
        <v/>
      </c>
      <c r="AD31" s="255" t="str">
        <f t="shared" si="8"/>
        <v/>
      </c>
      <c r="AE31" s="255" t="str">
        <f t="shared" si="9"/>
        <v/>
      </c>
      <c r="AF31" s="255" t="str">
        <f t="shared" si="10"/>
        <v/>
      </c>
      <c r="AG31" s="255" t="str">
        <f t="shared" si="14"/>
        <v>E</v>
      </c>
      <c r="AH31" s="255" cm="1">
        <f t="array" ref="AH31">_xlfn.IFS(COUNTIF($N31:$P31,"合意済")=3,4,OR(COUNTIF($N31:$P31,"合意済")=2,COUNTIF($N31:$P31,"合意済")=1),3,COUNTIF($N31:$P31,"合意済")=0,2)</f>
        <v>2</v>
      </c>
      <c r="AI31" s="255" t="e">
        <f t="shared" ca="1" si="13"/>
        <v>#VALUE!</v>
      </c>
      <c r="AJ31" s="255" t="str">
        <f t="shared" ca="1" si="4"/>
        <v/>
      </c>
    </row>
    <row r="32" spans="2:36" ht="20">
      <c r="D32" s="188"/>
      <c r="E32" s="190" t="s">
        <v>19</v>
      </c>
      <c r="F32" s="191"/>
      <c r="G32" s="474"/>
      <c r="H32" s="475"/>
      <c r="I32" s="476"/>
      <c r="J32" s="477"/>
      <c r="K32" s="478"/>
      <c r="L32" s="478"/>
      <c r="M32" s="477"/>
      <c r="N32" s="477"/>
      <c r="O32" s="477"/>
      <c r="P32" s="477"/>
      <c r="Q32" s="500"/>
      <c r="R32" s="19"/>
      <c r="T32" s="487"/>
      <c r="V32" s="175">
        <f t="shared" si="5"/>
        <v>25</v>
      </c>
      <c r="W32" s="215">
        <f ca="1">IF(OFFSET('4.1(2)新規再エネ導入予定（設備情報）'!$O$1,MATCH(X32,'4.1(2)新規再エネ導入予定（設備情報）'!$Z:$Z,0)-1,0)="低圧",1,0)</f>
        <v>0</v>
      </c>
      <c r="X32" s="125" t="str">
        <f ca="1">IFERROR(IF(AND(G32="",L32&lt;&gt;""),MAX(OFFSET($X$8,0,0,ROW()-8,1)),OFFSET('4.1(2)新規再エネ導入予定（設備情報）'!$Z$1,MATCH($G32,'4.1(2)新規再エネ導入予定（設備情報）'!$G:$G,0)-1,0)),"")</f>
        <v/>
      </c>
      <c r="Y32" s="263">
        <f t="shared" si="12"/>
        <v>0</v>
      </c>
      <c r="Z32" s="261">
        <f t="shared" ca="1" si="1"/>
        <v>0</v>
      </c>
      <c r="AA32" s="263">
        <f t="shared" si="6"/>
        <v>0</v>
      </c>
      <c r="AB32" s="262">
        <f t="shared" ca="1" si="2"/>
        <v>1</v>
      </c>
      <c r="AC32" s="175" t="str">
        <f t="shared" si="22"/>
        <v/>
      </c>
      <c r="AD32" s="175" t="str">
        <f t="shared" si="8"/>
        <v/>
      </c>
      <c r="AE32" s="175" t="str">
        <f t="shared" si="9"/>
        <v/>
      </c>
      <c r="AF32" s="175" t="str">
        <f t="shared" si="10"/>
        <v/>
      </c>
      <c r="AG32" s="175" t="str">
        <f t="shared" si="14"/>
        <v>E</v>
      </c>
      <c r="AH32" s="175" cm="1">
        <f t="array" ref="AH32">_xlfn.IFS(COUNTIF($N32:$P32,"合意済")=3,4,OR(COUNTIF($N32:$P32,"合意済")=2,COUNTIF($N32:$P32,"合意済")=1),3,COUNTIF($N32:$P32,"合意済")=0,2)</f>
        <v>2</v>
      </c>
      <c r="AI32" s="175" t="e">
        <f t="shared" ca="1" si="13"/>
        <v>#VALUE!</v>
      </c>
      <c r="AJ32" s="175" t="str">
        <f t="shared" ca="1" si="4"/>
        <v/>
      </c>
    </row>
    <row r="33" spans="2:36" s="11" customFormat="1" hidden="1">
      <c r="B33" s="21"/>
      <c r="C33" s="21"/>
      <c r="D33" s="36"/>
      <c r="E33" s="124"/>
      <c r="F33" s="707"/>
      <c r="G33" s="479"/>
      <c r="H33" s="495"/>
      <c r="I33" s="496"/>
      <c r="J33" s="497"/>
      <c r="K33" s="498"/>
      <c r="L33" s="481"/>
      <c r="M33" s="484"/>
      <c r="N33" s="484"/>
      <c r="O33" s="484"/>
      <c r="P33" s="484"/>
      <c r="Q33" s="484"/>
      <c r="R33" s="24"/>
      <c r="S33" s="21"/>
      <c r="T33" s="484"/>
      <c r="V33" s="255">
        <f t="shared" si="5"/>
        <v>26</v>
      </c>
      <c r="W33" s="129">
        <f ca="1">IF(OFFSET('4.1(2)新規再エネ導入予定（設備情報）'!$O$1,MATCH(X33,'4.1(2)新規再エネ導入予定（設備情報）'!$Z:$Z,0)-1,0)="低圧",1,0)</f>
        <v>0</v>
      </c>
      <c r="X33" s="125" t="str">
        <f ca="1">IFERROR(IF(AND(G33="",L33&lt;&gt;""),MAX(OFFSET($X$8,0,0,ROW()-8,1)),OFFSET('4.1(2)新規再エネ導入予定（設備情報）'!$Z$1,MATCH($G33,'4.1(2)新規再エネ導入予定（設備情報）'!$G:$G,0)-1,0)),"")</f>
        <v/>
      </c>
      <c r="Y33" s="224">
        <f t="shared" si="12"/>
        <v>0</v>
      </c>
      <c r="Z33" s="224">
        <f t="shared" ca="1" si="1"/>
        <v>0</v>
      </c>
      <c r="AA33" s="224">
        <f t="shared" si="6"/>
        <v>0</v>
      </c>
      <c r="AB33" s="277">
        <f t="shared" ca="1" si="2"/>
        <v>1</v>
      </c>
      <c r="AC33" s="255" t="str">
        <f t="shared" si="22"/>
        <v/>
      </c>
      <c r="AD33" s="255" t="str">
        <f t="shared" si="8"/>
        <v/>
      </c>
      <c r="AE33" s="255" t="str">
        <f t="shared" si="9"/>
        <v/>
      </c>
      <c r="AF33" s="255" t="str">
        <f t="shared" si="10"/>
        <v/>
      </c>
      <c r="AG33" s="255" t="str">
        <f t="shared" si="14"/>
        <v>E</v>
      </c>
      <c r="AH33" s="255" cm="1">
        <f t="array" ref="AH33">_xlfn.IFS(COUNTIF($N33:$P33,"合意済")=3,4,OR(COUNTIF($N33:$P33,"合意済")=2,COUNTIF($N33:$P33,"合意済")=1),3,COUNTIF($N33:$P33,"合意済")=0,2)</f>
        <v>2</v>
      </c>
      <c r="AI33" s="255" t="e">
        <f t="shared" ca="1" si="13"/>
        <v>#VALUE!</v>
      </c>
      <c r="AJ33" s="255" t="str">
        <f t="shared" ca="1" si="4"/>
        <v/>
      </c>
    </row>
    <row r="34" spans="2:36" s="11" customFormat="1">
      <c r="B34" s="21"/>
      <c r="C34" s="21"/>
      <c r="D34" s="36"/>
      <c r="E34" s="124"/>
      <c r="F34" s="489" t="str">
        <f ca="1">IFERROR(OFFSET('4.1(2)新規再エネ導入予定（設備情報）'!$F$1,MATCH(G34,'4.1(2)新規再エネ導入予定（設備情報）'!$G:$G,0)-1,0),"")</f>
        <v/>
      </c>
      <c r="G34" s="480"/>
      <c r="H34" s="491" t="str">
        <f ca="1">IFERROR(OFFSET('4.1(2)新規再エネ導入予定（設備情報）'!$H$1,MATCH(G34,'4.1(2)新規再エネ導入予定（設備情報）'!$G:$G,0)-1,0)&amp;"","")</f>
        <v/>
      </c>
      <c r="I34" s="492" t="str">
        <f ca="1">IFERROR(OFFSET('4.1(2)新規再エネ導入予定（設備情報）'!$L$1,MATCH(G34,'4.1(2)新規再エネ導入予定（設備情報）'!$G:$G,0)-1,0),"")</f>
        <v/>
      </c>
      <c r="J34" s="493" t="str">
        <f ca="1">IFERROR(OFFSET('4.1(2)新規再エネ導入予定（設備情報）'!$O$1,MATCH(G34,'4.1(2)新規再エネ導入予定（設備情報）'!$G:$G,0)-1,0),"")</f>
        <v/>
      </c>
      <c r="K34" s="494" t="str">
        <f ca="1">IFERROR(OFFSET('4.1(2)新規再エネ導入予定（設備情報）'!$P$1,MATCH(G34,'4.1(2)新規再エネ導入予定（設備情報）'!$G:$G,0)-1,0),"")</f>
        <v/>
      </c>
      <c r="L34" s="483"/>
      <c r="M34" s="486"/>
      <c r="N34" s="486"/>
      <c r="O34" s="486"/>
      <c r="P34" s="486"/>
      <c r="Q34" s="486"/>
      <c r="R34" s="24"/>
      <c r="S34" s="21"/>
      <c r="T34" s="486"/>
      <c r="V34" s="255">
        <f t="shared" si="5"/>
        <v>27</v>
      </c>
      <c r="W34" s="129">
        <f ca="1">IF(OFFSET('4.1(2)新規再エネ導入予定（設備情報）'!$O$1,MATCH(X34,'4.1(2)新規再エネ導入予定（設備情報）'!$Z:$Z,0)-1,0)="低圧",1,0)</f>
        <v>0</v>
      </c>
      <c r="X34" s="125" t="str">
        <f ca="1">IFERROR(IF(AND(G34="",L34&lt;&gt;""),MAX(OFFSET($X$8,0,0,ROW()-8,1)),OFFSET('4.1(2)新規再エネ導入予定（設備情報）'!$Z$1,MATCH($G34,'4.1(2)新規再エネ導入予定（設備情報）'!$G:$G,0)-1,0)),"")</f>
        <v/>
      </c>
      <c r="Y34" s="223">
        <f t="shared" si="12"/>
        <v>0</v>
      </c>
      <c r="Z34" s="224">
        <f t="shared" ca="1" si="1"/>
        <v>0</v>
      </c>
      <c r="AA34" s="223">
        <f t="shared" si="6"/>
        <v>0</v>
      </c>
      <c r="AB34" s="277">
        <f t="shared" ca="1" si="2"/>
        <v>1</v>
      </c>
      <c r="AC34" s="255" t="str">
        <f t="shared" si="22"/>
        <v/>
      </c>
      <c r="AD34" s="255" t="str">
        <f t="shared" si="8"/>
        <v/>
      </c>
      <c r="AE34" s="255" t="str">
        <f t="shared" si="9"/>
        <v/>
      </c>
      <c r="AF34" s="255" t="str">
        <f t="shared" si="10"/>
        <v/>
      </c>
      <c r="AG34" s="255" t="str">
        <f t="shared" si="14"/>
        <v>E</v>
      </c>
      <c r="AH34" s="255" cm="1">
        <f t="array" ref="AH34">_xlfn.IFS(COUNTIF($N34:$P34,"合意済")=3,4,OR(COUNTIF($N34:$P34,"合意済")=2,COUNTIF($N34:$P34,"合意済")=1),3,COUNTIF($N34:$P34,"合意済")=0,2)</f>
        <v>2</v>
      </c>
      <c r="AI34" s="255" t="e">
        <f t="shared" ca="1" si="13"/>
        <v>#VALUE!</v>
      </c>
      <c r="AJ34" s="255" t="str">
        <f t="shared" ca="1" si="4"/>
        <v/>
      </c>
    </row>
    <row r="35" spans="2:36" s="11" customFormat="1">
      <c r="B35" s="21"/>
      <c r="C35" s="21"/>
      <c r="D35" s="36"/>
      <c r="E35" s="124"/>
      <c r="F35" s="489" t="str">
        <f ca="1">IFERROR(OFFSET('4.1(2)新規再エネ導入予定（設備情報）'!$F$1,MATCH(G35,'4.1(2)新規再エネ導入予定（設備情報）'!$G:$G,0)-1,0),"")</f>
        <v/>
      </c>
      <c r="G35" s="480"/>
      <c r="H35" s="491" t="str">
        <f ca="1">IFERROR(OFFSET('4.1(2)新規再エネ導入予定（設備情報）'!$H$1,MATCH(G35,'4.1(2)新規再エネ導入予定（設備情報）'!$G:$G,0)-1,0)&amp;"","")</f>
        <v/>
      </c>
      <c r="I35" s="492" t="str">
        <f ca="1">IFERROR(OFFSET('4.1(2)新規再エネ導入予定（設備情報）'!$L$1,MATCH(G35,'4.1(2)新規再エネ導入予定（設備情報）'!$G:$G,0)-1,0),"")</f>
        <v/>
      </c>
      <c r="J35" s="493" t="str">
        <f ca="1">IFERROR(OFFSET('4.1(2)新規再エネ導入予定（設備情報）'!$O$1,MATCH(G35,'4.1(2)新規再エネ導入予定（設備情報）'!$G:$G,0)-1,0),"")</f>
        <v/>
      </c>
      <c r="K35" s="494" t="str">
        <f ca="1">IFERROR(OFFSET('4.1(2)新規再エネ導入予定（設備情報）'!$P$1,MATCH(G35,'4.1(2)新規再エネ導入予定（設備情報）'!$G:$G,0)-1,0),"")</f>
        <v/>
      </c>
      <c r="L35" s="483"/>
      <c r="M35" s="486"/>
      <c r="N35" s="486"/>
      <c r="O35" s="486"/>
      <c r="P35" s="486"/>
      <c r="Q35" s="486"/>
      <c r="R35" s="24"/>
      <c r="S35" s="21"/>
      <c r="T35" s="486"/>
      <c r="V35" s="255">
        <f t="shared" si="5"/>
        <v>28</v>
      </c>
      <c r="W35" s="129">
        <f ca="1">IF(OFFSET('4.1(2)新規再エネ導入予定（設備情報）'!$O$1,MATCH(X35,'4.1(2)新規再エネ導入予定（設備情報）'!$Z:$Z,0)-1,0)="低圧",1,0)</f>
        <v>0</v>
      </c>
      <c r="X35" s="125" t="str">
        <f ca="1">IFERROR(IF(AND(G35="",L35&lt;&gt;""),MAX(OFFSET($X$8,0,0,ROW()-8,1)),OFFSET('4.1(2)新規再エネ導入予定（設備情報）'!$Z$1,MATCH($G35,'4.1(2)新規再エネ導入予定（設備情報）'!$G:$G,0)-1,0)),"")</f>
        <v/>
      </c>
      <c r="Y35" s="223">
        <f t="shared" si="12"/>
        <v>0</v>
      </c>
      <c r="Z35" s="224">
        <f t="shared" ca="1" si="1"/>
        <v>0</v>
      </c>
      <c r="AA35" s="223">
        <f t="shared" si="6"/>
        <v>0</v>
      </c>
      <c r="AB35" s="277">
        <f t="shared" ca="1" si="2"/>
        <v>1</v>
      </c>
      <c r="AC35" s="255" t="str">
        <f t="shared" si="22"/>
        <v/>
      </c>
      <c r="AD35" s="255" t="str">
        <f t="shared" si="8"/>
        <v/>
      </c>
      <c r="AE35" s="255" t="str">
        <f t="shared" si="9"/>
        <v/>
      </c>
      <c r="AF35" s="255" t="str">
        <f t="shared" si="10"/>
        <v/>
      </c>
      <c r="AG35" s="255" t="str">
        <f t="shared" si="14"/>
        <v>E</v>
      </c>
      <c r="AH35" s="255" cm="1">
        <f t="array" ref="AH35">_xlfn.IFS(COUNTIF($N35:$P35,"合意済")=3,4,OR(COUNTIF($N35:$P35,"合意済")=2,COUNTIF($N35:$P35,"合意済")=1),3,COUNTIF($N35:$P35,"合意済")=0,2)</f>
        <v>2</v>
      </c>
      <c r="AI35" s="255" t="e">
        <f t="shared" ca="1" si="13"/>
        <v>#VALUE!</v>
      </c>
      <c r="AJ35" s="255" t="str">
        <f t="shared" ca="1" si="4"/>
        <v/>
      </c>
    </row>
    <row r="36" spans="2:36" s="11" customFormat="1">
      <c r="B36" s="21"/>
      <c r="C36" s="21"/>
      <c r="D36" s="36"/>
      <c r="E36" s="124"/>
      <c r="F36" s="489" t="str">
        <f ca="1">IFERROR(OFFSET('4.1(2)新規再エネ導入予定（設備情報）'!$F$1,MATCH(G36,'4.1(2)新規再エネ導入予定（設備情報）'!$G:$G,0)-1,0),"")</f>
        <v/>
      </c>
      <c r="G36" s="480" t="s">
        <v>194</v>
      </c>
      <c r="H36" s="491" t="str">
        <f ca="1">IFERROR(OFFSET('4.1(2)新規再エネ導入予定（設備情報）'!$H$1,MATCH(G36,'4.1(2)新規再エネ導入予定（設備情報）'!$G:$G,0)-1,0)&amp;"","")</f>
        <v/>
      </c>
      <c r="I36" s="492" t="str">
        <f ca="1">IFERROR(OFFSET('4.1(2)新規再エネ導入予定（設備情報）'!$L$1,MATCH(G36,'4.1(2)新規再エネ導入予定（設備情報）'!$G:$G,0)-1,0),"")</f>
        <v/>
      </c>
      <c r="J36" s="493" t="str">
        <f ca="1">IFERROR(OFFSET('4.1(2)新規再エネ導入予定（設備情報）'!$O$1,MATCH(G36,'4.1(2)新規再エネ導入予定（設備情報）'!$G:$G,0)-1,0),"")</f>
        <v/>
      </c>
      <c r="K36" s="494" t="str">
        <f ca="1">IFERROR(OFFSET('4.1(2)新規再エネ導入予定（設備情報）'!$P$1,MATCH(G36,'4.1(2)新規再エネ導入予定（設備情報）'!$G:$G,0)-1,0),"")</f>
        <v/>
      </c>
      <c r="L36" s="483"/>
      <c r="M36" s="486"/>
      <c r="N36" s="486"/>
      <c r="O36" s="486"/>
      <c r="P36" s="486"/>
      <c r="Q36" s="486"/>
      <c r="R36" s="24"/>
      <c r="S36" s="21"/>
      <c r="T36" s="486"/>
      <c r="V36" s="255">
        <f t="shared" si="5"/>
        <v>29</v>
      </c>
      <c r="W36" s="129">
        <f ca="1">IF(OFFSET('4.1(2)新規再エネ導入予定（設備情報）'!$O$1,MATCH(X36,'4.1(2)新規再エネ導入予定（設備情報）'!$Z:$Z,0)-1,0)="低圧",1,0)</f>
        <v>0</v>
      </c>
      <c r="X36" s="125" t="str">
        <f ca="1">IFERROR(IF(AND(G36="",L36&lt;&gt;""),MAX(OFFSET($X$8,0,0,ROW()-8,1)),OFFSET('4.1(2)新規再エネ導入予定（設備情報）'!$Z$1,MATCH($G36,'4.1(2)新規再エネ導入予定（設備情報）'!$G:$G,0)-1,0)),"")</f>
        <v/>
      </c>
      <c r="Y36" s="223">
        <f t="shared" si="12"/>
        <v>0</v>
      </c>
      <c r="Z36" s="224">
        <f t="shared" ca="1" si="1"/>
        <v>0</v>
      </c>
      <c r="AA36" s="223">
        <f t="shared" si="6"/>
        <v>0</v>
      </c>
      <c r="AB36" s="277">
        <f t="shared" ca="1" si="2"/>
        <v>1</v>
      </c>
      <c r="AC36" s="255" t="str">
        <f t="shared" si="22"/>
        <v/>
      </c>
      <c r="AD36" s="255" t="str">
        <f t="shared" si="8"/>
        <v/>
      </c>
      <c r="AE36" s="255" t="str">
        <f t="shared" si="9"/>
        <v/>
      </c>
      <c r="AF36" s="255" t="str">
        <f t="shared" si="10"/>
        <v/>
      </c>
      <c r="AG36" s="255" t="str">
        <f t="shared" si="14"/>
        <v>E</v>
      </c>
      <c r="AH36" s="255" cm="1">
        <f t="array" ref="AH36">_xlfn.IFS(COUNTIF($N36:$P36,"合意済")=3,4,OR(COUNTIF($N36:$P36,"合意済")=2,COUNTIF($N36:$P36,"合意済")=1),3,COUNTIF($N36:$P36,"合意済")=0,2)</f>
        <v>2</v>
      </c>
      <c r="AI36" s="255" t="e">
        <f t="shared" ca="1" si="13"/>
        <v>#VALUE!</v>
      </c>
      <c r="AJ36" s="255" t="str">
        <f t="shared" ca="1" si="4"/>
        <v/>
      </c>
    </row>
    <row r="37" spans="2:36" s="11" customFormat="1">
      <c r="B37" s="21"/>
      <c r="C37" s="21"/>
      <c r="D37" s="36"/>
      <c r="E37" s="124"/>
      <c r="F37" s="489" t="str">
        <f ca="1">IFERROR(OFFSET('4.1(2)新規再エネ導入予定（設備情報）'!$F$1,MATCH(G37,'4.1(2)新規再エネ導入予定（設備情報）'!$G:$G,0)-1,0),"")</f>
        <v/>
      </c>
      <c r="G37" s="480"/>
      <c r="H37" s="491" t="str">
        <f ca="1">IFERROR(OFFSET('4.1(2)新規再エネ導入予定（設備情報）'!$H$1,MATCH(G37,'4.1(2)新規再エネ導入予定（設備情報）'!$G:$G,0)-1,0)&amp;"","")</f>
        <v/>
      </c>
      <c r="I37" s="492" t="str">
        <f ca="1">IFERROR(OFFSET('4.1(2)新規再エネ導入予定（設備情報）'!$L$1,MATCH(G37,'4.1(2)新規再エネ導入予定（設備情報）'!$G:$G,0)-1,0),"")</f>
        <v/>
      </c>
      <c r="J37" s="493" t="str">
        <f ca="1">IFERROR(OFFSET('4.1(2)新規再エネ導入予定（設備情報）'!$O$1,MATCH(G37,'4.1(2)新規再エネ導入予定（設備情報）'!$G:$G,0)-1,0),"")</f>
        <v/>
      </c>
      <c r="K37" s="494" t="str">
        <f ca="1">IFERROR(OFFSET('4.1(2)新規再エネ導入予定（設備情報）'!$P$1,MATCH(G37,'4.1(2)新規再エネ導入予定（設備情報）'!$G:$G,0)-1,0),"")</f>
        <v/>
      </c>
      <c r="L37" s="483"/>
      <c r="M37" s="486"/>
      <c r="N37" s="486"/>
      <c r="O37" s="486"/>
      <c r="P37" s="486"/>
      <c r="Q37" s="486"/>
      <c r="R37" s="24"/>
      <c r="S37" s="21"/>
      <c r="T37" s="486"/>
      <c r="V37" s="255">
        <f t="shared" si="5"/>
        <v>30</v>
      </c>
      <c r="W37" s="129">
        <f ca="1">IF(OFFSET('4.1(2)新規再エネ導入予定（設備情報）'!$O$1,MATCH(X37,'4.1(2)新規再エネ導入予定（設備情報）'!$Z:$Z,0)-1,0)="低圧",1,0)</f>
        <v>0</v>
      </c>
      <c r="X37" s="125" t="str">
        <f ca="1">IFERROR(IF(AND(G37="",L37&lt;&gt;""),MAX(OFFSET($X$8,0,0,ROW()-8,1)),OFFSET('4.1(2)新規再エネ導入予定（設備情報）'!$Z$1,MATCH($G37,'4.1(2)新規再エネ導入予定（設備情報）'!$G:$G,0)-1,0)),"")</f>
        <v/>
      </c>
      <c r="Y37" s="223">
        <f t="shared" si="12"/>
        <v>0</v>
      </c>
      <c r="Z37" s="224">
        <f t="shared" ca="1" si="1"/>
        <v>0</v>
      </c>
      <c r="AA37" s="223">
        <f t="shared" si="6"/>
        <v>0</v>
      </c>
      <c r="AB37" s="277">
        <f t="shared" ca="1" si="2"/>
        <v>1</v>
      </c>
      <c r="AC37" s="255" t="str">
        <f t="shared" si="22"/>
        <v/>
      </c>
      <c r="AD37" s="255" t="str">
        <f t="shared" si="8"/>
        <v/>
      </c>
      <c r="AE37" s="255" t="str">
        <f t="shared" si="9"/>
        <v/>
      </c>
      <c r="AF37" s="255" t="str">
        <f t="shared" si="10"/>
        <v/>
      </c>
      <c r="AG37" s="255" t="str">
        <f t="shared" si="14"/>
        <v>E</v>
      </c>
      <c r="AH37" s="255" cm="1">
        <f t="array" ref="AH37">_xlfn.IFS(COUNTIF($N37:$P37,"合意済")=3,4,OR(COUNTIF($N37:$P37,"合意済")=2,COUNTIF($N37:$P37,"合意済")=1),3,COUNTIF($N37:$P37,"合意済")=0,2)</f>
        <v>2</v>
      </c>
      <c r="AI37" s="255" t="e">
        <f t="shared" ca="1" si="13"/>
        <v>#VALUE!</v>
      </c>
      <c r="AJ37" s="255" t="str">
        <f t="shared" ca="1" si="4"/>
        <v/>
      </c>
    </row>
    <row r="38" spans="2:36" ht="20">
      <c r="D38" s="188"/>
      <c r="E38" s="190" t="s">
        <v>197</v>
      </c>
      <c r="F38" s="191"/>
      <c r="G38" s="474"/>
      <c r="H38" s="475"/>
      <c r="I38" s="476"/>
      <c r="J38" s="477"/>
      <c r="K38" s="478"/>
      <c r="L38" s="478"/>
      <c r="M38" s="477"/>
      <c r="N38" s="477"/>
      <c r="O38" s="477"/>
      <c r="P38" s="477"/>
      <c r="Q38" s="500"/>
      <c r="R38" s="19"/>
      <c r="T38" s="487"/>
      <c r="V38" s="175">
        <f t="shared" si="5"/>
        <v>31</v>
      </c>
      <c r="W38" s="215">
        <f ca="1">IF(OFFSET('4.1(2)新規再エネ導入予定（設備情報）'!$O$1,MATCH(X38,'4.1(2)新規再エネ導入予定（設備情報）'!$Z:$Z,0)-1,0)="低圧",1,0)</f>
        <v>0</v>
      </c>
      <c r="X38" s="125" t="str">
        <f ca="1">IFERROR(IF(AND(G38="",L38&lt;&gt;""),MAX(OFFSET($X$8,0,0,ROW()-8,1)),OFFSET('4.1(2)新規再エネ導入予定（設備情報）'!$Z$1,MATCH($G38,'4.1(2)新規再エネ導入予定（設備情報）'!$G:$G,0)-1,0)),"")</f>
        <v/>
      </c>
      <c r="Y38" s="263">
        <f t="shared" si="12"/>
        <v>0</v>
      </c>
      <c r="Z38" s="261">
        <f t="shared" ca="1" si="1"/>
        <v>0</v>
      </c>
      <c r="AA38" s="263">
        <f t="shared" si="6"/>
        <v>0</v>
      </c>
      <c r="AB38" s="262">
        <f t="shared" ca="1" si="2"/>
        <v>1</v>
      </c>
      <c r="AC38" s="175" t="str">
        <f t="shared" si="22"/>
        <v/>
      </c>
      <c r="AD38" s="175" t="str">
        <f t="shared" si="8"/>
        <v/>
      </c>
      <c r="AE38" s="175" t="str">
        <f t="shared" si="9"/>
        <v/>
      </c>
      <c r="AF38" s="175" t="str">
        <f t="shared" si="10"/>
        <v/>
      </c>
      <c r="AG38" s="175" t="str">
        <f t="shared" si="14"/>
        <v>E</v>
      </c>
      <c r="AH38" s="175" cm="1">
        <f t="array" ref="AH38">_xlfn.IFS(COUNTIF($N38:$P38,"合意済")=3,4,OR(COUNTIF($N38:$P38,"合意済")=2,COUNTIF($N38:$P38,"合意済")=1),3,COUNTIF($N38:$P38,"合意済")=0,2)</f>
        <v>2</v>
      </c>
      <c r="AI38" s="175" t="e">
        <f t="shared" ca="1" si="13"/>
        <v>#VALUE!</v>
      </c>
      <c r="AJ38" s="175" t="str">
        <f t="shared" ca="1" si="4"/>
        <v/>
      </c>
    </row>
    <row r="39" spans="2:36" s="11" customFormat="1" hidden="1">
      <c r="B39" s="21"/>
      <c r="C39" s="21"/>
      <c r="D39" s="36"/>
      <c r="E39" s="124"/>
      <c r="F39" s="707"/>
      <c r="G39" s="479"/>
      <c r="H39" s="495"/>
      <c r="I39" s="496"/>
      <c r="J39" s="497"/>
      <c r="K39" s="498"/>
      <c r="L39" s="481"/>
      <c r="M39" s="484"/>
      <c r="N39" s="484"/>
      <c r="O39" s="484"/>
      <c r="P39" s="484"/>
      <c r="Q39" s="484"/>
      <c r="R39" s="24"/>
      <c r="S39" s="21"/>
      <c r="T39" s="484"/>
      <c r="V39" s="255">
        <f t="shared" si="5"/>
        <v>32</v>
      </c>
      <c r="W39" s="129">
        <f ca="1">IF(OFFSET('4.1(2)新規再エネ導入予定（設備情報）'!$O$1,MATCH(X39,'4.1(2)新規再エネ導入予定（設備情報）'!$Z:$Z,0)-1,0)="低圧",1,0)</f>
        <v>0</v>
      </c>
      <c r="X39" s="125" t="str">
        <f ca="1">IFERROR(IF(AND(G39="",L39&lt;&gt;""),MAX(OFFSET($X$8,0,0,ROW()-8,1)),OFFSET('4.1(2)新規再エネ導入予定（設備情報）'!$Z$1,MATCH($G39,'4.1(2)新規再エネ導入予定（設備情報）'!$G:$G,0)-1,0)),"")</f>
        <v/>
      </c>
      <c r="Y39" s="224">
        <f t="shared" si="12"/>
        <v>0</v>
      </c>
      <c r="Z39" s="224">
        <f t="shared" ca="1" si="1"/>
        <v>0</v>
      </c>
      <c r="AA39" s="224">
        <f t="shared" si="6"/>
        <v>0</v>
      </c>
      <c r="AB39" s="277">
        <f t="shared" ca="1" si="2"/>
        <v>1</v>
      </c>
      <c r="AC39" s="255" t="str">
        <f t="shared" si="22"/>
        <v/>
      </c>
      <c r="AD39" s="255" t="str">
        <f t="shared" si="8"/>
        <v/>
      </c>
      <c r="AE39" s="255" t="str">
        <f t="shared" si="9"/>
        <v/>
      </c>
      <c r="AF39" s="255" t="str">
        <f t="shared" si="10"/>
        <v/>
      </c>
      <c r="AG39" s="255" t="str">
        <f t="shared" si="14"/>
        <v>E</v>
      </c>
      <c r="AH39" s="255" cm="1">
        <f t="array" ref="AH39">_xlfn.IFS(COUNTIF($N39:$P39,"合意済")=3,4,OR(COUNTIF($N39:$P39,"合意済")=2,COUNTIF($N39:$P39,"合意済")=1),3,COUNTIF($N39:$P39,"合意済")=0,2)</f>
        <v>2</v>
      </c>
      <c r="AI39" s="255" t="e">
        <f t="shared" ca="1" si="13"/>
        <v>#VALUE!</v>
      </c>
      <c r="AJ39" s="255" t="str">
        <f t="shared" ca="1" si="4"/>
        <v/>
      </c>
    </row>
    <row r="40" spans="2:36" s="11" customFormat="1">
      <c r="B40" s="21"/>
      <c r="C40" s="21"/>
      <c r="D40" s="36"/>
      <c r="E40" s="124"/>
      <c r="F40" s="489" t="str">
        <f ca="1">IFERROR(OFFSET('4.1(2)新規再エネ導入予定（設備情報）'!$F$1,MATCH(G40,'4.1(2)新規再エネ導入予定（設備情報）'!$G:$G,0)-1,0),"")</f>
        <v/>
      </c>
      <c r="G40" s="480"/>
      <c r="H40" s="491" t="str">
        <f ca="1">IFERROR(OFFSET('4.1(2)新規再エネ導入予定（設備情報）'!$H$1,MATCH(G40,'4.1(2)新規再エネ導入予定（設備情報）'!$G:$G,0)-1,0)&amp;"","")</f>
        <v/>
      </c>
      <c r="I40" s="492" t="str">
        <f ca="1">IFERROR(OFFSET('4.1(2)新規再エネ導入予定（設備情報）'!$L$1,MATCH(G40,'4.1(2)新規再エネ導入予定（設備情報）'!$G:$G,0)-1,0),"")</f>
        <v/>
      </c>
      <c r="J40" s="493" t="str">
        <f ca="1">IFERROR(OFFSET('4.1(2)新規再エネ導入予定（設備情報）'!$O$1,MATCH(G40,'4.1(2)新規再エネ導入予定（設備情報）'!$G:$G,0)-1,0),"")</f>
        <v/>
      </c>
      <c r="K40" s="494" t="str">
        <f ca="1">IFERROR(OFFSET('4.1(2)新規再エネ導入予定（設備情報）'!$P$1,MATCH(G40,'4.1(2)新規再エネ導入予定（設備情報）'!$G:$G,0)-1,0),"")</f>
        <v/>
      </c>
      <c r="L40" s="483"/>
      <c r="M40" s="486"/>
      <c r="N40" s="486"/>
      <c r="O40" s="486"/>
      <c r="P40" s="486"/>
      <c r="Q40" s="486"/>
      <c r="R40" s="24"/>
      <c r="S40" s="21"/>
      <c r="T40" s="486"/>
      <c r="V40" s="255">
        <f t="shared" si="5"/>
        <v>33</v>
      </c>
      <c r="W40" s="129">
        <f ca="1">IF(OFFSET('4.1(2)新規再エネ導入予定（設備情報）'!$O$1,MATCH(X40,'4.1(2)新規再エネ導入予定（設備情報）'!$Z:$Z,0)-1,0)="低圧",1,0)</f>
        <v>0</v>
      </c>
      <c r="X40" s="125" t="str">
        <f ca="1">IFERROR(IF(AND(G40="",L40&lt;&gt;""),MAX(OFFSET($X$8,0,0,ROW()-8,1)),OFFSET('4.1(2)新規再エネ導入予定（設備情報）'!$Z$1,MATCH($G40,'4.1(2)新規再エネ導入予定（設備情報）'!$G:$G,0)-1,0)),"")</f>
        <v/>
      </c>
      <c r="Y40" s="223">
        <f t="shared" si="12"/>
        <v>0</v>
      </c>
      <c r="Z40" s="224">
        <f t="shared" ref="Z40:Z71" ca="1" si="23">SUMIF($X$8:$X$171,X40,$Y$8:$Y$171)</f>
        <v>0</v>
      </c>
      <c r="AA40" s="223">
        <f t="shared" si="6"/>
        <v>0</v>
      </c>
      <c r="AB40" s="277">
        <f t="shared" ref="AB40:AB71" ca="1" si="24">IF(COUNTIFS($X$8:$X$171,X40,$Y$8:$Y$171,1)=0,1,COUNTIFS($X$8:$X$171,X40,$Y$8:$Y$171,1,$AA$8:$AA$171,1))</f>
        <v>1</v>
      </c>
      <c r="AC40" s="255" t="str">
        <f t="shared" si="22"/>
        <v/>
      </c>
      <c r="AD40" s="255" t="str">
        <f t="shared" si="8"/>
        <v/>
      </c>
      <c r="AE40" s="255" t="str">
        <f t="shared" si="9"/>
        <v/>
      </c>
      <c r="AF40" s="255" t="str">
        <f t="shared" si="10"/>
        <v/>
      </c>
      <c r="AG40" s="255" t="str">
        <f t="shared" si="14"/>
        <v>E</v>
      </c>
      <c r="AH40" s="255" cm="1">
        <f t="array" ref="AH40">_xlfn.IFS(COUNTIF($N40:$P40,"合意済")=3,4,OR(COUNTIF($N40:$P40,"合意済")=2,COUNTIF($N40:$P40,"合意済")=1),3,COUNTIF($N40:$P40,"合意済")=0,2)</f>
        <v>2</v>
      </c>
      <c r="AI40" s="255" t="e">
        <f t="shared" ca="1" si="13"/>
        <v>#VALUE!</v>
      </c>
      <c r="AJ40" s="255" t="str">
        <f t="shared" ref="AJ40:AJ71" ca="1" si="25">IFERROR(_xlfn.MINIFS($AI$8:$AI$171,$X$8:$X$171,X40),"")</f>
        <v/>
      </c>
    </row>
    <row r="41" spans="2:36" s="11" customFormat="1">
      <c r="B41" s="21"/>
      <c r="C41" s="21"/>
      <c r="D41" s="36"/>
      <c r="E41" s="124"/>
      <c r="F41" s="489" t="str">
        <f ca="1">IFERROR(OFFSET('4.1(2)新規再エネ導入予定（設備情報）'!$F$1,MATCH(G41,'4.1(2)新規再エネ導入予定（設備情報）'!$G:$G,0)-1,0),"")</f>
        <v/>
      </c>
      <c r="G41" s="480"/>
      <c r="H41" s="491" t="str">
        <f ca="1">IFERROR(OFFSET('4.1(2)新規再エネ導入予定（設備情報）'!$H$1,MATCH(G41,'4.1(2)新規再エネ導入予定（設備情報）'!$G:$G,0)-1,0)&amp;"","")</f>
        <v/>
      </c>
      <c r="I41" s="492" t="str">
        <f ca="1">IFERROR(OFFSET('4.1(2)新規再エネ導入予定（設備情報）'!$L$1,MATCH(G41,'4.1(2)新規再エネ導入予定（設備情報）'!$G:$G,0)-1,0),"")</f>
        <v/>
      </c>
      <c r="J41" s="493" t="str">
        <f ca="1">IFERROR(OFFSET('4.1(2)新規再エネ導入予定（設備情報）'!$O$1,MATCH(G41,'4.1(2)新規再エネ導入予定（設備情報）'!$G:$G,0)-1,0),"")</f>
        <v/>
      </c>
      <c r="K41" s="494" t="str">
        <f ca="1">IFERROR(OFFSET('4.1(2)新規再エネ導入予定（設備情報）'!$P$1,MATCH(G41,'4.1(2)新規再エネ導入予定（設備情報）'!$G:$G,0)-1,0),"")</f>
        <v/>
      </c>
      <c r="L41" s="483"/>
      <c r="M41" s="486"/>
      <c r="N41" s="486"/>
      <c r="O41" s="486"/>
      <c r="P41" s="486"/>
      <c r="Q41" s="486"/>
      <c r="R41" s="24"/>
      <c r="S41" s="21"/>
      <c r="T41" s="486"/>
      <c r="V41" s="255">
        <f t="shared" si="5"/>
        <v>34</v>
      </c>
      <c r="W41" s="129">
        <f ca="1">IF(OFFSET('4.1(2)新規再エネ導入予定（設備情報）'!$O$1,MATCH(X41,'4.1(2)新規再エネ導入予定（設備情報）'!$Z:$Z,0)-1,0)="低圧",1,0)</f>
        <v>0</v>
      </c>
      <c r="X41" s="125" t="str">
        <f ca="1">IFERROR(IF(AND(G41="",L41&lt;&gt;""),MAX(OFFSET($X$8,0,0,ROW()-8,1)),OFFSET('4.1(2)新規再エネ導入予定（設備情報）'!$Z$1,MATCH($G41,'4.1(2)新規再エネ導入予定（設備情報）'!$G:$G,0)-1,0)),"")</f>
        <v/>
      </c>
      <c r="Y41" s="223">
        <f t="shared" si="12"/>
        <v>0</v>
      </c>
      <c r="Z41" s="224">
        <f t="shared" ca="1" si="23"/>
        <v>0</v>
      </c>
      <c r="AA41" s="223">
        <f t="shared" si="6"/>
        <v>0</v>
      </c>
      <c r="AB41" s="277">
        <f t="shared" ca="1" si="24"/>
        <v>1</v>
      </c>
      <c r="AC41" s="255" t="str">
        <f t="shared" si="22"/>
        <v/>
      </c>
      <c r="AD41" s="255" t="str">
        <f t="shared" si="8"/>
        <v/>
      </c>
      <c r="AE41" s="255" t="str">
        <f t="shared" ref="AE41:AE72" si="26">IF(O41="","",IF(OR(O41="説明済",O41="協議中",O41="合意済"),1,0))</f>
        <v/>
      </c>
      <c r="AF41" s="255" t="str">
        <f t="shared" ref="AF41:AF72" si="27">IF(P41="","",IF(OR(P41="説明済",P41="協議中",P41="合意済"),1,0))</f>
        <v/>
      </c>
      <c r="AG41" s="255" t="str">
        <f t="shared" si="14"/>
        <v>E</v>
      </c>
      <c r="AH41" s="255" cm="1">
        <f t="array" ref="AH41">_xlfn.IFS(COUNTIF($N41:$P41,"合意済")=3,4,OR(COUNTIF($N41:$P41,"合意済")=2,COUNTIF($N41:$P41,"合意済")=1),3,COUNTIF($N41:$P41,"合意済")=0,2)</f>
        <v>2</v>
      </c>
      <c r="AI41" s="255" t="e">
        <f t="shared" ca="1" si="13"/>
        <v>#VALUE!</v>
      </c>
      <c r="AJ41" s="255" t="str">
        <f t="shared" ca="1" si="25"/>
        <v/>
      </c>
    </row>
    <row r="42" spans="2:36" s="11" customFormat="1">
      <c r="B42" s="21"/>
      <c r="C42" s="21"/>
      <c r="D42" s="36"/>
      <c r="E42" s="124"/>
      <c r="F42" s="489" t="str">
        <f ca="1">IFERROR(OFFSET('4.1(2)新規再エネ導入予定（設備情報）'!$F$1,MATCH(G42,'4.1(2)新規再エネ導入予定（設備情報）'!$G:$G,0)-1,0),"")</f>
        <v/>
      </c>
      <c r="G42" s="480"/>
      <c r="H42" s="491" t="str">
        <f ca="1">IFERROR(OFFSET('4.1(2)新規再エネ導入予定（設備情報）'!$H$1,MATCH(G42,'4.1(2)新規再エネ導入予定（設備情報）'!$G:$G,0)-1,0)&amp;"","")</f>
        <v/>
      </c>
      <c r="I42" s="492" t="str">
        <f ca="1">IFERROR(OFFSET('4.1(2)新規再エネ導入予定（設備情報）'!$L$1,MATCH(G42,'4.1(2)新規再エネ導入予定（設備情報）'!$G:$G,0)-1,0),"")</f>
        <v/>
      </c>
      <c r="J42" s="493" t="str">
        <f ca="1">IFERROR(OFFSET('4.1(2)新規再エネ導入予定（設備情報）'!$O$1,MATCH(G42,'4.1(2)新規再エネ導入予定（設備情報）'!$G:$G,0)-1,0),"")</f>
        <v/>
      </c>
      <c r="K42" s="494" t="str">
        <f ca="1">IFERROR(OFFSET('4.1(2)新規再エネ導入予定（設備情報）'!$P$1,MATCH(G42,'4.1(2)新規再エネ導入予定（設備情報）'!$G:$G,0)-1,0),"")</f>
        <v/>
      </c>
      <c r="L42" s="483"/>
      <c r="M42" s="486"/>
      <c r="N42" s="486"/>
      <c r="O42" s="486"/>
      <c r="P42" s="486"/>
      <c r="Q42" s="486"/>
      <c r="R42" s="24"/>
      <c r="S42" s="21"/>
      <c r="T42" s="486"/>
      <c r="V42" s="255">
        <f t="shared" si="5"/>
        <v>35</v>
      </c>
      <c r="W42" s="129">
        <f ca="1">IF(OFFSET('4.1(2)新規再エネ導入予定（設備情報）'!$O$1,MATCH(X42,'4.1(2)新規再エネ導入予定（設備情報）'!$Z:$Z,0)-1,0)="低圧",1,0)</f>
        <v>0</v>
      </c>
      <c r="X42" s="125" t="str">
        <f ca="1">IFERROR(IF(AND(G42="",L42&lt;&gt;""),MAX(OFFSET($X$8,0,0,ROW()-8,1)),OFFSET('4.1(2)新規再エネ導入予定（設備情報）'!$Z$1,MATCH($G42,'4.1(2)新規再エネ導入予定（設備情報）'!$G:$G,0)-1,0)),"")</f>
        <v/>
      </c>
      <c r="Y42" s="223">
        <f t="shared" si="12"/>
        <v>0</v>
      </c>
      <c r="Z42" s="224">
        <f t="shared" ca="1" si="23"/>
        <v>0</v>
      </c>
      <c r="AA42" s="223">
        <f t="shared" si="6"/>
        <v>0</v>
      </c>
      <c r="AB42" s="277">
        <f t="shared" ca="1" si="24"/>
        <v>1</v>
      </c>
      <c r="AC42" s="255" t="str">
        <f t="shared" si="22"/>
        <v/>
      </c>
      <c r="AD42" s="255" t="str">
        <f t="shared" si="8"/>
        <v/>
      </c>
      <c r="AE42" s="255" t="str">
        <f t="shared" si="26"/>
        <v/>
      </c>
      <c r="AF42" s="255" t="str">
        <f t="shared" si="27"/>
        <v/>
      </c>
      <c r="AG42" s="255" t="str">
        <f t="shared" si="14"/>
        <v>E</v>
      </c>
      <c r="AH42" s="255" cm="1">
        <f t="array" ref="AH42">_xlfn.IFS(COUNTIF($N42:$P42,"合意済")=3,4,OR(COUNTIF($N42:$P42,"合意済")=2,COUNTIF($N42:$P42,"合意済")=1),3,COUNTIF($N42:$P42,"合意済")=0,2)</f>
        <v>2</v>
      </c>
      <c r="AI42" s="255" t="e">
        <f t="shared" ca="1" si="13"/>
        <v>#VALUE!</v>
      </c>
      <c r="AJ42" s="255" t="str">
        <f t="shared" ca="1" si="25"/>
        <v/>
      </c>
    </row>
    <row r="43" spans="2:36" s="11" customFormat="1">
      <c r="B43" s="21"/>
      <c r="C43" s="21"/>
      <c r="D43" s="36"/>
      <c r="E43" s="124"/>
      <c r="F43" s="489" t="str">
        <f ca="1">IFERROR(OFFSET('4.1(2)新規再エネ導入予定（設備情報）'!$F$1,MATCH(G43,'4.1(2)新規再エネ導入予定（設備情報）'!$G:$G,0)-1,0),"")</f>
        <v/>
      </c>
      <c r="G43" s="480"/>
      <c r="H43" s="491" t="str">
        <f ca="1">IFERROR(OFFSET('4.1(2)新規再エネ導入予定（設備情報）'!$H$1,MATCH(G43,'4.1(2)新規再エネ導入予定（設備情報）'!$G:$G,0)-1,0)&amp;"","")</f>
        <v/>
      </c>
      <c r="I43" s="492" t="str">
        <f ca="1">IFERROR(OFFSET('4.1(2)新規再エネ導入予定（設備情報）'!$L$1,MATCH(G43,'4.1(2)新規再エネ導入予定（設備情報）'!$G:$G,0)-1,0),"")</f>
        <v/>
      </c>
      <c r="J43" s="493" t="str">
        <f ca="1">IFERROR(OFFSET('4.1(2)新規再エネ導入予定（設備情報）'!$O$1,MATCH(G43,'4.1(2)新規再エネ導入予定（設備情報）'!$G:$G,0)-1,0),"")</f>
        <v/>
      </c>
      <c r="K43" s="494" t="str">
        <f ca="1">IFERROR(OFFSET('4.1(2)新規再エネ導入予定（設備情報）'!$P$1,MATCH(G43,'4.1(2)新規再エネ導入予定（設備情報）'!$G:$G,0)-1,0),"")</f>
        <v/>
      </c>
      <c r="L43" s="483"/>
      <c r="M43" s="486"/>
      <c r="N43" s="486"/>
      <c r="O43" s="486"/>
      <c r="P43" s="486"/>
      <c r="Q43" s="486"/>
      <c r="R43" s="24"/>
      <c r="S43" s="21"/>
      <c r="T43" s="486"/>
      <c r="V43" s="255">
        <f t="shared" si="5"/>
        <v>36</v>
      </c>
      <c r="W43" s="129">
        <f ca="1">IF(OFFSET('4.1(2)新規再エネ導入予定（設備情報）'!$O$1,MATCH(X43,'4.1(2)新規再エネ導入予定（設備情報）'!$Z:$Z,0)-1,0)="低圧",1,0)</f>
        <v>0</v>
      </c>
      <c r="X43" s="125" t="str">
        <f ca="1">IFERROR(IF(AND(G43="",L43&lt;&gt;""),MAX(OFFSET($X$8,0,0,ROW()-8,1)),OFFSET('4.1(2)新規再エネ導入予定（設備情報）'!$Z$1,MATCH($G43,'4.1(2)新規再エネ導入予定（設備情報）'!$G:$G,0)-1,0)),"")</f>
        <v/>
      </c>
      <c r="Y43" s="223">
        <f t="shared" si="12"/>
        <v>0</v>
      </c>
      <c r="Z43" s="224">
        <f t="shared" ca="1" si="23"/>
        <v>0</v>
      </c>
      <c r="AA43" s="223">
        <f t="shared" si="6"/>
        <v>0</v>
      </c>
      <c r="AB43" s="277">
        <f t="shared" ca="1" si="24"/>
        <v>1</v>
      </c>
      <c r="AC43" s="255" t="str">
        <f t="shared" si="22"/>
        <v/>
      </c>
      <c r="AD43" s="255" t="str">
        <f t="shared" si="8"/>
        <v/>
      </c>
      <c r="AE43" s="255" t="str">
        <f t="shared" si="26"/>
        <v/>
      </c>
      <c r="AF43" s="255" t="str">
        <f t="shared" si="27"/>
        <v/>
      </c>
      <c r="AG43" s="255" t="str">
        <f t="shared" si="14"/>
        <v>E</v>
      </c>
      <c r="AH43" s="255" cm="1">
        <f t="array" ref="AH43">_xlfn.IFS(COUNTIF($N43:$P43,"合意済")=3,4,OR(COUNTIF($N43:$P43,"合意済")=2,COUNTIF($N43:$P43,"合意済")=1),3,COUNTIF($N43:$P43,"合意済")=0,2)</f>
        <v>2</v>
      </c>
      <c r="AI43" s="255" t="e">
        <f t="shared" ca="1" si="13"/>
        <v>#VALUE!</v>
      </c>
      <c r="AJ43" s="255" t="str">
        <f t="shared" ca="1" si="25"/>
        <v/>
      </c>
    </row>
    <row r="44" spans="2:36" ht="17.25" customHeight="1">
      <c r="D44" s="188"/>
      <c r="E44" s="190" t="s">
        <v>20</v>
      </c>
      <c r="F44" s="191"/>
      <c r="G44" s="474"/>
      <c r="H44" s="475"/>
      <c r="I44" s="476"/>
      <c r="J44" s="477"/>
      <c r="K44" s="478"/>
      <c r="L44" s="478"/>
      <c r="M44" s="477"/>
      <c r="N44" s="477"/>
      <c r="O44" s="477"/>
      <c r="P44" s="477"/>
      <c r="Q44" s="500"/>
      <c r="R44" s="19"/>
      <c r="T44" s="487"/>
      <c r="V44" s="175">
        <f t="shared" si="5"/>
        <v>37</v>
      </c>
      <c r="W44" s="215">
        <f ca="1">IF(OFFSET('4.1(2)新規再エネ導入予定（設備情報）'!$O$1,MATCH(X44,'4.1(2)新規再エネ導入予定（設備情報）'!$Z:$Z,0)-1,0)="低圧",1,0)</f>
        <v>0</v>
      </c>
      <c r="X44" s="125" t="str">
        <f ca="1">IFERROR(IF(AND(G44="",L44&lt;&gt;""),MAX(OFFSET($X$8,0,0,ROW()-8,1)),OFFSET('4.1(2)新規再エネ導入予定（設備情報）'!$Z$1,MATCH($G44,'4.1(2)新規再エネ導入予定（設備情報）'!$G:$G,0)-1,0)),"")</f>
        <v/>
      </c>
      <c r="Y44" s="263">
        <f t="shared" si="12"/>
        <v>0</v>
      </c>
      <c r="Z44" s="261">
        <f t="shared" ca="1" si="23"/>
        <v>0</v>
      </c>
      <c r="AA44" s="263">
        <f t="shared" si="6"/>
        <v>0</v>
      </c>
      <c r="AB44" s="262">
        <f t="shared" ca="1" si="24"/>
        <v>1</v>
      </c>
      <c r="AC44" s="175" t="str">
        <f t="shared" si="22"/>
        <v/>
      </c>
      <c r="AD44" s="175" t="str">
        <f t="shared" si="8"/>
        <v/>
      </c>
      <c r="AE44" s="175" t="str">
        <f t="shared" si="26"/>
        <v/>
      </c>
      <c r="AF44" s="175" t="str">
        <f t="shared" si="27"/>
        <v/>
      </c>
      <c r="AG44" s="175" t="str">
        <f t="shared" si="14"/>
        <v>E</v>
      </c>
      <c r="AH44" s="175" cm="1">
        <f t="array" ref="AH44">_xlfn.IFS(COUNTIF($N44:$P44,"合意済")=3,4,OR(COUNTIF($N44:$P44,"合意済")=2,COUNTIF($N44:$P44,"合意済")=1),3,COUNTIF($N44:$P44,"合意済")=0,2)</f>
        <v>2</v>
      </c>
      <c r="AI44" s="175" t="e">
        <f t="shared" ca="1" si="13"/>
        <v>#VALUE!</v>
      </c>
      <c r="AJ44" s="175" t="str">
        <f t="shared" ca="1" si="25"/>
        <v/>
      </c>
    </row>
    <row r="45" spans="2:36" s="11" customFormat="1" hidden="1">
      <c r="B45" s="21"/>
      <c r="C45" s="21"/>
      <c r="D45" s="36"/>
      <c r="E45" s="124"/>
      <c r="F45" s="707"/>
      <c r="G45" s="479"/>
      <c r="H45" s="495"/>
      <c r="I45" s="496"/>
      <c r="J45" s="497"/>
      <c r="K45" s="498"/>
      <c r="L45" s="481"/>
      <c r="M45" s="484"/>
      <c r="N45" s="484"/>
      <c r="O45" s="484"/>
      <c r="P45" s="484"/>
      <c r="Q45" s="484"/>
      <c r="R45" s="24"/>
      <c r="S45" s="21"/>
      <c r="T45" s="484"/>
      <c r="V45" s="255">
        <f t="shared" si="5"/>
        <v>38</v>
      </c>
      <c r="W45" s="129">
        <f ca="1">IF(OFFSET('4.1(2)新規再エネ導入予定（設備情報）'!$O$1,MATCH(X45,'4.1(2)新規再エネ導入予定（設備情報）'!$Z:$Z,0)-1,0)="低圧",1,0)</f>
        <v>0</v>
      </c>
      <c r="X45" s="125" t="str">
        <f ca="1">IFERROR(IF(AND(G45="",L45&lt;&gt;""),MAX(OFFSET($X$8,0,0,ROW()-8,1)),OFFSET('4.1(2)新規再エネ導入予定（設備情報）'!$Z$1,MATCH($G45,'4.1(2)新規再エネ導入予定（設備情報）'!$G:$G,0)-1,0)),"")</f>
        <v/>
      </c>
      <c r="Y45" s="224">
        <f t="shared" si="12"/>
        <v>0</v>
      </c>
      <c r="Z45" s="224">
        <f t="shared" ca="1" si="23"/>
        <v>0</v>
      </c>
      <c r="AA45" s="224">
        <f t="shared" si="6"/>
        <v>0</v>
      </c>
      <c r="AB45" s="277">
        <f t="shared" ca="1" si="24"/>
        <v>1</v>
      </c>
      <c r="AC45" s="255" t="str">
        <f t="shared" si="22"/>
        <v/>
      </c>
      <c r="AD45" s="255" t="str">
        <f t="shared" si="8"/>
        <v/>
      </c>
      <c r="AE45" s="255" t="str">
        <f t="shared" si="26"/>
        <v/>
      </c>
      <c r="AF45" s="255" t="str">
        <f t="shared" si="27"/>
        <v/>
      </c>
      <c r="AG45" s="255" t="str">
        <f t="shared" si="14"/>
        <v>E</v>
      </c>
      <c r="AH45" s="255" cm="1">
        <f t="array" ref="AH45">_xlfn.IFS(COUNTIF($N45:$P45,"合意済")=3,4,OR(COUNTIF($N45:$P45,"合意済")=2,COUNTIF($N45:$P45,"合意済")=1),3,COUNTIF($N45:$P45,"合意済")=0,2)</f>
        <v>2</v>
      </c>
      <c r="AI45" s="255" t="e">
        <f t="shared" ca="1" si="13"/>
        <v>#VALUE!</v>
      </c>
      <c r="AJ45" s="255" t="str">
        <f t="shared" ca="1" si="25"/>
        <v/>
      </c>
    </row>
    <row r="46" spans="2:36" s="11" customFormat="1">
      <c r="B46" s="21"/>
      <c r="C46" s="21"/>
      <c r="D46" s="36"/>
      <c r="E46" s="124"/>
      <c r="F46" s="489" t="str">
        <f ca="1">IFERROR(OFFSET('4.1(2)新規再エネ導入予定（設備情報）'!$F$1,MATCH(G46,'4.1(2)新規再エネ導入予定（設備情報）'!$G:$G,0)-1,0),"")</f>
        <v/>
      </c>
      <c r="G46" s="480"/>
      <c r="H46" s="491" t="str">
        <f ca="1">IFERROR(OFFSET('4.1(2)新規再エネ導入予定（設備情報）'!$H$1,MATCH(G46,'4.1(2)新規再エネ導入予定（設備情報）'!$G:$G,0)-1,0)&amp;"","")</f>
        <v/>
      </c>
      <c r="I46" s="492" t="str">
        <f ca="1">IFERROR(OFFSET('4.1(2)新規再エネ導入予定（設備情報）'!$L$1,MATCH(G46,'4.1(2)新規再エネ導入予定（設備情報）'!$G:$G,0)-1,0),"")</f>
        <v/>
      </c>
      <c r="J46" s="493" t="str">
        <f ca="1">IFERROR(OFFSET('4.1(2)新規再エネ導入予定（設備情報）'!$O$1,MATCH(G46,'4.1(2)新規再エネ導入予定（設備情報）'!$G:$G,0)-1,0),"")</f>
        <v/>
      </c>
      <c r="K46" s="494" t="str">
        <f ca="1">IFERROR(OFFSET('4.1(2)新規再エネ導入予定（設備情報）'!$P$1,MATCH(G46,'4.1(2)新規再エネ導入予定（設備情報）'!$G:$G,0)-1,0),"")</f>
        <v/>
      </c>
      <c r="L46" s="483"/>
      <c r="M46" s="486"/>
      <c r="N46" s="486"/>
      <c r="O46" s="486"/>
      <c r="P46" s="486"/>
      <c r="Q46" s="486"/>
      <c r="R46" s="24"/>
      <c r="S46" s="21"/>
      <c r="T46" s="486"/>
      <c r="V46" s="255">
        <f t="shared" si="5"/>
        <v>39</v>
      </c>
      <c r="W46" s="129">
        <f ca="1">IF(OFFSET('4.1(2)新規再エネ導入予定（設備情報）'!$O$1,MATCH(X46,'4.1(2)新規再エネ導入予定（設備情報）'!$Z:$Z,0)-1,0)="低圧",1,0)</f>
        <v>0</v>
      </c>
      <c r="X46" s="125" t="str">
        <f ca="1">IFERROR(IF(AND(G46="",L46&lt;&gt;""),MAX(OFFSET($X$8,0,0,ROW()-8,1)),OFFSET('4.1(2)新規再エネ導入予定（設備情報）'!$Z$1,MATCH($G46,'4.1(2)新規再エネ導入予定（設備情報）'!$G:$G,0)-1,0)),"")</f>
        <v/>
      </c>
      <c r="Y46" s="223">
        <f t="shared" si="12"/>
        <v>0</v>
      </c>
      <c r="Z46" s="224">
        <f t="shared" ca="1" si="23"/>
        <v>0</v>
      </c>
      <c r="AA46" s="223">
        <f t="shared" si="6"/>
        <v>0</v>
      </c>
      <c r="AB46" s="277">
        <f t="shared" ca="1" si="24"/>
        <v>1</v>
      </c>
      <c r="AC46" s="255" t="str">
        <f t="shared" si="22"/>
        <v/>
      </c>
      <c r="AD46" s="255" t="str">
        <f t="shared" si="8"/>
        <v/>
      </c>
      <c r="AE46" s="255" t="str">
        <f t="shared" si="26"/>
        <v/>
      </c>
      <c r="AF46" s="255" t="str">
        <f t="shared" si="27"/>
        <v/>
      </c>
      <c r="AG46" s="255" t="str">
        <f t="shared" si="14"/>
        <v>E</v>
      </c>
      <c r="AH46" s="255" cm="1">
        <f t="array" ref="AH46">_xlfn.IFS(COUNTIF($N46:$P46,"合意済")=3,4,OR(COUNTIF($N46:$P46,"合意済")=2,COUNTIF($N46:$P46,"合意済")=1),3,COUNTIF($N46:$P46,"合意済")=0,2)</f>
        <v>2</v>
      </c>
      <c r="AI46" s="255" t="e">
        <f t="shared" ca="1" si="13"/>
        <v>#VALUE!</v>
      </c>
      <c r="AJ46" s="255" t="str">
        <f t="shared" ca="1" si="25"/>
        <v/>
      </c>
    </row>
    <row r="47" spans="2:36" s="11" customFormat="1">
      <c r="B47" s="21"/>
      <c r="C47" s="21"/>
      <c r="D47" s="36"/>
      <c r="E47" s="124"/>
      <c r="F47" s="489" t="str">
        <f ca="1">IFERROR(OFFSET('4.1(2)新規再エネ導入予定（設備情報）'!$F$1,MATCH(G47,'4.1(2)新規再エネ導入予定（設備情報）'!$G:$G,0)-1,0),"")</f>
        <v/>
      </c>
      <c r="G47" s="480"/>
      <c r="H47" s="491" t="str">
        <f ca="1">IFERROR(OFFSET('4.1(2)新規再エネ導入予定（設備情報）'!$H$1,MATCH(G47,'4.1(2)新規再エネ導入予定（設備情報）'!$G:$G,0)-1,0)&amp;"","")</f>
        <v/>
      </c>
      <c r="I47" s="492" t="str">
        <f ca="1">IFERROR(OFFSET('4.1(2)新規再エネ導入予定（設備情報）'!$L$1,MATCH(G47,'4.1(2)新規再エネ導入予定（設備情報）'!$G:$G,0)-1,0),"")</f>
        <v/>
      </c>
      <c r="J47" s="493" t="str">
        <f ca="1">IFERROR(OFFSET('4.1(2)新規再エネ導入予定（設備情報）'!$O$1,MATCH(G47,'4.1(2)新規再エネ導入予定（設備情報）'!$G:$G,0)-1,0),"")</f>
        <v/>
      </c>
      <c r="K47" s="494" t="str">
        <f ca="1">IFERROR(OFFSET('4.1(2)新規再エネ導入予定（設備情報）'!$P$1,MATCH(G47,'4.1(2)新規再エネ導入予定（設備情報）'!$G:$G,0)-1,0),"")</f>
        <v/>
      </c>
      <c r="L47" s="483"/>
      <c r="M47" s="486"/>
      <c r="N47" s="486"/>
      <c r="O47" s="486"/>
      <c r="P47" s="486"/>
      <c r="Q47" s="486"/>
      <c r="R47" s="24"/>
      <c r="S47" s="21"/>
      <c r="T47" s="486"/>
      <c r="V47" s="255">
        <f t="shared" si="5"/>
        <v>40</v>
      </c>
      <c r="W47" s="129">
        <f ca="1">IF(OFFSET('4.1(2)新規再エネ導入予定（設備情報）'!$O$1,MATCH(X47,'4.1(2)新規再エネ導入予定（設備情報）'!$Z:$Z,0)-1,0)="低圧",1,0)</f>
        <v>0</v>
      </c>
      <c r="X47" s="125" t="str">
        <f ca="1">IFERROR(IF(AND(G47="",L47&lt;&gt;""),MAX(OFFSET($X$8,0,0,ROW()-8,1)),OFFSET('4.1(2)新規再エネ導入予定（設備情報）'!$Z$1,MATCH($G47,'4.1(2)新規再エネ導入予定（設備情報）'!$G:$G,0)-1,0)),"")</f>
        <v/>
      </c>
      <c r="Y47" s="223">
        <f t="shared" si="12"/>
        <v>0</v>
      </c>
      <c r="Z47" s="224">
        <f t="shared" ca="1" si="23"/>
        <v>0</v>
      </c>
      <c r="AA47" s="223">
        <f t="shared" si="6"/>
        <v>0</v>
      </c>
      <c r="AB47" s="277">
        <f t="shared" ca="1" si="24"/>
        <v>1</v>
      </c>
      <c r="AC47" s="255" t="str">
        <f t="shared" si="22"/>
        <v/>
      </c>
      <c r="AD47" s="255" t="str">
        <f t="shared" si="8"/>
        <v/>
      </c>
      <c r="AE47" s="255" t="str">
        <f t="shared" si="26"/>
        <v/>
      </c>
      <c r="AF47" s="255" t="str">
        <f t="shared" si="27"/>
        <v/>
      </c>
      <c r="AG47" s="255" t="str">
        <f t="shared" si="14"/>
        <v>E</v>
      </c>
      <c r="AH47" s="255" cm="1">
        <f t="array" ref="AH47">_xlfn.IFS(COUNTIF($N47:$P47,"合意済")=3,4,OR(COUNTIF($N47:$P47,"合意済")=2,COUNTIF($N47:$P47,"合意済")=1),3,COUNTIF($N47:$P47,"合意済")=0,2)</f>
        <v>2</v>
      </c>
      <c r="AI47" s="255" t="e">
        <f t="shared" ca="1" si="13"/>
        <v>#VALUE!</v>
      </c>
      <c r="AJ47" s="255" t="str">
        <f t="shared" ca="1" si="25"/>
        <v/>
      </c>
    </row>
    <row r="48" spans="2:36" s="11" customFormat="1">
      <c r="B48" s="21"/>
      <c r="C48" s="21"/>
      <c r="D48" s="36"/>
      <c r="E48" s="124"/>
      <c r="F48" s="489" t="str">
        <f ca="1">IFERROR(OFFSET('4.1(2)新規再エネ導入予定（設備情報）'!$F$1,MATCH(G48,'4.1(2)新規再エネ導入予定（設備情報）'!$G:$G,0)-1,0),"")</f>
        <v/>
      </c>
      <c r="G48" s="480"/>
      <c r="H48" s="491" t="str">
        <f ca="1">IFERROR(OFFSET('4.1(2)新規再エネ導入予定（設備情報）'!$H$1,MATCH(G48,'4.1(2)新規再エネ導入予定（設備情報）'!$G:$G,0)-1,0)&amp;"","")</f>
        <v/>
      </c>
      <c r="I48" s="492" t="str">
        <f ca="1">IFERROR(OFFSET('4.1(2)新規再エネ導入予定（設備情報）'!$L$1,MATCH(G48,'4.1(2)新規再エネ導入予定（設備情報）'!$G:$G,0)-1,0),"")</f>
        <v/>
      </c>
      <c r="J48" s="493" t="str">
        <f ca="1">IFERROR(OFFSET('4.1(2)新規再エネ導入予定（設備情報）'!$O$1,MATCH(G48,'4.1(2)新規再エネ導入予定（設備情報）'!$G:$G,0)-1,0),"")</f>
        <v/>
      </c>
      <c r="K48" s="494" t="str">
        <f ca="1">IFERROR(OFFSET('4.1(2)新規再エネ導入予定（設備情報）'!$P$1,MATCH(G48,'4.1(2)新規再エネ導入予定（設備情報）'!$G:$G,0)-1,0),"")</f>
        <v/>
      </c>
      <c r="L48" s="483"/>
      <c r="M48" s="486"/>
      <c r="N48" s="486"/>
      <c r="O48" s="486"/>
      <c r="P48" s="486"/>
      <c r="Q48" s="486"/>
      <c r="R48" s="24"/>
      <c r="S48" s="21"/>
      <c r="T48" s="486"/>
      <c r="V48" s="255">
        <f t="shared" si="5"/>
        <v>41</v>
      </c>
      <c r="W48" s="129">
        <f ca="1">IF(OFFSET('4.1(2)新規再エネ導入予定（設備情報）'!$O$1,MATCH(X48,'4.1(2)新規再エネ導入予定（設備情報）'!$Z:$Z,0)-1,0)="低圧",1,0)</f>
        <v>0</v>
      </c>
      <c r="X48" s="125" t="str">
        <f ca="1">IFERROR(IF(AND(G48="",L48&lt;&gt;""),MAX(OFFSET($X$8,0,0,ROW()-8,1)),OFFSET('4.1(2)新規再エネ導入予定（設備情報）'!$Z$1,MATCH($G48,'4.1(2)新規再エネ導入予定（設備情報）'!$G:$G,0)-1,0)),"")</f>
        <v/>
      </c>
      <c r="Y48" s="223">
        <f t="shared" si="12"/>
        <v>0</v>
      </c>
      <c r="Z48" s="224">
        <f t="shared" ca="1" si="23"/>
        <v>0</v>
      </c>
      <c r="AA48" s="223">
        <f t="shared" si="6"/>
        <v>0</v>
      </c>
      <c r="AB48" s="277">
        <f t="shared" ca="1" si="24"/>
        <v>1</v>
      </c>
      <c r="AC48" s="255" t="str">
        <f t="shared" si="22"/>
        <v/>
      </c>
      <c r="AD48" s="255" t="str">
        <f t="shared" si="8"/>
        <v/>
      </c>
      <c r="AE48" s="255" t="str">
        <f t="shared" si="26"/>
        <v/>
      </c>
      <c r="AF48" s="255" t="str">
        <f t="shared" si="27"/>
        <v/>
      </c>
      <c r="AG48" s="255" t="str">
        <f t="shared" si="14"/>
        <v>E</v>
      </c>
      <c r="AH48" s="255" cm="1">
        <f t="array" ref="AH48">_xlfn.IFS(COUNTIF($N48:$P48,"合意済")=3,4,OR(COUNTIF($N48:$P48,"合意済")=2,COUNTIF($N48:$P48,"合意済")=1),3,COUNTIF($N48:$P48,"合意済")=0,2)</f>
        <v>2</v>
      </c>
      <c r="AI48" s="255" t="e">
        <f t="shared" ca="1" si="13"/>
        <v>#VALUE!</v>
      </c>
      <c r="AJ48" s="255" t="str">
        <f t="shared" ca="1" si="25"/>
        <v/>
      </c>
    </row>
    <row r="49" spans="2:36" s="11" customFormat="1">
      <c r="B49" s="21"/>
      <c r="C49" s="21"/>
      <c r="D49" s="36"/>
      <c r="E49" s="124"/>
      <c r="F49" s="489" t="str">
        <f ca="1">IFERROR(OFFSET('4.1(2)新規再エネ導入予定（設備情報）'!$F$1,MATCH(G49,'4.1(2)新規再エネ導入予定（設備情報）'!$G:$G,0)-1,0),"")</f>
        <v/>
      </c>
      <c r="G49" s="480"/>
      <c r="H49" s="491" t="str">
        <f ca="1">IFERROR(OFFSET('4.1(2)新規再エネ導入予定（設備情報）'!$H$1,MATCH(G49,'4.1(2)新規再エネ導入予定（設備情報）'!$G:$G,0)-1,0)&amp;"","")</f>
        <v/>
      </c>
      <c r="I49" s="492" t="str">
        <f ca="1">IFERROR(OFFSET('4.1(2)新規再エネ導入予定（設備情報）'!$L$1,MATCH(G49,'4.1(2)新規再エネ導入予定（設備情報）'!$G:$G,0)-1,0),"")</f>
        <v/>
      </c>
      <c r="J49" s="493" t="str">
        <f ca="1">IFERROR(OFFSET('4.1(2)新規再エネ導入予定（設備情報）'!$O$1,MATCH(G49,'4.1(2)新規再エネ導入予定（設備情報）'!$G:$G,0)-1,0),"")</f>
        <v/>
      </c>
      <c r="K49" s="494" t="str">
        <f ca="1">IFERROR(OFFSET('4.1(2)新規再エネ導入予定（設備情報）'!$P$1,MATCH(G49,'4.1(2)新規再エネ導入予定（設備情報）'!$G:$G,0)-1,0),"")</f>
        <v/>
      </c>
      <c r="L49" s="483"/>
      <c r="M49" s="486"/>
      <c r="N49" s="486"/>
      <c r="O49" s="486"/>
      <c r="P49" s="486"/>
      <c r="Q49" s="486"/>
      <c r="R49" s="24"/>
      <c r="S49" s="21"/>
      <c r="T49" s="486"/>
      <c r="V49" s="255">
        <f t="shared" si="5"/>
        <v>42</v>
      </c>
      <c r="W49" s="129">
        <f ca="1">IF(OFFSET('4.1(2)新規再エネ導入予定（設備情報）'!$O$1,MATCH(X49,'4.1(2)新規再エネ導入予定（設備情報）'!$Z:$Z,0)-1,0)="低圧",1,0)</f>
        <v>0</v>
      </c>
      <c r="X49" s="125" t="str">
        <f ca="1">IFERROR(IF(AND(G49="",L49&lt;&gt;""),MAX(OFFSET($X$8,0,0,ROW()-8,1)),OFFSET('4.1(2)新規再エネ導入予定（設備情報）'!$Z$1,MATCH($G49,'4.1(2)新規再エネ導入予定（設備情報）'!$G:$G,0)-1,0)),"")</f>
        <v/>
      </c>
      <c r="Y49" s="223">
        <f t="shared" si="12"/>
        <v>0</v>
      </c>
      <c r="Z49" s="224">
        <f t="shared" ca="1" si="23"/>
        <v>0</v>
      </c>
      <c r="AA49" s="223">
        <f t="shared" si="6"/>
        <v>0</v>
      </c>
      <c r="AB49" s="277">
        <f t="shared" ca="1" si="24"/>
        <v>1</v>
      </c>
      <c r="AC49" s="255" t="str">
        <f t="shared" si="22"/>
        <v/>
      </c>
      <c r="AD49" s="255" t="str">
        <f t="shared" si="8"/>
        <v/>
      </c>
      <c r="AE49" s="255" t="str">
        <f t="shared" si="26"/>
        <v/>
      </c>
      <c r="AF49" s="255" t="str">
        <f t="shared" si="27"/>
        <v/>
      </c>
      <c r="AG49" s="255" t="str">
        <f t="shared" si="14"/>
        <v>E</v>
      </c>
      <c r="AH49" s="255" cm="1">
        <f t="array" ref="AH49">_xlfn.IFS(COUNTIF($N49:$P49,"合意済")=3,4,OR(COUNTIF($N49:$P49,"合意済")=2,COUNTIF($N49:$P49,"合意済")=1),3,COUNTIF($N49:$P49,"合意済")=0,2)</f>
        <v>2</v>
      </c>
      <c r="AI49" s="255" t="e">
        <f t="shared" ca="1" si="13"/>
        <v>#VALUE!</v>
      </c>
      <c r="AJ49" s="255" t="str">
        <f t="shared" ca="1" si="25"/>
        <v/>
      </c>
    </row>
    <row r="50" spans="2:36" ht="20">
      <c r="D50" s="188"/>
      <c r="E50" s="190" t="s">
        <v>21</v>
      </c>
      <c r="F50" s="191"/>
      <c r="G50" s="474"/>
      <c r="H50" s="475"/>
      <c r="I50" s="476"/>
      <c r="J50" s="477"/>
      <c r="K50" s="478"/>
      <c r="L50" s="478"/>
      <c r="M50" s="477"/>
      <c r="N50" s="477"/>
      <c r="O50" s="477"/>
      <c r="P50" s="477"/>
      <c r="Q50" s="500"/>
      <c r="R50" s="19"/>
      <c r="T50" s="487"/>
      <c r="V50" s="175">
        <f t="shared" si="5"/>
        <v>43</v>
      </c>
      <c r="W50" s="215">
        <f ca="1">IF(OFFSET('4.1(2)新規再エネ導入予定（設備情報）'!$O$1,MATCH(X50,'4.1(2)新規再エネ導入予定（設備情報）'!$Z:$Z,0)-1,0)="低圧",1,0)</f>
        <v>0</v>
      </c>
      <c r="X50" s="125" t="str">
        <f ca="1">IFERROR(IF(AND(G50="",L50&lt;&gt;""),MAX(OFFSET($X$8,0,0,ROW()-8,1)),OFFSET('4.1(2)新規再エネ導入予定（設備情報）'!$Z$1,MATCH($G50,'4.1(2)新規再エネ導入予定（設備情報）'!$G:$G,0)-1,0)),"")</f>
        <v/>
      </c>
      <c r="Y50" s="263">
        <f t="shared" si="12"/>
        <v>0</v>
      </c>
      <c r="Z50" s="261">
        <f t="shared" ca="1" si="23"/>
        <v>0</v>
      </c>
      <c r="AA50" s="263">
        <f t="shared" si="6"/>
        <v>0</v>
      </c>
      <c r="AB50" s="262">
        <f t="shared" ca="1" si="24"/>
        <v>1</v>
      </c>
      <c r="AC50" s="175" t="str">
        <f t="shared" si="22"/>
        <v/>
      </c>
      <c r="AD50" s="175" t="str">
        <f t="shared" si="8"/>
        <v/>
      </c>
      <c r="AE50" s="175" t="str">
        <f t="shared" si="26"/>
        <v/>
      </c>
      <c r="AF50" s="175" t="str">
        <f t="shared" si="27"/>
        <v/>
      </c>
      <c r="AG50" s="175" t="str">
        <f t="shared" si="14"/>
        <v>E</v>
      </c>
      <c r="AH50" s="175" cm="1">
        <f t="array" ref="AH50">_xlfn.IFS(COUNTIF($N50:$P50,"合意済")=3,4,OR(COUNTIF($N50:$P50,"合意済")=2,COUNTIF($N50:$P50,"合意済")=1),3,COUNTIF($N50:$P50,"合意済")=0,2)</f>
        <v>2</v>
      </c>
      <c r="AI50" s="175" t="e">
        <f t="shared" ca="1" si="13"/>
        <v>#VALUE!</v>
      </c>
      <c r="AJ50" s="175" t="str">
        <f t="shared" ca="1" si="25"/>
        <v/>
      </c>
    </row>
    <row r="51" spans="2:36" s="11" customFormat="1" hidden="1">
      <c r="B51" s="21"/>
      <c r="C51" s="21"/>
      <c r="D51" s="36"/>
      <c r="E51" s="124"/>
      <c r="F51" s="707"/>
      <c r="G51" s="479"/>
      <c r="H51" s="495"/>
      <c r="I51" s="496"/>
      <c r="J51" s="497"/>
      <c r="K51" s="498"/>
      <c r="L51" s="481"/>
      <c r="M51" s="484"/>
      <c r="N51" s="484"/>
      <c r="O51" s="484"/>
      <c r="P51" s="484"/>
      <c r="Q51" s="484"/>
      <c r="R51" s="24"/>
      <c r="S51" s="21"/>
      <c r="T51" s="484"/>
      <c r="V51" s="255">
        <f t="shared" si="5"/>
        <v>44</v>
      </c>
      <c r="W51" s="129">
        <f ca="1">IF(OFFSET('4.1(2)新規再エネ導入予定（設備情報）'!$O$1,MATCH(X51,'4.1(2)新規再エネ導入予定（設備情報）'!$Z:$Z,0)-1,0)="低圧",1,0)</f>
        <v>0</v>
      </c>
      <c r="X51" s="125" t="str">
        <f ca="1">IFERROR(IF(AND(G51="",L51&lt;&gt;""),MAX(OFFSET($X$8,0,0,ROW()-8,1)),OFFSET('4.1(2)新規再エネ導入予定（設備情報）'!$Z$1,MATCH($G51,'4.1(2)新規再エネ導入予定（設備情報）'!$G:$G,0)-1,0)),"")</f>
        <v/>
      </c>
      <c r="Y51" s="224">
        <f t="shared" si="12"/>
        <v>0</v>
      </c>
      <c r="Z51" s="224">
        <f t="shared" ca="1" si="23"/>
        <v>0</v>
      </c>
      <c r="AA51" s="224">
        <f t="shared" si="6"/>
        <v>0</v>
      </c>
      <c r="AB51" s="277">
        <f t="shared" ca="1" si="24"/>
        <v>1</v>
      </c>
      <c r="AC51" s="255" t="str">
        <f t="shared" si="22"/>
        <v/>
      </c>
      <c r="AD51" s="255" t="str">
        <f t="shared" si="8"/>
        <v/>
      </c>
      <c r="AE51" s="255" t="str">
        <f t="shared" si="26"/>
        <v/>
      </c>
      <c r="AF51" s="255" t="str">
        <f t="shared" si="27"/>
        <v/>
      </c>
      <c r="AG51" s="255" t="str">
        <f t="shared" si="14"/>
        <v>E</v>
      </c>
      <c r="AH51" s="255" cm="1">
        <f t="array" ref="AH51">_xlfn.IFS(COUNTIF($N51:$P51,"合意済")=3,4,OR(COUNTIF($N51:$P51,"合意済")=2,COUNTIF($N51:$P51,"合意済")=1),3,COUNTIF($N51:$P51,"合意済")=0,2)</f>
        <v>2</v>
      </c>
      <c r="AI51" s="255" t="e">
        <f t="shared" ca="1" si="13"/>
        <v>#VALUE!</v>
      </c>
      <c r="AJ51" s="255" t="str">
        <f t="shared" ca="1" si="25"/>
        <v/>
      </c>
    </row>
    <row r="52" spans="2:36" s="11" customFormat="1">
      <c r="B52" s="21"/>
      <c r="C52" s="21"/>
      <c r="D52" s="36"/>
      <c r="E52" s="124"/>
      <c r="F52" s="489" t="str">
        <f ca="1">IFERROR(OFFSET('4.1(2)新規再エネ導入予定（設備情報）'!$F$1,MATCH(G52,'4.1(2)新規再エネ導入予定（設備情報）'!$G:$G,0)-1,0),"")</f>
        <v/>
      </c>
      <c r="G52" s="480"/>
      <c r="H52" s="491" t="str">
        <f ca="1">IFERROR(OFFSET('4.1(2)新規再エネ導入予定（設備情報）'!$H$1,MATCH(G52,'4.1(2)新規再エネ導入予定（設備情報）'!$G:$G,0)-1,0)&amp;"","")</f>
        <v/>
      </c>
      <c r="I52" s="492" t="str">
        <f ca="1">IFERROR(OFFSET('4.1(2)新規再エネ導入予定（設備情報）'!$L$1,MATCH(G52,'4.1(2)新規再エネ導入予定（設備情報）'!$G:$G,0)-1,0),"")</f>
        <v/>
      </c>
      <c r="J52" s="493" t="str">
        <f ca="1">IFERROR(OFFSET('4.1(2)新規再エネ導入予定（設備情報）'!$O$1,MATCH(G52,'4.1(2)新規再エネ導入予定（設備情報）'!$G:$G,0)-1,0),"")</f>
        <v/>
      </c>
      <c r="K52" s="494" t="str">
        <f ca="1">IFERROR(OFFSET('4.1(2)新規再エネ導入予定（設備情報）'!$P$1,MATCH(G52,'4.1(2)新規再エネ導入予定（設備情報）'!$G:$G,0)-1,0),"")</f>
        <v/>
      </c>
      <c r="L52" s="483"/>
      <c r="M52" s="486"/>
      <c r="N52" s="486"/>
      <c r="O52" s="486"/>
      <c r="P52" s="486"/>
      <c r="Q52" s="486"/>
      <c r="R52" s="24"/>
      <c r="S52" s="21"/>
      <c r="T52" s="486"/>
      <c r="V52" s="255">
        <f t="shared" si="5"/>
        <v>45</v>
      </c>
      <c r="W52" s="129">
        <f ca="1">IF(OFFSET('4.1(2)新規再エネ導入予定（設備情報）'!$O$1,MATCH(X52,'4.1(2)新規再エネ導入予定（設備情報）'!$Z:$Z,0)-1,0)="低圧",1,0)</f>
        <v>0</v>
      </c>
      <c r="X52" s="125" t="str">
        <f ca="1">IFERROR(IF(AND(G52="",L52&lt;&gt;""),MAX(OFFSET($X$8,0,0,ROW()-8,1)),OFFSET('4.1(2)新規再エネ導入予定（設備情報）'!$Z$1,MATCH($G52,'4.1(2)新規再エネ導入予定（設備情報）'!$G:$G,0)-1,0)),"")</f>
        <v/>
      </c>
      <c r="Y52" s="223">
        <f t="shared" si="12"/>
        <v>0</v>
      </c>
      <c r="Z52" s="224">
        <f t="shared" ca="1" si="23"/>
        <v>0</v>
      </c>
      <c r="AA52" s="223">
        <f t="shared" si="6"/>
        <v>0</v>
      </c>
      <c r="AB52" s="277">
        <f t="shared" ca="1" si="24"/>
        <v>1</v>
      </c>
      <c r="AC52" s="255" t="str">
        <f t="shared" si="22"/>
        <v/>
      </c>
      <c r="AD52" s="255" t="str">
        <f t="shared" si="8"/>
        <v/>
      </c>
      <c r="AE52" s="255" t="str">
        <f t="shared" si="26"/>
        <v/>
      </c>
      <c r="AF52" s="255" t="str">
        <f t="shared" si="27"/>
        <v/>
      </c>
      <c r="AG52" s="255" t="str">
        <f t="shared" si="14"/>
        <v>E</v>
      </c>
      <c r="AH52" s="255" cm="1">
        <f t="array" ref="AH52">_xlfn.IFS(COUNTIF($N52:$P52,"合意済")=3,4,OR(COUNTIF($N52:$P52,"合意済")=2,COUNTIF($N52:$P52,"合意済")=1),3,COUNTIF($N52:$P52,"合意済")=0,2)</f>
        <v>2</v>
      </c>
      <c r="AI52" s="255" t="e">
        <f t="shared" ca="1" si="13"/>
        <v>#VALUE!</v>
      </c>
      <c r="AJ52" s="255" t="str">
        <f t="shared" ca="1" si="25"/>
        <v/>
      </c>
    </row>
    <row r="53" spans="2:36" s="11" customFormat="1">
      <c r="B53" s="21"/>
      <c r="C53" s="21"/>
      <c r="D53" s="36"/>
      <c r="E53" s="124"/>
      <c r="F53" s="489" t="str">
        <f ca="1">IFERROR(OFFSET('4.1(2)新規再エネ導入予定（設備情報）'!$F$1,MATCH(G53,'4.1(2)新規再エネ導入予定（設備情報）'!$G:$G,0)-1,0),"")</f>
        <v/>
      </c>
      <c r="G53" s="480"/>
      <c r="H53" s="491" t="str">
        <f ca="1">IFERROR(OFFSET('4.1(2)新規再エネ導入予定（設備情報）'!$H$1,MATCH(G53,'4.1(2)新規再エネ導入予定（設備情報）'!$G:$G,0)-1,0)&amp;"","")</f>
        <v/>
      </c>
      <c r="I53" s="492" t="str">
        <f ca="1">IFERROR(OFFSET('4.1(2)新規再エネ導入予定（設備情報）'!$L$1,MATCH(G53,'4.1(2)新規再エネ導入予定（設備情報）'!$G:$G,0)-1,0),"")</f>
        <v/>
      </c>
      <c r="J53" s="493" t="str">
        <f ca="1">IFERROR(OFFSET('4.1(2)新規再エネ導入予定（設備情報）'!$O$1,MATCH(G53,'4.1(2)新規再エネ導入予定（設備情報）'!$G:$G,0)-1,0),"")</f>
        <v/>
      </c>
      <c r="K53" s="494" t="str">
        <f ca="1">IFERROR(OFFSET('4.1(2)新規再エネ導入予定（設備情報）'!$P$1,MATCH(G53,'4.1(2)新規再エネ導入予定（設備情報）'!$G:$G,0)-1,0),"")</f>
        <v/>
      </c>
      <c r="L53" s="483"/>
      <c r="M53" s="486"/>
      <c r="N53" s="486"/>
      <c r="O53" s="486"/>
      <c r="P53" s="486"/>
      <c r="Q53" s="486"/>
      <c r="R53" s="24"/>
      <c r="S53" s="21"/>
      <c r="T53" s="486"/>
      <c r="V53" s="255">
        <f t="shared" si="5"/>
        <v>46</v>
      </c>
      <c r="W53" s="129">
        <f ca="1">IF(OFFSET('4.1(2)新規再エネ導入予定（設備情報）'!$O$1,MATCH(X53,'4.1(2)新規再エネ導入予定（設備情報）'!$Z:$Z,0)-1,0)="低圧",1,0)</f>
        <v>0</v>
      </c>
      <c r="X53" s="125" t="str">
        <f ca="1">IFERROR(IF(AND(G53="",L53&lt;&gt;""),MAX(OFFSET($X$8,0,0,ROW()-8,1)),OFFSET('4.1(2)新規再エネ導入予定（設備情報）'!$Z$1,MATCH($G53,'4.1(2)新規再エネ導入予定（設備情報）'!$G:$G,0)-1,0)),"")</f>
        <v/>
      </c>
      <c r="Y53" s="223">
        <f t="shared" si="12"/>
        <v>0</v>
      </c>
      <c r="Z53" s="224">
        <f t="shared" ca="1" si="23"/>
        <v>0</v>
      </c>
      <c r="AA53" s="223">
        <f t="shared" si="6"/>
        <v>0</v>
      </c>
      <c r="AB53" s="277">
        <f t="shared" ca="1" si="24"/>
        <v>1</v>
      </c>
      <c r="AC53" s="255" t="str">
        <f t="shared" si="22"/>
        <v/>
      </c>
      <c r="AD53" s="255" t="str">
        <f t="shared" si="8"/>
        <v/>
      </c>
      <c r="AE53" s="255" t="str">
        <f t="shared" si="26"/>
        <v/>
      </c>
      <c r="AF53" s="255" t="str">
        <f t="shared" si="27"/>
        <v/>
      </c>
      <c r="AG53" s="255" t="str">
        <f t="shared" si="14"/>
        <v>E</v>
      </c>
      <c r="AH53" s="255" cm="1">
        <f t="array" ref="AH53">_xlfn.IFS(COUNTIF($N53:$P53,"合意済")=3,4,OR(COUNTIF($N53:$P53,"合意済")=2,COUNTIF($N53:$P53,"合意済")=1),3,COUNTIF($N53:$P53,"合意済")=0,2)</f>
        <v>2</v>
      </c>
      <c r="AI53" s="255" t="e">
        <f t="shared" ca="1" si="13"/>
        <v>#VALUE!</v>
      </c>
      <c r="AJ53" s="255" t="str">
        <f t="shared" ca="1" si="25"/>
        <v/>
      </c>
    </row>
    <row r="54" spans="2:36" s="11" customFormat="1">
      <c r="B54" s="21"/>
      <c r="C54" s="21"/>
      <c r="D54" s="36"/>
      <c r="E54" s="124"/>
      <c r="F54" s="489" t="str">
        <f ca="1">IFERROR(OFFSET('4.1(2)新規再エネ導入予定（設備情報）'!$F$1,MATCH(G54,'4.1(2)新規再エネ導入予定（設備情報）'!$G:$G,0)-1,0),"")</f>
        <v/>
      </c>
      <c r="G54" s="480"/>
      <c r="H54" s="491" t="str">
        <f ca="1">IFERROR(OFFSET('4.1(2)新規再エネ導入予定（設備情報）'!$H$1,MATCH(G54,'4.1(2)新規再エネ導入予定（設備情報）'!$G:$G,0)-1,0)&amp;"","")</f>
        <v/>
      </c>
      <c r="I54" s="492" t="str">
        <f ca="1">IFERROR(OFFSET('4.1(2)新規再エネ導入予定（設備情報）'!$L$1,MATCH(G54,'4.1(2)新規再エネ導入予定（設備情報）'!$G:$G,0)-1,0),"")</f>
        <v/>
      </c>
      <c r="J54" s="493" t="str">
        <f ca="1">IFERROR(OFFSET('4.1(2)新規再エネ導入予定（設備情報）'!$O$1,MATCH(G54,'4.1(2)新規再エネ導入予定（設備情報）'!$G:$G,0)-1,0),"")</f>
        <v/>
      </c>
      <c r="K54" s="494" t="str">
        <f ca="1">IFERROR(OFFSET('4.1(2)新規再エネ導入予定（設備情報）'!$P$1,MATCH(G54,'4.1(2)新規再エネ導入予定（設備情報）'!$G:$G,0)-1,0),"")</f>
        <v/>
      </c>
      <c r="L54" s="483"/>
      <c r="M54" s="486"/>
      <c r="N54" s="486"/>
      <c r="O54" s="486"/>
      <c r="P54" s="486"/>
      <c r="Q54" s="486"/>
      <c r="R54" s="24"/>
      <c r="S54" s="21"/>
      <c r="T54" s="486"/>
      <c r="V54" s="255">
        <f t="shared" si="5"/>
        <v>47</v>
      </c>
      <c r="W54" s="129">
        <f ca="1">IF(OFFSET('4.1(2)新規再エネ導入予定（設備情報）'!$O$1,MATCH(X54,'4.1(2)新規再エネ導入予定（設備情報）'!$Z:$Z,0)-1,0)="低圧",1,0)</f>
        <v>0</v>
      </c>
      <c r="X54" s="125" t="str">
        <f ca="1">IFERROR(IF(AND(G54="",L54&lt;&gt;""),MAX(OFFSET($X$8,0,0,ROW()-8,1)),OFFSET('4.1(2)新規再エネ導入予定（設備情報）'!$Z$1,MATCH($G54,'4.1(2)新規再エネ導入予定（設備情報）'!$G:$G,0)-1,0)),"")</f>
        <v/>
      </c>
      <c r="Y54" s="223">
        <f t="shared" si="12"/>
        <v>0</v>
      </c>
      <c r="Z54" s="224">
        <f t="shared" ca="1" si="23"/>
        <v>0</v>
      </c>
      <c r="AA54" s="223">
        <f t="shared" si="6"/>
        <v>0</v>
      </c>
      <c r="AB54" s="277">
        <f t="shared" ca="1" si="24"/>
        <v>1</v>
      </c>
      <c r="AC54" s="255" t="str">
        <f t="shared" si="22"/>
        <v/>
      </c>
      <c r="AD54" s="255" t="str">
        <f t="shared" si="8"/>
        <v/>
      </c>
      <c r="AE54" s="255" t="str">
        <f t="shared" si="26"/>
        <v/>
      </c>
      <c r="AF54" s="255" t="str">
        <f t="shared" si="27"/>
        <v/>
      </c>
      <c r="AG54" s="255" t="str">
        <f t="shared" si="14"/>
        <v>E</v>
      </c>
      <c r="AH54" s="255" cm="1">
        <f t="array" ref="AH54">_xlfn.IFS(COUNTIF($N54:$P54,"合意済")=3,4,OR(COUNTIF($N54:$P54,"合意済")=2,COUNTIF($N54:$P54,"合意済")=1),3,COUNTIF($N54:$P54,"合意済")=0,2)</f>
        <v>2</v>
      </c>
      <c r="AI54" s="255" t="e">
        <f t="shared" ca="1" si="13"/>
        <v>#VALUE!</v>
      </c>
      <c r="AJ54" s="255" t="str">
        <f t="shared" ca="1" si="25"/>
        <v/>
      </c>
    </row>
    <row r="55" spans="2:36" s="11" customFormat="1">
      <c r="B55" s="21"/>
      <c r="C55" s="21"/>
      <c r="D55" s="36"/>
      <c r="E55" s="124"/>
      <c r="F55" s="489" t="str">
        <f ca="1">IFERROR(OFFSET('4.1(2)新規再エネ導入予定（設備情報）'!$F$1,MATCH(G55,'4.1(2)新規再エネ導入予定（設備情報）'!$G:$G,0)-1,0),"")</f>
        <v/>
      </c>
      <c r="G55" s="480"/>
      <c r="H55" s="491" t="str">
        <f ca="1">IFERROR(OFFSET('4.1(2)新規再エネ導入予定（設備情報）'!$H$1,MATCH(G55,'4.1(2)新規再エネ導入予定（設備情報）'!$G:$G,0)-1,0)&amp;"","")</f>
        <v/>
      </c>
      <c r="I55" s="492" t="str">
        <f ca="1">IFERROR(OFFSET('4.1(2)新規再エネ導入予定（設備情報）'!$L$1,MATCH(G55,'4.1(2)新規再エネ導入予定（設備情報）'!$G:$G,0)-1,0),"")</f>
        <v/>
      </c>
      <c r="J55" s="493" t="str">
        <f ca="1">IFERROR(OFFSET('4.1(2)新規再エネ導入予定（設備情報）'!$O$1,MATCH(G55,'4.1(2)新規再エネ導入予定（設備情報）'!$G:$G,0)-1,0),"")</f>
        <v/>
      </c>
      <c r="K55" s="494" t="str">
        <f ca="1">IFERROR(OFFSET('4.1(2)新規再エネ導入予定（設備情報）'!$P$1,MATCH(G55,'4.1(2)新規再エネ導入予定（設備情報）'!$G:$G,0)-1,0),"")</f>
        <v/>
      </c>
      <c r="L55" s="483"/>
      <c r="M55" s="486"/>
      <c r="N55" s="486"/>
      <c r="O55" s="486"/>
      <c r="P55" s="486"/>
      <c r="Q55" s="486"/>
      <c r="R55" s="24"/>
      <c r="S55" s="21"/>
      <c r="T55" s="486"/>
      <c r="V55" s="255">
        <f t="shared" si="5"/>
        <v>48</v>
      </c>
      <c r="W55" s="129">
        <f ca="1">IF(OFFSET('4.1(2)新規再エネ導入予定（設備情報）'!$O$1,MATCH(X55,'4.1(2)新規再エネ導入予定（設備情報）'!$Z:$Z,0)-1,0)="低圧",1,0)</f>
        <v>0</v>
      </c>
      <c r="X55" s="125" t="str">
        <f ca="1">IFERROR(IF(AND(G55="",L55&lt;&gt;""),MAX(OFFSET($X$8,0,0,ROW()-8,1)),OFFSET('4.1(2)新規再エネ導入予定（設備情報）'!$Z$1,MATCH($G55,'4.1(2)新規再エネ導入予定（設備情報）'!$G:$G,0)-1,0)),"")</f>
        <v/>
      </c>
      <c r="Y55" s="223">
        <f t="shared" si="12"/>
        <v>0</v>
      </c>
      <c r="Z55" s="224">
        <f t="shared" ca="1" si="23"/>
        <v>0</v>
      </c>
      <c r="AA55" s="223">
        <f t="shared" si="6"/>
        <v>0</v>
      </c>
      <c r="AB55" s="277">
        <f t="shared" ca="1" si="24"/>
        <v>1</v>
      </c>
      <c r="AC55" s="255" t="str">
        <f t="shared" si="22"/>
        <v/>
      </c>
      <c r="AD55" s="255" t="str">
        <f t="shared" si="8"/>
        <v/>
      </c>
      <c r="AE55" s="255" t="str">
        <f t="shared" si="26"/>
        <v/>
      </c>
      <c r="AF55" s="255" t="str">
        <f t="shared" si="27"/>
        <v/>
      </c>
      <c r="AG55" s="255" t="str">
        <f t="shared" si="14"/>
        <v>E</v>
      </c>
      <c r="AH55" s="255" cm="1">
        <f t="array" ref="AH55">_xlfn.IFS(COUNTIF($N55:$P55,"合意済")=3,4,OR(COUNTIF($N55:$P55,"合意済")=2,COUNTIF($N55:$P55,"合意済")=1),3,COUNTIF($N55:$P55,"合意済")=0,2)</f>
        <v>2</v>
      </c>
      <c r="AI55" s="255" t="e">
        <f t="shared" ca="1" si="13"/>
        <v>#VALUE!</v>
      </c>
      <c r="AJ55" s="255" t="str">
        <f t="shared" ca="1" si="25"/>
        <v/>
      </c>
    </row>
    <row r="56" spans="2:36" ht="18" customHeight="1">
      <c r="D56" s="188"/>
      <c r="E56" s="190" t="s">
        <v>22</v>
      </c>
      <c r="F56" s="191"/>
      <c r="G56" s="474"/>
      <c r="H56" s="475"/>
      <c r="I56" s="476"/>
      <c r="J56" s="477"/>
      <c r="K56" s="478"/>
      <c r="L56" s="478"/>
      <c r="M56" s="477"/>
      <c r="N56" s="477"/>
      <c r="O56" s="477"/>
      <c r="P56" s="477"/>
      <c r="Q56" s="500"/>
      <c r="R56" s="19"/>
      <c r="T56" s="487"/>
      <c r="V56" s="175">
        <f t="shared" si="5"/>
        <v>49</v>
      </c>
      <c r="W56" s="215">
        <f ca="1">IF(OFFSET('4.1(2)新規再エネ導入予定（設備情報）'!$O$1,MATCH(X56,'4.1(2)新規再エネ導入予定（設備情報）'!$Z:$Z,0)-1,0)="低圧",1,0)</f>
        <v>0</v>
      </c>
      <c r="X56" s="125" t="str">
        <f ca="1">IFERROR(IF(AND(G56="",L56&lt;&gt;""),MAX(OFFSET($X$8,0,0,ROW()-8,1)),OFFSET('4.1(2)新規再エネ導入予定（設備情報）'!$Z$1,MATCH($G56,'4.1(2)新規再エネ導入予定（設備情報）'!$G:$G,0)-1,0)),"")</f>
        <v/>
      </c>
      <c r="Y56" s="263">
        <f t="shared" si="12"/>
        <v>0</v>
      </c>
      <c r="Z56" s="261">
        <f t="shared" ca="1" si="23"/>
        <v>0</v>
      </c>
      <c r="AA56" s="263">
        <f t="shared" si="6"/>
        <v>0</v>
      </c>
      <c r="AB56" s="262">
        <f t="shared" ca="1" si="24"/>
        <v>1</v>
      </c>
      <c r="AC56" s="175" t="str">
        <f t="shared" si="22"/>
        <v/>
      </c>
      <c r="AD56" s="175" t="str">
        <f t="shared" si="8"/>
        <v/>
      </c>
      <c r="AE56" s="175" t="str">
        <f t="shared" si="26"/>
        <v/>
      </c>
      <c r="AF56" s="175" t="str">
        <f t="shared" si="27"/>
        <v/>
      </c>
      <c r="AG56" s="175" t="str">
        <f t="shared" si="14"/>
        <v>E</v>
      </c>
      <c r="AH56" s="175" cm="1">
        <f t="array" ref="AH56">_xlfn.IFS(COUNTIF($N56:$P56,"合意済")=3,4,OR(COUNTIF($N56:$P56,"合意済")=2,COUNTIF($N56:$P56,"合意済")=1),3,COUNTIF($N56:$P56,"合意済")=0,2)</f>
        <v>2</v>
      </c>
      <c r="AI56" s="175" t="e">
        <f t="shared" ca="1" si="13"/>
        <v>#VALUE!</v>
      </c>
      <c r="AJ56" s="175" t="str">
        <f t="shared" ca="1" si="25"/>
        <v/>
      </c>
    </row>
    <row r="57" spans="2:36" s="11" customFormat="1" hidden="1">
      <c r="B57" s="21"/>
      <c r="C57" s="21"/>
      <c r="D57" s="36"/>
      <c r="E57" s="124"/>
      <c r="F57" s="707"/>
      <c r="G57" s="479"/>
      <c r="H57" s="495"/>
      <c r="I57" s="496"/>
      <c r="J57" s="497"/>
      <c r="K57" s="498"/>
      <c r="L57" s="481"/>
      <c r="M57" s="484"/>
      <c r="N57" s="484"/>
      <c r="O57" s="484"/>
      <c r="P57" s="484"/>
      <c r="Q57" s="484"/>
      <c r="R57" s="24"/>
      <c r="S57" s="21"/>
      <c r="T57" s="484"/>
      <c r="V57" s="255">
        <f t="shared" si="5"/>
        <v>50</v>
      </c>
      <c r="W57" s="129">
        <f ca="1">IF(OFFSET('4.1(2)新規再エネ導入予定（設備情報）'!$O$1,MATCH(X57,'4.1(2)新規再エネ導入予定（設備情報）'!$Z:$Z,0)-1,0)="低圧",1,0)</f>
        <v>0</v>
      </c>
      <c r="X57" s="125" t="str">
        <f ca="1">IFERROR(IF(AND(G57="",L57&lt;&gt;""),MAX(OFFSET($X$8,0,0,ROW()-8,1)),OFFSET('4.1(2)新規再エネ導入予定（設備情報）'!$Z$1,MATCH($G57,'4.1(2)新規再エネ導入予定（設備情報）'!$G:$G,0)-1,0)),"")</f>
        <v/>
      </c>
      <c r="Y57" s="224">
        <f t="shared" si="12"/>
        <v>0</v>
      </c>
      <c r="Z57" s="224">
        <f t="shared" ca="1" si="23"/>
        <v>0</v>
      </c>
      <c r="AA57" s="224">
        <f t="shared" si="6"/>
        <v>0</v>
      </c>
      <c r="AB57" s="277">
        <f t="shared" ca="1" si="24"/>
        <v>1</v>
      </c>
      <c r="AC57" s="255" t="str">
        <f t="shared" si="22"/>
        <v/>
      </c>
      <c r="AD57" s="255" t="str">
        <f t="shared" si="8"/>
        <v/>
      </c>
      <c r="AE57" s="255" t="str">
        <f t="shared" si="26"/>
        <v/>
      </c>
      <c r="AF57" s="255" t="str">
        <f t="shared" si="27"/>
        <v/>
      </c>
      <c r="AG57" s="255" t="str">
        <f t="shared" si="14"/>
        <v>E</v>
      </c>
      <c r="AH57" s="255" cm="1">
        <f t="array" ref="AH57">_xlfn.IFS(COUNTIF($N57:$P57,"合意済")=3,4,OR(COUNTIF($N57:$P57,"合意済")=2,COUNTIF($N57:$P57,"合意済")=1),3,COUNTIF($N57:$P57,"合意済")=0,2)</f>
        <v>2</v>
      </c>
      <c r="AI57" s="255" t="e">
        <f t="shared" ca="1" si="13"/>
        <v>#VALUE!</v>
      </c>
      <c r="AJ57" s="255" t="str">
        <f t="shared" ca="1" si="25"/>
        <v/>
      </c>
    </row>
    <row r="58" spans="2:36" s="11" customFormat="1">
      <c r="B58" s="21"/>
      <c r="C58" s="21"/>
      <c r="D58" s="36"/>
      <c r="E58" s="124"/>
      <c r="F58" s="489" t="str">
        <f ca="1">IFERROR(OFFSET('4.1(2)新規再エネ導入予定（設備情報）'!$F$1,MATCH(G58,'4.1(2)新規再エネ導入予定（設備情報）'!$G:$G,0)-1,0),"")</f>
        <v/>
      </c>
      <c r="G58" s="480"/>
      <c r="H58" s="491" t="str">
        <f ca="1">IFERROR(OFFSET('4.1(2)新規再エネ導入予定（設備情報）'!$H$1,MATCH(G58,'4.1(2)新規再エネ導入予定（設備情報）'!$G:$G,0)-1,0)&amp;"","")</f>
        <v/>
      </c>
      <c r="I58" s="492" t="str">
        <f ca="1">IFERROR(OFFSET('4.1(2)新規再エネ導入予定（設備情報）'!$L$1,MATCH(G58,'4.1(2)新規再エネ導入予定（設備情報）'!$G:$G,0)-1,0),"")</f>
        <v/>
      </c>
      <c r="J58" s="493" t="str">
        <f ca="1">IFERROR(OFFSET('4.1(2)新規再エネ導入予定（設備情報）'!$O$1,MATCH(G58,'4.1(2)新規再エネ導入予定（設備情報）'!$G:$G,0)-1,0),"")</f>
        <v/>
      </c>
      <c r="K58" s="494" t="str">
        <f ca="1">IFERROR(OFFSET('4.1(2)新規再エネ導入予定（設備情報）'!$P$1,MATCH(G58,'4.1(2)新規再エネ導入予定（設備情報）'!$G:$G,0)-1,0),"")</f>
        <v/>
      </c>
      <c r="L58" s="483"/>
      <c r="M58" s="486"/>
      <c r="N58" s="486"/>
      <c r="O58" s="486"/>
      <c r="P58" s="486"/>
      <c r="Q58" s="486"/>
      <c r="R58" s="24"/>
      <c r="S58" s="21"/>
      <c r="T58" s="486"/>
      <c r="V58" s="255">
        <f t="shared" si="5"/>
        <v>51</v>
      </c>
      <c r="W58" s="129">
        <f ca="1">IF(OFFSET('4.1(2)新規再エネ導入予定（設備情報）'!$O$1,MATCH(X58,'4.1(2)新規再エネ導入予定（設備情報）'!$Z:$Z,0)-1,0)="低圧",1,0)</f>
        <v>0</v>
      </c>
      <c r="X58" s="125" t="str">
        <f ca="1">IFERROR(IF(AND(G58="",L58&lt;&gt;""),MAX(OFFSET($X$8,0,0,ROW()-8,1)),OFFSET('4.1(2)新規再エネ導入予定（設備情報）'!$Z$1,MATCH($G58,'4.1(2)新規再エネ導入予定（設備情報）'!$G:$G,0)-1,0)),"")</f>
        <v/>
      </c>
      <c r="Y58" s="223">
        <f t="shared" si="12"/>
        <v>0</v>
      </c>
      <c r="Z58" s="224">
        <f t="shared" ca="1" si="23"/>
        <v>0</v>
      </c>
      <c r="AA58" s="223">
        <f t="shared" si="6"/>
        <v>0</v>
      </c>
      <c r="AB58" s="277">
        <f t="shared" ca="1" si="24"/>
        <v>1</v>
      </c>
      <c r="AC58" s="255" t="str">
        <f t="shared" si="22"/>
        <v/>
      </c>
      <c r="AD58" s="255" t="str">
        <f t="shared" si="8"/>
        <v/>
      </c>
      <c r="AE58" s="255" t="str">
        <f t="shared" si="26"/>
        <v/>
      </c>
      <c r="AF58" s="255" t="str">
        <f t="shared" si="27"/>
        <v/>
      </c>
      <c r="AG58" s="255" t="str">
        <f t="shared" si="14"/>
        <v>E</v>
      </c>
      <c r="AH58" s="255" cm="1">
        <f t="array" ref="AH58">_xlfn.IFS(COUNTIF($N58:$P58,"合意済")=3,4,OR(COUNTIF($N58:$P58,"合意済")=2,COUNTIF($N58:$P58,"合意済")=1),3,COUNTIF($N58:$P58,"合意済")=0,2)</f>
        <v>2</v>
      </c>
      <c r="AI58" s="255" t="e">
        <f t="shared" ca="1" si="13"/>
        <v>#VALUE!</v>
      </c>
      <c r="AJ58" s="255" t="str">
        <f t="shared" ca="1" si="25"/>
        <v/>
      </c>
    </row>
    <row r="59" spans="2:36" s="11" customFormat="1">
      <c r="B59" s="21"/>
      <c r="C59" s="21"/>
      <c r="D59" s="36"/>
      <c r="E59" s="124"/>
      <c r="F59" s="489" t="str">
        <f ca="1">IFERROR(OFFSET('4.1(2)新規再エネ導入予定（設備情報）'!$F$1,MATCH(G59,'4.1(2)新規再エネ導入予定（設備情報）'!$G:$G,0)-1,0),"")</f>
        <v/>
      </c>
      <c r="G59" s="480"/>
      <c r="H59" s="491" t="str">
        <f ca="1">IFERROR(OFFSET('4.1(2)新規再エネ導入予定（設備情報）'!$H$1,MATCH(G59,'4.1(2)新規再エネ導入予定（設備情報）'!$G:$G,0)-1,0)&amp;"","")</f>
        <v/>
      </c>
      <c r="I59" s="492" t="str">
        <f ca="1">IFERROR(OFFSET('4.1(2)新規再エネ導入予定（設備情報）'!$L$1,MATCH(G59,'4.1(2)新規再エネ導入予定（設備情報）'!$G:$G,0)-1,0),"")</f>
        <v/>
      </c>
      <c r="J59" s="493" t="str">
        <f ca="1">IFERROR(OFFSET('4.1(2)新規再エネ導入予定（設備情報）'!$O$1,MATCH(G59,'4.1(2)新規再エネ導入予定（設備情報）'!$G:$G,0)-1,0),"")</f>
        <v/>
      </c>
      <c r="K59" s="494" t="str">
        <f ca="1">IFERROR(OFFSET('4.1(2)新規再エネ導入予定（設備情報）'!$P$1,MATCH(G59,'4.1(2)新規再エネ導入予定（設備情報）'!$G:$G,0)-1,0),"")</f>
        <v/>
      </c>
      <c r="L59" s="483"/>
      <c r="M59" s="486"/>
      <c r="N59" s="486"/>
      <c r="O59" s="486"/>
      <c r="P59" s="486"/>
      <c r="Q59" s="486"/>
      <c r="R59" s="24"/>
      <c r="S59" s="21"/>
      <c r="T59" s="486"/>
      <c r="V59" s="255">
        <f t="shared" si="5"/>
        <v>52</v>
      </c>
      <c r="W59" s="129">
        <f ca="1">IF(OFFSET('4.1(2)新規再エネ導入予定（設備情報）'!$O$1,MATCH(X59,'4.1(2)新規再エネ導入予定（設備情報）'!$Z:$Z,0)-1,0)="低圧",1,0)</f>
        <v>0</v>
      </c>
      <c r="X59" s="125" t="str">
        <f ca="1">IFERROR(IF(AND(G59="",L59&lt;&gt;""),MAX(OFFSET($X$8,0,0,ROW()-8,1)),OFFSET('4.1(2)新規再エネ導入予定（設備情報）'!$Z$1,MATCH($G59,'4.1(2)新規再エネ導入予定（設備情報）'!$G:$G,0)-1,0)),"")</f>
        <v/>
      </c>
      <c r="Y59" s="223">
        <f t="shared" si="12"/>
        <v>0</v>
      </c>
      <c r="Z59" s="224">
        <f t="shared" ca="1" si="23"/>
        <v>0</v>
      </c>
      <c r="AA59" s="223">
        <f t="shared" si="6"/>
        <v>0</v>
      </c>
      <c r="AB59" s="277">
        <f t="shared" ca="1" si="24"/>
        <v>1</v>
      </c>
      <c r="AC59" s="255" t="str">
        <f t="shared" si="22"/>
        <v/>
      </c>
      <c r="AD59" s="255" t="str">
        <f t="shared" si="8"/>
        <v/>
      </c>
      <c r="AE59" s="255" t="str">
        <f t="shared" si="26"/>
        <v/>
      </c>
      <c r="AF59" s="255" t="str">
        <f t="shared" si="27"/>
        <v/>
      </c>
      <c r="AG59" s="255" t="str">
        <f t="shared" si="14"/>
        <v>E</v>
      </c>
      <c r="AH59" s="255" cm="1">
        <f t="array" ref="AH59">_xlfn.IFS(COUNTIF($N59:$P59,"合意済")=3,4,OR(COUNTIF($N59:$P59,"合意済")=2,COUNTIF($N59:$P59,"合意済")=1),3,COUNTIF($N59:$P59,"合意済")=0,2)</f>
        <v>2</v>
      </c>
      <c r="AI59" s="255" t="e">
        <f t="shared" ca="1" si="13"/>
        <v>#VALUE!</v>
      </c>
      <c r="AJ59" s="255" t="str">
        <f t="shared" ca="1" si="25"/>
        <v/>
      </c>
    </row>
    <row r="60" spans="2:36" s="11" customFormat="1">
      <c r="B60" s="21"/>
      <c r="C60" s="21"/>
      <c r="D60" s="36"/>
      <c r="E60" s="124"/>
      <c r="F60" s="489" t="str">
        <f ca="1">IFERROR(OFFSET('4.1(2)新規再エネ導入予定（設備情報）'!$F$1,MATCH(G60,'4.1(2)新規再エネ導入予定（設備情報）'!$G:$G,0)-1,0),"")</f>
        <v/>
      </c>
      <c r="G60" s="480"/>
      <c r="H60" s="491" t="str">
        <f ca="1">IFERROR(OFFSET('4.1(2)新規再エネ導入予定（設備情報）'!$H$1,MATCH(G60,'4.1(2)新規再エネ導入予定（設備情報）'!$G:$G,0)-1,0)&amp;"","")</f>
        <v/>
      </c>
      <c r="I60" s="492" t="str">
        <f ca="1">IFERROR(OFFSET('4.1(2)新規再エネ導入予定（設備情報）'!$L$1,MATCH(G60,'4.1(2)新規再エネ導入予定（設備情報）'!$G:$G,0)-1,0),"")</f>
        <v/>
      </c>
      <c r="J60" s="493" t="str">
        <f ca="1">IFERROR(OFFSET('4.1(2)新規再エネ導入予定（設備情報）'!$O$1,MATCH(G60,'4.1(2)新規再エネ導入予定（設備情報）'!$G:$G,0)-1,0),"")</f>
        <v/>
      </c>
      <c r="K60" s="494" t="str">
        <f ca="1">IFERROR(OFFSET('4.1(2)新規再エネ導入予定（設備情報）'!$P$1,MATCH(G60,'4.1(2)新規再エネ導入予定（設備情報）'!$G:$G,0)-1,0),"")</f>
        <v/>
      </c>
      <c r="L60" s="483"/>
      <c r="M60" s="486"/>
      <c r="N60" s="486"/>
      <c r="O60" s="486"/>
      <c r="P60" s="486"/>
      <c r="Q60" s="486"/>
      <c r="R60" s="24"/>
      <c r="S60" s="21"/>
      <c r="T60" s="486"/>
      <c r="V60" s="255">
        <f t="shared" si="5"/>
        <v>53</v>
      </c>
      <c r="W60" s="129">
        <f ca="1">IF(OFFSET('4.1(2)新規再エネ導入予定（設備情報）'!$O$1,MATCH(X60,'4.1(2)新規再エネ導入予定（設備情報）'!$Z:$Z,0)-1,0)="低圧",1,0)</f>
        <v>0</v>
      </c>
      <c r="X60" s="125" t="str">
        <f ca="1">IFERROR(IF(AND(G60="",L60&lt;&gt;""),MAX(OFFSET($X$8,0,0,ROW()-8,1)),OFFSET('4.1(2)新規再エネ導入予定（設備情報）'!$Z$1,MATCH($G60,'4.1(2)新規再エネ導入予定（設備情報）'!$G:$G,0)-1,0)),"")</f>
        <v/>
      </c>
      <c r="Y60" s="223">
        <f t="shared" si="12"/>
        <v>0</v>
      </c>
      <c r="Z60" s="224">
        <f t="shared" ca="1" si="23"/>
        <v>0</v>
      </c>
      <c r="AA60" s="223">
        <f t="shared" si="6"/>
        <v>0</v>
      </c>
      <c r="AB60" s="277">
        <f t="shared" ca="1" si="24"/>
        <v>1</v>
      </c>
      <c r="AC60" s="255" t="str">
        <f t="shared" si="22"/>
        <v/>
      </c>
      <c r="AD60" s="255" t="str">
        <f t="shared" si="8"/>
        <v/>
      </c>
      <c r="AE60" s="255" t="str">
        <f t="shared" si="26"/>
        <v/>
      </c>
      <c r="AF60" s="255" t="str">
        <f t="shared" si="27"/>
        <v/>
      </c>
      <c r="AG60" s="255" t="str">
        <f t="shared" si="14"/>
        <v>E</v>
      </c>
      <c r="AH60" s="255" cm="1">
        <f t="array" ref="AH60">_xlfn.IFS(COUNTIF($N60:$P60,"合意済")=3,4,OR(COUNTIF($N60:$P60,"合意済")=2,COUNTIF($N60:$P60,"合意済")=1),3,COUNTIF($N60:$P60,"合意済")=0,2)</f>
        <v>2</v>
      </c>
      <c r="AI60" s="255" t="e">
        <f t="shared" ca="1" si="13"/>
        <v>#VALUE!</v>
      </c>
      <c r="AJ60" s="255" t="str">
        <f t="shared" ca="1" si="25"/>
        <v/>
      </c>
    </row>
    <row r="61" spans="2:36" s="11" customFormat="1">
      <c r="B61" s="21"/>
      <c r="C61" s="21"/>
      <c r="D61" s="36"/>
      <c r="E61" s="124"/>
      <c r="F61" s="489" t="str">
        <f ca="1">IFERROR(OFFSET('4.1(2)新規再エネ導入予定（設備情報）'!$F$1,MATCH(G61,'4.1(2)新規再エネ導入予定（設備情報）'!$G:$G,0)-1,0),"")</f>
        <v/>
      </c>
      <c r="G61" s="480"/>
      <c r="H61" s="491" t="str">
        <f ca="1">IFERROR(OFFSET('4.1(2)新規再エネ導入予定（設備情報）'!$H$1,MATCH(G61,'4.1(2)新規再エネ導入予定（設備情報）'!$G:$G,0)-1,0)&amp;"","")</f>
        <v/>
      </c>
      <c r="I61" s="492" t="str">
        <f ca="1">IFERROR(OFFSET('4.1(2)新規再エネ導入予定（設備情報）'!$L$1,MATCH(G61,'4.1(2)新規再エネ導入予定（設備情報）'!$G:$G,0)-1,0),"")</f>
        <v/>
      </c>
      <c r="J61" s="493" t="str">
        <f ca="1">IFERROR(OFFSET('4.1(2)新規再エネ導入予定（設備情報）'!$O$1,MATCH(G61,'4.1(2)新規再エネ導入予定（設備情報）'!$G:$G,0)-1,0),"")</f>
        <v/>
      </c>
      <c r="K61" s="494" t="str">
        <f ca="1">IFERROR(OFFSET('4.1(2)新規再エネ導入予定（設備情報）'!$P$1,MATCH(G61,'4.1(2)新規再エネ導入予定（設備情報）'!$G:$G,0)-1,0),"")</f>
        <v/>
      </c>
      <c r="L61" s="483"/>
      <c r="M61" s="486"/>
      <c r="N61" s="486"/>
      <c r="O61" s="486"/>
      <c r="P61" s="486"/>
      <c r="Q61" s="486"/>
      <c r="R61" s="24"/>
      <c r="S61" s="21"/>
      <c r="T61" s="486"/>
      <c r="V61" s="255">
        <f t="shared" si="5"/>
        <v>54</v>
      </c>
      <c r="W61" s="129">
        <f ca="1">IF(OFFSET('4.1(2)新規再エネ導入予定（設備情報）'!$O$1,MATCH(X61,'4.1(2)新規再エネ導入予定（設備情報）'!$Z:$Z,0)-1,0)="低圧",1,0)</f>
        <v>0</v>
      </c>
      <c r="X61" s="125" t="str">
        <f ca="1">IFERROR(IF(AND(G61="",L61&lt;&gt;""),MAX(OFFSET($X$8,0,0,ROW()-8,1)),OFFSET('4.1(2)新規再エネ導入予定（設備情報）'!$Z$1,MATCH($G61,'4.1(2)新規再エネ導入予定（設備情報）'!$G:$G,0)-1,0)),"")</f>
        <v/>
      </c>
      <c r="Y61" s="223">
        <f t="shared" si="12"/>
        <v>0</v>
      </c>
      <c r="Z61" s="224">
        <f t="shared" ca="1" si="23"/>
        <v>0</v>
      </c>
      <c r="AA61" s="223">
        <f t="shared" si="6"/>
        <v>0</v>
      </c>
      <c r="AB61" s="277">
        <f t="shared" ca="1" si="24"/>
        <v>1</v>
      </c>
      <c r="AC61" s="255" t="str">
        <f t="shared" si="22"/>
        <v/>
      </c>
      <c r="AD61" s="255" t="str">
        <f t="shared" si="8"/>
        <v/>
      </c>
      <c r="AE61" s="255" t="str">
        <f t="shared" si="26"/>
        <v/>
      </c>
      <c r="AF61" s="255" t="str">
        <f t="shared" si="27"/>
        <v/>
      </c>
      <c r="AG61" s="255" t="str">
        <f t="shared" si="14"/>
        <v>E</v>
      </c>
      <c r="AH61" s="255" cm="1">
        <f t="array" ref="AH61">_xlfn.IFS(COUNTIF($N61:$P61,"合意済")=3,4,OR(COUNTIF($N61:$P61,"合意済")=2,COUNTIF($N61:$P61,"合意済")=1),3,COUNTIF($N61:$P61,"合意済")=0,2)</f>
        <v>2</v>
      </c>
      <c r="AI61" s="255" t="e">
        <f t="shared" ca="1" si="13"/>
        <v>#VALUE!</v>
      </c>
      <c r="AJ61" s="255" t="str">
        <f t="shared" ca="1" si="25"/>
        <v/>
      </c>
    </row>
    <row r="62" spans="2:36" ht="20">
      <c r="D62" s="188"/>
      <c r="E62" s="190" t="s">
        <v>432</v>
      </c>
      <c r="F62" s="191"/>
      <c r="G62" s="474"/>
      <c r="H62" s="475"/>
      <c r="I62" s="476"/>
      <c r="J62" s="477"/>
      <c r="K62" s="478"/>
      <c r="L62" s="478"/>
      <c r="M62" s="477"/>
      <c r="N62" s="477"/>
      <c r="O62" s="477"/>
      <c r="P62" s="477"/>
      <c r="Q62" s="500"/>
      <c r="R62" s="19"/>
      <c r="T62" s="487"/>
      <c r="V62" s="175">
        <f t="shared" si="5"/>
        <v>55</v>
      </c>
      <c r="W62" s="215">
        <f ca="1">IF(OFFSET('4.1(2)新規再エネ導入予定（設備情報）'!$O$1,MATCH(X62,'4.1(2)新規再エネ導入予定（設備情報）'!$Z:$Z,0)-1,0)="低圧",1,0)</f>
        <v>0</v>
      </c>
      <c r="X62" s="125" t="str">
        <f ca="1">IFERROR(IF(AND(G62="",L62&lt;&gt;""),MAX(OFFSET($X$8,0,0,ROW()-8,1)),OFFSET('4.1(2)新規再エネ導入予定（設備情報）'!$Z$1,MATCH($G62,'4.1(2)新規再エネ導入予定（設備情報）'!$G:$G,0)-1,0)),"")</f>
        <v/>
      </c>
      <c r="Y62" s="263">
        <f t="shared" si="12"/>
        <v>0</v>
      </c>
      <c r="Z62" s="261">
        <f t="shared" ca="1" si="23"/>
        <v>0</v>
      </c>
      <c r="AA62" s="263">
        <f t="shared" si="6"/>
        <v>0</v>
      </c>
      <c r="AB62" s="262">
        <f t="shared" ca="1" si="24"/>
        <v>1</v>
      </c>
      <c r="AC62" s="175" t="str">
        <f t="shared" si="22"/>
        <v/>
      </c>
      <c r="AD62" s="175" t="str">
        <f t="shared" si="8"/>
        <v/>
      </c>
      <c r="AE62" s="175" t="str">
        <f t="shared" si="26"/>
        <v/>
      </c>
      <c r="AF62" s="175" t="str">
        <f t="shared" si="27"/>
        <v/>
      </c>
      <c r="AG62" s="175" t="str">
        <f t="shared" si="14"/>
        <v>E</v>
      </c>
      <c r="AH62" s="175" cm="1">
        <f t="array" ref="AH62">_xlfn.IFS(COUNTIF($N62:$P62,"合意済")=3,4,OR(COUNTIF($N62:$P62,"合意済")=2,COUNTIF($N62:$P62,"合意済")=1),3,COUNTIF($N62:$P62,"合意済")=0,2)</f>
        <v>2</v>
      </c>
      <c r="AI62" s="175" t="e">
        <f t="shared" ca="1" si="13"/>
        <v>#VALUE!</v>
      </c>
      <c r="AJ62" s="175" t="str">
        <f t="shared" ca="1" si="25"/>
        <v/>
      </c>
    </row>
    <row r="63" spans="2:36" s="11" customFormat="1" hidden="1">
      <c r="B63" s="21"/>
      <c r="C63" s="21"/>
      <c r="D63" s="36"/>
      <c r="E63" s="124"/>
      <c r="F63" s="707"/>
      <c r="G63" s="479"/>
      <c r="H63" s="495"/>
      <c r="I63" s="496"/>
      <c r="J63" s="497"/>
      <c r="K63" s="498"/>
      <c r="L63" s="481"/>
      <c r="M63" s="484"/>
      <c r="N63" s="484"/>
      <c r="O63" s="484"/>
      <c r="P63" s="484"/>
      <c r="Q63" s="484"/>
      <c r="R63" s="24"/>
      <c r="S63" s="21"/>
      <c r="T63" s="484"/>
      <c r="V63" s="255">
        <f t="shared" si="5"/>
        <v>56</v>
      </c>
      <c r="W63" s="129">
        <f ca="1">IF(OFFSET('4.1(2)新規再エネ導入予定（設備情報）'!$O$1,MATCH(X63,'4.1(2)新規再エネ導入予定（設備情報）'!$Z:$Z,0)-1,0)="低圧",1,0)</f>
        <v>0</v>
      </c>
      <c r="X63" s="125" t="str">
        <f ca="1">IFERROR(IF(AND(G63="",L63&lt;&gt;""),MAX(OFFSET($X$8,0,0,ROW()-8,1)),OFFSET('4.1(2)新規再エネ導入予定（設備情報）'!$Z$1,MATCH($G63,'4.1(2)新規再エネ導入予定（設備情報）'!$G:$G,0)-1,0)),"")</f>
        <v/>
      </c>
      <c r="Y63" s="224">
        <f t="shared" si="12"/>
        <v>0</v>
      </c>
      <c r="Z63" s="224">
        <f t="shared" ca="1" si="23"/>
        <v>0</v>
      </c>
      <c r="AA63" s="224">
        <f t="shared" si="6"/>
        <v>0</v>
      </c>
      <c r="AB63" s="277">
        <f t="shared" ca="1" si="24"/>
        <v>1</v>
      </c>
      <c r="AC63" s="255" t="str">
        <f t="shared" si="22"/>
        <v/>
      </c>
      <c r="AD63" s="255" t="str">
        <f t="shared" si="8"/>
        <v/>
      </c>
      <c r="AE63" s="255" t="str">
        <f t="shared" si="26"/>
        <v/>
      </c>
      <c r="AF63" s="255" t="str">
        <f t="shared" si="27"/>
        <v/>
      </c>
      <c r="AG63" s="255" t="str">
        <f t="shared" si="14"/>
        <v>E</v>
      </c>
      <c r="AH63" s="255" cm="1">
        <f t="array" ref="AH63">_xlfn.IFS(COUNTIF($N63:$P63,"合意済")=3,4,OR(COUNTIF($N63:$P63,"合意済")=2,COUNTIF($N63:$P63,"合意済")=1),3,COUNTIF($N63:$P63,"合意済")=0,2)</f>
        <v>2</v>
      </c>
      <c r="AI63" s="255" t="e">
        <f t="shared" ca="1" si="13"/>
        <v>#VALUE!</v>
      </c>
      <c r="AJ63" s="255" t="str">
        <f t="shared" ca="1" si="25"/>
        <v/>
      </c>
    </row>
    <row r="64" spans="2:36" s="11" customFormat="1">
      <c r="B64" s="21"/>
      <c r="C64" s="21"/>
      <c r="D64" s="36"/>
      <c r="E64" s="124"/>
      <c r="F64" s="489" t="str">
        <f ca="1">IFERROR(OFFSET('4.1(2)新規再エネ導入予定（設備情報）'!$F$1,MATCH(G64,'4.1(2)新規再エネ導入予定（設備情報）'!$G:$G,0)-1,0),"")</f>
        <v/>
      </c>
      <c r="G64" s="480"/>
      <c r="H64" s="491" t="str">
        <f ca="1">IFERROR(OFFSET('4.1(2)新規再エネ導入予定（設備情報）'!$H$1,MATCH(G64,'4.1(2)新規再エネ導入予定（設備情報）'!$G:$G,0)-1,0)&amp;"","")</f>
        <v/>
      </c>
      <c r="I64" s="492" t="str">
        <f ca="1">IFERROR(OFFSET('4.1(2)新規再エネ導入予定（設備情報）'!$L$1,MATCH(G64,'4.1(2)新規再エネ導入予定（設備情報）'!$G:$G,0)-1,0),"")</f>
        <v/>
      </c>
      <c r="J64" s="493" t="str">
        <f ca="1">IFERROR(OFFSET('4.1(2)新規再エネ導入予定（設備情報）'!$O$1,MATCH(G64,'4.1(2)新規再エネ導入予定（設備情報）'!$G:$G,0)-1,0),"")</f>
        <v/>
      </c>
      <c r="K64" s="494" t="str">
        <f ca="1">IFERROR(OFFSET('4.1(2)新規再エネ導入予定（設備情報）'!$P$1,MATCH(G64,'4.1(2)新規再エネ導入予定（設備情報）'!$G:$G,0)-1,0),"")</f>
        <v/>
      </c>
      <c r="L64" s="483"/>
      <c r="M64" s="486"/>
      <c r="N64" s="486"/>
      <c r="O64" s="486"/>
      <c r="P64" s="486"/>
      <c r="Q64" s="486"/>
      <c r="R64" s="24"/>
      <c r="S64" s="21"/>
      <c r="T64" s="486"/>
      <c r="V64" s="255">
        <f t="shared" si="5"/>
        <v>57</v>
      </c>
      <c r="W64" s="129">
        <f ca="1">IF(OFFSET('4.1(2)新規再エネ導入予定（設備情報）'!$O$1,MATCH(X64,'4.1(2)新規再エネ導入予定（設備情報）'!$Z:$Z,0)-1,0)="低圧",1,0)</f>
        <v>0</v>
      </c>
      <c r="X64" s="125" t="str">
        <f ca="1">IFERROR(IF(AND(G64="",L64&lt;&gt;""),MAX(OFFSET($X$8,0,0,ROW()-8,1)),OFFSET('4.1(2)新規再エネ導入予定（設備情報）'!$Z$1,MATCH($G64,'4.1(2)新規再エネ導入予定（設備情報）'!$G:$G,0)-1,0)),"")</f>
        <v/>
      </c>
      <c r="Y64" s="223">
        <f t="shared" si="12"/>
        <v>0</v>
      </c>
      <c r="Z64" s="224">
        <f t="shared" ca="1" si="23"/>
        <v>0</v>
      </c>
      <c r="AA64" s="223">
        <f t="shared" si="6"/>
        <v>0</v>
      </c>
      <c r="AB64" s="277">
        <f t="shared" ca="1" si="24"/>
        <v>1</v>
      </c>
      <c r="AC64" s="255" t="str">
        <f t="shared" si="22"/>
        <v/>
      </c>
      <c r="AD64" s="255" t="str">
        <f t="shared" si="8"/>
        <v/>
      </c>
      <c r="AE64" s="255" t="str">
        <f t="shared" si="26"/>
        <v/>
      </c>
      <c r="AF64" s="255" t="str">
        <f t="shared" si="27"/>
        <v/>
      </c>
      <c r="AG64" s="255" t="str">
        <f t="shared" si="14"/>
        <v>E</v>
      </c>
      <c r="AH64" s="255" cm="1">
        <f t="array" ref="AH64">_xlfn.IFS(COUNTIF($N64:$P64,"合意済")=3,4,OR(COUNTIF($N64:$P64,"合意済")=2,COUNTIF($N64:$P64,"合意済")=1),3,COUNTIF($N64:$P64,"合意済")=0,2)</f>
        <v>2</v>
      </c>
      <c r="AI64" s="255" t="e">
        <f t="shared" ca="1" si="13"/>
        <v>#VALUE!</v>
      </c>
      <c r="AJ64" s="255" t="str">
        <f t="shared" ca="1" si="25"/>
        <v/>
      </c>
    </row>
    <row r="65" spans="2:36" s="11" customFormat="1">
      <c r="B65" s="21"/>
      <c r="C65" s="21"/>
      <c r="D65" s="36"/>
      <c r="E65" s="124"/>
      <c r="F65" s="489" t="str">
        <f ca="1">IFERROR(OFFSET('4.1(2)新規再エネ導入予定（設備情報）'!$F$1,MATCH(G65,'4.1(2)新規再エネ導入予定（設備情報）'!$G:$G,0)-1,0),"")</f>
        <v/>
      </c>
      <c r="G65" s="480"/>
      <c r="H65" s="491" t="str">
        <f ca="1">IFERROR(OFFSET('4.1(2)新規再エネ導入予定（設備情報）'!$H$1,MATCH(G65,'4.1(2)新規再エネ導入予定（設備情報）'!$G:$G,0)-1,0)&amp;"","")</f>
        <v/>
      </c>
      <c r="I65" s="492" t="str">
        <f ca="1">IFERROR(OFFSET('4.1(2)新規再エネ導入予定（設備情報）'!$L$1,MATCH(G65,'4.1(2)新規再エネ導入予定（設備情報）'!$G:$G,0)-1,0),"")</f>
        <v/>
      </c>
      <c r="J65" s="493" t="str">
        <f ca="1">IFERROR(OFFSET('4.1(2)新規再エネ導入予定（設備情報）'!$O$1,MATCH(G65,'4.1(2)新規再エネ導入予定（設備情報）'!$G:$G,0)-1,0),"")</f>
        <v/>
      </c>
      <c r="K65" s="494" t="str">
        <f ca="1">IFERROR(OFFSET('4.1(2)新規再エネ導入予定（設備情報）'!$P$1,MATCH(G65,'4.1(2)新規再エネ導入予定（設備情報）'!$G:$G,0)-1,0),"")</f>
        <v/>
      </c>
      <c r="L65" s="483"/>
      <c r="M65" s="486"/>
      <c r="N65" s="486"/>
      <c r="O65" s="486"/>
      <c r="P65" s="486"/>
      <c r="Q65" s="486"/>
      <c r="R65" s="24"/>
      <c r="S65" s="21"/>
      <c r="T65" s="486"/>
      <c r="V65" s="255">
        <f t="shared" si="5"/>
        <v>58</v>
      </c>
      <c r="W65" s="129">
        <f ca="1">IF(OFFSET('4.1(2)新規再エネ導入予定（設備情報）'!$O$1,MATCH(X65,'4.1(2)新規再エネ導入予定（設備情報）'!$Z:$Z,0)-1,0)="低圧",1,0)</f>
        <v>0</v>
      </c>
      <c r="X65" s="125" t="str">
        <f ca="1">IFERROR(IF(AND(G65="",L65&lt;&gt;""),MAX(OFFSET($X$8,0,0,ROW()-8,1)),OFFSET('4.1(2)新規再エネ導入予定（設備情報）'!$Z$1,MATCH($G65,'4.1(2)新規再エネ導入予定（設備情報）'!$G:$G,0)-1,0)),"")</f>
        <v/>
      </c>
      <c r="Y65" s="223">
        <f t="shared" si="12"/>
        <v>0</v>
      </c>
      <c r="Z65" s="224">
        <f t="shared" ca="1" si="23"/>
        <v>0</v>
      </c>
      <c r="AA65" s="223">
        <f t="shared" ref="AA65:AA121" si="28">IF($M65="合意済",1,0)</f>
        <v>0</v>
      </c>
      <c r="AB65" s="277">
        <f t="shared" ca="1" si="24"/>
        <v>1</v>
      </c>
      <c r="AC65" s="255" t="str">
        <f t="shared" si="22"/>
        <v/>
      </c>
      <c r="AD65" s="255" t="str">
        <f t="shared" si="8"/>
        <v/>
      </c>
      <c r="AE65" s="255" t="str">
        <f t="shared" si="26"/>
        <v/>
      </c>
      <c r="AF65" s="255" t="str">
        <f t="shared" si="27"/>
        <v/>
      </c>
      <c r="AG65" s="255" t="str">
        <f t="shared" si="14"/>
        <v>E</v>
      </c>
      <c r="AH65" s="255" cm="1">
        <f t="array" ref="AH65">_xlfn.IFS(COUNTIF($N65:$P65,"合意済")=3,4,OR(COUNTIF($N65:$P65,"合意済")=2,COUNTIF($N65:$P65,"合意済")=1),3,COUNTIF($N65:$P65,"合意済")=0,2)</f>
        <v>2</v>
      </c>
      <c r="AI65" s="255" t="e">
        <f t="shared" ca="1" si="13"/>
        <v>#VALUE!</v>
      </c>
      <c r="AJ65" s="255" t="str">
        <f t="shared" ca="1" si="25"/>
        <v/>
      </c>
    </row>
    <row r="66" spans="2:36" s="11" customFormat="1">
      <c r="B66" s="21"/>
      <c r="C66" s="21"/>
      <c r="D66" s="36"/>
      <c r="E66" s="124"/>
      <c r="F66" s="489" t="str">
        <f ca="1">IFERROR(OFFSET('4.1(2)新規再エネ導入予定（設備情報）'!$F$1,MATCH(G66,'4.1(2)新規再エネ導入予定（設備情報）'!$G:$G,0)-1,0),"")</f>
        <v/>
      </c>
      <c r="G66" s="480"/>
      <c r="H66" s="491" t="str">
        <f ca="1">IFERROR(OFFSET('4.1(2)新規再エネ導入予定（設備情報）'!$H$1,MATCH(G66,'4.1(2)新規再エネ導入予定（設備情報）'!$G:$G,0)-1,0)&amp;"","")</f>
        <v/>
      </c>
      <c r="I66" s="492" t="str">
        <f ca="1">IFERROR(OFFSET('4.1(2)新規再エネ導入予定（設備情報）'!$L$1,MATCH(G66,'4.1(2)新規再エネ導入予定（設備情報）'!$G:$G,0)-1,0),"")</f>
        <v/>
      </c>
      <c r="J66" s="493" t="str">
        <f ca="1">IFERROR(OFFSET('4.1(2)新規再エネ導入予定（設備情報）'!$O$1,MATCH(G66,'4.1(2)新規再エネ導入予定（設備情報）'!$G:$G,0)-1,0),"")</f>
        <v/>
      </c>
      <c r="K66" s="494" t="str">
        <f ca="1">IFERROR(OFFSET('4.1(2)新規再エネ導入予定（設備情報）'!$P$1,MATCH(G66,'4.1(2)新規再エネ導入予定（設備情報）'!$G:$G,0)-1,0),"")</f>
        <v/>
      </c>
      <c r="L66" s="483"/>
      <c r="M66" s="486"/>
      <c r="N66" s="486"/>
      <c r="O66" s="486"/>
      <c r="P66" s="486"/>
      <c r="Q66" s="486"/>
      <c r="R66" s="24"/>
      <c r="S66" s="21"/>
      <c r="T66" s="486"/>
      <c r="V66" s="255">
        <f t="shared" si="5"/>
        <v>59</v>
      </c>
      <c r="W66" s="129">
        <f ca="1">IF(OFFSET('4.1(2)新規再エネ導入予定（設備情報）'!$O$1,MATCH(X66,'4.1(2)新規再エネ導入予定（設備情報）'!$Z:$Z,0)-1,0)="低圧",1,0)</f>
        <v>0</v>
      </c>
      <c r="X66" s="125" t="str">
        <f ca="1">IFERROR(IF(AND(G66="",L66&lt;&gt;""),MAX(OFFSET($X$8,0,0,ROW()-8,1)),OFFSET('4.1(2)新規再エネ導入予定（設備情報）'!$Z$1,MATCH($G66,'4.1(2)新規再エネ導入予定（設備情報）'!$G:$G,0)-1,0)),"")</f>
        <v/>
      </c>
      <c r="Y66" s="223">
        <f t="shared" ref="Y66" si="29">IF(T66="○",1,0)</f>
        <v>0</v>
      </c>
      <c r="Z66" s="224">
        <f t="shared" ca="1" si="23"/>
        <v>0</v>
      </c>
      <c r="AA66" s="223">
        <f t="shared" si="28"/>
        <v>0</v>
      </c>
      <c r="AB66" s="277">
        <f t="shared" ca="1" si="24"/>
        <v>1</v>
      </c>
      <c r="AC66" s="255" t="str">
        <f t="shared" ref="AC66" si="30">IF(M66="","",IF(OR(M66="説明済",M66="協議中",M66="合意済"),1,0))</f>
        <v/>
      </c>
      <c r="AD66" s="255" t="str">
        <f t="shared" ref="AD66" si="31">IF(N66="","",IF(OR(N66="説明済",N66="協議中",N66="合意済"),1,0))</f>
        <v/>
      </c>
      <c r="AE66" s="255" t="str">
        <f t="shared" si="26"/>
        <v/>
      </c>
      <c r="AF66" s="255" t="str">
        <f t="shared" si="27"/>
        <v/>
      </c>
      <c r="AG66" s="255" t="str">
        <f t="shared" si="14"/>
        <v>E</v>
      </c>
      <c r="AH66" s="255" cm="1">
        <f t="array" ref="AH66">_xlfn.IFS(COUNTIF($N66:$P66,"合意済")=3,4,OR(COUNTIF($N66:$P66,"合意済")=2,COUNTIF($N66:$P66,"合意済")=1),3,COUNTIF($N66:$P66,"合意済")=0,2)</f>
        <v>2</v>
      </c>
      <c r="AI66" s="255" t="e">
        <f t="shared" ca="1" si="13"/>
        <v>#VALUE!</v>
      </c>
      <c r="AJ66" s="255" t="str">
        <f t="shared" ca="1" si="25"/>
        <v/>
      </c>
    </row>
    <row r="67" spans="2:36" s="11" customFormat="1">
      <c r="B67" s="21"/>
      <c r="C67" s="21"/>
      <c r="D67" s="36"/>
      <c r="E67" s="124"/>
      <c r="F67" s="489" t="str">
        <f ca="1">IFERROR(OFFSET('4.1(2)新規再エネ導入予定（設備情報）'!$F$1,MATCH(G67,'4.1(2)新規再エネ導入予定（設備情報）'!$G:$G,0)-1,0),"")</f>
        <v/>
      </c>
      <c r="G67" s="480"/>
      <c r="H67" s="491" t="str">
        <f ca="1">IFERROR(OFFSET('4.1(2)新規再エネ導入予定（設備情報）'!$H$1,MATCH(G67,'4.1(2)新規再エネ導入予定（設備情報）'!$G:$G,0)-1,0)&amp;"","")</f>
        <v/>
      </c>
      <c r="I67" s="492" t="str">
        <f ca="1">IFERROR(OFFSET('4.1(2)新規再エネ導入予定（設備情報）'!$L$1,MATCH(G67,'4.1(2)新規再エネ導入予定（設備情報）'!$G:$G,0)-1,0),"")</f>
        <v/>
      </c>
      <c r="J67" s="493" t="str">
        <f ca="1">IFERROR(OFFSET('4.1(2)新規再エネ導入予定（設備情報）'!$O$1,MATCH(G67,'4.1(2)新規再エネ導入予定（設備情報）'!$G:$G,0)-1,0),"")</f>
        <v/>
      </c>
      <c r="K67" s="494" t="str">
        <f ca="1">IFERROR(OFFSET('4.1(2)新規再エネ導入予定（設備情報）'!$P$1,MATCH(G67,'4.1(2)新規再エネ導入予定（設備情報）'!$G:$G,0)-1,0),"")</f>
        <v/>
      </c>
      <c r="L67" s="483"/>
      <c r="M67" s="486"/>
      <c r="N67" s="486"/>
      <c r="O67" s="486"/>
      <c r="P67" s="486"/>
      <c r="Q67" s="486"/>
      <c r="R67" s="24"/>
      <c r="S67" s="21"/>
      <c r="T67" s="486"/>
      <c r="V67" s="255">
        <f t="shared" si="5"/>
        <v>60</v>
      </c>
      <c r="W67" s="129">
        <f ca="1">IF(OFFSET('4.1(2)新規再エネ導入予定（設備情報）'!$O$1,MATCH(X67,'4.1(2)新規再エネ導入予定（設備情報）'!$Z:$Z,0)-1,0)="低圧",1,0)</f>
        <v>0</v>
      </c>
      <c r="X67" s="125" t="str">
        <f ca="1">IFERROR(IF(AND(G67="",L67&lt;&gt;""),MAX(OFFSET($X$8,0,0,ROW()-8,1)),OFFSET('4.1(2)新規再エネ導入予定（設備情報）'!$Z$1,MATCH($G67,'4.1(2)新規再エネ導入予定（設備情報）'!$G:$G,0)-1,0)),"")</f>
        <v/>
      </c>
      <c r="Y67" s="223">
        <f t="shared" si="12"/>
        <v>0</v>
      </c>
      <c r="Z67" s="224">
        <f t="shared" ca="1" si="23"/>
        <v>0</v>
      </c>
      <c r="AA67" s="223">
        <f t="shared" si="28"/>
        <v>0</v>
      </c>
      <c r="AB67" s="277">
        <f t="shared" ca="1" si="24"/>
        <v>1</v>
      </c>
      <c r="AC67" s="255" t="str">
        <f>IF(M67="","",IF(OR(M67="説明済",M67="協議中",M67="合意済"),1,0))</f>
        <v/>
      </c>
      <c r="AD67" s="255" t="str">
        <f t="shared" si="8"/>
        <v/>
      </c>
      <c r="AE67" s="255" t="str">
        <f t="shared" si="26"/>
        <v/>
      </c>
      <c r="AF67" s="255" t="str">
        <f t="shared" si="27"/>
        <v/>
      </c>
      <c r="AG67" s="255" t="str">
        <f t="shared" si="14"/>
        <v>E</v>
      </c>
      <c r="AH67" s="255" cm="1">
        <f t="array" ref="AH67">_xlfn.IFS(COUNTIF($N67:$P67,"合意済")=3,4,OR(COUNTIF($N67:$P67,"合意済")=2,COUNTIF($N67:$P67,"合意済")=1),3,COUNTIF($N67:$P67,"合意済")=0,2)</f>
        <v>2</v>
      </c>
      <c r="AI67" s="255" t="e">
        <f t="shared" ca="1" si="13"/>
        <v>#VALUE!</v>
      </c>
      <c r="AJ67" s="255" t="str">
        <f t="shared" ca="1" si="25"/>
        <v/>
      </c>
    </row>
    <row r="68" spans="2:36" ht="20">
      <c r="D68" s="188"/>
      <c r="E68" s="190" t="s">
        <v>433</v>
      </c>
      <c r="F68" s="191"/>
      <c r="G68" s="474"/>
      <c r="H68" s="475"/>
      <c r="I68" s="476"/>
      <c r="J68" s="477"/>
      <c r="K68" s="478"/>
      <c r="L68" s="478"/>
      <c r="M68" s="477"/>
      <c r="N68" s="477"/>
      <c r="O68" s="477"/>
      <c r="P68" s="477"/>
      <c r="Q68" s="500"/>
      <c r="R68" s="19"/>
      <c r="T68" s="487"/>
      <c r="V68" s="175">
        <f t="shared" si="5"/>
        <v>61</v>
      </c>
      <c r="W68" s="215">
        <f ca="1">IF(OFFSET('4.1(2)新規再エネ導入予定（設備情報）'!$O$1,MATCH(X68,'4.1(2)新規再エネ導入予定（設備情報）'!$Z:$Z,0)-1,0)="低圧",1,0)</f>
        <v>0</v>
      </c>
      <c r="X68" s="125" t="str">
        <f ca="1">IFERROR(IF(AND(G68="",L68&lt;&gt;""),MAX(OFFSET($X$8,0,0,ROW()-8,1)),OFFSET('4.1(2)新規再エネ導入予定（設備情報）'!$Z$1,MATCH($G68,'4.1(2)新規再エネ導入予定（設備情報）'!$G:$G,0)-1,0)),"")</f>
        <v/>
      </c>
      <c r="Y68" s="263">
        <f t="shared" si="12"/>
        <v>0</v>
      </c>
      <c r="Z68" s="261">
        <f t="shared" ca="1" si="23"/>
        <v>0</v>
      </c>
      <c r="AA68" s="263">
        <f t="shared" si="28"/>
        <v>0</v>
      </c>
      <c r="AB68" s="262">
        <f t="shared" ca="1" si="24"/>
        <v>1</v>
      </c>
      <c r="AC68" s="175" t="str">
        <f t="shared" ref="AC68:AC116" si="32">IF(M68="","",IF(OR(M68="説明済",M68="協議中",M68="合意済"),1,0))</f>
        <v/>
      </c>
      <c r="AD68" s="175" t="str">
        <f t="shared" ref="AD68:AD116" si="33">IF(N68="","",IF(OR(N68="説明済",N68="協議中",N68="合意済"),1,0))</f>
        <v/>
      </c>
      <c r="AE68" s="175" t="str">
        <f t="shared" si="26"/>
        <v/>
      </c>
      <c r="AF68" s="175" t="str">
        <f t="shared" si="27"/>
        <v/>
      </c>
      <c r="AG68" s="175" t="str">
        <f t="shared" si="14"/>
        <v>E</v>
      </c>
      <c r="AH68" s="175" cm="1">
        <f t="array" ref="AH68">_xlfn.IFS(COUNTIF($N68:$P68,"合意済")=3,4,OR(COUNTIF($N68:$P68,"合意済")=2,COUNTIF($N68:$P68,"合意済")=1),3,COUNTIF($N68:$P68,"合意済")=0,2)</f>
        <v>2</v>
      </c>
      <c r="AI68" s="175" t="e">
        <f t="shared" ca="1" si="13"/>
        <v>#VALUE!</v>
      </c>
      <c r="AJ68" s="175" t="str">
        <f t="shared" ca="1" si="25"/>
        <v/>
      </c>
    </row>
    <row r="69" spans="2:36" s="11" customFormat="1" hidden="1">
      <c r="B69" s="21"/>
      <c r="C69" s="21"/>
      <c r="D69" s="36"/>
      <c r="E69" s="124"/>
      <c r="F69" s="707"/>
      <c r="G69" s="479"/>
      <c r="H69" s="495"/>
      <c r="I69" s="496"/>
      <c r="J69" s="497"/>
      <c r="K69" s="498"/>
      <c r="L69" s="481"/>
      <c r="M69" s="484"/>
      <c r="N69" s="484"/>
      <c r="O69" s="484"/>
      <c r="P69" s="484"/>
      <c r="Q69" s="484"/>
      <c r="R69" s="24"/>
      <c r="S69" s="21"/>
      <c r="T69" s="484"/>
      <c r="V69" s="255">
        <f t="shared" si="5"/>
        <v>62</v>
      </c>
      <c r="W69" s="129">
        <f ca="1">IF(OFFSET('4.1(2)新規再エネ導入予定（設備情報）'!$O$1,MATCH(X69,'4.1(2)新規再エネ導入予定（設備情報）'!$Z:$Z,0)-1,0)="低圧",1,0)</f>
        <v>0</v>
      </c>
      <c r="X69" s="125" t="str">
        <f ca="1">IFERROR(IF(AND(G69="",L69&lt;&gt;""),MAX(OFFSET($X$8,0,0,ROW()-8,1)),OFFSET('4.1(2)新規再エネ導入予定（設備情報）'!$Z$1,MATCH($G69,'4.1(2)新規再エネ導入予定（設備情報）'!$G:$G,0)-1,0)),"")</f>
        <v/>
      </c>
      <c r="Y69" s="224">
        <f t="shared" si="12"/>
        <v>0</v>
      </c>
      <c r="Z69" s="224">
        <f t="shared" ca="1" si="23"/>
        <v>0</v>
      </c>
      <c r="AA69" s="224">
        <f t="shared" si="28"/>
        <v>0</v>
      </c>
      <c r="AB69" s="277">
        <f t="shared" ca="1" si="24"/>
        <v>1</v>
      </c>
      <c r="AC69" s="255" t="str">
        <f t="shared" si="32"/>
        <v/>
      </c>
      <c r="AD69" s="255" t="str">
        <f t="shared" si="33"/>
        <v/>
      </c>
      <c r="AE69" s="255" t="str">
        <f t="shared" si="26"/>
        <v/>
      </c>
      <c r="AF69" s="255" t="str">
        <f t="shared" si="27"/>
        <v/>
      </c>
      <c r="AG69" s="255" t="str">
        <f t="shared" si="14"/>
        <v>E</v>
      </c>
      <c r="AH69" s="255" cm="1">
        <f t="array" ref="AH69">_xlfn.IFS(COUNTIF($N69:$P69,"合意済")=3,4,OR(COUNTIF($N69:$P69,"合意済")=2,COUNTIF($N69:$P69,"合意済")=1),3,COUNTIF($N69:$P69,"合意済")=0,2)</f>
        <v>2</v>
      </c>
      <c r="AI69" s="255" t="e">
        <f t="shared" ca="1" si="13"/>
        <v>#VALUE!</v>
      </c>
      <c r="AJ69" s="255" t="str">
        <f t="shared" ca="1" si="25"/>
        <v/>
      </c>
    </row>
    <row r="70" spans="2:36" s="11" customFormat="1">
      <c r="B70" s="21"/>
      <c r="C70" s="21"/>
      <c r="D70" s="36"/>
      <c r="E70" s="124"/>
      <c r="F70" s="489" t="str">
        <f ca="1">IFERROR(OFFSET('4.1(2)新規再エネ導入予定（設備情報）'!$F$1,MATCH(G70,'4.1(2)新規再エネ導入予定（設備情報）'!$G:$G,0)-1,0),"")</f>
        <v/>
      </c>
      <c r="G70" s="480"/>
      <c r="H70" s="491" t="str">
        <f ca="1">IFERROR(OFFSET('4.1(2)新規再エネ導入予定（設備情報）'!$H$1,MATCH(G70,'4.1(2)新規再エネ導入予定（設備情報）'!$G:$G,0)-1,0)&amp;"","")</f>
        <v/>
      </c>
      <c r="I70" s="492" t="str">
        <f ca="1">IFERROR(OFFSET('4.1(2)新規再エネ導入予定（設備情報）'!$L$1,MATCH(G70,'4.1(2)新規再エネ導入予定（設備情報）'!$G:$G,0)-1,0),"")</f>
        <v/>
      </c>
      <c r="J70" s="493" t="str">
        <f ca="1">IFERROR(OFFSET('4.1(2)新規再エネ導入予定（設備情報）'!$O$1,MATCH(G70,'4.1(2)新規再エネ導入予定（設備情報）'!$G:$G,0)-1,0),"")</f>
        <v/>
      </c>
      <c r="K70" s="494" t="str">
        <f ca="1">IFERROR(OFFSET('4.1(2)新規再エネ導入予定（設備情報）'!$P$1,MATCH(G70,'4.1(2)新規再エネ導入予定（設備情報）'!$G:$G,0)-1,0),"")</f>
        <v/>
      </c>
      <c r="L70" s="483"/>
      <c r="M70" s="486"/>
      <c r="N70" s="486"/>
      <c r="O70" s="486"/>
      <c r="P70" s="486"/>
      <c r="Q70" s="486"/>
      <c r="R70" s="24"/>
      <c r="S70" s="21"/>
      <c r="T70" s="486"/>
      <c r="V70" s="255">
        <f t="shared" si="5"/>
        <v>63</v>
      </c>
      <c r="W70" s="129">
        <f ca="1">IF(OFFSET('4.1(2)新規再エネ導入予定（設備情報）'!$O$1,MATCH(X70,'4.1(2)新規再エネ導入予定（設備情報）'!$Z:$Z,0)-1,0)="低圧",1,0)</f>
        <v>0</v>
      </c>
      <c r="X70" s="125" t="str">
        <f ca="1">IFERROR(IF(AND(G70="",L70&lt;&gt;""),MAX(OFFSET($X$8,0,0,ROW()-8,1)),OFFSET('4.1(2)新規再エネ導入予定（設備情報）'!$Z$1,MATCH($G70,'4.1(2)新規再エネ導入予定（設備情報）'!$G:$G,0)-1,0)),"")</f>
        <v/>
      </c>
      <c r="Y70" s="223">
        <f t="shared" si="12"/>
        <v>0</v>
      </c>
      <c r="Z70" s="224">
        <f t="shared" ca="1" si="23"/>
        <v>0</v>
      </c>
      <c r="AA70" s="223">
        <f t="shared" si="28"/>
        <v>0</v>
      </c>
      <c r="AB70" s="277">
        <f t="shared" ca="1" si="24"/>
        <v>1</v>
      </c>
      <c r="AC70" s="255" t="str">
        <f t="shared" si="32"/>
        <v/>
      </c>
      <c r="AD70" s="255" t="str">
        <f t="shared" si="33"/>
        <v/>
      </c>
      <c r="AE70" s="255" t="str">
        <f t="shared" si="26"/>
        <v/>
      </c>
      <c r="AF70" s="255" t="str">
        <f t="shared" si="27"/>
        <v/>
      </c>
      <c r="AG70" s="255" t="str">
        <f t="shared" si="14"/>
        <v>E</v>
      </c>
      <c r="AH70" s="255" cm="1">
        <f t="array" ref="AH70">_xlfn.IFS(COUNTIF($N70:$P70,"合意済")=3,4,OR(COUNTIF($N70:$P70,"合意済")=2,COUNTIF($N70:$P70,"合意済")=1),3,COUNTIF($N70:$P70,"合意済")=0,2)</f>
        <v>2</v>
      </c>
      <c r="AI70" s="255" t="e">
        <f t="shared" ca="1" si="13"/>
        <v>#VALUE!</v>
      </c>
      <c r="AJ70" s="255" t="str">
        <f t="shared" ca="1" si="25"/>
        <v/>
      </c>
    </row>
    <row r="71" spans="2:36" s="11" customFormat="1">
      <c r="B71" s="21"/>
      <c r="C71" s="21"/>
      <c r="D71" s="36"/>
      <c r="E71" s="124"/>
      <c r="F71" s="489" t="str">
        <f ca="1">IFERROR(OFFSET('4.1(2)新規再エネ導入予定（設備情報）'!$F$1,MATCH(G71,'4.1(2)新規再エネ導入予定（設備情報）'!$G:$G,0)-1,0),"")</f>
        <v/>
      </c>
      <c r="G71" s="480"/>
      <c r="H71" s="491" t="str">
        <f ca="1">IFERROR(OFFSET('4.1(2)新規再エネ導入予定（設備情報）'!$H$1,MATCH(G71,'4.1(2)新規再エネ導入予定（設備情報）'!$G:$G,0)-1,0)&amp;"","")</f>
        <v/>
      </c>
      <c r="I71" s="492" t="str">
        <f ca="1">IFERROR(OFFSET('4.1(2)新規再エネ導入予定（設備情報）'!$L$1,MATCH(G71,'4.1(2)新規再エネ導入予定（設備情報）'!$G:$G,0)-1,0),"")</f>
        <v/>
      </c>
      <c r="J71" s="493" t="str">
        <f ca="1">IFERROR(OFFSET('4.1(2)新規再エネ導入予定（設備情報）'!$O$1,MATCH(G71,'4.1(2)新規再エネ導入予定（設備情報）'!$G:$G,0)-1,0),"")</f>
        <v/>
      </c>
      <c r="K71" s="494" t="str">
        <f ca="1">IFERROR(OFFSET('4.1(2)新規再エネ導入予定（設備情報）'!$P$1,MATCH(G71,'4.1(2)新規再エネ導入予定（設備情報）'!$G:$G,0)-1,0),"")</f>
        <v/>
      </c>
      <c r="L71" s="483"/>
      <c r="M71" s="486"/>
      <c r="N71" s="486"/>
      <c r="O71" s="486"/>
      <c r="P71" s="486"/>
      <c r="Q71" s="486"/>
      <c r="R71" s="24"/>
      <c r="S71" s="21"/>
      <c r="T71" s="486"/>
      <c r="V71" s="255">
        <f t="shared" si="5"/>
        <v>64</v>
      </c>
      <c r="W71" s="129">
        <f ca="1">IF(OFFSET('4.1(2)新規再エネ導入予定（設備情報）'!$O$1,MATCH(X71,'4.1(2)新規再エネ導入予定（設備情報）'!$Z:$Z,0)-1,0)="低圧",1,0)</f>
        <v>0</v>
      </c>
      <c r="X71" s="125" t="str">
        <f ca="1">IFERROR(IF(AND(G71="",L71&lt;&gt;""),MAX(OFFSET($X$8,0,0,ROW()-8,1)),OFFSET('4.1(2)新規再エネ導入予定（設備情報）'!$Z$1,MATCH($G71,'4.1(2)新規再エネ導入予定（設備情報）'!$G:$G,0)-1,0)),"")</f>
        <v/>
      </c>
      <c r="Y71" s="223">
        <f t="shared" ref="Y71" si="34">IF(T71="○",1,0)</f>
        <v>0</v>
      </c>
      <c r="Z71" s="224">
        <f t="shared" ca="1" si="23"/>
        <v>0</v>
      </c>
      <c r="AA71" s="223">
        <f t="shared" si="28"/>
        <v>0</v>
      </c>
      <c r="AB71" s="277">
        <f t="shared" ca="1" si="24"/>
        <v>1</v>
      </c>
      <c r="AC71" s="255" t="str">
        <f t="shared" ref="AC71" si="35">IF(M71="","",IF(OR(M71="説明済",M71="協議中",M71="合意済"),1,0))</f>
        <v/>
      </c>
      <c r="AD71" s="255" t="str">
        <f t="shared" ref="AD71" si="36">IF(N71="","",IF(OR(N71="説明済",N71="協議中",N71="合意済"),1,0))</f>
        <v/>
      </c>
      <c r="AE71" s="255" t="str">
        <f t="shared" si="26"/>
        <v/>
      </c>
      <c r="AF71" s="255" t="str">
        <f t="shared" si="27"/>
        <v/>
      </c>
      <c r="AG71" s="255" t="str">
        <f t="shared" si="14"/>
        <v>E</v>
      </c>
      <c r="AH71" s="255" cm="1">
        <f t="array" ref="AH71">_xlfn.IFS(COUNTIF($N71:$P71,"合意済")=3,4,OR(COUNTIF($N71:$P71,"合意済")=2,COUNTIF($N71:$P71,"合意済")=1),3,COUNTIF($N71:$P71,"合意済")=0,2)</f>
        <v>2</v>
      </c>
      <c r="AI71" s="255" t="e">
        <f t="shared" ca="1" si="13"/>
        <v>#VALUE!</v>
      </c>
      <c r="AJ71" s="255" t="str">
        <f t="shared" ca="1" si="25"/>
        <v/>
      </c>
    </row>
    <row r="72" spans="2:36" s="11" customFormat="1">
      <c r="B72" s="21"/>
      <c r="C72" s="21"/>
      <c r="D72" s="36"/>
      <c r="E72" s="124"/>
      <c r="F72" s="489" t="str">
        <f ca="1">IFERROR(OFFSET('4.1(2)新規再エネ導入予定（設備情報）'!$F$1,MATCH(G72,'4.1(2)新規再エネ導入予定（設備情報）'!$G:$G,0)-1,0),"")</f>
        <v/>
      </c>
      <c r="G72" s="480"/>
      <c r="H72" s="491" t="str">
        <f ca="1">IFERROR(OFFSET('4.1(2)新規再エネ導入予定（設備情報）'!$H$1,MATCH(G72,'4.1(2)新規再エネ導入予定（設備情報）'!$G:$G,0)-1,0)&amp;"","")</f>
        <v/>
      </c>
      <c r="I72" s="492" t="str">
        <f ca="1">IFERROR(OFFSET('4.1(2)新規再エネ導入予定（設備情報）'!$L$1,MATCH(G72,'4.1(2)新規再エネ導入予定（設備情報）'!$G:$G,0)-1,0),"")</f>
        <v/>
      </c>
      <c r="J72" s="493" t="str">
        <f ca="1">IFERROR(OFFSET('4.1(2)新規再エネ導入予定（設備情報）'!$O$1,MATCH(G72,'4.1(2)新規再エネ導入予定（設備情報）'!$G:$G,0)-1,0),"")</f>
        <v/>
      </c>
      <c r="K72" s="494" t="str">
        <f ca="1">IFERROR(OFFSET('4.1(2)新規再エネ導入予定（設備情報）'!$P$1,MATCH(G72,'4.1(2)新規再エネ導入予定（設備情報）'!$G:$G,0)-1,0),"")</f>
        <v/>
      </c>
      <c r="L72" s="483"/>
      <c r="M72" s="486"/>
      <c r="N72" s="486"/>
      <c r="O72" s="486"/>
      <c r="P72" s="486"/>
      <c r="Q72" s="486"/>
      <c r="R72" s="24"/>
      <c r="S72" s="21"/>
      <c r="T72" s="486"/>
      <c r="V72" s="255">
        <f t="shared" si="5"/>
        <v>65</v>
      </c>
      <c r="W72" s="129">
        <f ca="1">IF(OFFSET('4.1(2)新規再エネ導入予定（設備情報）'!$O$1,MATCH(X72,'4.1(2)新規再エネ導入予定（設備情報）'!$Z:$Z,0)-1,0)="低圧",1,0)</f>
        <v>0</v>
      </c>
      <c r="X72" s="125" t="str">
        <f ca="1">IFERROR(IF(AND(G72="",L72&lt;&gt;""),MAX(OFFSET($X$8,0,0,ROW()-8,1)),OFFSET('4.1(2)新規再エネ導入予定（設備情報）'!$Z$1,MATCH($G72,'4.1(2)新規再エネ導入予定（設備情報）'!$G:$G,0)-1,0)),"")</f>
        <v/>
      </c>
      <c r="Y72" s="223">
        <f t="shared" si="12"/>
        <v>0</v>
      </c>
      <c r="Z72" s="224">
        <f t="shared" ref="Z72:Z103" ca="1" si="37">SUMIF($X$8:$X$171,X72,$Y$8:$Y$171)</f>
        <v>0</v>
      </c>
      <c r="AA72" s="223">
        <f t="shared" si="28"/>
        <v>0</v>
      </c>
      <c r="AB72" s="277">
        <f t="shared" ref="AB72:AB103" ca="1" si="38">IF(COUNTIFS($X$8:$X$171,X72,$Y$8:$Y$171,1)=0,1,COUNTIFS($X$8:$X$171,X72,$Y$8:$Y$171,1,$AA$8:$AA$171,1))</f>
        <v>1</v>
      </c>
      <c r="AC72" s="255" t="str">
        <f t="shared" si="32"/>
        <v/>
      </c>
      <c r="AD72" s="255" t="str">
        <f t="shared" si="33"/>
        <v/>
      </c>
      <c r="AE72" s="255" t="str">
        <f t="shared" si="26"/>
        <v/>
      </c>
      <c r="AF72" s="255" t="str">
        <f t="shared" si="27"/>
        <v/>
      </c>
      <c r="AG72" s="255" t="str">
        <f t="shared" si="14"/>
        <v>E</v>
      </c>
      <c r="AH72" s="255" cm="1">
        <f t="array" ref="AH72">_xlfn.IFS(COUNTIF($N72:$P72,"合意済")=3,4,OR(COUNTIF($N72:$P72,"合意済")=2,COUNTIF($N72:$P72,"合意済")=1),3,COUNTIF($N72:$P72,"合意済")=0,2)</f>
        <v>2</v>
      </c>
      <c r="AI72" s="255" t="e">
        <f t="shared" ca="1" si="13"/>
        <v>#VALUE!</v>
      </c>
      <c r="AJ72" s="255" t="str">
        <f t="shared" ref="AJ72:AJ103" ca="1" si="39">IFERROR(_xlfn.MINIFS($AI$8:$AI$171,$X$8:$X$171,X72),"")</f>
        <v/>
      </c>
    </row>
    <row r="73" spans="2:36" s="11" customFormat="1">
      <c r="B73" s="21"/>
      <c r="C73" s="21"/>
      <c r="D73" s="36"/>
      <c r="E73" s="124"/>
      <c r="F73" s="490" t="str">
        <f ca="1">IFERROR(OFFSET('4.1(2)新規再エネ導入予定（設備情報）'!$F$1,MATCH(G73,'4.1(2)新規再エネ導入予定（設備情報）'!$G:$G,0)-1,0),"")</f>
        <v/>
      </c>
      <c r="G73" s="480"/>
      <c r="H73" s="491" t="str">
        <f ca="1">IFERROR(OFFSET('4.1(2)新規再エネ導入予定（設備情報）'!$H$1,MATCH(G73,'4.1(2)新規再エネ導入予定（設備情報）'!$G:$G,0)-1,0)&amp;"","")</f>
        <v/>
      </c>
      <c r="I73" s="492" t="str">
        <f ca="1">IFERROR(OFFSET('4.1(2)新規再エネ導入予定（設備情報）'!$L$1,MATCH(G73,'4.1(2)新規再エネ導入予定（設備情報）'!$G:$G,0)-1,0),"")</f>
        <v/>
      </c>
      <c r="J73" s="493" t="str">
        <f ca="1">IFERROR(OFFSET('4.1(2)新規再エネ導入予定（設備情報）'!$O$1,MATCH(G73,'4.1(2)新規再エネ導入予定（設備情報）'!$G:$G,0)-1,0),"")</f>
        <v/>
      </c>
      <c r="K73" s="494" t="str">
        <f ca="1">IFERROR(OFFSET('4.1(2)新規再エネ導入予定（設備情報）'!$P$1,MATCH(G73,'4.1(2)新規再エネ導入予定（設備情報）'!$G:$G,0)-1,0),"")</f>
        <v/>
      </c>
      <c r="L73" s="483"/>
      <c r="M73" s="486"/>
      <c r="N73" s="486"/>
      <c r="O73" s="486"/>
      <c r="P73" s="486"/>
      <c r="Q73" s="486"/>
      <c r="R73" s="24"/>
      <c r="S73" s="21"/>
      <c r="T73" s="486"/>
      <c r="V73" s="255">
        <f t="shared" ref="V73:V136" si="40">ROW()-7</f>
        <v>66</v>
      </c>
      <c r="W73" s="129">
        <f ca="1">IF(OFFSET('4.1(2)新規再エネ導入予定（設備情報）'!$O$1,MATCH(X73,'4.1(2)新規再エネ導入予定（設備情報）'!$Z:$Z,0)-1,0)="低圧",1,0)</f>
        <v>0</v>
      </c>
      <c r="X73" s="125" t="str">
        <f ca="1">IFERROR(IF(AND(G73="",L73&lt;&gt;""),MAX(OFFSET($X$8,0,0,ROW()-8,1)),OFFSET('4.1(2)新規再エネ導入予定（設備情報）'!$Z$1,MATCH($G73,'4.1(2)新規再エネ導入予定（設備情報）'!$G:$G,0)-1,0)),"")</f>
        <v/>
      </c>
      <c r="Y73" s="223">
        <f t="shared" si="12"/>
        <v>0</v>
      </c>
      <c r="Z73" s="224">
        <f t="shared" ca="1" si="37"/>
        <v>0</v>
      </c>
      <c r="AA73" s="223">
        <f t="shared" si="28"/>
        <v>0</v>
      </c>
      <c r="AB73" s="277">
        <f t="shared" ca="1" si="38"/>
        <v>1</v>
      </c>
      <c r="AC73" s="255" t="str">
        <f t="shared" si="32"/>
        <v/>
      </c>
      <c r="AD73" s="255" t="str">
        <f t="shared" si="33"/>
        <v/>
      </c>
      <c r="AE73" s="255" t="str">
        <f t="shared" ref="AE73:AE104" si="41">IF(O73="","",IF(OR(O73="説明済",O73="協議中",O73="合意済"),1,0))</f>
        <v/>
      </c>
      <c r="AF73" s="255" t="str">
        <f t="shared" ref="AF73:AF104" si="42">IF(P73="","",IF(OR(P73="説明済",P73="協議中",P73="合意済"),1,0))</f>
        <v/>
      </c>
      <c r="AG73" s="255" t="str">
        <f t="shared" ref="AG73:AG136" si="43">IF(COUNTBLANK(AD73:AF73)=0,IF(W73=1,AC73,PRODUCT(AD73:AF73)),"E")</f>
        <v>E</v>
      </c>
      <c r="AH73" s="255" cm="1">
        <f t="array" ref="AH73">_xlfn.IFS(COUNTIF($N73:$P73,"合意済")=3,4,OR(COUNTIF($N73:$P73,"合意済")=2,COUNTIF($N73:$P73,"合意済")=1),3,COUNTIF($N73:$P73,"合意済")=0,2)</f>
        <v>2</v>
      </c>
      <c r="AI73" s="255" t="e">
        <f t="shared" ca="1" si="13"/>
        <v>#VALUE!</v>
      </c>
      <c r="AJ73" s="255" t="str">
        <f t="shared" ca="1" si="39"/>
        <v/>
      </c>
    </row>
    <row r="74" spans="2:36" ht="20">
      <c r="D74" s="188"/>
      <c r="E74" s="190" t="s">
        <v>25</v>
      </c>
      <c r="F74" s="191"/>
      <c r="G74" s="474"/>
      <c r="H74" s="475"/>
      <c r="I74" s="476"/>
      <c r="J74" s="477"/>
      <c r="K74" s="478"/>
      <c r="L74" s="478"/>
      <c r="M74" s="477"/>
      <c r="N74" s="477"/>
      <c r="O74" s="477"/>
      <c r="P74" s="477"/>
      <c r="Q74" s="500"/>
      <c r="R74" s="19"/>
      <c r="T74" s="487"/>
      <c r="V74" s="175">
        <f t="shared" si="40"/>
        <v>67</v>
      </c>
      <c r="W74" s="215">
        <f ca="1">IF(OFFSET('4.1(2)新規再エネ導入予定（設備情報）'!$O$1,MATCH(X74,'4.1(2)新規再エネ導入予定（設備情報）'!$Z:$Z,0)-1,0)="低圧",1,0)</f>
        <v>0</v>
      </c>
      <c r="X74" s="125" t="str">
        <f ca="1">IFERROR(IF(AND(G74="",L74&lt;&gt;""),MAX(OFFSET($X$8,0,0,ROW()-8,1)),OFFSET('4.1(2)新規再エネ導入予定（設備情報）'!$Z$1,MATCH($G74,'4.1(2)新規再エネ導入予定（設備情報）'!$G:$G,0)-1,0)),"")</f>
        <v/>
      </c>
      <c r="Y74" s="263">
        <f t="shared" ref="Y74:Y122" si="44">IF(T74="○",1,0)</f>
        <v>0</v>
      </c>
      <c r="Z74" s="261">
        <f t="shared" ca="1" si="37"/>
        <v>0</v>
      </c>
      <c r="AA74" s="263">
        <f t="shared" si="28"/>
        <v>0</v>
      </c>
      <c r="AB74" s="262">
        <f t="shared" ca="1" si="38"/>
        <v>1</v>
      </c>
      <c r="AC74" s="175" t="str">
        <f t="shared" si="32"/>
        <v/>
      </c>
      <c r="AD74" s="175" t="str">
        <f t="shared" si="33"/>
        <v/>
      </c>
      <c r="AE74" s="175" t="str">
        <f t="shared" si="41"/>
        <v/>
      </c>
      <c r="AF74" s="175" t="str">
        <f t="shared" si="42"/>
        <v/>
      </c>
      <c r="AG74" s="175" t="str">
        <f t="shared" si="43"/>
        <v>E</v>
      </c>
      <c r="AH74" s="175" cm="1">
        <f t="array" ref="AH74">_xlfn.IFS(COUNTIF($N74:$P74,"合意済")=3,4,OR(COUNTIF($N74:$P74,"合意済")=2,COUNTIF($N74:$P74,"合意済")=1),3,COUNTIF($N74:$P74,"合意済")=0,2)</f>
        <v>2</v>
      </c>
      <c r="AI74" s="175" t="e">
        <f t="shared" ca="1" si="13"/>
        <v>#VALUE!</v>
      </c>
      <c r="AJ74" s="175" t="str">
        <f t="shared" ca="1" si="39"/>
        <v/>
      </c>
    </row>
    <row r="75" spans="2:36" s="11" customFormat="1" hidden="1">
      <c r="B75" s="21"/>
      <c r="C75" s="21"/>
      <c r="D75" s="36"/>
      <c r="E75" s="124"/>
      <c r="F75" s="707"/>
      <c r="G75" s="479"/>
      <c r="H75" s="495"/>
      <c r="I75" s="496"/>
      <c r="J75" s="497"/>
      <c r="K75" s="498"/>
      <c r="L75" s="481"/>
      <c r="M75" s="484"/>
      <c r="N75" s="484"/>
      <c r="O75" s="484"/>
      <c r="P75" s="484"/>
      <c r="Q75" s="484"/>
      <c r="R75" s="24"/>
      <c r="S75" s="21"/>
      <c r="T75" s="484"/>
      <c r="V75" s="255">
        <f t="shared" si="40"/>
        <v>68</v>
      </c>
      <c r="W75" s="129">
        <f ca="1">IF(OFFSET('4.1(2)新規再エネ導入予定（設備情報）'!$O$1,MATCH(X75,'4.1(2)新規再エネ導入予定（設備情報）'!$Z:$Z,0)-1,0)="低圧",1,0)</f>
        <v>0</v>
      </c>
      <c r="X75" s="125" t="str">
        <f ca="1">IFERROR(IF(AND(G75="",L75&lt;&gt;""),MAX(OFFSET($X$8,0,0,ROW()-8,1)),OFFSET('4.1(2)新規再エネ導入予定（設備情報）'!$Z$1,MATCH($G75,'4.1(2)新規再エネ導入予定（設備情報）'!$G:$G,0)-1,0)),"")</f>
        <v/>
      </c>
      <c r="Y75" s="224">
        <f t="shared" si="44"/>
        <v>0</v>
      </c>
      <c r="Z75" s="224">
        <f t="shared" ca="1" si="37"/>
        <v>0</v>
      </c>
      <c r="AA75" s="224">
        <f t="shared" si="28"/>
        <v>0</v>
      </c>
      <c r="AB75" s="277">
        <f t="shared" ca="1" si="38"/>
        <v>1</v>
      </c>
      <c r="AC75" s="255" t="str">
        <f t="shared" si="32"/>
        <v/>
      </c>
      <c r="AD75" s="255" t="str">
        <f t="shared" si="33"/>
        <v/>
      </c>
      <c r="AE75" s="255" t="str">
        <f t="shared" si="41"/>
        <v/>
      </c>
      <c r="AF75" s="255" t="str">
        <f t="shared" si="42"/>
        <v/>
      </c>
      <c r="AG75" s="255" t="str">
        <f t="shared" si="43"/>
        <v>E</v>
      </c>
      <c r="AH75" s="255" cm="1">
        <f t="array" ref="AH75">_xlfn.IFS(COUNTIF($N75:$P75,"合意済")=3,4,OR(COUNTIF($N75:$P75,"合意済")=2,COUNTIF($N75:$P75,"合意済")=1),3,COUNTIF($N75:$P75,"合意済")=0,2)</f>
        <v>2</v>
      </c>
      <c r="AI75" s="255" t="e">
        <f t="shared" ca="1" si="13"/>
        <v>#VALUE!</v>
      </c>
      <c r="AJ75" s="255" t="str">
        <f t="shared" ca="1" si="39"/>
        <v/>
      </c>
    </row>
    <row r="76" spans="2:36" s="11" customFormat="1">
      <c r="B76" s="21"/>
      <c r="C76" s="21"/>
      <c r="D76" s="36"/>
      <c r="E76" s="124"/>
      <c r="F76" s="489" t="str">
        <f ca="1">IFERROR(OFFSET('4.1(2)新規再エネ導入予定（設備情報）'!$F$1,MATCH(G76,'4.1(2)新規再エネ導入予定（設備情報）'!$G:$G,0)-1,0),"")</f>
        <v/>
      </c>
      <c r="G76" s="480"/>
      <c r="H76" s="491" t="str">
        <f ca="1">IFERROR(OFFSET('4.1(2)新規再エネ導入予定（設備情報）'!$H$1,MATCH(G76,'4.1(2)新規再エネ導入予定（設備情報）'!$G:$G,0)-1,0)&amp;"","")</f>
        <v/>
      </c>
      <c r="I76" s="492" t="str">
        <f ca="1">IFERROR(OFFSET('4.1(2)新規再エネ導入予定（設備情報）'!$L$1,MATCH(G76,'4.1(2)新規再エネ導入予定（設備情報）'!$G:$G,0)-1,0),"")</f>
        <v/>
      </c>
      <c r="J76" s="493" t="str">
        <f ca="1">IFERROR(OFFSET('4.1(2)新規再エネ導入予定（設備情報）'!$O$1,MATCH(G76,'4.1(2)新規再エネ導入予定（設備情報）'!$G:$G,0)-1,0),"")</f>
        <v/>
      </c>
      <c r="K76" s="494" t="str">
        <f ca="1">IFERROR(OFFSET('4.1(2)新規再エネ導入予定（設備情報）'!$P$1,MATCH(G76,'4.1(2)新規再エネ導入予定（設備情報）'!$G:$G,0)-1,0),"")</f>
        <v/>
      </c>
      <c r="L76" s="483"/>
      <c r="M76" s="486"/>
      <c r="N76" s="486"/>
      <c r="O76" s="486"/>
      <c r="P76" s="486"/>
      <c r="Q76" s="486"/>
      <c r="R76" s="24"/>
      <c r="S76" s="21"/>
      <c r="T76" s="486"/>
      <c r="V76" s="255">
        <f t="shared" si="40"/>
        <v>69</v>
      </c>
      <c r="W76" s="129">
        <f ca="1">IF(OFFSET('4.1(2)新規再エネ導入予定（設備情報）'!$O$1,MATCH(X76,'4.1(2)新規再エネ導入予定（設備情報）'!$Z:$Z,0)-1,0)="低圧",1,0)</f>
        <v>0</v>
      </c>
      <c r="X76" s="125" t="str">
        <f ca="1">IFERROR(IF(AND(G76="",L76&lt;&gt;""),MAX(OFFSET($X$8,0,0,ROW()-8,1)),OFFSET('4.1(2)新規再エネ導入予定（設備情報）'!$Z$1,MATCH($G76,'4.1(2)新規再エネ導入予定（設備情報）'!$G:$G,0)-1,0)),"")</f>
        <v/>
      </c>
      <c r="Y76" s="223">
        <f t="shared" si="44"/>
        <v>0</v>
      </c>
      <c r="Z76" s="224">
        <f t="shared" ca="1" si="37"/>
        <v>0</v>
      </c>
      <c r="AA76" s="223">
        <f t="shared" si="28"/>
        <v>0</v>
      </c>
      <c r="AB76" s="277">
        <f t="shared" ca="1" si="38"/>
        <v>1</v>
      </c>
      <c r="AC76" s="255" t="str">
        <f t="shared" si="32"/>
        <v/>
      </c>
      <c r="AD76" s="255" t="str">
        <f t="shared" si="33"/>
        <v/>
      </c>
      <c r="AE76" s="255" t="str">
        <f t="shared" si="41"/>
        <v/>
      </c>
      <c r="AF76" s="255" t="str">
        <f t="shared" si="42"/>
        <v/>
      </c>
      <c r="AG76" s="255" t="str">
        <f t="shared" si="43"/>
        <v>E</v>
      </c>
      <c r="AH76" s="255" cm="1">
        <f t="array" ref="AH76">_xlfn.IFS(COUNTIF($N76:$P76,"合意済")=3,4,OR(COUNTIF($N76:$P76,"合意済")=2,COUNTIF($N76:$P76,"合意済")=1),3,COUNTIF($N76:$P76,"合意済")=0,2)</f>
        <v>2</v>
      </c>
      <c r="AI76" s="255" t="e">
        <f t="shared" ca="1" si="13"/>
        <v>#VALUE!</v>
      </c>
      <c r="AJ76" s="255" t="str">
        <f t="shared" ca="1" si="39"/>
        <v/>
      </c>
    </row>
    <row r="77" spans="2:36" s="11" customFormat="1">
      <c r="B77" s="21"/>
      <c r="C77" s="21"/>
      <c r="D77" s="36"/>
      <c r="E77" s="124"/>
      <c r="F77" s="489" t="str">
        <f ca="1">IFERROR(OFFSET('4.1(2)新規再エネ導入予定（設備情報）'!$F$1,MATCH(G77,'4.1(2)新規再エネ導入予定（設備情報）'!$G:$G,0)-1,0),"")</f>
        <v/>
      </c>
      <c r="G77" s="480"/>
      <c r="H77" s="491" t="str">
        <f ca="1">IFERROR(OFFSET('4.1(2)新規再エネ導入予定（設備情報）'!$H$1,MATCH(G77,'4.1(2)新規再エネ導入予定（設備情報）'!$G:$G,0)-1,0)&amp;"","")</f>
        <v/>
      </c>
      <c r="I77" s="492" t="str">
        <f ca="1">IFERROR(OFFSET('4.1(2)新規再エネ導入予定（設備情報）'!$L$1,MATCH(G77,'4.1(2)新規再エネ導入予定（設備情報）'!$G:$G,0)-1,0),"")</f>
        <v/>
      </c>
      <c r="J77" s="493" t="str">
        <f ca="1">IFERROR(OFFSET('4.1(2)新規再エネ導入予定（設備情報）'!$O$1,MATCH(G77,'4.1(2)新規再エネ導入予定（設備情報）'!$G:$G,0)-1,0),"")</f>
        <v/>
      </c>
      <c r="K77" s="494" t="str">
        <f ca="1">IFERROR(OFFSET('4.1(2)新規再エネ導入予定（設備情報）'!$P$1,MATCH(G77,'4.1(2)新規再エネ導入予定（設備情報）'!$G:$G,0)-1,0),"")</f>
        <v/>
      </c>
      <c r="L77" s="483"/>
      <c r="M77" s="486"/>
      <c r="N77" s="486"/>
      <c r="O77" s="486"/>
      <c r="P77" s="486"/>
      <c r="Q77" s="486"/>
      <c r="R77" s="24"/>
      <c r="S77" s="21"/>
      <c r="T77" s="486"/>
      <c r="V77" s="255">
        <f t="shared" si="40"/>
        <v>70</v>
      </c>
      <c r="W77" s="129">
        <f ca="1">IF(OFFSET('4.1(2)新規再エネ導入予定（設備情報）'!$O$1,MATCH(X77,'4.1(2)新規再エネ導入予定（設備情報）'!$Z:$Z,0)-1,0)="低圧",1,0)</f>
        <v>0</v>
      </c>
      <c r="X77" s="125" t="str">
        <f ca="1">IFERROR(IF(AND(G77="",L77&lt;&gt;""),MAX(OFFSET($X$8,0,0,ROW()-8,1)),OFFSET('4.1(2)新規再エネ導入予定（設備情報）'!$Z$1,MATCH($G77,'4.1(2)新規再エネ導入予定（設備情報）'!$G:$G,0)-1,0)),"")</f>
        <v/>
      </c>
      <c r="Y77" s="223">
        <f t="shared" si="44"/>
        <v>0</v>
      </c>
      <c r="Z77" s="224">
        <f t="shared" ca="1" si="37"/>
        <v>0</v>
      </c>
      <c r="AA77" s="223">
        <f t="shared" si="28"/>
        <v>0</v>
      </c>
      <c r="AB77" s="277">
        <f t="shared" ca="1" si="38"/>
        <v>1</v>
      </c>
      <c r="AC77" s="255" t="str">
        <f t="shared" si="32"/>
        <v/>
      </c>
      <c r="AD77" s="255" t="str">
        <f t="shared" si="33"/>
        <v/>
      </c>
      <c r="AE77" s="255" t="str">
        <f t="shared" si="41"/>
        <v/>
      </c>
      <c r="AF77" s="255" t="str">
        <f t="shared" si="42"/>
        <v/>
      </c>
      <c r="AG77" s="255" t="str">
        <f t="shared" si="43"/>
        <v>E</v>
      </c>
      <c r="AH77" s="255" cm="1">
        <f t="array" ref="AH77">_xlfn.IFS(COUNTIF($N77:$P77,"合意済")=3,4,OR(COUNTIF($N77:$P77,"合意済")=2,COUNTIF($N77:$P77,"合意済")=1),3,COUNTIF($N77:$P77,"合意済")=0,2)</f>
        <v>2</v>
      </c>
      <c r="AI77" s="255" t="e">
        <f t="shared" ref="AI77:AI140" ca="1" si="45">IF(AND(W77*AA77*AC77=1,AD77*AE77*AF77=0),2,AB77*AC77*AG77*(AH77))</f>
        <v>#VALUE!</v>
      </c>
      <c r="AJ77" s="255" t="str">
        <f t="shared" ca="1" si="39"/>
        <v/>
      </c>
    </row>
    <row r="78" spans="2:36" s="11" customFormat="1">
      <c r="B78" s="21"/>
      <c r="C78" s="21"/>
      <c r="D78" s="36"/>
      <c r="E78" s="124"/>
      <c r="F78" s="489" t="str">
        <f ca="1">IFERROR(OFFSET('4.1(2)新規再エネ導入予定（設備情報）'!$F$1,MATCH(G78,'4.1(2)新規再エネ導入予定（設備情報）'!$G:$G,0)-1,0),"")</f>
        <v/>
      </c>
      <c r="G78" s="480"/>
      <c r="H78" s="491" t="str">
        <f ca="1">IFERROR(OFFSET('4.1(2)新規再エネ導入予定（設備情報）'!$H$1,MATCH(G78,'4.1(2)新規再エネ導入予定（設備情報）'!$G:$G,0)-1,0)&amp;"","")</f>
        <v/>
      </c>
      <c r="I78" s="492" t="str">
        <f ca="1">IFERROR(OFFSET('4.1(2)新規再エネ導入予定（設備情報）'!$L$1,MATCH(G78,'4.1(2)新規再エネ導入予定（設備情報）'!$G:$G,0)-1,0),"")</f>
        <v/>
      </c>
      <c r="J78" s="493" t="str">
        <f ca="1">IFERROR(OFFSET('4.1(2)新規再エネ導入予定（設備情報）'!$O$1,MATCH(G78,'4.1(2)新規再エネ導入予定（設備情報）'!$G:$G,0)-1,0),"")</f>
        <v/>
      </c>
      <c r="K78" s="494" t="str">
        <f ca="1">IFERROR(OFFSET('4.1(2)新規再エネ導入予定（設備情報）'!$P$1,MATCH(G78,'4.1(2)新規再エネ導入予定（設備情報）'!$G:$G,0)-1,0),"")</f>
        <v/>
      </c>
      <c r="L78" s="483"/>
      <c r="M78" s="486"/>
      <c r="N78" s="486"/>
      <c r="O78" s="486"/>
      <c r="P78" s="486"/>
      <c r="Q78" s="486"/>
      <c r="R78" s="24"/>
      <c r="S78" s="21"/>
      <c r="T78" s="486"/>
      <c r="V78" s="255">
        <f t="shared" si="40"/>
        <v>71</v>
      </c>
      <c r="W78" s="129">
        <f ca="1">IF(OFFSET('4.1(2)新規再エネ導入予定（設備情報）'!$O$1,MATCH(X78,'4.1(2)新規再エネ導入予定（設備情報）'!$Z:$Z,0)-1,0)="低圧",1,0)</f>
        <v>0</v>
      </c>
      <c r="X78" s="125" t="str">
        <f ca="1">IFERROR(IF(AND(G78="",L78&lt;&gt;""),MAX(OFFSET($X$8,0,0,ROW()-8,1)),OFFSET('4.1(2)新規再エネ導入予定（設備情報）'!$Z$1,MATCH($G78,'4.1(2)新規再エネ導入予定（設備情報）'!$G:$G,0)-1,0)),"")</f>
        <v/>
      </c>
      <c r="Y78" s="223">
        <f t="shared" si="44"/>
        <v>0</v>
      </c>
      <c r="Z78" s="224">
        <f t="shared" ca="1" si="37"/>
        <v>0</v>
      </c>
      <c r="AA78" s="223">
        <f t="shared" si="28"/>
        <v>0</v>
      </c>
      <c r="AB78" s="277">
        <f t="shared" ca="1" si="38"/>
        <v>1</v>
      </c>
      <c r="AC78" s="255" t="str">
        <f t="shared" si="32"/>
        <v/>
      </c>
      <c r="AD78" s="255" t="str">
        <f t="shared" si="33"/>
        <v/>
      </c>
      <c r="AE78" s="255" t="str">
        <f t="shared" si="41"/>
        <v/>
      </c>
      <c r="AF78" s="255" t="str">
        <f t="shared" si="42"/>
        <v/>
      </c>
      <c r="AG78" s="255" t="str">
        <f t="shared" si="43"/>
        <v>E</v>
      </c>
      <c r="AH78" s="255" cm="1">
        <f t="array" ref="AH78">_xlfn.IFS(COUNTIF($N78:$P78,"合意済")=3,4,OR(COUNTIF($N78:$P78,"合意済")=2,COUNTIF($N78:$P78,"合意済")=1),3,COUNTIF($N78:$P78,"合意済")=0,2)</f>
        <v>2</v>
      </c>
      <c r="AI78" s="255" t="e">
        <f t="shared" ca="1" si="45"/>
        <v>#VALUE!</v>
      </c>
      <c r="AJ78" s="255" t="str">
        <f t="shared" ca="1" si="39"/>
        <v/>
      </c>
    </row>
    <row r="79" spans="2:36" s="11" customFormat="1">
      <c r="B79" s="21"/>
      <c r="C79" s="21"/>
      <c r="D79" s="36"/>
      <c r="E79" s="124"/>
      <c r="F79" s="489" t="str">
        <f ca="1">IFERROR(OFFSET('4.1(2)新規再エネ導入予定（設備情報）'!$F$1,MATCH(G79,'4.1(2)新規再エネ導入予定（設備情報）'!$G:$G,0)-1,0),"")</f>
        <v/>
      </c>
      <c r="G79" s="480"/>
      <c r="H79" s="491" t="str">
        <f ca="1">IFERROR(OFFSET('4.1(2)新規再エネ導入予定（設備情報）'!$H$1,MATCH(G79,'4.1(2)新規再エネ導入予定（設備情報）'!$G:$G,0)-1,0)&amp;"","")</f>
        <v/>
      </c>
      <c r="I79" s="492" t="str">
        <f ca="1">IFERROR(OFFSET('4.1(2)新規再エネ導入予定（設備情報）'!$L$1,MATCH(G79,'4.1(2)新規再エネ導入予定（設備情報）'!$G:$G,0)-1,0),"")</f>
        <v/>
      </c>
      <c r="J79" s="493" t="str">
        <f ca="1">IFERROR(OFFSET('4.1(2)新規再エネ導入予定（設備情報）'!$O$1,MATCH(G79,'4.1(2)新規再エネ導入予定（設備情報）'!$G:$G,0)-1,0),"")</f>
        <v/>
      </c>
      <c r="K79" s="494" t="str">
        <f ca="1">IFERROR(OFFSET('4.1(2)新規再エネ導入予定（設備情報）'!$P$1,MATCH(G79,'4.1(2)新規再エネ導入予定（設備情報）'!$G:$G,0)-1,0),"")</f>
        <v/>
      </c>
      <c r="L79" s="483"/>
      <c r="M79" s="486"/>
      <c r="N79" s="486"/>
      <c r="O79" s="486"/>
      <c r="P79" s="486"/>
      <c r="Q79" s="486"/>
      <c r="R79" s="24"/>
      <c r="S79" s="21"/>
      <c r="T79" s="486"/>
      <c r="V79" s="255">
        <f t="shared" si="40"/>
        <v>72</v>
      </c>
      <c r="W79" s="129">
        <f ca="1">IF(OFFSET('4.1(2)新規再エネ導入予定（設備情報）'!$O$1,MATCH(X79,'4.1(2)新規再エネ導入予定（設備情報）'!$Z:$Z,0)-1,0)="低圧",1,0)</f>
        <v>0</v>
      </c>
      <c r="X79" s="125" t="str">
        <f ca="1">IFERROR(IF(AND(G79="",L79&lt;&gt;""),MAX(OFFSET($X$8,0,0,ROW()-8,1)),OFFSET('4.1(2)新規再エネ導入予定（設備情報）'!$Z$1,MATCH($G79,'4.1(2)新規再エネ導入予定（設備情報）'!$G:$G,0)-1,0)),"")</f>
        <v/>
      </c>
      <c r="Y79" s="223">
        <f t="shared" si="44"/>
        <v>0</v>
      </c>
      <c r="Z79" s="224">
        <f t="shared" ca="1" si="37"/>
        <v>0</v>
      </c>
      <c r="AA79" s="223">
        <f t="shared" si="28"/>
        <v>0</v>
      </c>
      <c r="AB79" s="277">
        <f t="shared" ca="1" si="38"/>
        <v>1</v>
      </c>
      <c r="AC79" s="255" t="str">
        <f t="shared" si="32"/>
        <v/>
      </c>
      <c r="AD79" s="255" t="str">
        <f t="shared" si="33"/>
        <v/>
      </c>
      <c r="AE79" s="255" t="str">
        <f t="shared" si="41"/>
        <v/>
      </c>
      <c r="AF79" s="255" t="str">
        <f t="shared" si="42"/>
        <v/>
      </c>
      <c r="AG79" s="255" t="str">
        <f t="shared" si="43"/>
        <v>E</v>
      </c>
      <c r="AH79" s="255" cm="1">
        <f t="array" ref="AH79">_xlfn.IFS(COUNTIF($N79:$P79,"合意済")=3,4,OR(COUNTIF($N79:$P79,"合意済")=2,COUNTIF($N79:$P79,"合意済")=1),3,COUNTIF($N79:$P79,"合意済")=0,2)</f>
        <v>2</v>
      </c>
      <c r="AI79" s="255" t="e">
        <f t="shared" ca="1" si="45"/>
        <v>#VALUE!</v>
      </c>
      <c r="AJ79" s="255" t="str">
        <f t="shared" ca="1" si="39"/>
        <v/>
      </c>
    </row>
    <row r="80" spans="2:36">
      <c r="D80" s="32"/>
      <c r="E80" s="239" t="s">
        <v>26</v>
      </c>
      <c r="F80" s="240"/>
      <c r="G80" s="264"/>
      <c r="H80" s="241"/>
      <c r="I80" s="265"/>
      <c r="J80" s="243"/>
      <c r="K80" s="499">
        <f ca="1">SUM(OFFSET(K8,0,0,ROW()-ROW(K8),1))</f>
        <v>0</v>
      </c>
      <c r="L80" s="251"/>
      <c r="M80" s="243"/>
      <c r="N80" s="243"/>
      <c r="O80" s="243"/>
      <c r="P80" s="243"/>
      <c r="Q80" s="243"/>
      <c r="R80" s="19"/>
      <c r="T80" s="243"/>
      <c r="V80" s="175">
        <f t="shared" si="40"/>
        <v>73</v>
      </c>
      <c r="W80" s="215">
        <f ca="1">IF(OFFSET('4.1(2)新規再エネ導入予定（設備情報）'!$O$1,MATCH(X80,'4.1(2)新規再エネ導入予定（設備情報）'!$Z:$Z,0)-1,0)="低圧",1,0)</f>
        <v>0</v>
      </c>
      <c r="X80" s="125" t="str">
        <f ca="1">IFERROR(IF(AND(G80="",L80&lt;&gt;""),MAX(OFFSET($X$8,0,0,ROW()-8,1)),OFFSET('4.1(2)新規再エネ導入予定（設備情報）'!$Z$1,MATCH($G80,'4.1(2)新規再エネ導入予定（設備情報）'!$G:$G,0)-1,0)),"")</f>
        <v/>
      </c>
      <c r="Y80" s="266">
        <f t="shared" si="44"/>
        <v>0</v>
      </c>
      <c r="Z80" s="261">
        <f t="shared" ca="1" si="37"/>
        <v>0</v>
      </c>
      <c r="AA80" s="266">
        <f t="shared" si="28"/>
        <v>0</v>
      </c>
      <c r="AB80" s="262">
        <f t="shared" ca="1" si="38"/>
        <v>1</v>
      </c>
      <c r="AC80" s="175" t="str">
        <f t="shared" si="32"/>
        <v/>
      </c>
      <c r="AD80" s="175" t="str">
        <f t="shared" si="33"/>
        <v/>
      </c>
      <c r="AE80" s="175" t="str">
        <f t="shared" si="41"/>
        <v/>
      </c>
      <c r="AF80" s="175" t="str">
        <f t="shared" si="42"/>
        <v/>
      </c>
      <c r="AG80" s="175" t="str">
        <f t="shared" si="43"/>
        <v>E</v>
      </c>
      <c r="AH80" s="175" cm="1">
        <f t="array" ref="AH80">_xlfn.IFS(COUNTIF($N80:$P80,"合意済")=3,4,OR(COUNTIF($N80:$P80,"合意済")=2,COUNTIF($N80:$P80,"合意済")=1),3,COUNTIF($N80:$P80,"合意済")=0,2)</f>
        <v>2</v>
      </c>
      <c r="AI80" s="175" t="e">
        <f t="shared" ca="1" si="45"/>
        <v>#VALUE!</v>
      </c>
      <c r="AJ80" s="175" t="str">
        <f t="shared" ca="1" si="39"/>
        <v/>
      </c>
    </row>
    <row r="81" spans="2:36" ht="15" customHeight="1">
      <c r="D81" s="46"/>
      <c r="E81" s="26"/>
      <c r="F81" s="34"/>
      <c r="G81" s="34"/>
      <c r="H81" s="34"/>
      <c r="I81" s="267"/>
      <c r="J81" s="34"/>
      <c r="K81" s="34"/>
      <c r="L81" s="34"/>
      <c r="M81" s="244"/>
      <c r="N81" s="244"/>
      <c r="O81" s="244"/>
      <c r="P81" s="244"/>
      <c r="Q81" s="244"/>
      <c r="R81" s="27"/>
      <c r="T81" s="247"/>
      <c r="U81" s="247"/>
      <c r="V81" s="175">
        <f t="shared" si="40"/>
        <v>74</v>
      </c>
      <c r="W81" s="215">
        <f ca="1">IF(OFFSET('4.1(2)新規再エネ導入予定（設備情報）'!$O$1,MATCH(X81,'4.1(2)新規再エネ導入予定（設備情報）'!$Z:$Z,0)-1,0)="低圧",1,0)</f>
        <v>0</v>
      </c>
      <c r="X81" s="125" t="str">
        <f ca="1">IFERROR(IF(AND(G81="",L81&lt;&gt;""),MAX(OFFSET($X$8,0,0,ROW()-8,1)),OFFSET('4.1(2)新規再エネ導入予定（設備情報）'!$Z$1,MATCH($G81,'4.1(2)新規再エネ導入予定（設備情報）'!$G:$G,0)-1,0)),"")</f>
        <v/>
      </c>
      <c r="Y81" s="222">
        <f t="shared" si="44"/>
        <v>0</v>
      </c>
      <c r="Z81" s="261">
        <f t="shared" ca="1" si="37"/>
        <v>0</v>
      </c>
      <c r="AA81" s="222">
        <f t="shared" si="28"/>
        <v>0</v>
      </c>
      <c r="AB81" s="262">
        <f t="shared" ca="1" si="38"/>
        <v>1</v>
      </c>
      <c r="AC81" s="175" t="str">
        <f t="shared" si="32"/>
        <v/>
      </c>
      <c r="AD81" s="175" t="str">
        <f t="shared" si="33"/>
        <v/>
      </c>
      <c r="AE81" s="175" t="str">
        <f t="shared" si="41"/>
        <v/>
      </c>
      <c r="AF81" s="175" t="str">
        <f t="shared" si="42"/>
        <v/>
      </c>
      <c r="AG81" s="175" t="str">
        <f t="shared" si="43"/>
        <v>E</v>
      </c>
      <c r="AH81" s="175" cm="1">
        <f t="array" ref="AH81">_xlfn.IFS(COUNTIF($N81:$P81,"合意済")=3,4,OR(COUNTIF($N81:$P81,"合意済")=2,COUNTIF($N81:$P81,"合意済")=1),3,COUNTIF($N81:$P81,"合意済")=0,2)</f>
        <v>2</v>
      </c>
      <c r="AI81" s="175" t="e">
        <f t="shared" ca="1" si="45"/>
        <v>#VALUE!</v>
      </c>
      <c r="AJ81" s="175" t="str">
        <f t="shared" ca="1" si="39"/>
        <v/>
      </c>
    </row>
    <row r="82" spans="2:36">
      <c r="F82" s="31"/>
      <c r="G82" s="31"/>
      <c r="H82" s="31"/>
      <c r="I82" s="268"/>
      <c r="J82" s="31"/>
      <c r="K82" s="31"/>
      <c r="L82" s="31"/>
      <c r="M82" s="247"/>
      <c r="N82" s="247"/>
      <c r="O82" s="247"/>
      <c r="P82" s="247"/>
      <c r="Q82" s="247"/>
      <c r="T82" s="247"/>
      <c r="U82" s="247"/>
      <c r="V82" s="175">
        <f t="shared" si="40"/>
        <v>75</v>
      </c>
      <c r="W82" s="215">
        <f ca="1">IF(OFFSET('4.1(2)新規再エネ導入予定（設備情報）'!$O$1,MATCH(X82,'4.1(2)新規再エネ導入予定（設備情報）'!$Z:$Z,0)-1,0)="低圧",1,0)</f>
        <v>0</v>
      </c>
      <c r="X82" s="125" t="str">
        <f ca="1">IFERROR(IF(AND(G82="",L82&lt;&gt;""),MAX(OFFSET($X$8,0,0,ROW()-8,1)),OFFSET('4.1(2)新規再エネ導入予定（設備情報）'!$Z$1,MATCH($G82,'4.1(2)新規再エネ導入予定（設備情報）'!$G:$G,0)-1,0)),"")</f>
        <v/>
      </c>
      <c r="Y82" s="222">
        <f t="shared" si="44"/>
        <v>0</v>
      </c>
      <c r="Z82" s="261">
        <f t="shared" ca="1" si="37"/>
        <v>0</v>
      </c>
      <c r="AA82" s="222">
        <f t="shared" si="28"/>
        <v>0</v>
      </c>
      <c r="AB82" s="262">
        <f t="shared" ca="1" si="38"/>
        <v>1</v>
      </c>
      <c r="AC82" s="175" t="str">
        <f t="shared" si="32"/>
        <v/>
      </c>
      <c r="AD82" s="175" t="str">
        <f t="shared" si="33"/>
        <v/>
      </c>
      <c r="AE82" s="175" t="str">
        <f t="shared" si="41"/>
        <v/>
      </c>
      <c r="AF82" s="175" t="str">
        <f t="shared" si="42"/>
        <v/>
      </c>
      <c r="AG82" s="175" t="str">
        <f t="shared" si="43"/>
        <v>E</v>
      </c>
      <c r="AH82" s="175" cm="1">
        <f t="array" ref="AH82">_xlfn.IFS(COUNTIF($N82:$P82,"合意済")=3,4,OR(COUNTIF($N82:$P82,"合意済")=2,COUNTIF($N82:$P82,"合意済")=1),3,COUNTIF($N82:$P82,"合意済")=0,2)</f>
        <v>2</v>
      </c>
      <c r="AI82" s="175" t="e">
        <f t="shared" ca="1" si="45"/>
        <v>#VALUE!</v>
      </c>
      <c r="AJ82" s="175" t="str">
        <f t="shared" ca="1" si="39"/>
        <v/>
      </c>
    </row>
    <row r="83" spans="2:36">
      <c r="F83" s="31"/>
      <c r="G83" s="31"/>
      <c r="H83" s="31"/>
      <c r="I83" s="268"/>
      <c r="J83" s="31"/>
      <c r="K83" s="31"/>
      <c r="L83" s="31"/>
      <c r="M83" s="247"/>
      <c r="N83" s="247"/>
      <c r="O83" s="247"/>
      <c r="P83" s="247"/>
      <c r="Q83" s="247"/>
      <c r="T83" s="247"/>
      <c r="U83" s="247"/>
      <c r="V83" s="175">
        <f t="shared" si="40"/>
        <v>76</v>
      </c>
      <c r="W83" s="215">
        <f ca="1">IF(OFFSET('4.1(2)新規再エネ導入予定（設備情報）'!$O$1,MATCH(X83,'4.1(2)新規再エネ導入予定（設備情報）'!$Z:$Z,0)-1,0)="低圧",1,0)</f>
        <v>0</v>
      </c>
      <c r="X83" s="125" t="str">
        <f ca="1">IFERROR(IF(AND(G83="",L83&lt;&gt;""),MAX(OFFSET($X$8,0,0,ROW()-8,1)),OFFSET('4.1(2)新規再エネ導入予定（設備情報）'!$Z$1,MATCH($G83,'4.1(2)新規再エネ導入予定（設備情報）'!$G:$G,0)-1,0)),"")</f>
        <v/>
      </c>
      <c r="Y83" s="222">
        <f t="shared" si="44"/>
        <v>0</v>
      </c>
      <c r="Z83" s="261">
        <f t="shared" ca="1" si="37"/>
        <v>0</v>
      </c>
      <c r="AA83" s="222">
        <f t="shared" si="28"/>
        <v>0</v>
      </c>
      <c r="AB83" s="262">
        <f t="shared" ca="1" si="38"/>
        <v>1</v>
      </c>
      <c r="AC83" s="175" t="str">
        <f t="shared" si="32"/>
        <v/>
      </c>
      <c r="AD83" s="175" t="str">
        <f t="shared" si="33"/>
        <v/>
      </c>
      <c r="AE83" s="175" t="str">
        <f t="shared" si="41"/>
        <v/>
      </c>
      <c r="AF83" s="175" t="str">
        <f t="shared" si="42"/>
        <v/>
      </c>
      <c r="AG83" s="175" t="str">
        <f t="shared" si="43"/>
        <v>E</v>
      </c>
      <c r="AH83" s="175" cm="1">
        <f t="array" ref="AH83">_xlfn.IFS(COUNTIF($N83:$P83,"合意済")=3,4,OR(COUNTIF($N83:$P83,"合意済")=2,COUNTIF($N83:$P83,"合意済")=1),3,COUNTIF($N83:$P83,"合意済")=0,2)</f>
        <v>2</v>
      </c>
      <c r="AI83" s="175" t="e">
        <f t="shared" ca="1" si="45"/>
        <v>#VALUE!</v>
      </c>
      <c r="AJ83" s="175" t="str">
        <f t="shared" ca="1" si="39"/>
        <v/>
      </c>
    </row>
    <row r="84" spans="2:36" ht="9.75" customHeight="1">
      <c r="D84" s="14"/>
      <c r="E84" s="15"/>
      <c r="F84" s="15"/>
      <c r="G84" s="248"/>
      <c r="H84" s="15"/>
      <c r="I84" s="235"/>
      <c r="J84" s="15"/>
      <c r="K84" s="15"/>
      <c r="L84" s="15"/>
      <c r="M84" s="236"/>
      <c r="N84" s="236"/>
      <c r="O84" s="236"/>
      <c r="P84" s="236"/>
      <c r="Q84" s="236"/>
      <c r="R84" s="30"/>
      <c r="T84" s="229"/>
      <c r="U84" s="229"/>
      <c r="V84" s="175">
        <f t="shared" si="40"/>
        <v>77</v>
      </c>
      <c r="W84" s="215">
        <f ca="1">IF(OFFSET('4.1(2)新規再エネ導入予定（設備情報）'!$O$1,MATCH(X84,'4.1(2)新規再エネ導入予定（設備情報）'!$Z:$Z,0)-1,0)="低圧",1,0)</f>
        <v>0</v>
      </c>
      <c r="X84" s="125" t="str">
        <f ca="1">IFERROR(IF(AND(G84="",L84&lt;&gt;""),MAX(OFFSET($X$8,0,0,ROW()-8,1)),OFFSET('4.1(2)新規再エネ導入予定（設備情報）'!$Z$1,MATCH($G84,'4.1(2)新規再エネ導入予定（設備情報）'!$G:$G,0)-1,0)),"")</f>
        <v/>
      </c>
      <c r="Y84" s="222">
        <f t="shared" si="44"/>
        <v>0</v>
      </c>
      <c r="Z84" s="261">
        <f t="shared" ca="1" si="37"/>
        <v>0</v>
      </c>
      <c r="AA84" s="222">
        <f t="shared" si="28"/>
        <v>0</v>
      </c>
      <c r="AB84" s="262">
        <f t="shared" ca="1" si="38"/>
        <v>1</v>
      </c>
      <c r="AC84" s="175" t="str">
        <f t="shared" si="32"/>
        <v/>
      </c>
      <c r="AD84" s="175" t="str">
        <f t="shared" si="33"/>
        <v/>
      </c>
      <c r="AE84" s="175" t="str">
        <f t="shared" si="41"/>
        <v/>
      </c>
      <c r="AF84" s="175" t="str">
        <f t="shared" si="42"/>
        <v/>
      </c>
      <c r="AG84" s="175" t="str">
        <f t="shared" si="43"/>
        <v>E</v>
      </c>
      <c r="AH84" s="175" cm="1">
        <f t="array" ref="AH84">_xlfn.IFS(COUNTIF($N84:$P84,"合意済")=3,4,OR(COUNTIF($N84:$P84,"合意済")=2,COUNTIF($N84:$P84,"合意済")=1),3,COUNTIF($N84:$P84,"合意済")=0,2)</f>
        <v>2</v>
      </c>
      <c r="AI84" s="175" t="e">
        <f t="shared" ca="1" si="45"/>
        <v>#VALUE!</v>
      </c>
      <c r="AJ84" s="175" t="str">
        <f t="shared" ca="1" si="39"/>
        <v/>
      </c>
    </row>
    <row r="85" spans="2:36" ht="21">
      <c r="D85" s="237" t="s">
        <v>285</v>
      </c>
      <c r="F85" s="237"/>
      <c r="G85" s="269"/>
      <c r="I85" s="228"/>
      <c r="R85" s="19"/>
      <c r="T85" s="229"/>
      <c r="V85" s="175">
        <f t="shared" si="40"/>
        <v>78</v>
      </c>
      <c r="W85" s="215">
        <f ca="1">IF(OFFSET('4.1(2)新規再エネ導入予定（設備情報）'!$O$1,MATCH(X85,'4.1(2)新規再エネ導入予定（設備情報）'!$Z:$Z,0)-1,0)="低圧",1,0)</f>
        <v>0</v>
      </c>
      <c r="X85" s="125" t="str">
        <f ca="1">IFERROR(IF(AND(G85="",L85&lt;&gt;""),MAX(OFFSET($X$8,0,0,ROW()-8,1)),OFFSET('4.1(2)新規再エネ導入予定（設備情報）'!$Z$1,MATCH($G85,'4.1(2)新規再エネ導入予定（設備情報）'!$G:$G,0)-1,0)),"")</f>
        <v/>
      </c>
      <c r="Y85" s="222">
        <f t="shared" si="44"/>
        <v>0</v>
      </c>
      <c r="Z85" s="261">
        <f t="shared" ca="1" si="37"/>
        <v>0</v>
      </c>
      <c r="AA85" s="222">
        <f t="shared" si="28"/>
        <v>0</v>
      </c>
      <c r="AB85" s="262">
        <f t="shared" ca="1" si="38"/>
        <v>1</v>
      </c>
      <c r="AC85" s="175" t="str">
        <f t="shared" si="32"/>
        <v/>
      </c>
      <c r="AD85" s="175" t="str">
        <f t="shared" si="33"/>
        <v/>
      </c>
      <c r="AE85" s="175" t="str">
        <f t="shared" si="41"/>
        <v/>
      </c>
      <c r="AF85" s="175" t="str">
        <f t="shared" si="42"/>
        <v/>
      </c>
      <c r="AG85" s="175" t="str">
        <f t="shared" si="43"/>
        <v>E</v>
      </c>
      <c r="AH85" s="175" cm="1">
        <f t="array" ref="AH85">_xlfn.IFS(COUNTIF($N85:$P85,"合意済")=3,4,OR(COUNTIF($N85:$P85,"合意済")=2,COUNTIF($N85:$P85,"合意済")=1),3,COUNTIF($N85:$P85,"合意済")=0,2)</f>
        <v>2</v>
      </c>
      <c r="AI85" s="175" t="e">
        <f t="shared" ca="1" si="45"/>
        <v>#VALUE!</v>
      </c>
      <c r="AJ85" s="175" t="str">
        <f t="shared" ca="1" si="39"/>
        <v/>
      </c>
    </row>
    <row r="86" spans="2:36" ht="21" customHeight="1">
      <c r="D86" s="237"/>
      <c r="F86" s="1361" t="s">
        <v>8</v>
      </c>
      <c r="G86" s="1373" t="s">
        <v>185</v>
      </c>
      <c r="H86" s="1373" t="s">
        <v>180</v>
      </c>
      <c r="I86" s="1371" t="s">
        <v>31</v>
      </c>
      <c r="J86" s="1373" t="s">
        <v>186</v>
      </c>
      <c r="K86" s="1373" t="s">
        <v>81</v>
      </c>
      <c r="L86" s="1289" t="s">
        <v>183</v>
      </c>
      <c r="M86" s="1300" t="s">
        <v>184</v>
      </c>
      <c r="N86" s="1300"/>
      <c r="O86" s="1300"/>
      <c r="P86" s="1300"/>
      <c r="Q86" s="1379" t="s">
        <v>303</v>
      </c>
      <c r="R86" s="19"/>
      <c r="T86" s="1379" t="s">
        <v>311</v>
      </c>
      <c r="V86" s="175">
        <f t="shared" si="40"/>
        <v>79</v>
      </c>
      <c r="W86" s="215">
        <f ca="1">IF(OFFSET('4.1(2)新規再エネ導入予定（設備情報）'!$O$1,MATCH(X86,'4.1(2)新規再エネ導入予定（設備情報）'!$Z:$Z,0)-1,0)="低圧",1,0)</f>
        <v>0</v>
      </c>
      <c r="X86" s="125" t="str">
        <f ca="1">IFERROR(IF(AND(G86="",L86&lt;&gt;""),MAX(OFFSET($X$8,0,0,ROW()-8,1)),OFFSET('4.1(2)新規再エネ導入予定（設備情報）'!$Z$1,MATCH($G86,'4.1(2)新規再エネ導入予定（設備情報）'!$G:$G,0)-1,0)),"")</f>
        <v>施設
カウント</v>
      </c>
      <c r="Y86" s="270">
        <f t="shared" si="44"/>
        <v>0</v>
      </c>
      <c r="Z86" s="261">
        <f t="shared" ca="1" si="37"/>
        <v>0</v>
      </c>
      <c r="AA86" s="270">
        <f t="shared" si="28"/>
        <v>0</v>
      </c>
      <c r="AB86" s="262">
        <f t="shared" ca="1" si="38"/>
        <v>1</v>
      </c>
      <c r="AC86" s="175">
        <f t="shared" si="32"/>
        <v>0</v>
      </c>
      <c r="AD86" s="175" t="str">
        <f t="shared" si="33"/>
        <v/>
      </c>
      <c r="AE86" s="175" t="str">
        <f t="shared" si="41"/>
        <v/>
      </c>
      <c r="AF86" s="175" t="str">
        <f t="shared" si="42"/>
        <v/>
      </c>
      <c r="AG86" s="175" t="str">
        <f t="shared" si="43"/>
        <v>E</v>
      </c>
      <c r="AH86" s="175" cm="1">
        <f t="array" ref="AH86">_xlfn.IFS(COUNTIF($N86:$P86,"合意済")=3,4,OR(COUNTIF($N86:$P86,"合意済")=2,COUNTIF($N86:$P86,"合意済")=1),3,COUNTIF($N86:$P86,"合意済")=0,2)</f>
        <v>2</v>
      </c>
      <c r="AI86" s="175" t="e">
        <f t="shared" ca="1" si="45"/>
        <v>#VALUE!</v>
      </c>
      <c r="AJ86" s="175" t="str">
        <f t="shared" ca="1" si="39"/>
        <v/>
      </c>
    </row>
    <row r="87" spans="2:36" ht="42" customHeight="1">
      <c r="D87" s="16"/>
      <c r="E87" s="271"/>
      <c r="F87" s="1361"/>
      <c r="G87" s="1374"/>
      <c r="H87" s="1374"/>
      <c r="I87" s="1372"/>
      <c r="J87" s="1374"/>
      <c r="K87" s="1374"/>
      <c r="L87" s="1290"/>
      <c r="M87" s="434" t="s">
        <v>196</v>
      </c>
      <c r="N87" s="434" t="s">
        <v>101</v>
      </c>
      <c r="O87" s="434" t="s">
        <v>195</v>
      </c>
      <c r="P87" s="365" t="s">
        <v>100</v>
      </c>
      <c r="Q87" s="1380"/>
      <c r="R87" s="19"/>
      <c r="T87" s="1380"/>
      <c r="V87" s="175">
        <f t="shared" si="40"/>
        <v>80</v>
      </c>
      <c r="W87" s="215">
        <f ca="1">IF(OFFSET('4.1(2)新規再エネ導入予定（設備情報）'!$O$1,MATCH(X87,'4.1(2)新規再エネ導入予定（設備情報）'!$Z:$Z,0)-1,0)="低圧",1,0)</f>
        <v>0</v>
      </c>
      <c r="X87" s="125" t="str">
        <f ca="1">IFERROR(IF(AND(G87="",L87&lt;&gt;""),MAX(OFFSET($X$8,0,0,ROW()-8,1)),OFFSET('4.1(2)新規再エネ導入予定（設備情報）'!$Z$1,MATCH($G87,'4.1(2)新規再エネ導入予定（設備情報）'!$G:$G,0)-1,0)),"")</f>
        <v/>
      </c>
      <c r="Y87" s="270">
        <f t="shared" si="44"/>
        <v>0</v>
      </c>
      <c r="Z87" s="261">
        <f t="shared" ca="1" si="37"/>
        <v>0</v>
      </c>
      <c r="AA87" s="270">
        <f t="shared" si="28"/>
        <v>0</v>
      </c>
      <c r="AB87" s="262">
        <f t="shared" ca="1" si="38"/>
        <v>1</v>
      </c>
      <c r="AC87" s="175">
        <f t="shared" si="32"/>
        <v>0</v>
      </c>
      <c r="AD87" s="175">
        <f t="shared" si="33"/>
        <v>0</v>
      </c>
      <c r="AE87" s="175">
        <f t="shared" si="41"/>
        <v>0</v>
      </c>
      <c r="AF87" s="175">
        <f t="shared" si="42"/>
        <v>0</v>
      </c>
      <c r="AG87" s="175">
        <f t="shared" ca="1" si="43"/>
        <v>0</v>
      </c>
      <c r="AH87" s="175" cm="1">
        <f t="array" ref="AH87">_xlfn.IFS(COUNTIF($N87:$P87,"合意済")=3,4,OR(COUNTIF($N87:$P87,"合意済")=2,COUNTIF($N87:$P87,"合意済")=1),3,COUNTIF($N87:$P87,"合意済")=0,2)</f>
        <v>2</v>
      </c>
      <c r="AI87" s="175">
        <f t="shared" ca="1" si="45"/>
        <v>0</v>
      </c>
      <c r="AJ87" s="175" t="str">
        <f t="shared" ca="1" si="39"/>
        <v/>
      </c>
    </row>
    <row r="88" spans="2:36" s="11" customFormat="1" hidden="1">
      <c r="B88" s="21"/>
      <c r="C88" s="21"/>
      <c r="D88" s="22"/>
      <c r="E88" s="128"/>
      <c r="F88" s="707"/>
      <c r="G88" s="479"/>
      <c r="H88" s="495"/>
      <c r="I88" s="496"/>
      <c r="J88" s="497"/>
      <c r="K88" s="498"/>
      <c r="L88" s="481"/>
      <c r="M88" s="484"/>
      <c r="N88" s="484"/>
      <c r="O88" s="484"/>
      <c r="P88" s="484"/>
      <c r="Q88" s="484"/>
      <c r="R88" s="24"/>
      <c r="S88" s="21"/>
      <c r="T88" s="484"/>
      <c r="V88" s="255">
        <f t="shared" si="40"/>
        <v>81</v>
      </c>
      <c r="W88" s="129">
        <f ca="1">IF(OFFSET('4.1(2)新規再エネ導入予定（設備情報）'!$O$1,MATCH(X88,'4.1(2)新規再エネ導入予定（設備情報）'!$Z:$Z,0)-1,0)="低圧",1,0)</f>
        <v>0</v>
      </c>
      <c r="X88" s="125" t="str">
        <f ca="1">IFERROR(IF(AND(G88="",L88&lt;&gt;""),MAX(OFFSET($X$8,0,0,ROW()-8,1)),OFFSET('4.1(2)新規再エネ導入予定（設備情報）'!$Z$1,MATCH($G88,'4.1(2)新規再エネ導入予定（設備情報）'!$G:$G,0)-1,0)),"")</f>
        <v/>
      </c>
      <c r="Y88" s="224">
        <f t="shared" si="44"/>
        <v>0</v>
      </c>
      <c r="Z88" s="224">
        <f t="shared" ca="1" si="37"/>
        <v>0</v>
      </c>
      <c r="AA88" s="224">
        <f t="shared" si="28"/>
        <v>0</v>
      </c>
      <c r="AB88" s="277">
        <f t="shared" ca="1" si="38"/>
        <v>1</v>
      </c>
      <c r="AC88" s="255" t="str">
        <f t="shared" si="32"/>
        <v/>
      </c>
      <c r="AD88" s="255" t="str">
        <f t="shared" si="33"/>
        <v/>
      </c>
      <c r="AE88" s="255" t="str">
        <f t="shared" si="41"/>
        <v/>
      </c>
      <c r="AF88" s="255" t="str">
        <f t="shared" si="42"/>
        <v/>
      </c>
      <c r="AG88" s="255" t="str">
        <f t="shared" si="43"/>
        <v>E</v>
      </c>
      <c r="AH88" s="255" cm="1">
        <f t="array" ref="AH88">_xlfn.IFS(COUNTIF($N88:$P88,"合意済")=3,4,OR(COUNTIF($N88:$P88,"合意済")=2,COUNTIF($N88:$P88,"合意済")=1),3,COUNTIF($N88:$P88,"合意済")=0,2)</f>
        <v>2</v>
      </c>
      <c r="AI88" s="255" t="e">
        <f t="shared" ca="1" si="45"/>
        <v>#VALUE!</v>
      </c>
      <c r="AJ88" s="255" t="str">
        <f t="shared" ca="1" si="39"/>
        <v/>
      </c>
    </row>
    <row r="89" spans="2:36" s="11" customFormat="1">
      <c r="B89" s="21"/>
      <c r="C89" s="21"/>
      <c r="D89" s="22"/>
      <c r="E89" s="128"/>
      <c r="F89" s="489" t="str">
        <f ca="1">IFERROR(OFFSET('4.1(2)新規再エネ導入予定（設備情報）'!$F$1,MATCH(G89,'4.1(2)新規再エネ導入予定（設備情報）'!$G:$G,0)-1,0),"")</f>
        <v/>
      </c>
      <c r="G89" s="480"/>
      <c r="H89" s="491" t="str">
        <f ca="1">IFERROR(OFFSET('4.1(2)新規再エネ導入予定（設備情報）'!$H$1,MATCH(G89,'4.1(2)新規再エネ導入予定（設備情報）'!$G:$G,0)-1,0)&amp;"","")</f>
        <v/>
      </c>
      <c r="I89" s="492" t="str">
        <f ca="1">IFERROR(OFFSET('4.1(2)新規再エネ導入予定（設備情報）'!$L$1,MATCH(G89,'4.1(2)新規再エネ導入予定（設備情報）'!$G:$G,0)-1,0),"")</f>
        <v/>
      </c>
      <c r="J89" s="493" t="str">
        <f ca="1">IFERROR(OFFSET('4.1(2)新規再エネ導入予定（設備情報）'!$O$1,MATCH(G89,'4.1(2)新規再エネ導入予定（設備情報）'!$G:$G,0)-1,0),"")</f>
        <v/>
      </c>
      <c r="K89" s="494" t="str">
        <f ca="1">IFERROR(OFFSET('4.1(2)新規再エネ導入予定（設備情報）'!$P$1,MATCH(G89,'4.1(2)新規再エネ導入予定（設備情報）'!$G:$G,0)-1,0),"")</f>
        <v/>
      </c>
      <c r="L89" s="483"/>
      <c r="M89" s="486"/>
      <c r="N89" s="486"/>
      <c r="O89" s="486"/>
      <c r="P89" s="486"/>
      <c r="Q89" s="486"/>
      <c r="R89" s="24"/>
      <c r="S89" s="21"/>
      <c r="T89" s="486"/>
      <c r="V89" s="255">
        <f t="shared" si="40"/>
        <v>82</v>
      </c>
      <c r="W89" s="129">
        <f ca="1">IF(OFFSET('4.1(2)新規再エネ導入予定（設備情報）'!$O$1,MATCH(X89,'4.1(2)新規再エネ導入予定（設備情報）'!$Z:$Z,0)-1,0)="低圧",1,0)</f>
        <v>0</v>
      </c>
      <c r="X89" s="125" t="str">
        <f ca="1">IFERROR(IF(AND(G89="",L89&lt;&gt;""),MAX(OFFSET($X$8,0,0,ROW()-8,1)),OFFSET('4.1(2)新規再エネ導入予定（設備情報）'!$Z$1,MATCH($G89,'4.1(2)新規再エネ導入予定（設備情報）'!$G:$G,0)-1,0)),"")</f>
        <v/>
      </c>
      <c r="Y89" s="223">
        <f t="shared" si="44"/>
        <v>0</v>
      </c>
      <c r="Z89" s="224">
        <f t="shared" ca="1" si="37"/>
        <v>0</v>
      </c>
      <c r="AA89" s="223">
        <f t="shared" si="28"/>
        <v>0</v>
      </c>
      <c r="AB89" s="277">
        <f t="shared" ca="1" si="38"/>
        <v>1</v>
      </c>
      <c r="AC89" s="255" t="str">
        <f t="shared" si="32"/>
        <v/>
      </c>
      <c r="AD89" s="255" t="str">
        <f>IF(N89="","",IF(OR(N89="説明済",N89="協議中",N89="合意済"),1,0))</f>
        <v/>
      </c>
      <c r="AE89" s="255" t="str">
        <f t="shared" si="41"/>
        <v/>
      </c>
      <c r="AF89" s="255" t="str">
        <f t="shared" si="42"/>
        <v/>
      </c>
      <c r="AG89" s="255" t="str">
        <f t="shared" si="43"/>
        <v>E</v>
      </c>
      <c r="AH89" s="255" cm="1">
        <f t="array" ref="AH89">_xlfn.IFS(COUNTIF($N89:$P89,"合意済")=3,4,OR(COUNTIF($N89:$P89,"合意済")=2,COUNTIF($N89:$P89,"合意済")=1),3,COUNTIF($N89:$P89,"合意済")=0,2)</f>
        <v>2</v>
      </c>
      <c r="AI89" s="255" t="e">
        <f t="shared" ca="1" si="45"/>
        <v>#VALUE!</v>
      </c>
      <c r="AJ89" s="255" t="str">
        <f t="shared" ca="1" si="39"/>
        <v/>
      </c>
    </row>
    <row r="90" spans="2:36" s="11" customFormat="1">
      <c r="B90" s="21"/>
      <c r="C90" s="21"/>
      <c r="D90" s="22"/>
      <c r="E90" s="128"/>
      <c r="F90" s="489" t="str">
        <f ca="1">IFERROR(OFFSET('4.1(2)新規再エネ導入予定（設備情報）'!$F$1,MATCH(G90,'4.1(2)新規再エネ導入予定（設備情報）'!$G:$G,0)-1,0),"")</f>
        <v/>
      </c>
      <c r="G90" s="480"/>
      <c r="H90" s="491" t="str">
        <f ca="1">IFERROR(OFFSET('4.1(2)新規再エネ導入予定（設備情報）'!$H$1,MATCH(G90,'4.1(2)新規再エネ導入予定（設備情報）'!$G:$G,0)-1,0)&amp;"","")</f>
        <v/>
      </c>
      <c r="I90" s="492" t="str">
        <f ca="1">IFERROR(OFFSET('4.1(2)新規再エネ導入予定（設備情報）'!$L$1,MATCH(G90,'4.1(2)新規再エネ導入予定（設備情報）'!$G:$G,0)-1,0),"")</f>
        <v/>
      </c>
      <c r="J90" s="493" t="str">
        <f ca="1">IFERROR(OFFSET('4.1(2)新規再エネ導入予定（設備情報）'!$O$1,MATCH(G90,'4.1(2)新規再エネ導入予定（設備情報）'!$G:$G,0)-1,0),"")</f>
        <v/>
      </c>
      <c r="K90" s="494" t="str">
        <f ca="1">IFERROR(OFFSET('4.1(2)新規再エネ導入予定（設備情報）'!$P$1,MATCH(G90,'4.1(2)新規再エネ導入予定（設備情報）'!$G:$G,0)-1,0),"")</f>
        <v/>
      </c>
      <c r="L90" s="483"/>
      <c r="M90" s="486"/>
      <c r="N90" s="486"/>
      <c r="O90" s="486"/>
      <c r="P90" s="486"/>
      <c r="Q90" s="486"/>
      <c r="R90" s="24"/>
      <c r="S90" s="21"/>
      <c r="T90" s="486"/>
      <c r="V90" s="255">
        <f t="shared" si="40"/>
        <v>83</v>
      </c>
      <c r="W90" s="129">
        <f ca="1">IF(OFFSET('4.1(2)新規再エネ導入予定（設備情報）'!$O$1,MATCH(X90,'4.1(2)新規再エネ導入予定（設備情報）'!$Z:$Z,0)-1,0)="低圧",1,0)</f>
        <v>0</v>
      </c>
      <c r="X90" s="125" t="str">
        <f ca="1">IFERROR(IF(AND(G90="",L90&lt;&gt;""),MAX(OFFSET($X$8,0,0,ROW()-8,1)),OFFSET('4.1(2)新規再エネ導入予定（設備情報）'!$Z$1,MATCH($G90,'4.1(2)新規再エネ導入予定（設備情報）'!$G:$G,0)-1,0)),"")</f>
        <v/>
      </c>
      <c r="Y90" s="223">
        <f t="shared" si="44"/>
        <v>0</v>
      </c>
      <c r="Z90" s="224">
        <f t="shared" ca="1" si="37"/>
        <v>0</v>
      </c>
      <c r="AA90" s="223">
        <f t="shared" si="28"/>
        <v>0</v>
      </c>
      <c r="AB90" s="277">
        <f t="shared" ca="1" si="38"/>
        <v>1</v>
      </c>
      <c r="AC90" s="255" t="str">
        <f t="shared" si="32"/>
        <v/>
      </c>
      <c r="AD90" s="255" t="str">
        <f>IF(N90="","",IF(OR(N90="説明済",N90="協議中",N90="合意済"),1,0))</f>
        <v/>
      </c>
      <c r="AE90" s="255" t="str">
        <f t="shared" si="41"/>
        <v/>
      </c>
      <c r="AF90" s="255" t="str">
        <f t="shared" si="42"/>
        <v/>
      </c>
      <c r="AG90" s="255" t="str">
        <f t="shared" si="43"/>
        <v>E</v>
      </c>
      <c r="AH90" s="255" cm="1">
        <f t="array" ref="AH90">_xlfn.IFS(COUNTIF($N90:$P90,"合意済")=3,4,OR(COUNTIF($N90:$P90,"合意済")=2,COUNTIF($N90:$P90,"合意済")=1),3,COUNTIF($N90:$P90,"合意済")=0,2)</f>
        <v>2</v>
      </c>
      <c r="AI90" s="255" t="e">
        <f t="shared" ca="1" si="45"/>
        <v>#VALUE!</v>
      </c>
      <c r="AJ90" s="255" t="str">
        <f t="shared" ca="1" si="39"/>
        <v/>
      </c>
    </row>
    <row r="91" spans="2:36" s="11" customFormat="1">
      <c r="B91" s="21"/>
      <c r="C91" s="21"/>
      <c r="D91" s="22"/>
      <c r="E91" s="128"/>
      <c r="F91" s="489" t="str">
        <f ca="1">IFERROR(OFFSET('4.1(2)新規再エネ導入予定（設備情報）'!$F$1,MATCH(G91,'4.1(2)新規再エネ導入予定（設備情報）'!$G:$G,0)-1,0),"")</f>
        <v/>
      </c>
      <c r="G91" s="480"/>
      <c r="H91" s="491" t="str">
        <f ca="1">IFERROR(OFFSET('4.1(2)新規再エネ導入予定（設備情報）'!$H$1,MATCH(G91,'4.1(2)新規再エネ導入予定（設備情報）'!$G:$G,0)-1,0)&amp;"","")</f>
        <v/>
      </c>
      <c r="I91" s="492" t="str">
        <f ca="1">IFERROR(OFFSET('4.1(2)新規再エネ導入予定（設備情報）'!$L$1,MATCH(G91,'4.1(2)新規再エネ導入予定（設備情報）'!$G:$G,0)-1,0),"")</f>
        <v/>
      </c>
      <c r="J91" s="493" t="str">
        <f ca="1">IFERROR(OFFSET('4.1(2)新規再エネ導入予定（設備情報）'!$O$1,MATCH(G91,'4.1(2)新規再エネ導入予定（設備情報）'!$G:$G,0)-1,0),"")</f>
        <v/>
      </c>
      <c r="K91" s="494" t="str">
        <f ca="1">IFERROR(OFFSET('4.1(2)新規再エネ導入予定（設備情報）'!$P$1,MATCH(G91,'4.1(2)新規再エネ導入予定（設備情報）'!$G:$G,0)-1,0),"")</f>
        <v/>
      </c>
      <c r="L91" s="483"/>
      <c r="M91" s="486"/>
      <c r="N91" s="486"/>
      <c r="O91" s="486"/>
      <c r="P91" s="486"/>
      <c r="Q91" s="486"/>
      <c r="R91" s="24"/>
      <c r="S91" s="21"/>
      <c r="T91" s="486"/>
      <c r="V91" s="255">
        <f t="shared" si="40"/>
        <v>84</v>
      </c>
      <c r="W91" s="129">
        <f ca="1">IF(OFFSET('4.1(2)新規再エネ導入予定（設備情報）'!$O$1,MATCH(X91,'4.1(2)新規再エネ導入予定（設備情報）'!$Z:$Z,0)-1,0)="低圧",1,0)</f>
        <v>0</v>
      </c>
      <c r="X91" s="125" t="str">
        <f ca="1">IFERROR(IF(AND(G91="",L91&lt;&gt;""),MAX(OFFSET($X$8,0,0,ROW()-8,1)),OFFSET('4.1(2)新規再エネ導入予定（設備情報）'!$Z$1,MATCH($G91,'4.1(2)新規再エネ導入予定（設備情報）'!$G:$G,0)-1,0)),"")</f>
        <v/>
      </c>
      <c r="Y91" s="223">
        <f t="shared" si="44"/>
        <v>0</v>
      </c>
      <c r="Z91" s="224">
        <f t="shared" ca="1" si="37"/>
        <v>0</v>
      </c>
      <c r="AA91" s="223">
        <f t="shared" si="28"/>
        <v>0</v>
      </c>
      <c r="AB91" s="277">
        <f t="shared" ca="1" si="38"/>
        <v>1</v>
      </c>
      <c r="AC91" s="255" t="str">
        <f t="shared" si="32"/>
        <v/>
      </c>
      <c r="AD91" s="255" t="str">
        <f t="shared" si="33"/>
        <v/>
      </c>
      <c r="AE91" s="255" t="str">
        <f t="shared" si="41"/>
        <v/>
      </c>
      <c r="AF91" s="255" t="str">
        <f t="shared" si="42"/>
        <v/>
      </c>
      <c r="AG91" s="255" t="str">
        <f t="shared" si="43"/>
        <v>E</v>
      </c>
      <c r="AH91" s="255" cm="1">
        <f t="array" ref="AH91">_xlfn.IFS(COUNTIF($N91:$P91,"合意済")=3,4,OR(COUNTIF($N91:$P91,"合意済")=2,COUNTIF($N91:$P91,"合意済")=1),3,COUNTIF($N91:$P91,"合意済")=0,2)</f>
        <v>2</v>
      </c>
      <c r="AI91" s="255" t="e">
        <f t="shared" ca="1" si="45"/>
        <v>#VALUE!</v>
      </c>
      <c r="AJ91" s="255" t="str">
        <f t="shared" ca="1" si="39"/>
        <v/>
      </c>
    </row>
    <row r="92" spans="2:36" s="11" customFormat="1">
      <c r="B92" s="21"/>
      <c r="C92" s="21"/>
      <c r="D92" s="22"/>
      <c r="E92" s="128"/>
      <c r="F92" s="489" t="str">
        <f ca="1">IFERROR(OFFSET('4.1(2)新規再エネ導入予定（設備情報）'!$F$1,MATCH(G92,'4.1(2)新規再エネ導入予定（設備情報）'!$G:$G,0)-1,0),"")</f>
        <v/>
      </c>
      <c r="G92" s="480"/>
      <c r="H92" s="491" t="str">
        <f ca="1">IFERROR(OFFSET('4.1(2)新規再エネ導入予定（設備情報）'!$H$1,MATCH(G92,'4.1(2)新規再エネ導入予定（設備情報）'!$G:$G,0)-1,0)&amp;"","")</f>
        <v/>
      </c>
      <c r="I92" s="492" t="str">
        <f ca="1">IFERROR(OFFSET('4.1(2)新規再エネ導入予定（設備情報）'!$L$1,MATCH(G92,'4.1(2)新規再エネ導入予定（設備情報）'!$G:$G,0)-1,0),"")</f>
        <v/>
      </c>
      <c r="J92" s="493" t="str">
        <f ca="1">IFERROR(OFFSET('4.1(2)新規再エネ導入予定（設備情報）'!$O$1,MATCH(G92,'4.1(2)新規再エネ導入予定（設備情報）'!$G:$G,0)-1,0),"")</f>
        <v/>
      </c>
      <c r="K92" s="494" t="str">
        <f ca="1">IFERROR(OFFSET('4.1(2)新規再エネ導入予定（設備情報）'!$P$1,MATCH(G92,'4.1(2)新規再エネ導入予定（設備情報）'!$G:$G,0)-1,0),"")</f>
        <v/>
      </c>
      <c r="L92" s="483"/>
      <c r="M92" s="486"/>
      <c r="N92" s="486"/>
      <c r="O92" s="486"/>
      <c r="P92" s="486"/>
      <c r="Q92" s="486"/>
      <c r="R92" s="24"/>
      <c r="S92" s="21"/>
      <c r="T92" s="486"/>
      <c r="V92" s="255">
        <f t="shared" si="40"/>
        <v>85</v>
      </c>
      <c r="W92" s="129">
        <f ca="1">IF(OFFSET('4.1(2)新規再エネ導入予定（設備情報）'!$O$1,MATCH(X92,'4.1(2)新規再エネ導入予定（設備情報）'!$Z:$Z,0)-1,0)="低圧",1,0)</f>
        <v>0</v>
      </c>
      <c r="X92" s="125" t="str">
        <f ca="1">IFERROR(IF(AND(G92="",L92&lt;&gt;""),MAX(OFFSET($X$8,0,0,ROW()-8,1)),OFFSET('4.1(2)新規再エネ導入予定（設備情報）'!$Z$1,MATCH($G92,'4.1(2)新規再エネ導入予定（設備情報）'!$G:$G,0)-1,0)),"")</f>
        <v/>
      </c>
      <c r="Y92" s="223">
        <f t="shared" si="44"/>
        <v>0</v>
      </c>
      <c r="Z92" s="224">
        <f t="shared" ca="1" si="37"/>
        <v>0</v>
      </c>
      <c r="AA92" s="223">
        <f t="shared" si="28"/>
        <v>0</v>
      </c>
      <c r="AB92" s="277">
        <f t="shared" ca="1" si="38"/>
        <v>1</v>
      </c>
      <c r="AC92" s="255" t="str">
        <f t="shared" si="32"/>
        <v/>
      </c>
      <c r="AD92" s="255" t="str">
        <f t="shared" si="33"/>
        <v/>
      </c>
      <c r="AE92" s="255" t="str">
        <f t="shared" si="41"/>
        <v/>
      </c>
      <c r="AF92" s="255" t="str">
        <f t="shared" si="42"/>
        <v/>
      </c>
      <c r="AG92" s="255" t="str">
        <f t="shared" si="43"/>
        <v>E</v>
      </c>
      <c r="AH92" s="255" cm="1">
        <f t="array" ref="AH92">_xlfn.IFS(COUNTIF($N92:$P92,"合意済")=3,4,OR(COUNTIF($N92:$P92,"合意済")=2,COUNTIF($N92:$P92,"合意済")=1),3,COUNTIF($N92:$P92,"合意済")=0,2)</f>
        <v>2</v>
      </c>
      <c r="AI92" s="255" t="e">
        <f t="shared" ca="1" si="45"/>
        <v>#VALUE!</v>
      </c>
      <c r="AJ92" s="255" t="str">
        <f t="shared" ca="1" si="39"/>
        <v/>
      </c>
    </row>
    <row r="93" spans="2:36">
      <c r="D93" s="16"/>
      <c r="E93" s="272"/>
      <c r="F93" s="189" t="s">
        <v>26</v>
      </c>
      <c r="G93" s="240"/>
      <c r="H93" s="240"/>
      <c r="I93" s="273"/>
      <c r="J93" s="274"/>
      <c r="K93" s="499">
        <f ca="1">SUM(INDIRECT("K"&amp;ROW(K86)&amp;":K"&amp;ROW()-1))</f>
        <v>0</v>
      </c>
      <c r="L93" s="274"/>
      <c r="M93" s="242"/>
      <c r="N93" s="242"/>
      <c r="O93" s="242"/>
      <c r="P93" s="242"/>
      <c r="Q93" s="242"/>
      <c r="R93" s="19"/>
      <c r="T93" s="242"/>
      <c r="V93" s="175">
        <f t="shared" si="40"/>
        <v>86</v>
      </c>
      <c r="W93" s="215">
        <f ca="1">IF(OFFSET('4.1(2)新規再エネ導入予定（設備情報）'!$O$1,MATCH(X93,'4.1(2)新規再エネ導入予定（設備情報）'!$Z:$Z,0)-1,0)="低圧",1,0)</f>
        <v>0</v>
      </c>
      <c r="X93" s="125" t="str">
        <f ca="1">IFERROR(IF(AND(G93="",L93&lt;&gt;""),MAX(OFFSET($X$8,0,0,ROW()-8,1)),OFFSET('4.1(2)新規再エネ導入予定（設備情報）'!$Z$1,MATCH($G93,'4.1(2)新規再エネ導入予定（設備情報）'!$G:$G,0)-1,0)),"")</f>
        <v/>
      </c>
      <c r="Y93" s="222">
        <f t="shared" si="44"/>
        <v>0</v>
      </c>
      <c r="Z93" s="261">
        <f t="shared" ca="1" si="37"/>
        <v>0</v>
      </c>
      <c r="AA93" s="222">
        <f t="shared" si="28"/>
        <v>0</v>
      </c>
      <c r="AB93" s="262">
        <f t="shared" ca="1" si="38"/>
        <v>1</v>
      </c>
      <c r="AC93" s="175" t="str">
        <f t="shared" si="32"/>
        <v/>
      </c>
      <c r="AD93" s="175" t="str">
        <f t="shared" si="33"/>
        <v/>
      </c>
      <c r="AE93" s="175" t="str">
        <f t="shared" si="41"/>
        <v/>
      </c>
      <c r="AF93" s="175" t="str">
        <f t="shared" si="42"/>
        <v/>
      </c>
      <c r="AG93" s="175" t="str">
        <f t="shared" si="43"/>
        <v>E</v>
      </c>
      <c r="AH93" s="175" cm="1">
        <f t="array" ref="AH93">_xlfn.IFS(COUNTIF($N93:$P93,"合意済")=3,4,OR(COUNTIF($N93:$P93,"合意済")=2,COUNTIF($N93:$P93,"合意済")=1),3,COUNTIF($N93:$P93,"合意済")=0,2)</f>
        <v>2</v>
      </c>
      <c r="AI93" s="175" t="e">
        <f t="shared" ca="1" si="45"/>
        <v>#VALUE!</v>
      </c>
      <c r="AJ93" s="175" t="str">
        <f t="shared" ca="1" si="39"/>
        <v/>
      </c>
    </row>
    <row r="94" spans="2:36">
      <c r="D94" s="46"/>
      <c r="E94" s="26"/>
      <c r="F94" s="26"/>
      <c r="G94" s="4"/>
      <c r="H94" s="4"/>
      <c r="I94" s="122"/>
      <c r="J94" s="4"/>
      <c r="K94" s="4"/>
      <c r="L94" s="4"/>
      <c r="M94" s="123"/>
      <c r="N94" s="123"/>
      <c r="O94" s="123"/>
      <c r="P94" s="123"/>
      <c r="Q94" s="123"/>
      <c r="R94" s="27"/>
      <c r="S94"/>
      <c r="T94" s="247"/>
      <c r="U94" s="247"/>
      <c r="V94" s="175">
        <f t="shared" si="40"/>
        <v>87</v>
      </c>
      <c r="W94" s="215">
        <f ca="1">IF(OFFSET('4.1(2)新規再エネ導入予定（設備情報）'!$O$1,MATCH(X94,'4.1(2)新規再エネ導入予定（設備情報）'!$Z:$Z,0)-1,0)="低圧",1,0)</f>
        <v>0</v>
      </c>
      <c r="X94" s="125" t="str">
        <f ca="1">IFERROR(IF(AND(G94="",L94&lt;&gt;""),MAX(OFFSET($X$8,0,0,ROW()-8,1)),OFFSET('4.1(2)新規再エネ導入予定（設備情報）'!$Z$1,MATCH($G94,'4.1(2)新規再エネ導入予定（設備情報）'!$G:$G,0)-1,0)),"")</f>
        <v/>
      </c>
      <c r="Y94" s="222">
        <f t="shared" si="44"/>
        <v>0</v>
      </c>
      <c r="Z94" s="261">
        <f t="shared" ca="1" si="37"/>
        <v>0</v>
      </c>
      <c r="AA94" s="222">
        <f t="shared" si="28"/>
        <v>0</v>
      </c>
      <c r="AB94" s="262">
        <f t="shared" ca="1" si="38"/>
        <v>1</v>
      </c>
      <c r="AC94" s="175" t="str">
        <f t="shared" si="32"/>
        <v/>
      </c>
      <c r="AD94" s="175" t="str">
        <f t="shared" si="33"/>
        <v/>
      </c>
      <c r="AE94" s="175" t="str">
        <f t="shared" si="41"/>
        <v/>
      </c>
      <c r="AF94" s="175" t="str">
        <f t="shared" si="42"/>
        <v/>
      </c>
      <c r="AG94" s="175" t="str">
        <f t="shared" si="43"/>
        <v>E</v>
      </c>
      <c r="AH94" s="175" cm="1">
        <f t="array" ref="AH94">_xlfn.IFS(COUNTIF($N94:$P94,"合意済")=3,4,OR(COUNTIF($N94:$P94,"合意済")=2,COUNTIF($N94:$P94,"合意済")=1),3,COUNTIF($N94:$P94,"合意済")=0,2)</f>
        <v>2</v>
      </c>
      <c r="AI94" s="175" t="e">
        <f t="shared" ca="1" si="45"/>
        <v>#VALUE!</v>
      </c>
      <c r="AJ94" s="175" t="str">
        <f t="shared" ca="1" si="39"/>
        <v/>
      </c>
    </row>
    <row r="95" spans="2:36">
      <c r="F95" s="31"/>
      <c r="G95" s="31"/>
      <c r="H95" s="31"/>
      <c r="I95" s="268"/>
      <c r="J95" s="31"/>
      <c r="K95" s="31"/>
      <c r="L95" s="31"/>
      <c r="M95" s="247"/>
      <c r="N95" s="247"/>
      <c r="O95" s="247"/>
      <c r="P95" s="247"/>
      <c r="Q95" s="247"/>
      <c r="T95" s="247"/>
      <c r="U95" s="247"/>
      <c r="V95" s="175">
        <f t="shared" si="40"/>
        <v>88</v>
      </c>
      <c r="W95" s="215">
        <f ca="1">IF(OFFSET('4.1(2)新規再エネ導入予定（設備情報）'!$O$1,MATCH(X95,'4.1(2)新規再エネ導入予定（設備情報）'!$Z:$Z,0)-1,0)="低圧",1,0)</f>
        <v>0</v>
      </c>
      <c r="X95" s="125" t="str">
        <f ca="1">IFERROR(IF(AND(G95="",L95&lt;&gt;""),MAX(OFFSET($X$8,0,0,ROW()-8,1)),OFFSET('4.1(2)新規再エネ導入予定（設備情報）'!$Z$1,MATCH($G95,'4.1(2)新規再エネ導入予定（設備情報）'!$G:$G,0)-1,0)),"")</f>
        <v/>
      </c>
      <c r="Y95" s="222">
        <f t="shared" si="44"/>
        <v>0</v>
      </c>
      <c r="Z95" s="261">
        <f t="shared" ca="1" si="37"/>
        <v>0</v>
      </c>
      <c r="AA95" s="222">
        <f t="shared" si="28"/>
        <v>0</v>
      </c>
      <c r="AB95" s="262">
        <f t="shared" ca="1" si="38"/>
        <v>1</v>
      </c>
      <c r="AC95" s="175" t="str">
        <f t="shared" si="32"/>
        <v/>
      </c>
      <c r="AD95" s="175" t="str">
        <f t="shared" si="33"/>
        <v/>
      </c>
      <c r="AE95" s="175" t="str">
        <f t="shared" si="41"/>
        <v/>
      </c>
      <c r="AF95" s="175" t="str">
        <f t="shared" si="42"/>
        <v/>
      </c>
      <c r="AG95" s="175" t="str">
        <f t="shared" si="43"/>
        <v>E</v>
      </c>
      <c r="AH95" s="175" cm="1">
        <f t="array" ref="AH95">_xlfn.IFS(COUNTIF($N95:$P95,"合意済")=3,4,OR(COUNTIF($N95:$P95,"合意済")=2,COUNTIF($N95:$P95,"合意済")=1),3,COUNTIF($N95:$P95,"合意済")=0,2)</f>
        <v>2</v>
      </c>
      <c r="AI95" s="175" t="e">
        <f t="shared" ca="1" si="45"/>
        <v>#VALUE!</v>
      </c>
      <c r="AJ95" s="175" t="str">
        <f t="shared" ca="1" si="39"/>
        <v/>
      </c>
    </row>
    <row r="96" spans="2:36">
      <c r="F96" s="31"/>
      <c r="G96" s="31"/>
      <c r="H96" s="31"/>
      <c r="I96" s="268"/>
      <c r="J96" s="31"/>
      <c r="K96" s="31"/>
      <c r="L96" s="31"/>
      <c r="M96" s="247"/>
      <c r="N96" s="247"/>
      <c r="O96" s="247"/>
      <c r="P96" s="247"/>
      <c r="Q96" s="247"/>
      <c r="T96" s="247"/>
      <c r="U96" s="247"/>
      <c r="V96" s="175">
        <f t="shared" si="40"/>
        <v>89</v>
      </c>
      <c r="W96" s="215">
        <f ca="1">IF(OFFSET('4.1(2)新規再エネ導入予定（設備情報）'!$O$1,MATCH(X96,'4.1(2)新規再エネ導入予定（設備情報）'!$Z:$Z,0)-1,0)="低圧",1,0)</f>
        <v>0</v>
      </c>
      <c r="X96" s="125" t="str">
        <f ca="1">IFERROR(IF(AND(G96="",L96&lt;&gt;""),MAX(OFFSET($X$8,0,0,ROW()-8,1)),OFFSET('4.1(2)新規再エネ導入予定（設備情報）'!$Z$1,MATCH($G96,'4.1(2)新規再エネ導入予定（設備情報）'!$G:$G,0)-1,0)),"")</f>
        <v/>
      </c>
      <c r="Y96" s="222">
        <f t="shared" si="44"/>
        <v>0</v>
      </c>
      <c r="Z96" s="261">
        <f t="shared" ca="1" si="37"/>
        <v>0</v>
      </c>
      <c r="AA96" s="222">
        <f t="shared" si="28"/>
        <v>0</v>
      </c>
      <c r="AB96" s="262">
        <f t="shared" ca="1" si="38"/>
        <v>1</v>
      </c>
      <c r="AC96" s="175" t="str">
        <f t="shared" si="32"/>
        <v/>
      </c>
      <c r="AD96" s="175" t="str">
        <f t="shared" si="33"/>
        <v/>
      </c>
      <c r="AE96" s="175" t="str">
        <f t="shared" si="41"/>
        <v/>
      </c>
      <c r="AF96" s="175" t="str">
        <f t="shared" si="42"/>
        <v/>
      </c>
      <c r="AG96" s="175" t="str">
        <f t="shared" si="43"/>
        <v>E</v>
      </c>
      <c r="AH96" s="175" cm="1">
        <f t="array" ref="AH96">_xlfn.IFS(COUNTIF($N96:$P96,"合意済")=3,4,OR(COUNTIF($N96:$P96,"合意済")=2,COUNTIF($N96:$P96,"合意済")=1),3,COUNTIF($N96:$P96,"合意済")=0,2)</f>
        <v>2</v>
      </c>
      <c r="AI96" s="175" t="e">
        <f t="shared" ca="1" si="45"/>
        <v>#VALUE!</v>
      </c>
      <c r="AJ96" s="175" t="str">
        <f t="shared" ca="1" si="39"/>
        <v/>
      </c>
    </row>
    <row r="97" spans="2:36" ht="9.75" customHeight="1">
      <c r="D97" s="14"/>
      <c r="E97" s="15"/>
      <c r="F97" s="15"/>
      <c r="G97" s="248"/>
      <c r="H97" s="15"/>
      <c r="I97" s="235"/>
      <c r="J97" s="15"/>
      <c r="K97" s="15"/>
      <c r="L97" s="15"/>
      <c r="M97" s="236"/>
      <c r="N97" s="236"/>
      <c r="O97" s="236"/>
      <c r="P97" s="236"/>
      <c r="Q97" s="236"/>
      <c r="R97" s="30"/>
      <c r="T97" s="229"/>
      <c r="U97" s="229"/>
      <c r="V97" s="175">
        <f t="shared" si="40"/>
        <v>90</v>
      </c>
      <c r="W97" s="215">
        <f ca="1">IF(OFFSET('4.1(2)新規再エネ導入予定（設備情報）'!$O$1,MATCH(X97,'4.1(2)新規再エネ導入予定（設備情報）'!$Z:$Z,0)-1,0)="低圧",1,0)</f>
        <v>0</v>
      </c>
      <c r="X97" s="125" t="str">
        <f ca="1">IFERROR(IF(AND(G97="",L97&lt;&gt;""),MAX(OFFSET($X$8,0,0,ROW()-8,1)),OFFSET('4.1(2)新規再エネ導入予定（設備情報）'!$Z$1,MATCH($G97,'4.1(2)新規再エネ導入予定（設備情報）'!$G:$G,0)-1,0)),"")</f>
        <v/>
      </c>
      <c r="Y97" s="222">
        <f t="shared" si="44"/>
        <v>0</v>
      </c>
      <c r="Z97" s="261">
        <f t="shared" ca="1" si="37"/>
        <v>0</v>
      </c>
      <c r="AA97" s="222">
        <f t="shared" si="28"/>
        <v>0</v>
      </c>
      <c r="AB97" s="262">
        <f t="shared" ca="1" si="38"/>
        <v>1</v>
      </c>
      <c r="AC97" s="175" t="str">
        <f t="shared" si="32"/>
        <v/>
      </c>
      <c r="AD97" s="175" t="str">
        <f t="shared" si="33"/>
        <v/>
      </c>
      <c r="AE97" s="175" t="str">
        <f t="shared" si="41"/>
        <v/>
      </c>
      <c r="AF97" s="175" t="str">
        <f t="shared" si="42"/>
        <v/>
      </c>
      <c r="AG97" s="175" t="str">
        <f t="shared" si="43"/>
        <v>E</v>
      </c>
      <c r="AH97" s="175" cm="1">
        <f t="array" ref="AH97">_xlfn.IFS(COUNTIF($N97:$P97,"合意済")=3,4,OR(COUNTIF($N97:$P97,"合意済")=2,COUNTIF($N97:$P97,"合意済")=1),3,COUNTIF($N97:$P97,"合意済")=0,2)</f>
        <v>2</v>
      </c>
      <c r="AI97" s="175" t="e">
        <f t="shared" ca="1" si="45"/>
        <v>#VALUE!</v>
      </c>
      <c r="AJ97" s="175" t="str">
        <f t="shared" ca="1" si="39"/>
        <v/>
      </c>
    </row>
    <row r="98" spans="2:36" ht="21">
      <c r="D98" s="237" t="s">
        <v>198</v>
      </c>
      <c r="F98" s="237"/>
      <c r="G98" s="269"/>
      <c r="I98" s="228"/>
      <c r="R98" s="19"/>
      <c r="T98" s="229"/>
      <c r="V98" s="175">
        <f t="shared" si="40"/>
        <v>91</v>
      </c>
      <c r="W98" s="215">
        <f ca="1">IF(OFFSET('4.1(2)新規再エネ導入予定（設備情報）'!$O$1,MATCH(X98,'4.1(2)新規再エネ導入予定（設備情報）'!$Z:$Z,0)-1,0)="低圧",1,0)</f>
        <v>0</v>
      </c>
      <c r="X98" s="125" t="str">
        <f ca="1">IFERROR(IF(AND(G98="",L98&lt;&gt;""),MAX(OFFSET($X$8,0,0,ROW()-8,1)),OFFSET('4.1(2)新規再エネ導入予定（設備情報）'!$Z$1,MATCH($G98,'4.1(2)新規再エネ導入予定（設備情報）'!$G:$G,0)-1,0)),"")</f>
        <v/>
      </c>
      <c r="Y98" s="222">
        <f t="shared" si="44"/>
        <v>0</v>
      </c>
      <c r="Z98" s="261">
        <f t="shared" ca="1" si="37"/>
        <v>0</v>
      </c>
      <c r="AA98" s="222">
        <f t="shared" si="28"/>
        <v>0</v>
      </c>
      <c r="AB98" s="262">
        <f t="shared" ca="1" si="38"/>
        <v>1</v>
      </c>
      <c r="AC98" s="175" t="str">
        <f t="shared" si="32"/>
        <v/>
      </c>
      <c r="AD98" s="175" t="str">
        <f t="shared" si="33"/>
        <v/>
      </c>
      <c r="AE98" s="175" t="str">
        <f t="shared" si="41"/>
        <v/>
      </c>
      <c r="AF98" s="175" t="str">
        <f t="shared" si="42"/>
        <v/>
      </c>
      <c r="AG98" s="175" t="str">
        <f t="shared" si="43"/>
        <v>E</v>
      </c>
      <c r="AH98" s="175" cm="1">
        <f t="array" ref="AH98">_xlfn.IFS(COUNTIF($N98:$P98,"合意済")=3,4,OR(COUNTIF($N98:$P98,"合意済")=2,COUNTIF($N98:$P98,"合意済")=1),3,COUNTIF($N98:$P98,"合意済")=0,2)</f>
        <v>2</v>
      </c>
      <c r="AI98" s="175" t="e">
        <f t="shared" ca="1" si="45"/>
        <v>#VALUE!</v>
      </c>
      <c r="AJ98" s="175" t="str">
        <f t="shared" ca="1" si="39"/>
        <v/>
      </c>
    </row>
    <row r="99" spans="2:36" ht="21" customHeight="1">
      <c r="D99" s="237"/>
      <c r="F99" s="1361" t="s">
        <v>8</v>
      </c>
      <c r="G99" s="1373" t="s">
        <v>185</v>
      </c>
      <c r="H99" s="1373" t="s">
        <v>180</v>
      </c>
      <c r="I99" s="1371" t="s">
        <v>31</v>
      </c>
      <c r="J99" s="1373" t="s">
        <v>186</v>
      </c>
      <c r="K99" s="1373" t="s">
        <v>81</v>
      </c>
      <c r="L99" s="1289" t="s">
        <v>183</v>
      </c>
      <c r="M99" s="1300" t="s">
        <v>184</v>
      </c>
      <c r="N99" s="1300"/>
      <c r="O99" s="1300"/>
      <c r="P99" s="1300"/>
      <c r="Q99" s="1379" t="s">
        <v>303</v>
      </c>
      <c r="R99" s="19"/>
      <c r="T99" s="1379" t="s">
        <v>311</v>
      </c>
      <c r="V99" s="175">
        <f t="shared" si="40"/>
        <v>92</v>
      </c>
      <c r="W99" s="215">
        <f ca="1">IF(OFFSET('4.1(2)新規再エネ導入予定（設備情報）'!$O$1,MATCH(X99,'4.1(2)新規再エネ導入予定（設備情報）'!$Z:$Z,0)-1,0)="低圧",1,0)</f>
        <v>0</v>
      </c>
      <c r="X99" s="125" t="str">
        <f ca="1">IFERROR(IF(AND(G99="",L99&lt;&gt;""),MAX(OFFSET($X$8,0,0,ROW()-8,1)),OFFSET('4.1(2)新規再エネ導入予定（設備情報）'!$Z$1,MATCH($G99,'4.1(2)新規再エネ導入予定（設備情報）'!$G:$G,0)-1,0)),"")</f>
        <v>施設
カウント</v>
      </c>
      <c r="Y99" s="270">
        <f t="shared" si="44"/>
        <v>0</v>
      </c>
      <c r="Z99" s="261">
        <f t="shared" ca="1" si="37"/>
        <v>0</v>
      </c>
      <c r="AA99" s="270">
        <f t="shared" si="28"/>
        <v>0</v>
      </c>
      <c r="AB99" s="262">
        <f t="shared" ca="1" si="38"/>
        <v>1</v>
      </c>
      <c r="AC99" s="175">
        <f t="shared" si="32"/>
        <v>0</v>
      </c>
      <c r="AD99" s="175" t="str">
        <f t="shared" si="33"/>
        <v/>
      </c>
      <c r="AE99" s="175" t="str">
        <f t="shared" si="41"/>
        <v/>
      </c>
      <c r="AF99" s="175" t="str">
        <f t="shared" si="42"/>
        <v/>
      </c>
      <c r="AG99" s="175" t="str">
        <f t="shared" si="43"/>
        <v>E</v>
      </c>
      <c r="AH99" s="175" cm="1">
        <f t="array" ref="AH99">_xlfn.IFS(COUNTIF($N99:$P99,"合意済")=3,4,OR(COUNTIF($N99:$P99,"合意済")=2,COUNTIF($N99:$P99,"合意済")=1),3,COUNTIF($N99:$P99,"合意済")=0,2)</f>
        <v>2</v>
      </c>
      <c r="AI99" s="175" t="e">
        <f t="shared" ca="1" si="45"/>
        <v>#VALUE!</v>
      </c>
      <c r="AJ99" s="175" t="str">
        <f t="shared" ca="1" si="39"/>
        <v/>
      </c>
    </row>
    <row r="100" spans="2:36" ht="42" customHeight="1">
      <c r="D100" s="16"/>
      <c r="E100" s="271"/>
      <c r="F100" s="1361"/>
      <c r="G100" s="1374"/>
      <c r="H100" s="1374"/>
      <c r="I100" s="1372"/>
      <c r="J100" s="1374"/>
      <c r="K100" s="1374"/>
      <c r="L100" s="1290"/>
      <c r="M100" s="434" t="s">
        <v>196</v>
      </c>
      <c r="N100" s="434" t="s">
        <v>101</v>
      </c>
      <c r="O100" s="434" t="s">
        <v>195</v>
      </c>
      <c r="P100" s="365" t="s">
        <v>100</v>
      </c>
      <c r="Q100" s="1380"/>
      <c r="R100" s="19"/>
      <c r="T100" s="1380"/>
      <c r="V100" s="175">
        <f t="shared" si="40"/>
        <v>93</v>
      </c>
      <c r="W100" s="215">
        <f ca="1">IF(OFFSET('4.1(2)新規再エネ導入予定（設備情報）'!$O$1,MATCH(X100,'4.1(2)新規再エネ導入予定（設備情報）'!$Z:$Z,0)-1,0)="低圧",1,0)</f>
        <v>0</v>
      </c>
      <c r="X100" s="125" t="str">
        <f ca="1">IFERROR(IF(AND(G100="",L100&lt;&gt;""),MAX(OFFSET($X$8,0,0,ROW()-8,1)),OFFSET('4.1(2)新規再エネ導入予定（設備情報）'!$Z$1,MATCH($G100,'4.1(2)新規再エネ導入予定（設備情報）'!$G:$G,0)-1,0)),"")</f>
        <v/>
      </c>
      <c r="Y100" s="270">
        <f t="shared" si="44"/>
        <v>0</v>
      </c>
      <c r="Z100" s="261">
        <f t="shared" ca="1" si="37"/>
        <v>0</v>
      </c>
      <c r="AA100" s="270">
        <f t="shared" si="28"/>
        <v>0</v>
      </c>
      <c r="AB100" s="262">
        <f t="shared" ca="1" si="38"/>
        <v>1</v>
      </c>
      <c r="AC100" s="175">
        <f t="shared" si="32"/>
        <v>0</v>
      </c>
      <c r="AD100" s="175">
        <f t="shared" si="33"/>
        <v>0</v>
      </c>
      <c r="AE100" s="175">
        <f t="shared" si="41"/>
        <v>0</v>
      </c>
      <c r="AF100" s="175">
        <f t="shared" si="42"/>
        <v>0</v>
      </c>
      <c r="AG100" s="175">
        <f t="shared" ca="1" si="43"/>
        <v>0</v>
      </c>
      <c r="AH100" s="175" cm="1">
        <f t="array" ref="AH100">_xlfn.IFS(COUNTIF($N100:$P100,"合意済")=3,4,OR(COUNTIF($N100:$P100,"合意済")=2,COUNTIF($N100:$P100,"合意済")=1),3,COUNTIF($N100:$P100,"合意済")=0,2)</f>
        <v>2</v>
      </c>
      <c r="AI100" s="175">
        <f t="shared" ca="1" si="45"/>
        <v>0</v>
      </c>
      <c r="AJ100" s="175" t="str">
        <f t="shared" ca="1" si="39"/>
        <v/>
      </c>
    </row>
    <row r="101" spans="2:36" s="11" customFormat="1" hidden="1">
      <c r="B101" s="21"/>
      <c r="C101" s="21"/>
      <c r="D101" s="22"/>
      <c r="E101" s="128"/>
      <c r="F101" s="707"/>
      <c r="G101" s="479"/>
      <c r="H101" s="495"/>
      <c r="I101" s="496"/>
      <c r="J101" s="497"/>
      <c r="K101" s="498"/>
      <c r="L101" s="481"/>
      <c r="M101" s="484"/>
      <c r="N101" s="484"/>
      <c r="O101" s="484"/>
      <c r="P101" s="484"/>
      <c r="Q101" s="484"/>
      <c r="R101" s="24"/>
      <c r="S101" s="21"/>
      <c r="T101" s="484"/>
      <c r="V101" s="255">
        <f t="shared" si="40"/>
        <v>94</v>
      </c>
      <c r="W101" s="129">
        <f ca="1">IF(OFFSET('4.1(2)新規再エネ導入予定（設備情報）'!$O$1,MATCH(X101,'4.1(2)新規再エネ導入予定（設備情報）'!$Z:$Z,0)-1,0)="低圧",1,0)</f>
        <v>0</v>
      </c>
      <c r="X101" s="125" t="str">
        <f ca="1">IFERROR(IF(AND(G101="",L101&lt;&gt;""),MAX(OFFSET($X$8,0,0,ROW()-8,1)),OFFSET('4.1(2)新規再エネ導入予定（設備情報）'!$Z$1,MATCH($G101,'4.1(2)新規再エネ導入予定（設備情報）'!$G:$G,0)-1,0)),"")</f>
        <v/>
      </c>
      <c r="Y101" s="224">
        <f t="shared" si="44"/>
        <v>0</v>
      </c>
      <c r="Z101" s="224">
        <f t="shared" ca="1" si="37"/>
        <v>0</v>
      </c>
      <c r="AA101" s="224">
        <f t="shared" si="28"/>
        <v>0</v>
      </c>
      <c r="AB101" s="277">
        <f t="shared" ca="1" si="38"/>
        <v>1</v>
      </c>
      <c r="AC101" s="255" t="str">
        <f t="shared" si="32"/>
        <v/>
      </c>
      <c r="AD101" s="255" t="str">
        <f t="shared" si="33"/>
        <v/>
      </c>
      <c r="AE101" s="255" t="str">
        <f t="shared" si="41"/>
        <v/>
      </c>
      <c r="AF101" s="255" t="str">
        <f t="shared" si="42"/>
        <v/>
      </c>
      <c r="AG101" s="255" t="str">
        <f t="shared" si="43"/>
        <v>E</v>
      </c>
      <c r="AH101" s="255" cm="1">
        <f t="array" ref="AH101">_xlfn.IFS(COUNTIF($N101:$P101,"合意済")=3,4,OR(COUNTIF($N101:$P101,"合意済")=2,COUNTIF($N101:$P101,"合意済")=1),3,COUNTIF($N101:$P101,"合意済")=0,2)</f>
        <v>2</v>
      </c>
      <c r="AI101" s="255" t="e">
        <f t="shared" ca="1" si="45"/>
        <v>#VALUE!</v>
      </c>
      <c r="AJ101" s="255" t="str">
        <f t="shared" ca="1" si="39"/>
        <v/>
      </c>
    </row>
    <row r="102" spans="2:36" s="11" customFormat="1">
      <c r="B102" s="21"/>
      <c r="C102" s="21"/>
      <c r="D102" s="22"/>
      <c r="E102" s="128"/>
      <c r="F102" s="489" t="str">
        <f ca="1">IFERROR(OFFSET('4.1(2)新規再エネ導入予定（設備情報）'!$F$1,MATCH(G102,'4.1(2)新規再エネ導入予定（設備情報）'!$G:$G,0)-1,0),"")</f>
        <v/>
      </c>
      <c r="G102" s="480"/>
      <c r="H102" s="491" t="str">
        <f ca="1">IFERROR(OFFSET('4.1(2)新規再エネ導入予定（設備情報）'!$H$1,MATCH(G102,'4.1(2)新規再エネ導入予定（設備情報）'!$G:$G,0)-1,0)&amp;"","")</f>
        <v/>
      </c>
      <c r="I102" s="492" t="str">
        <f ca="1">IFERROR(OFFSET('4.1(2)新規再エネ導入予定（設備情報）'!$L$1,MATCH(G102,'4.1(2)新規再エネ導入予定（設備情報）'!$G:$G,0)-1,0),"")</f>
        <v/>
      </c>
      <c r="J102" s="493" t="str">
        <f ca="1">IFERROR(OFFSET('4.1(2)新規再エネ導入予定（設備情報）'!$O$1,MATCH(G102,'4.1(2)新規再エネ導入予定（設備情報）'!$G:$G,0)-1,0),"")</f>
        <v/>
      </c>
      <c r="K102" s="494" t="str">
        <f ca="1">IFERROR(OFFSET('4.1(2)新規再エネ導入予定（設備情報）'!$P$1,MATCH(G102,'4.1(2)新規再エネ導入予定（設備情報）'!$G:$G,0)-1,0),"")</f>
        <v/>
      </c>
      <c r="L102" s="483"/>
      <c r="M102" s="486"/>
      <c r="N102" s="486"/>
      <c r="O102" s="486"/>
      <c r="P102" s="486"/>
      <c r="Q102" s="486"/>
      <c r="R102" s="24"/>
      <c r="S102" s="21"/>
      <c r="T102" s="486"/>
      <c r="V102" s="255">
        <f t="shared" si="40"/>
        <v>95</v>
      </c>
      <c r="W102" s="129">
        <f ca="1">IF(OFFSET('4.1(2)新規再エネ導入予定（設備情報）'!$O$1,MATCH(X102,'4.1(2)新規再エネ導入予定（設備情報）'!$Z:$Z,0)-1,0)="低圧",1,0)</f>
        <v>0</v>
      </c>
      <c r="X102" s="125" t="str">
        <f ca="1">IFERROR(IF(AND(G102="",L102&lt;&gt;""),MAX(OFFSET($X$8,0,0,ROW()-8,1)),OFFSET('4.1(2)新規再エネ導入予定（設備情報）'!$Z$1,MATCH($G102,'4.1(2)新規再エネ導入予定（設備情報）'!$G:$G,0)-1,0)),"")</f>
        <v/>
      </c>
      <c r="Y102" s="223">
        <f t="shared" si="44"/>
        <v>0</v>
      </c>
      <c r="Z102" s="224">
        <f t="shared" ca="1" si="37"/>
        <v>0</v>
      </c>
      <c r="AA102" s="223">
        <f t="shared" si="28"/>
        <v>0</v>
      </c>
      <c r="AB102" s="277">
        <f t="shared" ca="1" si="38"/>
        <v>1</v>
      </c>
      <c r="AC102" s="255" t="str">
        <f t="shared" si="32"/>
        <v/>
      </c>
      <c r="AD102" s="255" t="str">
        <f t="shared" si="33"/>
        <v/>
      </c>
      <c r="AE102" s="255" t="str">
        <f t="shared" si="41"/>
        <v/>
      </c>
      <c r="AF102" s="255" t="str">
        <f t="shared" si="42"/>
        <v/>
      </c>
      <c r="AG102" s="255" t="str">
        <f t="shared" si="43"/>
        <v>E</v>
      </c>
      <c r="AH102" s="255" cm="1">
        <f t="array" ref="AH102">_xlfn.IFS(COUNTIF($N102:$P102,"合意済")=3,4,OR(COUNTIF($N102:$P102,"合意済")=2,COUNTIF($N102:$P102,"合意済")=1),3,COUNTIF($N102:$P102,"合意済")=0,2)</f>
        <v>2</v>
      </c>
      <c r="AI102" s="255" t="e">
        <f t="shared" ca="1" si="45"/>
        <v>#VALUE!</v>
      </c>
      <c r="AJ102" s="255" t="str">
        <f t="shared" ca="1" si="39"/>
        <v/>
      </c>
    </row>
    <row r="103" spans="2:36" s="11" customFormat="1">
      <c r="B103" s="21"/>
      <c r="C103" s="21"/>
      <c r="D103" s="22"/>
      <c r="E103" s="128"/>
      <c r="F103" s="489" t="str">
        <f ca="1">IFERROR(OFFSET('4.1(2)新規再エネ導入予定（設備情報）'!$F$1,MATCH(G103,'4.1(2)新規再エネ導入予定（設備情報）'!$G:$G,0)-1,0),"")</f>
        <v/>
      </c>
      <c r="G103" s="480"/>
      <c r="H103" s="491" t="str">
        <f ca="1">IFERROR(OFFSET('4.1(2)新規再エネ導入予定（設備情報）'!$H$1,MATCH(G103,'4.1(2)新規再エネ導入予定（設備情報）'!$G:$G,0)-1,0)&amp;"","")</f>
        <v/>
      </c>
      <c r="I103" s="492" t="str">
        <f ca="1">IFERROR(OFFSET('4.1(2)新規再エネ導入予定（設備情報）'!$L$1,MATCH(G103,'4.1(2)新規再エネ導入予定（設備情報）'!$G:$G,0)-1,0),"")</f>
        <v/>
      </c>
      <c r="J103" s="493" t="str">
        <f ca="1">IFERROR(OFFSET('4.1(2)新規再エネ導入予定（設備情報）'!$O$1,MATCH(G103,'4.1(2)新規再エネ導入予定（設備情報）'!$G:$G,0)-1,0),"")</f>
        <v/>
      </c>
      <c r="K103" s="494" t="str">
        <f ca="1">IFERROR(OFFSET('4.1(2)新規再エネ導入予定（設備情報）'!$P$1,MATCH(G103,'4.1(2)新規再エネ導入予定（設備情報）'!$G:$G,0)-1,0),"")</f>
        <v/>
      </c>
      <c r="L103" s="483"/>
      <c r="M103" s="486"/>
      <c r="N103" s="486"/>
      <c r="O103" s="486"/>
      <c r="P103" s="486"/>
      <c r="Q103" s="486"/>
      <c r="R103" s="24"/>
      <c r="S103" s="21"/>
      <c r="T103" s="486"/>
      <c r="V103" s="255">
        <f t="shared" si="40"/>
        <v>96</v>
      </c>
      <c r="W103" s="129">
        <f ca="1">IF(OFFSET('4.1(2)新規再エネ導入予定（設備情報）'!$O$1,MATCH(X103,'4.1(2)新規再エネ導入予定（設備情報）'!$Z:$Z,0)-1,0)="低圧",1,0)</f>
        <v>0</v>
      </c>
      <c r="X103" s="125" t="str">
        <f ca="1">IFERROR(IF(AND(G103="",L103&lt;&gt;""),MAX(OFFSET($X$8,0,0,ROW()-8,1)),OFFSET('4.1(2)新規再エネ導入予定（設備情報）'!$Z$1,MATCH($G103,'4.1(2)新規再エネ導入予定（設備情報）'!$G:$G,0)-1,0)),"")</f>
        <v/>
      </c>
      <c r="Y103" s="223">
        <f t="shared" si="44"/>
        <v>0</v>
      </c>
      <c r="Z103" s="224">
        <f t="shared" ca="1" si="37"/>
        <v>0</v>
      </c>
      <c r="AA103" s="223">
        <f t="shared" si="28"/>
        <v>0</v>
      </c>
      <c r="AB103" s="277">
        <f t="shared" ca="1" si="38"/>
        <v>1</v>
      </c>
      <c r="AC103" s="255" t="str">
        <f t="shared" si="32"/>
        <v/>
      </c>
      <c r="AD103" s="255" t="str">
        <f t="shared" si="33"/>
        <v/>
      </c>
      <c r="AE103" s="255" t="str">
        <f t="shared" si="41"/>
        <v/>
      </c>
      <c r="AF103" s="255" t="str">
        <f t="shared" si="42"/>
        <v/>
      </c>
      <c r="AG103" s="255" t="str">
        <f t="shared" si="43"/>
        <v>E</v>
      </c>
      <c r="AH103" s="255" cm="1">
        <f t="array" ref="AH103">_xlfn.IFS(COUNTIF($N103:$P103,"合意済")=3,4,OR(COUNTIF($N103:$P103,"合意済")=2,COUNTIF($N103:$P103,"合意済")=1),3,COUNTIF($N103:$P103,"合意済")=0,2)</f>
        <v>2</v>
      </c>
      <c r="AI103" s="255" t="e">
        <f t="shared" ca="1" si="45"/>
        <v>#VALUE!</v>
      </c>
      <c r="AJ103" s="255" t="str">
        <f t="shared" ca="1" si="39"/>
        <v/>
      </c>
    </row>
    <row r="104" spans="2:36" s="11" customFormat="1">
      <c r="B104" s="21"/>
      <c r="C104" s="21"/>
      <c r="D104" s="22"/>
      <c r="E104" s="128"/>
      <c r="F104" s="489" t="str">
        <f ca="1">IFERROR(OFFSET('4.1(2)新規再エネ導入予定（設備情報）'!$F$1,MATCH(G104,'4.1(2)新規再エネ導入予定（設備情報）'!$G:$G,0)-1,0),"")</f>
        <v/>
      </c>
      <c r="G104" s="480"/>
      <c r="H104" s="491" t="str">
        <f ca="1">IFERROR(OFFSET('4.1(2)新規再エネ導入予定（設備情報）'!$H$1,MATCH(G104,'4.1(2)新規再エネ導入予定（設備情報）'!$G:$G,0)-1,0)&amp;"","")</f>
        <v/>
      </c>
      <c r="I104" s="492" t="str">
        <f ca="1">IFERROR(OFFSET('4.1(2)新規再エネ導入予定（設備情報）'!$L$1,MATCH(G104,'4.1(2)新規再エネ導入予定（設備情報）'!$G:$G,0)-1,0),"")</f>
        <v/>
      </c>
      <c r="J104" s="493" t="str">
        <f ca="1">IFERROR(OFFSET('4.1(2)新規再エネ導入予定（設備情報）'!$O$1,MATCH(G104,'4.1(2)新規再エネ導入予定（設備情報）'!$G:$G,0)-1,0),"")</f>
        <v/>
      </c>
      <c r="K104" s="494" t="str">
        <f ca="1">IFERROR(OFFSET('4.1(2)新規再エネ導入予定（設備情報）'!$P$1,MATCH(G104,'4.1(2)新規再エネ導入予定（設備情報）'!$G:$G,0)-1,0),"")</f>
        <v/>
      </c>
      <c r="L104" s="483"/>
      <c r="M104" s="486"/>
      <c r="N104" s="486"/>
      <c r="O104" s="486"/>
      <c r="P104" s="486"/>
      <c r="Q104" s="486"/>
      <c r="R104" s="24"/>
      <c r="S104" s="21"/>
      <c r="T104" s="486"/>
      <c r="V104" s="255">
        <f t="shared" si="40"/>
        <v>97</v>
      </c>
      <c r="W104" s="129">
        <f ca="1">IF(OFFSET('4.1(2)新規再エネ導入予定（設備情報）'!$O$1,MATCH(X104,'4.1(2)新規再エネ導入予定（設備情報）'!$Z:$Z,0)-1,0)="低圧",1,0)</f>
        <v>0</v>
      </c>
      <c r="X104" s="125" t="str">
        <f ca="1">IFERROR(IF(AND(G104="",L104&lt;&gt;""),MAX(OFFSET($X$8,0,0,ROW()-8,1)),OFFSET('4.1(2)新規再エネ導入予定（設備情報）'!$Z$1,MATCH($G104,'4.1(2)新規再エネ導入予定（設備情報）'!$G:$G,0)-1,0)),"")</f>
        <v/>
      </c>
      <c r="Y104" s="223">
        <f t="shared" si="44"/>
        <v>0</v>
      </c>
      <c r="Z104" s="224">
        <f t="shared" ref="Z104:Z135" ca="1" si="46">SUMIF($X$8:$X$171,X104,$Y$8:$Y$171)</f>
        <v>0</v>
      </c>
      <c r="AA104" s="223">
        <f t="shared" si="28"/>
        <v>0</v>
      </c>
      <c r="AB104" s="277">
        <f t="shared" ref="AB104:AB135" ca="1" si="47">IF(COUNTIFS($X$8:$X$171,X104,$Y$8:$Y$171,1)=0,1,COUNTIFS($X$8:$X$171,X104,$Y$8:$Y$171,1,$AA$8:$AA$171,1))</f>
        <v>1</v>
      </c>
      <c r="AC104" s="255" t="str">
        <f t="shared" si="32"/>
        <v/>
      </c>
      <c r="AD104" s="255" t="str">
        <f t="shared" si="33"/>
        <v/>
      </c>
      <c r="AE104" s="255" t="str">
        <f t="shared" si="41"/>
        <v/>
      </c>
      <c r="AF104" s="255" t="str">
        <f t="shared" si="42"/>
        <v/>
      </c>
      <c r="AG104" s="255" t="str">
        <f t="shared" si="43"/>
        <v>E</v>
      </c>
      <c r="AH104" s="255" cm="1">
        <f t="array" ref="AH104">_xlfn.IFS(COUNTIF($N104:$P104,"合意済")=3,4,OR(COUNTIF($N104:$P104,"合意済")=2,COUNTIF($N104:$P104,"合意済")=1),3,COUNTIF($N104:$P104,"合意済")=0,2)</f>
        <v>2</v>
      </c>
      <c r="AI104" s="255" t="e">
        <f t="shared" ca="1" si="45"/>
        <v>#VALUE!</v>
      </c>
      <c r="AJ104" s="255" t="str">
        <f t="shared" ref="AJ104:AJ135" ca="1" si="48">IFERROR(_xlfn.MINIFS($AI$8:$AI$171,$X$8:$X$171,X104),"")</f>
        <v/>
      </c>
    </row>
    <row r="105" spans="2:36" s="11" customFormat="1">
      <c r="B105" s="21"/>
      <c r="C105" s="21"/>
      <c r="D105" s="22"/>
      <c r="E105" s="128"/>
      <c r="F105" s="489" t="str">
        <f ca="1">IFERROR(OFFSET('4.1(2)新規再エネ導入予定（設備情報）'!$F$1,MATCH(G105,'4.1(2)新規再エネ導入予定（設備情報）'!$G:$G,0)-1,0),"")</f>
        <v/>
      </c>
      <c r="G105" s="480"/>
      <c r="H105" s="491" t="str">
        <f ca="1">IFERROR(OFFSET('4.1(2)新規再エネ導入予定（設備情報）'!$H$1,MATCH(G105,'4.1(2)新規再エネ導入予定（設備情報）'!$G:$G,0)-1,0)&amp;"","")</f>
        <v/>
      </c>
      <c r="I105" s="492" t="str">
        <f ca="1">IFERROR(OFFSET('4.1(2)新規再エネ導入予定（設備情報）'!$L$1,MATCH(G105,'4.1(2)新規再エネ導入予定（設備情報）'!$G:$G,0)-1,0),"")</f>
        <v/>
      </c>
      <c r="J105" s="493" t="str">
        <f ca="1">IFERROR(OFFSET('4.1(2)新規再エネ導入予定（設備情報）'!$O$1,MATCH(G105,'4.1(2)新規再エネ導入予定（設備情報）'!$G:$G,0)-1,0),"")</f>
        <v/>
      </c>
      <c r="K105" s="494" t="str">
        <f ca="1">IFERROR(OFFSET('4.1(2)新規再エネ導入予定（設備情報）'!$P$1,MATCH(G105,'4.1(2)新規再エネ導入予定（設備情報）'!$G:$G,0)-1,0),"")</f>
        <v/>
      </c>
      <c r="L105" s="483"/>
      <c r="M105" s="486"/>
      <c r="N105" s="486"/>
      <c r="O105" s="486"/>
      <c r="P105" s="486"/>
      <c r="Q105" s="486"/>
      <c r="R105" s="24"/>
      <c r="S105" s="21"/>
      <c r="T105" s="486"/>
      <c r="V105" s="255">
        <f t="shared" si="40"/>
        <v>98</v>
      </c>
      <c r="W105" s="129">
        <f ca="1">IF(OFFSET('4.1(2)新規再エネ導入予定（設備情報）'!$O$1,MATCH(X105,'4.1(2)新規再エネ導入予定（設備情報）'!$Z:$Z,0)-1,0)="低圧",1,0)</f>
        <v>0</v>
      </c>
      <c r="X105" s="125" t="str">
        <f ca="1">IFERROR(IF(AND(G105="",L105&lt;&gt;""),MAX(OFFSET($X$8,0,0,ROW()-8,1)),OFFSET('4.1(2)新規再エネ導入予定（設備情報）'!$Z$1,MATCH($G105,'4.1(2)新規再エネ導入予定（設備情報）'!$G:$G,0)-1,0)),"")</f>
        <v/>
      </c>
      <c r="Y105" s="223">
        <f t="shared" si="44"/>
        <v>0</v>
      </c>
      <c r="Z105" s="224">
        <f t="shared" ca="1" si="46"/>
        <v>0</v>
      </c>
      <c r="AA105" s="223">
        <f t="shared" si="28"/>
        <v>0</v>
      </c>
      <c r="AB105" s="277">
        <f t="shared" ca="1" si="47"/>
        <v>1</v>
      </c>
      <c r="AC105" s="255" t="str">
        <f t="shared" si="32"/>
        <v/>
      </c>
      <c r="AD105" s="255" t="str">
        <f t="shared" si="33"/>
        <v/>
      </c>
      <c r="AE105" s="255" t="str">
        <f t="shared" ref="AE105:AE136" si="49">IF(O105="","",IF(OR(O105="説明済",O105="協議中",O105="合意済"),1,0))</f>
        <v/>
      </c>
      <c r="AF105" s="255" t="str">
        <f t="shared" ref="AF105:AF136" si="50">IF(P105="","",IF(OR(P105="説明済",P105="協議中",P105="合意済"),1,0))</f>
        <v/>
      </c>
      <c r="AG105" s="255" t="str">
        <f t="shared" si="43"/>
        <v>E</v>
      </c>
      <c r="AH105" s="255" cm="1">
        <f t="array" ref="AH105">_xlfn.IFS(COUNTIF($N105:$P105,"合意済")=3,4,OR(COUNTIF($N105:$P105,"合意済")=2,COUNTIF($N105:$P105,"合意済")=1),3,COUNTIF($N105:$P105,"合意済")=0,2)</f>
        <v>2</v>
      </c>
      <c r="AI105" s="255" t="e">
        <f t="shared" ca="1" si="45"/>
        <v>#VALUE!</v>
      </c>
      <c r="AJ105" s="255" t="str">
        <f t="shared" ca="1" si="48"/>
        <v/>
      </c>
    </row>
    <row r="106" spans="2:36">
      <c r="D106" s="16"/>
      <c r="E106" s="272"/>
      <c r="F106" s="189" t="s">
        <v>26</v>
      </c>
      <c r="G106" s="240"/>
      <c r="H106" s="240"/>
      <c r="I106" s="273"/>
      <c r="J106" s="274"/>
      <c r="K106" s="499">
        <f ca="1">SUM(INDIRECT("K"&amp;ROW(K99)&amp;":K"&amp;ROW()-1))</f>
        <v>0</v>
      </c>
      <c r="L106" s="274"/>
      <c r="M106" s="242"/>
      <c r="N106" s="242"/>
      <c r="O106" s="242"/>
      <c r="P106" s="242"/>
      <c r="Q106" s="242"/>
      <c r="R106" s="19"/>
      <c r="T106" s="242"/>
      <c r="V106" s="175">
        <f t="shared" si="40"/>
        <v>99</v>
      </c>
      <c r="W106" s="215">
        <f ca="1">IF(OFFSET('4.1(2)新規再エネ導入予定（設備情報）'!$O$1,MATCH(X106,'4.1(2)新規再エネ導入予定（設備情報）'!$Z:$Z,0)-1,0)="低圧",1,0)</f>
        <v>0</v>
      </c>
      <c r="X106" s="125" t="str">
        <f ca="1">IFERROR(IF(AND(G106="",L106&lt;&gt;""),MAX(OFFSET($X$8,0,0,ROW()-8,1)),OFFSET('4.1(2)新規再エネ導入予定（設備情報）'!$Z$1,MATCH($G106,'4.1(2)新規再エネ導入予定（設備情報）'!$G:$G,0)-1,0)),"")</f>
        <v/>
      </c>
      <c r="Y106" s="222">
        <f t="shared" si="44"/>
        <v>0</v>
      </c>
      <c r="Z106" s="261">
        <f t="shared" ca="1" si="46"/>
        <v>0</v>
      </c>
      <c r="AA106" s="222">
        <f t="shared" si="28"/>
        <v>0</v>
      </c>
      <c r="AB106" s="262">
        <f t="shared" ca="1" si="47"/>
        <v>1</v>
      </c>
      <c r="AC106" s="175" t="str">
        <f t="shared" si="32"/>
        <v/>
      </c>
      <c r="AD106" s="175" t="str">
        <f t="shared" si="33"/>
        <v/>
      </c>
      <c r="AE106" s="175" t="str">
        <f t="shared" si="49"/>
        <v/>
      </c>
      <c r="AF106" s="175" t="str">
        <f t="shared" si="50"/>
        <v/>
      </c>
      <c r="AG106" s="175" t="str">
        <f t="shared" si="43"/>
        <v>E</v>
      </c>
      <c r="AH106" s="175" cm="1">
        <f t="array" ref="AH106">_xlfn.IFS(COUNTIF($N106:$P106,"合意済")=3,4,OR(COUNTIF($N106:$P106,"合意済")=2,COUNTIF($N106:$P106,"合意済")=1),3,COUNTIF($N106:$P106,"合意済")=0,2)</f>
        <v>2</v>
      </c>
      <c r="AI106" s="175" t="e">
        <f t="shared" ca="1" si="45"/>
        <v>#VALUE!</v>
      </c>
      <c r="AJ106" s="175" t="str">
        <f t="shared" ca="1" si="48"/>
        <v/>
      </c>
    </row>
    <row r="107" spans="2:36">
      <c r="D107" s="46"/>
      <c r="E107" s="26"/>
      <c r="F107" s="26"/>
      <c r="G107" s="4"/>
      <c r="H107" s="4"/>
      <c r="I107" s="122"/>
      <c r="J107" s="4"/>
      <c r="K107" s="4"/>
      <c r="L107" s="4"/>
      <c r="M107" s="123"/>
      <c r="N107" s="123"/>
      <c r="O107" s="123"/>
      <c r="P107" s="123"/>
      <c r="Q107" s="123"/>
      <c r="R107" s="27"/>
      <c r="S107"/>
      <c r="T107" s="247"/>
      <c r="U107" s="247"/>
      <c r="V107" s="175">
        <f t="shared" si="40"/>
        <v>100</v>
      </c>
      <c r="W107" s="215">
        <f ca="1">IF(OFFSET('4.1(2)新規再エネ導入予定（設備情報）'!$O$1,MATCH(X107,'4.1(2)新規再エネ導入予定（設備情報）'!$Z:$Z,0)-1,0)="低圧",1,0)</f>
        <v>0</v>
      </c>
      <c r="X107" s="125" t="str">
        <f ca="1">IFERROR(IF(AND(G107="",L107&lt;&gt;""),MAX(OFFSET($X$8,0,0,ROW()-8,1)),OFFSET('4.1(2)新規再エネ導入予定（設備情報）'!$Z$1,MATCH($G107,'4.1(2)新規再エネ導入予定（設備情報）'!$G:$G,0)-1,0)),"")</f>
        <v/>
      </c>
      <c r="Y107" s="222">
        <f t="shared" si="44"/>
        <v>0</v>
      </c>
      <c r="Z107" s="261">
        <f t="shared" ca="1" si="46"/>
        <v>0</v>
      </c>
      <c r="AA107" s="222">
        <f t="shared" si="28"/>
        <v>0</v>
      </c>
      <c r="AB107" s="262">
        <f t="shared" ca="1" si="47"/>
        <v>1</v>
      </c>
      <c r="AC107" s="175" t="str">
        <f t="shared" si="32"/>
        <v/>
      </c>
      <c r="AD107" s="175" t="str">
        <f t="shared" si="33"/>
        <v/>
      </c>
      <c r="AE107" s="175" t="str">
        <f t="shared" si="49"/>
        <v/>
      </c>
      <c r="AF107" s="175" t="str">
        <f t="shared" si="50"/>
        <v/>
      </c>
      <c r="AG107" s="175" t="str">
        <f t="shared" si="43"/>
        <v>E</v>
      </c>
      <c r="AH107" s="175" cm="1">
        <f t="array" ref="AH107">_xlfn.IFS(COUNTIF($N107:$P107,"合意済")=3,4,OR(COUNTIF($N107:$P107,"合意済")=2,COUNTIF($N107:$P107,"合意済")=1),3,COUNTIF($N107:$P107,"合意済")=0,2)</f>
        <v>2</v>
      </c>
      <c r="AI107" s="175" t="e">
        <f t="shared" ca="1" si="45"/>
        <v>#VALUE!</v>
      </c>
      <c r="AJ107" s="175" t="str">
        <f t="shared" ca="1" si="48"/>
        <v/>
      </c>
    </row>
    <row r="108" spans="2:36">
      <c r="F108" s="31"/>
      <c r="G108" s="31"/>
      <c r="H108" s="31"/>
      <c r="I108" s="268"/>
      <c r="J108" s="31"/>
      <c r="K108" s="31"/>
      <c r="L108" s="31"/>
      <c r="M108" s="247"/>
      <c r="N108" s="247"/>
      <c r="O108" s="247"/>
      <c r="P108" s="247"/>
      <c r="Q108" s="247"/>
      <c r="T108" s="247"/>
      <c r="U108" s="247"/>
      <c r="V108" s="175">
        <f t="shared" si="40"/>
        <v>101</v>
      </c>
      <c r="W108" s="215">
        <f ca="1">IF(OFFSET('4.1(2)新規再エネ導入予定（設備情報）'!$O$1,MATCH(X108,'4.1(2)新規再エネ導入予定（設備情報）'!$Z:$Z,0)-1,0)="低圧",1,0)</f>
        <v>0</v>
      </c>
      <c r="X108" s="125" t="str">
        <f ca="1">IFERROR(IF(AND(G108="",L108&lt;&gt;""),MAX(OFFSET($X$8,0,0,ROW()-8,1)),OFFSET('4.1(2)新規再エネ導入予定（設備情報）'!$Z$1,MATCH($G108,'4.1(2)新規再エネ導入予定（設備情報）'!$G:$G,0)-1,0)),"")</f>
        <v/>
      </c>
      <c r="Y108" s="222">
        <f t="shared" si="44"/>
        <v>0</v>
      </c>
      <c r="Z108" s="261">
        <f t="shared" ca="1" si="46"/>
        <v>0</v>
      </c>
      <c r="AA108" s="222">
        <f t="shared" si="28"/>
        <v>0</v>
      </c>
      <c r="AB108" s="262">
        <f t="shared" ca="1" si="47"/>
        <v>1</v>
      </c>
      <c r="AC108" s="175" t="str">
        <f t="shared" si="32"/>
        <v/>
      </c>
      <c r="AD108" s="175" t="str">
        <f t="shared" si="33"/>
        <v/>
      </c>
      <c r="AE108" s="175" t="str">
        <f t="shared" si="49"/>
        <v/>
      </c>
      <c r="AF108" s="175" t="str">
        <f t="shared" si="50"/>
        <v/>
      </c>
      <c r="AG108" s="175" t="str">
        <f t="shared" si="43"/>
        <v>E</v>
      </c>
      <c r="AH108" s="175" cm="1">
        <f t="array" ref="AH108">_xlfn.IFS(COUNTIF($N108:$P108,"合意済")=3,4,OR(COUNTIF($N108:$P108,"合意済")=2,COUNTIF($N108:$P108,"合意済")=1),3,COUNTIF($N108:$P108,"合意済")=0,2)</f>
        <v>2</v>
      </c>
      <c r="AI108" s="175" t="e">
        <f t="shared" ca="1" si="45"/>
        <v>#VALUE!</v>
      </c>
      <c r="AJ108" s="175" t="str">
        <f t="shared" ca="1" si="48"/>
        <v/>
      </c>
    </row>
    <row r="109" spans="2:36">
      <c r="F109" s="31"/>
      <c r="G109" s="31"/>
      <c r="H109" s="31"/>
      <c r="I109" s="268"/>
      <c r="J109" s="31"/>
      <c r="K109" s="31"/>
      <c r="L109" s="31"/>
      <c r="M109" s="247"/>
      <c r="N109" s="247"/>
      <c r="O109" s="247"/>
      <c r="P109" s="247"/>
      <c r="Q109" s="247"/>
      <c r="T109" s="247"/>
      <c r="U109" s="247"/>
      <c r="V109" s="175">
        <f t="shared" si="40"/>
        <v>102</v>
      </c>
      <c r="W109" s="215">
        <f ca="1">IF(OFFSET('4.1(2)新規再エネ導入予定（設備情報）'!$O$1,MATCH(X109,'4.1(2)新規再エネ導入予定（設備情報）'!$Z:$Z,0)-1,0)="低圧",1,0)</f>
        <v>0</v>
      </c>
      <c r="X109" s="125" t="str">
        <f ca="1">IFERROR(IF(AND(G109="",L109&lt;&gt;""),MAX(OFFSET($X$8,0,0,ROW()-8,1)),OFFSET('4.1(2)新規再エネ導入予定（設備情報）'!$Z$1,MATCH($G109,'4.1(2)新規再エネ導入予定（設備情報）'!$G:$G,0)-1,0)),"")</f>
        <v/>
      </c>
      <c r="Y109" s="222">
        <f t="shared" si="44"/>
        <v>0</v>
      </c>
      <c r="Z109" s="261">
        <f t="shared" ca="1" si="46"/>
        <v>0</v>
      </c>
      <c r="AA109" s="222">
        <f t="shared" si="28"/>
        <v>0</v>
      </c>
      <c r="AB109" s="262">
        <f t="shared" ca="1" si="47"/>
        <v>1</v>
      </c>
      <c r="AC109" s="175" t="str">
        <f t="shared" si="32"/>
        <v/>
      </c>
      <c r="AD109" s="175" t="str">
        <f t="shared" si="33"/>
        <v/>
      </c>
      <c r="AE109" s="175" t="str">
        <f t="shared" si="49"/>
        <v/>
      </c>
      <c r="AF109" s="175" t="str">
        <f t="shared" si="50"/>
        <v/>
      </c>
      <c r="AG109" s="175" t="str">
        <f t="shared" si="43"/>
        <v>E</v>
      </c>
      <c r="AH109" s="175" cm="1">
        <f t="array" ref="AH109">_xlfn.IFS(COUNTIF($N109:$P109,"合意済")=3,4,OR(COUNTIF($N109:$P109,"合意済")=2,COUNTIF($N109:$P109,"合意済")=1),3,COUNTIF($N109:$P109,"合意済")=0,2)</f>
        <v>2</v>
      </c>
      <c r="AI109" s="175" t="e">
        <f t="shared" ca="1" si="45"/>
        <v>#VALUE!</v>
      </c>
      <c r="AJ109" s="175" t="str">
        <f t="shared" ca="1" si="48"/>
        <v/>
      </c>
    </row>
    <row r="110" spans="2:36" ht="9.75" customHeight="1">
      <c r="D110" s="14"/>
      <c r="E110" s="15"/>
      <c r="F110" s="15"/>
      <c r="G110" s="248"/>
      <c r="H110" s="15"/>
      <c r="I110" s="235"/>
      <c r="J110" s="15"/>
      <c r="K110" s="15"/>
      <c r="L110" s="15"/>
      <c r="M110" s="236"/>
      <c r="N110" s="236"/>
      <c r="O110" s="236"/>
      <c r="P110" s="236"/>
      <c r="Q110" s="236"/>
      <c r="R110" s="30"/>
      <c r="T110" s="229"/>
      <c r="U110" s="229"/>
      <c r="V110" s="175">
        <f t="shared" si="40"/>
        <v>103</v>
      </c>
      <c r="W110" s="215">
        <f ca="1">IF(OFFSET('4.1(2)新規再エネ導入予定（設備情報）'!$O$1,MATCH(X110,'4.1(2)新規再エネ導入予定（設備情報）'!$Z:$Z,0)-1,0)="低圧",1,0)</f>
        <v>0</v>
      </c>
      <c r="X110" s="125" t="str">
        <f ca="1">IFERROR(IF(AND(G110="",L110&lt;&gt;""),MAX(OFFSET($X$8,0,0,ROW()-8,1)),OFFSET('4.1(2)新規再エネ導入予定（設備情報）'!$Z$1,MATCH($G110,'4.1(2)新規再エネ導入予定（設備情報）'!$G:$G,0)-1,0)),"")</f>
        <v/>
      </c>
      <c r="Y110" s="222">
        <f t="shared" si="44"/>
        <v>0</v>
      </c>
      <c r="Z110" s="261">
        <f t="shared" ca="1" si="46"/>
        <v>0</v>
      </c>
      <c r="AA110" s="222">
        <f t="shared" si="28"/>
        <v>0</v>
      </c>
      <c r="AB110" s="262">
        <f t="shared" ca="1" si="47"/>
        <v>1</v>
      </c>
      <c r="AC110" s="175" t="str">
        <f t="shared" si="32"/>
        <v/>
      </c>
      <c r="AD110" s="175" t="str">
        <f t="shared" si="33"/>
        <v/>
      </c>
      <c r="AE110" s="175" t="str">
        <f t="shared" si="49"/>
        <v/>
      </c>
      <c r="AF110" s="175" t="str">
        <f t="shared" si="50"/>
        <v/>
      </c>
      <c r="AG110" s="175" t="str">
        <f t="shared" si="43"/>
        <v>E</v>
      </c>
      <c r="AH110" s="175" cm="1">
        <f t="array" ref="AH110">_xlfn.IFS(COUNTIF($N110:$P110,"合意済")=3,4,OR(COUNTIF($N110:$P110,"合意済")=2,COUNTIF($N110:$P110,"合意済")=1),3,COUNTIF($N110:$P110,"合意済")=0,2)</f>
        <v>2</v>
      </c>
      <c r="AI110" s="175" t="e">
        <f t="shared" ca="1" si="45"/>
        <v>#VALUE!</v>
      </c>
      <c r="AJ110" s="175" t="str">
        <f t="shared" ca="1" si="48"/>
        <v/>
      </c>
    </row>
    <row r="111" spans="2:36" ht="21">
      <c r="D111" s="237" t="s">
        <v>188</v>
      </c>
      <c r="F111" s="237"/>
      <c r="G111" s="269"/>
      <c r="I111" s="228"/>
      <c r="R111" s="19"/>
      <c r="T111" s="229"/>
      <c r="V111" s="175">
        <f t="shared" si="40"/>
        <v>104</v>
      </c>
      <c r="W111" s="215">
        <f ca="1">IF(OFFSET('4.1(2)新規再エネ導入予定（設備情報）'!$O$1,MATCH(X111,'4.1(2)新規再エネ導入予定（設備情報）'!$Z:$Z,0)-1,0)="低圧",1,0)</f>
        <v>0</v>
      </c>
      <c r="X111" s="125" t="str">
        <f ca="1">IFERROR(IF(AND(G111="",L111&lt;&gt;""),MAX(OFFSET($X$8,0,0,ROW()-8,1)),OFFSET('4.1(2)新規再エネ導入予定（設備情報）'!$Z$1,MATCH($G111,'4.1(2)新規再エネ導入予定（設備情報）'!$G:$G,0)-1,0)),"")</f>
        <v/>
      </c>
      <c r="Y111" s="222">
        <f t="shared" si="44"/>
        <v>0</v>
      </c>
      <c r="Z111" s="261">
        <f t="shared" ca="1" si="46"/>
        <v>0</v>
      </c>
      <c r="AA111" s="222">
        <f t="shared" si="28"/>
        <v>0</v>
      </c>
      <c r="AB111" s="262">
        <f t="shared" ca="1" si="47"/>
        <v>1</v>
      </c>
      <c r="AC111" s="175" t="str">
        <f t="shared" si="32"/>
        <v/>
      </c>
      <c r="AD111" s="175" t="str">
        <f t="shared" si="33"/>
        <v/>
      </c>
      <c r="AE111" s="175" t="str">
        <f t="shared" si="49"/>
        <v/>
      </c>
      <c r="AF111" s="175" t="str">
        <f t="shared" si="50"/>
        <v/>
      </c>
      <c r="AG111" s="175" t="str">
        <f t="shared" si="43"/>
        <v>E</v>
      </c>
      <c r="AH111" s="175" cm="1">
        <f t="array" ref="AH111">_xlfn.IFS(COUNTIF($N111:$P111,"合意済")=3,4,OR(COUNTIF($N111:$P111,"合意済")=2,COUNTIF($N111:$P111,"合意済")=1),3,COUNTIF($N111:$P111,"合意済")=0,2)</f>
        <v>2</v>
      </c>
      <c r="AI111" s="175" t="e">
        <f t="shared" ca="1" si="45"/>
        <v>#VALUE!</v>
      </c>
      <c r="AJ111" s="175" t="str">
        <f t="shared" ca="1" si="48"/>
        <v/>
      </c>
    </row>
    <row r="112" spans="2:36" ht="21" customHeight="1">
      <c r="D112" s="237"/>
      <c r="F112" s="1361" t="s">
        <v>8</v>
      </c>
      <c r="G112" s="1373" t="s">
        <v>185</v>
      </c>
      <c r="H112" s="1373" t="s">
        <v>180</v>
      </c>
      <c r="I112" s="1371" t="s">
        <v>31</v>
      </c>
      <c r="J112" s="1373" t="s">
        <v>186</v>
      </c>
      <c r="K112" s="1373" t="s">
        <v>81</v>
      </c>
      <c r="L112" s="1289" t="s">
        <v>183</v>
      </c>
      <c r="M112" s="1300" t="s">
        <v>184</v>
      </c>
      <c r="N112" s="1300"/>
      <c r="O112" s="1300"/>
      <c r="P112" s="1300"/>
      <c r="Q112" s="1379" t="s">
        <v>303</v>
      </c>
      <c r="R112" s="19"/>
      <c r="T112" s="1379" t="s">
        <v>311</v>
      </c>
      <c r="V112" s="175">
        <f t="shared" si="40"/>
        <v>105</v>
      </c>
      <c r="W112" s="215">
        <f ca="1">IF(OFFSET('4.1(2)新規再エネ導入予定（設備情報）'!$O$1,MATCH(X112,'4.1(2)新規再エネ導入予定（設備情報）'!$Z:$Z,0)-1,0)="低圧",1,0)</f>
        <v>0</v>
      </c>
      <c r="X112" s="125" t="str">
        <f ca="1">IFERROR(IF(AND(G112="",L112&lt;&gt;""),MAX(OFFSET($X$8,0,0,ROW()-8,1)),OFFSET('4.1(2)新規再エネ導入予定（設備情報）'!$Z$1,MATCH($G112,'4.1(2)新規再エネ導入予定（設備情報）'!$G:$G,0)-1,0)),"")</f>
        <v>施設
カウント</v>
      </c>
      <c r="Y112" s="270">
        <f t="shared" si="44"/>
        <v>0</v>
      </c>
      <c r="Z112" s="261">
        <f t="shared" ca="1" si="46"/>
        <v>0</v>
      </c>
      <c r="AA112" s="270">
        <f t="shared" si="28"/>
        <v>0</v>
      </c>
      <c r="AB112" s="262">
        <f t="shared" ca="1" si="47"/>
        <v>1</v>
      </c>
      <c r="AC112" s="175">
        <f t="shared" si="32"/>
        <v>0</v>
      </c>
      <c r="AD112" s="175" t="str">
        <f t="shared" si="33"/>
        <v/>
      </c>
      <c r="AE112" s="175" t="str">
        <f t="shared" si="49"/>
        <v/>
      </c>
      <c r="AF112" s="175" t="str">
        <f t="shared" si="50"/>
        <v/>
      </c>
      <c r="AG112" s="175" t="str">
        <f t="shared" si="43"/>
        <v>E</v>
      </c>
      <c r="AH112" s="175" cm="1">
        <f t="array" ref="AH112">_xlfn.IFS(COUNTIF($N112:$P112,"合意済")=3,4,OR(COUNTIF($N112:$P112,"合意済")=2,COUNTIF($N112:$P112,"合意済")=1),3,COUNTIF($N112:$P112,"合意済")=0,2)</f>
        <v>2</v>
      </c>
      <c r="AI112" s="175" t="e">
        <f t="shared" ca="1" si="45"/>
        <v>#VALUE!</v>
      </c>
      <c r="AJ112" s="175" t="str">
        <f t="shared" ca="1" si="48"/>
        <v/>
      </c>
    </row>
    <row r="113" spans="2:36" ht="42" customHeight="1">
      <c r="D113" s="16"/>
      <c r="E113" s="271"/>
      <c r="F113" s="1361"/>
      <c r="G113" s="1374"/>
      <c r="H113" s="1374"/>
      <c r="I113" s="1372"/>
      <c r="J113" s="1374"/>
      <c r="K113" s="1374"/>
      <c r="L113" s="1290"/>
      <c r="M113" s="434" t="s">
        <v>196</v>
      </c>
      <c r="N113" s="434" t="s">
        <v>101</v>
      </c>
      <c r="O113" s="434" t="s">
        <v>195</v>
      </c>
      <c r="P113" s="365" t="s">
        <v>100</v>
      </c>
      <c r="Q113" s="1380"/>
      <c r="R113" s="19"/>
      <c r="T113" s="1380"/>
      <c r="V113" s="175">
        <f t="shared" si="40"/>
        <v>106</v>
      </c>
      <c r="W113" s="215">
        <f ca="1">IF(OFFSET('4.1(2)新規再エネ導入予定（設備情報）'!$O$1,MATCH(X113,'4.1(2)新規再エネ導入予定（設備情報）'!$Z:$Z,0)-1,0)="低圧",1,0)</f>
        <v>0</v>
      </c>
      <c r="X113" s="125" t="str">
        <f ca="1">IFERROR(IF(AND(G113="",L113&lt;&gt;""),MAX(OFFSET($X$8,0,0,ROW()-8,1)),OFFSET('4.1(2)新規再エネ導入予定（設備情報）'!$Z$1,MATCH($G113,'4.1(2)新規再エネ導入予定（設備情報）'!$G:$G,0)-1,0)),"")</f>
        <v/>
      </c>
      <c r="Y113" s="270">
        <f t="shared" si="44"/>
        <v>0</v>
      </c>
      <c r="Z113" s="261">
        <f t="shared" ca="1" si="46"/>
        <v>0</v>
      </c>
      <c r="AA113" s="270">
        <f t="shared" si="28"/>
        <v>0</v>
      </c>
      <c r="AB113" s="262">
        <f t="shared" ca="1" si="47"/>
        <v>1</v>
      </c>
      <c r="AC113" s="175">
        <f t="shared" si="32"/>
        <v>0</v>
      </c>
      <c r="AD113" s="175">
        <f t="shared" si="33"/>
        <v>0</v>
      </c>
      <c r="AE113" s="175">
        <f t="shared" si="49"/>
        <v>0</v>
      </c>
      <c r="AF113" s="175">
        <f t="shared" si="50"/>
        <v>0</v>
      </c>
      <c r="AG113" s="175">
        <f t="shared" ca="1" si="43"/>
        <v>0</v>
      </c>
      <c r="AH113" s="175" cm="1">
        <f t="array" ref="AH113">_xlfn.IFS(COUNTIF($N113:$P113,"合意済")=3,4,OR(COUNTIF($N113:$P113,"合意済")=2,COUNTIF($N113:$P113,"合意済")=1),3,COUNTIF($N113:$P113,"合意済")=0,2)</f>
        <v>2</v>
      </c>
      <c r="AI113" s="175">
        <f t="shared" ca="1" si="45"/>
        <v>0</v>
      </c>
      <c r="AJ113" s="175" t="str">
        <f t="shared" ca="1" si="48"/>
        <v/>
      </c>
    </row>
    <row r="114" spans="2:36" s="11" customFormat="1" hidden="1">
      <c r="B114" s="21"/>
      <c r="C114" s="21"/>
      <c r="D114" s="22"/>
      <c r="E114" s="128"/>
      <c r="F114" s="707"/>
      <c r="G114" s="479"/>
      <c r="H114" s="495"/>
      <c r="I114" s="496"/>
      <c r="J114" s="497"/>
      <c r="K114" s="498"/>
      <c r="L114" s="481"/>
      <c r="M114" s="484"/>
      <c r="N114" s="484"/>
      <c r="O114" s="484"/>
      <c r="P114" s="484"/>
      <c r="Q114" s="484"/>
      <c r="R114" s="24"/>
      <c r="S114" s="21"/>
      <c r="T114" s="484"/>
      <c r="V114" s="255">
        <f t="shared" si="40"/>
        <v>107</v>
      </c>
      <c r="W114" s="129">
        <f ca="1">IF(OFFSET('4.1(2)新規再エネ導入予定（設備情報）'!$O$1,MATCH(X114,'4.1(2)新規再エネ導入予定（設備情報）'!$Z:$Z,0)-1,0)="低圧",1,0)</f>
        <v>0</v>
      </c>
      <c r="X114" s="125" t="str">
        <f ca="1">IFERROR(IF(AND(G114="",L114&lt;&gt;""),MAX(OFFSET($X$8,0,0,ROW()-8,1)),OFFSET('4.1(2)新規再エネ導入予定（設備情報）'!$Z$1,MATCH($G114,'4.1(2)新規再エネ導入予定（設備情報）'!$G:$G,0)-1,0)),"")</f>
        <v/>
      </c>
      <c r="Y114" s="224">
        <f t="shared" si="44"/>
        <v>0</v>
      </c>
      <c r="Z114" s="224">
        <f t="shared" ca="1" si="46"/>
        <v>0</v>
      </c>
      <c r="AA114" s="224">
        <f t="shared" si="28"/>
        <v>0</v>
      </c>
      <c r="AB114" s="277">
        <f t="shared" ca="1" si="47"/>
        <v>1</v>
      </c>
      <c r="AC114" s="255" t="str">
        <f t="shared" si="32"/>
        <v/>
      </c>
      <c r="AD114" s="255" t="str">
        <f t="shared" si="33"/>
        <v/>
      </c>
      <c r="AE114" s="255" t="str">
        <f t="shared" si="49"/>
        <v/>
      </c>
      <c r="AF114" s="255" t="str">
        <f t="shared" si="50"/>
        <v/>
      </c>
      <c r="AG114" s="255" t="str">
        <f t="shared" si="43"/>
        <v>E</v>
      </c>
      <c r="AH114" s="255" cm="1">
        <f t="array" ref="AH114">_xlfn.IFS(COUNTIF($N114:$P114,"合意済")=3,4,OR(COUNTIF($N114:$P114,"合意済")=2,COUNTIF($N114:$P114,"合意済")=1),3,COUNTIF($N114:$P114,"合意済")=0,2)</f>
        <v>2</v>
      </c>
      <c r="AI114" s="255" t="e">
        <f t="shared" ca="1" si="45"/>
        <v>#VALUE!</v>
      </c>
      <c r="AJ114" s="255" t="str">
        <f t="shared" ca="1" si="48"/>
        <v/>
      </c>
    </row>
    <row r="115" spans="2:36" s="11" customFormat="1">
      <c r="B115" s="21"/>
      <c r="C115" s="21"/>
      <c r="D115" s="22"/>
      <c r="E115" s="128"/>
      <c r="F115" s="489" t="str">
        <f ca="1">IFERROR(OFFSET('4.1(2)新規再エネ導入予定（設備情報）'!$F$1,MATCH(G115,'4.1(2)新規再エネ導入予定（設備情報）'!$G:$G,0)-1,0),"")</f>
        <v/>
      </c>
      <c r="G115" s="480"/>
      <c r="H115" s="491" t="str">
        <f ca="1">IFERROR(OFFSET('4.1(2)新規再エネ導入予定（設備情報）'!$H$1,MATCH(G115,'4.1(2)新規再エネ導入予定（設備情報）'!$G:$G,0)-1,0)&amp;"","")</f>
        <v/>
      </c>
      <c r="I115" s="492" t="str">
        <f ca="1">IFERROR(OFFSET('4.1(2)新規再エネ導入予定（設備情報）'!$L$1,MATCH(G115,'4.1(2)新規再エネ導入予定（設備情報）'!$G:$G,0)-1,0),"")</f>
        <v/>
      </c>
      <c r="J115" s="493" t="str">
        <f ca="1">IFERROR(OFFSET('4.1(2)新規再エネ導入予定（設備情報）'!$O$1,MATCH(G115,'4.1(2)新規再エネ導入予定（設備情報）'!$G:$G,0)-1,0),"")</f>
        <v/>
      </c>
      <c r="K115" s="494" t="str">
        <f ca="1">IFERROR(OFFSET('4.1(2)新規再エネ導入予定（設備情報）'!$P$1,MATCH(G115,'4.1(2)新規再エネ導入予定（設備情報）'!$G:$G,0)-1,0),"")</f>
        <v/>
      </c>
      <c r="L115" s="483"/>
      <c r="M115" s="486"/>
      <c r="N115" s="486"/>
      <c r="O115" s="486"/>
      <c r="P115" s="486"/>
      <c r="Q115" s="486"/>
      <c r="R115" s="24"/>
      <c r="S115" s="21"/>
      <c r="T115" s="486"/>
      <c r="V115" s="255">
        <f t="shared" si="40"/>
        <v>108</v>
      </c>
      <c r="W115" s="129">
        <f ca="1">IF(OFFSET('4.1(2)新規再エネ導入予定（設備情報）'!$O$1,MATCH(X115,'4.1(2)新規再エネ導入予定（設備情報）'!$Z:$Z,0)-1,0)="低圧",1,0)</f>
        <v>0</v>
      </c>
      <c r="X115" s="125" t="str">
        <f ca="1">IFERROR(IF(AND(G115="",L115&lt;&gt;""),MAX(OFFSET($X$8,0,0,ROW()-8,1)),OFFSET('4.1(2)新規再エネ導入予定（設備情報）'!$Z$1,MATCH($G115,'4.1(2)新規再エネ導入予定（設備情報）'!$G:$G,0)-1,0)),"")</f>
        <v/>
      </c>
      <c r="Y115" s="223">
        <f t="shared" si="44"/>
        <v>0</v>
      </c>
      <c r="Z115" s="224">
        <f t="shared" ca="1" si="46"/>
        <v>0</v>
      </c>
      <c r="AA115" s="223">
        <f t="shared" si="28"/>
        <v>0</v>
      </c>
      <c r="AB115" s="277">
        <f t="shared" ca="1" si="47"/>
        <v>1</v>
      </c>
      <c r="AC115" s="255" t="str">
        <f t="shared" si="32"/>
        <v/>
      </c>
      <c r="AD115" s="255" t="str">
        <f t="shared" si="33"/>
        <v/>
      </c>
      <c r="AE115" s="255" t="str">
        <f t="shared" si="49"/>
        <v/>
      </c>
      <c r="AF115" s="255" t="str">
        <f t="shared" si="50"/>
        <v/>
      </c>
      <c r="AG115" s="255" t="str">
        <f t="shared" si="43"/>
        <v>E</v>
      </c>
      <c r="AH115" s="255" cm="1">
        <f t="array" ref="AH115">_xlfn.IFS(COUNTIF($N115:$P115,"合意済")=3,4,OR(COUNTIF($N115:$P115,"合意済")=2,COUNTIF($N115:$P115,"合意済")=1),3,COUNTIF($N115:$P115,"合意済")=0,2)</f>
        <v>2</v>
      </c>
      <c r="AI115" s="255" t="e">
        <f t="shared" ca="1" si="45"/>
        <v>#VALUE!</v>
      </c>
      <c r="AJ115" s="255" t="str">
        <f t="shared" ca="1" si="48"/>
        <v/>
      </c>
    </row>
    <row r="116" spans="2:36" s="11" customFormat="1">
      <c r="B116" s="21"/>
      <c r="C116" s="21"/>
      <c r="D116" s="22"/>
      <c r="E116" s="128"/>
      <c r="F116" s="489" t="str">
        <f ca="1">IFERROR(OFFSET('4.1(2)新規再エネ導入予定（設備情報）'!$F$1,MATCH(G116,'4.1(2)新規再エネ導入予定（設備情報）'!$G:$G,0)-1,0),"")</f>
        <v/>
      </c>
      <c r="G116" s="480"/>
      <c r="H116" s="491" t="str">
        <f ca="1">IFERROR(OFFSET('4.1(2)新規再エネ導入予定（設備情報）'!$H$1,MATCH(G116,'4.1(2)新規再エネ導入予定（設備情報）'!$G:$G,0)-1,0)&amp;"","")</f>
        <v/>
      </c>
      <c r="I116" s="492" t="str">
        <f ca="1">IFERROR(OFFSET('4.1(2)新規再エネ導入予定（設備情報）'!$L$1,MATCH(G116,'4.1(2)新規再エネ導入予定（設備情報）'!$G:$G,0)-1,0),"")</f>
        <v/>
      </c>
      <c r="J116" s="493" t="str">
        <f ca="1">IFERROR(OFFSET('4.1(2)新規再エネ導入予定（設備情報）'!$O$1,MATCH(G116,'4.1(2)新規再エネ導入予定（設備情報）'!$G:$G,0)-1,0),"")</f>
        <v/>
      </c>
      <c r="K116" s="494" t="str">
        <f ca="1">IFERROR(OFFSET('4.1(2)新規再エネ導入予定（設備情報）'!$P$1,MATCH(G116,'4.1(2)新規再エネ導入予定（設備情報）'!$G:$G,0)-1,0),"")</f>
        <v/>
      </c>
      <c r="L116" s="483"/>
      <c r="M116" s="486"/>
      <c r="N116" s="486"/>
      <c r="O116" s="486"/>
      <c r="P116" s="486"/>
      <c r="Q116" s="486"/>
      <c r="R116" s="24"/>
      <c r="S116" s="21"/>
      <c r="T116" s="486"/>
      <c r="V116" s="255">
        <f t="shared" si="40"/>
        <v>109</v>
      </c>
      <c r="W116" s="129">
        <f ca="1">IF(OFFSET('4.1(2)新規再エネ導入予定（設備情報）'!$O$1,MATCH(X116,'4.1(2)新規再エネ導入予定（設備情報）'!$Z:$Z,0)-1,0)="低圧",1,0)</f>
        <v>0</v>
      </c>
      <c r="X116" s="125" t="str">
        <f ca="1">IFERROR(IF(AND(G116="",L116&lt;&gt;""),MAX(OFFSET($X$8,0,0,ROW()-8,1)),OFFSET('4.1(2)新規再エネ導入予定（設備情報）'!$Z$1,MATCH($G116,'4.1(2)新規再エネ導入予定（設備情報）'!$G:$G,0)-1,0)),"")</f>
        <v/>
      </c>
      <c r="Y116" s="223">
        <f t="shared" si="44"/>
        <v>0</v>
      </c>
      <c r="Z116" s="224">
        <f t="shared" ca="1" si="46"/>
        <v>0</v>
      </c>
      <c r="AA116" s="223">
        <f t="shared" si="28"/>
        <v>0</v>
      </c>
      <c r="AB116" s="277">
        <f t="shared" ca="1" si="47"/>
        <v>1</v>
      </c>
      <c r="AC116" s="255" t="str">
        <f t="shared" si="32"/>
        <v/>
      </c>
      <c r="AD116" s="255" t="str">
        <f t="shared" si="33"/>
        <v/>
      </c>
      <c r="AE116" s="255" t="str">
        <f t="shared" si="49"/>
        <v/>
      </c>
      <c r="AF116" s="255" t="str">
        <f t="shared" si="50"/>
        <v/>
      </c>
      <c r="AG116" s="255" t="str">
        <f t="shared" si="43"/>
        <v>E</v>
      </c>
      <c r="AH116" s="255" cm="1">
        <f t="array" ref="AH116">_xlfn.IFS(COUNTIF($N116:$P116,"合意済")=3,4,OR(COUNTIF($N116:$P116,"合意済")=2,COUNTIF($N116:$P116,"合意済")=1),3,COUNTIF($N116:$P116,"合意済")=0,2)</f>
        <v>2</v>
      </c>
      <c r="AI116" s="255" t="e">
        <f t="shared" ca="1" si="45"/>
        <v>#VALUE!</v>
      </c>
      <c r="AJ116" s="255" t="str">
        <f t="shared" ca="1" si="48"/>
        <v/>
      </c>
    </row>
    <row r="117" spans="2:36" s="11" customFormat="1">
      <c r="B117" s="21"/>
      <c r="C117" s="21"/>
      <c r="D117" s="22"/>
      <c r="E117" s="128"/>
      <c r="F117" s="489" t="str">
        <f ca="1">IFERROR(OFFSET('4.1(2)新規再エネ導入予定（設備情報）'!$F$1,MATCH(G117,'4.1(2)新規再エネ導入予定（設備情報）'!$G:$G,0)-1,0),"")</f>
        <v/>
      </c>
      <c r="G117" s="480"/>
      <c r="H117" s="491" t="str">
        <f ca="1">IFERROR(OFFSET('4.1(2)新規再エネ導入予定（設備情報）'!$H$1,MATCH(G117,'4.1(2)新規再エネ導入予定（設備情報）'!$G:$G,0)-1,0)&amp;"","")</f>
        <v/>
      </c>
      <c r="I117" s="492" t="str">
        <f ca="1">IFERROR(OFFSET('4.1(2)新規再エネ導入予定（設備情報）'!$L$1,MATCH(G117,'4.1(2)新規再エネ導入予定（設備情報）'!$G:$G,0)-1,0),"")</f>
        <v/>
      </c>
      <c r="J117" s="493" t="str">
        <f ca="1">IFERROR(OFFSET('4.1(2)新規再エネ導入予定（設備情報）'!$O$1,MATCH(G117,'4.1(2)新規再エネ導入予定（設備情報）'!$G:$G,0)-1,0),"")</f>
        <v/>
      </c>
      <c r="K117" s="494" t="str">
        <f ca="1">IFERROR(OFFSET('4.1(2)新規再エネ導入予定（設備情報）'!$P$1,MATCH(G117,'4.1(2)新規再エネ導入予定（設備情報）'!$G:$G,0)-1,0),"")</f>
        <v/>
      </c>
      <c r="L117" s="483"/>
      <c r="M117" s="486"/>
      <c r="N117" s="486"/>
      <c r="O117" s="486"/>
      <c r="P117" s="486"/>
      <c r="Q117" s="486"/>
      <c r="R117" s="24"/>
      <c r="S117" s="21"/>
      <c r="T117" s="486"/>
      <c r="V117" s="255">
        <f t="shared" si="40"/>
        <v>110</v>
      </c>
      <c r="W117" s="129">
        <f ca="1">IF(OFFSET('4.1(2)新規再エネ導入予定（設備情報）'!$O$1,MATCH(X117,'4.1(2)新規再エネ導入予定（設備情報）'!$Z:$Z,0)-1,0)="低圧",1,0)</f>
        <v>0</v>
      </c>
      <c r="X117" s="125" t="str">
        <f ca="1">IFERROR(IF(AND(G117="",L117&lt;&gt;""),MAX(OFFSET($X$8,0,0,ROW()-8,1)),OFFSET('4.1(2)新規再エネ導入予定（設備情報）'!$Z$1,MATCH($G117,'4.1(2)新規再エネ導入予定（設備情報）'!$G:$G,0)-1,0)),"")</f>
        <v/>
      </c>
      <c r="Y117" s="223">
        <f t="shared" si="44"/>
        <v>0</v>
      </c>
      <c r="Z117" s="224">
        <f t="shared" ca="1" si="46"/>
        <v>0</v>
      </c>
      <c r="AA117" s="223">
        <f t="shared" si="28"/>
        <v>0</v>
      </c>
      <c r="AB117" s="277">
        <f t="shared" ca="1" si="47"/>
        <v>1</v>
      </c>
      <c r="AC117" s="255" t="str">
        <f t="shared" ref="AC117:AC165" si="51">IF(M117="","",IF(OR(M117="説明済",M117="協議中",M117="合意済"),1,0))</f>
        <v/>
      </c>
      <c r="AD117" s="255" t="str">
        <f t="shared" ref="AD117:AD165" si="52">IF(N117="","",IF(OR(N117="説明済",N117="協議中",N117="合意済"),1,0))</f>
        <v/>
      </c>
      <c r="AE117" s="255" t="str">
        <f t="shared" si="49"/>
        <v/>
      </c>
      <c r="AF117" s="255" t="str">
        <f t="shared" si="50"/>
        <v/>
      </c>
      <c r="AG117" s="255" t="str">
        <f t="shared" si="43"/>
        <v>E</v>
      </c>
      <c r="AH117" s="255" cm="1">
        <f t="array" ref="AH117">_xlfn.IFS(COUNTIF($N117:$P117,"合意済")=3,4,OR(COUNTIF($N117:$P117,"合意済")=2,COUNTIF($N117:$P117,"合意済")=1),3,COUNTIF($N117:$P117,"合意済")=0,2)</f>
        <v>2</v>
      </c>
      <c r="AI117" s="255" t="e">
        <f t="shared" ca="1" si="45"/>
        <v>#VALUE!</v>
      </c>
      <c r="AJ117" s="255" t="str">
        <f t="shared" ca="1" si="48"/>
        <v/>
      </c>
    </row>
    <row r="118" spans="2:36" s="11" customFormat="1">
      <c r="B118" s="21"/>
      <c r="C118" s="21"/>
      <c r="D118" s="22"/>
      <c r="E118" s="128"/>
      <c r="F118" s="489" t="str">
        <f ca="1">IFERROR(OFFSET('4.1(2)新規再エネ導入予定（設備情報）'!$F$1,MATCH(G118,'4.1(2)新規再エネ導入予定（設備情報）'!$G:$G,0)-1,0),"")</f>
        <v/>
      </c>
      <c r="G118" s="480"/>
      <c r="H118" s="491" t="str">
        <f ca="1">IFERROR(OFFSET('4.1(2)新規再エネ導入予定（設備情報）'!$H$1,MATCH(G118,'4.1(2)新規再エネ導入予定（設備情報）'!$G:$G,0)-1,0)&amp;"","")</f>
        <v/>
      </c>
      <c r="I118" s="492" t="str">
        <f ca="1">IFERROR(OFFSET('4.1(2)新規再エネ導入予定（設備情報）'!$L$1,MATCH(G118,'4.1(2)新規再エネ導入予定（設備情報）'!$G:$G,0)-1,0),"")</f>
        <v/>
      </c>
      <c r="J118" s="493" t="str">
        <f ca="1">IFERROR(OFFSET('4.1(2)新規再エネ導入予定（設備情報）'!$O$1,MATCH(G118,'4.1(2)新規再エネ導入予定（設備情報）'!$G:$G,0)-1,0),"")</f>
        <v/>
      </c>
      <c r="K118" s="494" t="str">
        <f ca="1">IFERROR(OFFSET('4.1(2)新規再エネ導入予定（設備情報）'!$P$1,MATCH(G118,'4.1(2)新規再エネ導入予定（設備情報）'!$G:$G,0)-1,0),"")</f>
        <v/>
      </c>
      <c r="L118" s="483"/>
      <c r="M118" s="486"/>
      <c r="N118" s="486"/>
      <c r="O118" s="486"/>
      <c r="P118" s="486"/>
      <c r="Q118" s="486"/>
      <c r="R118" s="24"/>
      <c r="S118" s="21"/>
      <c r="T118" s="486"/>
      <c r="V118" s="255">
        <f t="shared" si="40"/>
        <v>111</v>
      </c>
      <c r="W118" s="129">
        <f ca="1">IF(OFFSET('4.1(2)新規再エネ導入予定（設備情報）'!$O$1,MATCH(X118,'4.1(2)新規再エネ導入予定（設備情報）'!$Z:$Z,0)-1,0)="低圧",1,0)</f>
        <v>0</v>
      </c>
      <c r="X118" s="125" t="str">
        <f ca="1">IFERROR(IF(AND(G118="",L118&lt;&gt;""),MAX(OFFSET($X$8,0,0,ROW()-8,1)),OFFSET('4.1(2)新規再エネ導入予定（設備情報）'!$Z$1,MATCH($G118,'4.1(2)新規再エネ導入予定（設備情報）'!$G:$G,0)-1,0)),"")</f>
        <v/>
      </c>
      <c r="Y118" s="223">
        <f t="shared" si="44"/>
        <v>0</v>
      </c>
      <c r="Z118" s="224">
        <f t="shared" ca="1" si="46"/>
        <v>0</v>
      </c>
      <c r="AA118" s="223">
        <f t="shared" si="28"/>
        <v>0</v>
      </c>
      <c r="AB118" s="277">
        <f t="shared" ca="1" si="47"/>
        <v>1</v>
      </c>
      <c r="AC118" s="255" t="str">
        <f t="shared" si="51"/>
        <v/>
      </c>
      <c r="AD118" s="255" t="str">
        <f t="shared" si="52"/>
        <v/>
      </c>
      <c r="AE118" s="255" t="str">
        <f t="shared" si="49"/>
        <v/>
      </c>
      <c r="AF118" s="255" t="str">
        <f t="shared" si="50"/>
        <v/>
      </c>
      <c r="AG118" s="255" t="str">
        <f t="shared" si="43"/>
        <v>E</v>
      </c>
      <c r="AH118" s="255" cm="1">
        <f t="array" ref="AH118">_xlfn.IFS(COUNTIF($N118:$P118,"合意済")=3,4,OR(COUNTIF($N118:$P118,"合意済")=2,COUNTIF($N118:$P118,"合意済")=1),3,COUNTIF($N118:$P118,"合意済")=0,2)</f>
        <v>2</v>
      </c>
      <c r="AI118" s="255" t="e">
        <f t="shared" ca="1" si="45"/>
        <v>#VALUE!</v>
      </c>
      <c r="AJ118" s="255" t="str">
        <f t="shared" ca="1" si="48"/>
        <v/>
      </c>
    </row>
    <row r="119" spans="2:36">
      <c r="D119" s="16"/>
      <c r="E119" s="272"/>
      <c r="F119" s="189" t="s">
        <v>26</v>
      </c>
      <c r="G119" s="240"/>
      <c r="H119" s="240"/>
      <c r="I119" s="273"/>
      <c r="J119" s="274"/>
      <c r="K119" s="499">
        <f ca="1">SUM(INDIRECT("K"&amp;ROW(K112)&amp;":K"&amp;ROW()-1))</f>
        <v>0</v>
      </c>
      <c r="L119" s="274"/>
      <c r="M119" s="242"/>
      <c r="N119" s="242"/>
      <c r="O119" s="242"/>
      <c r="P119" s="242"/>
      <c r="Q119" s="242"/>
      <c r="R119" s="19"/>
      <c r="T119" s="242"/>
      <c r="V119" s="175">
        <f t="shared" si="40"/>
        <v>112</v>
      </c>
      <c r="W119" s="215">
        <f ca="1">IF(OFFSET('4.1(2)新規再エネ導入予定（設備情報）'!$O$1,MATCH(X119,'4.1(2)新規再エネ導入予定（設備情報）'!$Z:$Z,0)-1,0)="低圧",1,0)</f>
        <v>0</v>
      </c>
      <c r="X119" s="125" t="str">
        <f ca="1">IFERROR(IF(AND(G119="",L119&lt;&gt;""),MAX(OFFSET($X$8,0,0,ROW()-8,1)),OFFSET('4.1(2)新規再エネ導入予定（設備情報）'!$Z$1,MATCH($G119,'4.1(2)新規再エネ導入予定（設備情報）'!$G:$G,0)-1,0)),"")</f>
        <v/>
      </c>
      <c r="Y119" s="222">
        <f t="shared" si="44"/>
        <v>0</v>
      </c>
      <c r="Z119" s="261">
        <f t="shared" ca="1" si="46"/>
        <v>0</v>
      </c>
      <c r="AA119" s="222">
        <f t="shared" si="28"/>
        <v>0</v>
      </c>
      <c r="AB119" s="262">
        <f t="shared" ca="1" si="47"/>
        <v>1</v>
      </c>
      <c r="AC119" s="175" t="str">
        <f t="shared" si="51"/>
        <v/>
      </c>
      <c r="AD119" s="175" t="str">
        <f t="shared" si="52"/>
        <v/>
      </c>
      <c r="AE119" s="175" t="str">
        <f t="shared" si="49"/>
        <v/>
      </c>
      <c r="AF119" s="175" t="str">
        <f t="shared" si="50"/>
        <v/>
      </c>
      <c r="AG119" s="175" t="str">
        <f t="shared" si="43"/>
        <v>E</v>
      </c>
      <c r="AH119" s="175" cm="1">
        <f t="array" ref="AH119">_xlfn.IFS(COUNTIF($N119:$P119,"合意済")=3,4,OR(COUNTIF($N119:$P119,"合意済")=2,COUNTIF($N119:$P119,"合意済")=1),3,COUNTIF($N119:$P119,"合意済")=0,2)</f>
        <v>2</v>
      </c>
      <c r="AI119" s="175" t="e">
        <f t="shared" ca="1" si="45"/>
        <v>#VALUE!</v>
      </c>
      <c r="AJ119" s="175" t="str">
        <f t="shared" ca="1" si="48"/>
        <v/>
      </c>
    </row>
    <row r="120" spans="2:36">
      <c r="D120" s="46"/>
      <c r="E120" s="26"/>
      <c r="F120" s="26"/>
      <c r="G120" s="4"/>
      <c r="H120" s="4"/>
      <c r="I120" s="122"/>
      <c r="J120" s="4"/>
      <c r="K120" s="4"/>
      <c r="L120" s="4"/>
      <c r="M120" s="123"/>
      <c r="N120" s="123"/>
      <c r="O120" s="123"/>
      <c r="P120" s="123"/>
      <c r="Q120" s="123"/>
      <c r="R120" s="27"/>
      <c r="S120"/>
      <c r="T120" s="247"/>
      <c r="U120" s="247"/>
      <c r="V120" s="175">
        <f t="shared" si="40"/>
        <v>113</v>
      </c>
      <c r="W120" s="215">
        <f ca="1">IF(OFFSET('4.1(2)新規再エネ導入予定（設備情報）'!$O$1,MATCH(X120,'4.1(2)新規再エネ導入予定（設備情報）'!$Z:$Z,0)-1,0)="低圧",1,0)</f>
        <v>0</v>
      </c>
      <c r="X120" s="125" t="str">
        <f ca="1">IFERROR(IF(AND(G120="",L120&lt;&gt;""),MAX(OFFSET($X$8,0,0,ROW()-8,1)),OFFSET('4.1(2)新規再エネ導入予定（設備情報）'!$Z$1,MATCH($G120,'4.1(2)新規再エネ導入予定（設備情報）'!$G:$G,0)-1,0)),"")</f>
        <v/>
      </c>
      <c r="Y120" s="222">
        <f t="shared" si="44"/>
        <v>0</v>
      </c>
      <c r="Z120" s="261">
        <f t="shared" ca="1" si="46"/>
        <v>0</v>
      </c>
      <c r="AA120" s="222">
        <f t="shared" si="28"/>
        <v>0</v>
      </c>
      <c r="AB120" s="262">
        <f t="shared" ca="1" si="47"/>
        <v>1</v>
      </c>
      <c r="AC120" s="175" t="str">
        <f t="shared" si="51"/>
        <v/>
      </c>
      <c r="AD120" s="175" t="str">
        <f t="shared" si="52"/>
        <v/>
      </c>
      <c r="AE120" s="175" t="str">
        <f t="shared" si="49"/>
        <v/>
      </c>
      <c r="AF120" s="175" t="str">
        <f t="shared" si="50"/>
        <v/>
      </c>
      <c r="AG120" s="175" t="str">
        <f t="shared" si="43"/>
        <v>E</v>
      </c>
      <c r="AH120" s="175" cm="1">
        <f t="array" ref="AH120">_xlfn.IFS(COUNTIF($N120:$P120,"合意済")=3,4,OR(COUNTIF($N120:$P120,"合意済")=2,COUNTIF($N120:$P120,"合意済")=1),3,COUNTIF($N120:$P120,"合意済")=0,2)</f>
        <v>2</v>
      </c>
      <c r="AI120" s="175" t="e">
        <f t="shared" ca="1" si="45"/>
        <v>#VALUE!</v>
      </c>
      <c r="AJ120" s="175" t="str">
        <f t="shared" ca="1" si="48"/>
        <v/>
      </c>
    </row>
    <row r="121" spans="2:36">
      <c r="F121" s="31"/>
      <c r="G121" s="31"/>
      <c r="H121" s="31"/>
      <c r="I121" s="268"/>
      <c r="J121" s="31"/>
      <c r="K121" s="31"/>
      <c r="L121" s="31"/>
      <c r="M121" s="247"/>
      <c r="N121" s="247"/>
      <c r="O121" s="247"/>
      <c r="P121" s="247"/>
      <c r="Q121" s="247"/>
      <c r="T121" s="247"/>
      <c r="U121" s="247"/>
      <c r="V121" s="175">
        <f t="shared" si="40"/>
        <v>114</v>
      </c>
      <c r="W121" s="215">
        <f ca="1">IF(OFFSET('4.1(2)新規再エネ導入予定（設備情報）'!$O$1,MATCH(X121,'4.1(2)新規再エネ導入予定（設備情報）'!$Z:$Z,0)-1,0)="低圧",1,0)</f>
        <v>0</v>
      </c>
      <c r="X121" s="125" t="str">
        <f ca="1">IFERROR(IF(AND(G121="",L121&lt;&gt;""),MAX(OFFSET($X$8,0,0,ROW()-8,1)),OFFSET('4.1(2)新規再エネ導入予定（設備情報）'!$Z$1,MATCH($G121,'4.1(2)新規再エネ導入予定（設備情報）'!$G:$G,0)-1,0)),"")</f>
        <v/>
      </c>
      <c r="Y121" s="222">
        <f t="shared" si="44"/>
        <v>0</v>
      </c>
      <c r="Z121" s="261">
        <f t="shared" ca="1" si="46"/>
        <v>0</v>
      </c>
      <c r="AA121" s="222">
        <f t="shared" si="28"/>
        <v>0</v>
      </c>
      <c r="AB121" s="262">
        <f t="shared" ca="1" si="47"/>
        <v>1</v>
      </c>
      <c r="AC121" s="175" t="str">
        <f t="shared" si="51"/>
        <v/>
      </c>
      <c r="AD121" s="175" t="str">
        <f t="shared" si="52"/>
        <v/>
      </c>
      <c r="AE121" s="175" t="str">
        <f t="shared" si="49"/>
        <v/>
      </c>
      <c r="AF121" s="175" t="str">
        <f t="shared" si="50"/>
        <v/>
      </c>
      <c r="AG121" s="175" t="str">
        <f t="shared" si="43"/>
        <v>E</v>
      </c>
      <c r="AH121" s="175" cm="1">
        <f t="array" ref="AH121">_xlfn.IFS(COUNTIF($N121:$P121,"合意済")=3,4,OR(COUNTIF($N121:$P121,"合意済")=2,COUNTIF($N121:$P121,"合意済")=1),3,COUNTIF($N121:$P121,"合意済")=0,2)</f>
        <v>2</v>
      </c>
      <c r="AI121" s="175" t="e">
        <f t="shared" ca="1" si="45"/>
        <v>#VALUE!</v>
      </c>
      <c r="AJ121" s="175" t="str">
        <f t="shared" ca="1" si="48"/>
        <v/>
      </c>
    </row>
    <row r="122" spans="2:36">
      <c r="F122" s="31"/>
      <c r="G122" s="31"/>
      <c r="H122" s="31"/>
      <c r="I122" s="268"/>
      <c r="J122" s="31"/>
      <c r="K122" s="31"/>
      <c r="L122" s="31"/>
      <c r="M122" s="247"/>
      <c r="N122" s="247"/>
      <c r="O122" s="247"/>
      <c r="P122" s="247"/>
      <c r="Q122" s="247"/>
      <c r="T122" s="247"/>
      <c r="U122" s="247"/>
      <c r="V122" s="175">
        <f t="shared" si="40"/>
        <v>115</v>
      </c>
      <c r="W122" s="215">
        <f ca="1">IF(OFFSET('4.1(2)新規再エネ導入予定（設備情報）'!$O$1,MATCH(X122,'4.1(2)新規再エネ導入予定（設備情報）'!$Z:$Z,0)-1,0)="低圧",1,0)</f>
        <v>0</v>
      </c>
      <c r="X122" s="125" t="str">
        <f ca="1">IFERROR(IF(AND(G122="",L122&lt;&gt;""),MAX(OFFSET($X$8,0,0,ROW()-8,1)),OFFSET('4.1(2)新規再エネ導入予定（設備情報）'!$Z$1,MATCH($G122,'4.1(2)新規再エネ導入予定（設備情報）'!$G:$G,0)-1,0)),"")</f>
        <v/>
      </c>
      <c r="Y122" s="222">
        <f t="shared" si="44"/>
        <v>0</v>
      </c>
      <c r="Z122" s="261">
        <f t="shared" ca="1" si="46"/>
        <v>0</v>
      </c>
      <c r="AA122" s="222">
        <f t="shared" ref="AA122:AA167" si="53">IF($M122="合意済",1,0)</f>
        <v>0</v>
      </c>
      <c r="AB122" s="262">
        <f t="shared" ca="1" si="47"/>
        <v>1</v>
      </c>
      <c r="AC122" s="175" t="str">
        <f t="shared" si="51"/>
        <v/>
      </c>
      <c r="AD122" s="175" t="str">
        <f t="shared" si="52"/>
        <v/>
      </c>
      <c r="AE122" s="175" t="str">
        <f t="shared" si="49"/>
        <v/>
      </c>
      <c r="AF122" s="175" t="str">
        <f t="shared" si="50"/>
        <v/>
      </c>
      <c r="AG122" s="175" t="str">
        <f t="shared" si="43"/>
        <v>E</v>
      </c>
      <c r="AH122" s="175" cm="1">
        <f t="array" ref="AH122">_xlfn.IFS(COUNTIF($N122:$P122,"合意済")=3,4,OR(COUNTIF($N122:$P122,"合意済")=2,COUNTIF($N122:$P122,"合意済")=1),3,COUNTIF($N122:$P122,"合意済")=0,2)</f>
        <v>2</v>
      </c>
      <c r="AI122" s="175" t="e">
        <f t="shared" ca="1" si="45"/>
        <v>#VALUE!</v>
      </c>
      <c r="AJ122" s="175" t="str">
        <f t="shared" ca="1" si="48"/>
        <v/>
      </c>
    </row>
    <row r="123" spans="2:36" ht="9.75" customHeight="1">
      <c r="D123" s="14"/>
      <c r="E123" s="15"/>
      <c r="F123" s="15"/>
      <c r="G123" s="248"/>
      <c r="H123" s="15"/>
      <c r="I123" s="235"/>
      <c r="J123" s="15"/>
      <c r="K123" s="15"/>
      <c r="L123" s="15"/>
      <c r="M123" s="236"/>
      <c r="N123" s="236"/>
      <c r="O123" s="236"/>
      <c r="P123" s="236"/>
      <c r="Q123" s="236"/>
      <c r="R123" s="30"/>
      <c r="T123" s="229"/>
      <c r="U123" s="229"/>
      <c r="V123" s="175">
        <f t="shared" si="40"/>
        <v>116</v>
      </c>
      <c r="W123" s="215">
        <f ca="1">IF(OFFSET('4.1(2)新規再エネ導入予定（設備情報）'!$O$1,MATCH(X123,'4.1(2)新規再エネ導入予定（設備情報）'!$Z:$Z,0)-1,0)="低圧",1,0)</f>
        <v>0</v>
      </c>
      <c r="X123" s="125" t="str">
        <f ca="1">IFERROR(IF(AND(G123="",L123&lt;&gt;""),MAX(OFFSET($X$8,0,0,ROW()-8,1)),OFFSET('4.1(2)新規再エネ導入予定（設備情報）'!$Z$1,MATCH($G123,'4.1(2)新規再エネ導入予定（設備情報）'!$G:$G,0)-1,0)),"")</f>
        <v/>
      </c>
      <c r="Y123" s="222">
        <f t="shared" ref="Y123:Y167" si="54">IF(T123="○",1,0)</f>
        <v>0</v>
      </c>
      <c r="Z123" s="261">
        <f t="shared" ca="1" si="46"/>
        <v>0</v>
      </c>
      <c r="AA123" s="222">
        <f t="shared" si="53"/>
        <v>0</v>
      </c>
      <c r="AB123" s="262">
        <f t="shared" ca="1" si="47"/>
        <v>1</v>
      </c>
      <c r="AC123" s="175" t="str">
        <f t="shared" si="51"/>
        <v/>
      </c>
      <c r="AD123" s="175" t="str">
        <f t="shared" si="52"/>
        <v/>
      </c>
      <c r="AE123" s="175" t="str">
        <f t="shared" si="49"/>
        <v/>
      </c>
      <c r="AF123" s="175" t="str">
        <f t="shared" si="50"/>
        <v/>
      </c>
      <c r="AG123" s="175" t="str">
        <f t="shared" si="43"/>
        <v>E</v>
      </c>
      <c r="AH123" s="175" cm="1">
        <f t="array" ref="AH123">_xlfn.IFS(COUNTIF($N123:$P123,"合意済")=3,4,OR(COUNTIF($N123:$P123,"合意済")=2,COUNTIF($N123:$P123,"合意済")=1),3,COUNTIF($N123:$P123,"合意済")=0,2)</f>
        <v>2</v>
      </c>
      <c r="AI123" s="175" t="e">
        <f t="shared" ca="1" si="45"/>
        <v>#VALUE!</v>
      </c>
      <c r="AJ123" s="175" t="str">
        <f t="shared" ca="1" si="48"/>
        <v/>
      </c>
    </row>
    <row r="124" spans="2:36" ht="21">
      <c r="D124" s="237" t="s">
        <v>189</v>
      </c>
      <c r="F124" s="237"/>
      <c r="G124" s="269"/>
      <c r="I124" s="228"/>
      <c r="R124" s="19"/>
      <c r="T124" s="229"/>
      <c r="V124" s="175">
        <f t="shared" si="40"/>
        <v>117</v>
      </c>
      <c r="W124" s="215">
        <f ca="1">IF(OFFSET('4.1(2)新規再エネ導入予定（設備情報）'!$O$1,MATCH(X124,'4.1(2)新規再エネ導入予定（設備情報）'!$Z:$Z,0)-1,0)="低圧",1,0)</f>
        <v>0</v>
      </c>
      <c r="X124" s="125" t="str">
        <f ca="1">IFERROR(IF(AND(G124="",L124&lt;&gt;""),MAX(OFFSET($X$8,0,0,ROW()-8,1)),OFFSET('4.1(2)新規再エネ導入予定（設備情報）'!$Z$1,MATCH($G124,'4.1(2)新規再エネ導入予定（設備情報）'!$G:$G,0)-1,0)),"")</f>
        <v/>
      </c>
      <c r="Y124" s="222">
        <f t="shared" si="54"/>
        <v>0</v>
      </c>
      <c r="Z124" s="261">
        <f t="shared" ca="1" si="46"/>
        <v>0</v>
      </c>
      <c r="AA124" s="222">
        <f t="shared" si="53"/>
        <v>0</v>
      </c>
      <c r="AB124" s="262">
        <f t="shared" ca="1" si="47"/>
        <v>1</v>
      </c>
      <c r="AC124" s="175" t="str">
        <f t="shared" si="51"/>
        <v/>
      </c>
      <c r="AD124" s="175" t="str">
        <f t="shared" si="52"/>
        <v/>
      </c>
      <c r="AE124" s="175" t="str">
        <f t="shared" si="49"/>
        <v/>
      </c>
      <c r="AF124" s="175" t="str">
        <f t="shared" si="50"/>
        <v/>
      </c>
      <c r="AG124" s="175" t="str">
        <f t="shared" si="43"/>
        <v>E</v>
      </c>
      <c r="AH124" s="175" cm="1">
        <f t="array" ref="AH124">_xlfn.IFS(COUNTIF($N124:$P124,"合意済")=3,4,OR(COUNTIF($N124:$P124,"合意済")=2,COUNTIF($N124:$P124,"合意済")=1),3,COUNTIF($N124:$P124,"合意済")=0,2)</f>
        <v>2</v>
      </c>
      <c r="AI124" s="175" t="e">
        <f t="shared" ca="1" si="45"/>
        <v>#VALUE!</v>
      </c>
      <c r="AJ124" s="175" t="str">
        <f t="shared" ca="1" si="48"/>
        <v/>
      </c>
    </row>
    <row r="125" spans="2:36" ht="21" customHeight="1">
      <c r="D125" s="237"/>
      <c r="F125" s="1361" t="s">
        <v>8</v>
      </c>
      <c r="G125" s="1373" t="s">
        <v>185</v>
      </c>
      <c r="H125" s="1373" t="s">
        <v>180</v>
      </c>
      <c r="I125" s="1371" t="s">
        <v>31</v>
      </c>
      <c r="J125" s="1373" t="s">
        <v>186</v>
      </c>
      <c r="K125" s="1373" t="s">
        <v>81</v>
      </c>
      <c r="L125" s="1289" t="s">
        <v>183</v>
      </c>
      <c r="M125" s="1300" t="s">
        <v>184</v>
      </c>
      <c r="N125" s="1300"/>
      <c r="O125" s="1300"/>
      <c r="P125" s="1300"/>
      <c r="Q125" s="1379" t="s">
        <v>303</v>
      </c>
      <c r="R125" s="19"/>
      <c r="T125" s="1379" t="s">
        <v>311</v>
      </c>
      <c r="V125" s="175">
        <f t="shared" si="40"/>
        <v>118</v>
      </c>
      <c r="W125" s="215">
        <f ca="1">IF(OFFSET('4.1(2)新規再エネ導入予定（設備情報）'!$O$1,MATCH(X125,'4.1(2)新規再エネ導入予定（設備情報）'!$Z:$Z,0)-1,0)="低圧",1,0)</f>
        <v>0</v>
      </c>
      <c r="X125" s="125" t="str">
        <f ca="1">IFERROR(IF(AND(G125="",L125&lt;&gt;""),MAX(OFFSET($X$8,0,0,ROW()-8,1)),OFFSET('4.1(2)新規再エネ導入予定（設備情報）'!$Z$1,MATCH($G125,'4.1(2)新規再エネ導入予定（設備情報）'!$G:$G,0)-1,0)),"")</f>
        <v>施設
カウント</v>
      </c>
      <c r="Y125" s="270">
        <f t="shared" si="54"/>
        <v>0</v>
      </c>
      <c r="Z125" s="261">
        <f t="shared" ca="1" si="46"/>
        <v>0</v>
      </c>
      <c r="AA125" s="270">
        <f t="shared" si="53"/>
        <v>0</v>
      </c>
      <c r="AB125" s="262">
        <f t="shared" ca="1" si="47"/>
        <v>1</v>
      </c>
      <c r="AC125" s="175">
        <f t="shared" si="51"/>
        <v>0</v>
      </c>
      <c r="AD125" s="175" t="str">
        <f t="shared" si="52"/>
        <v/>
      </c>
      <c r="AE125" s="175" t="str">
        <f t="shared" si="49"/>
        <v/>
      </c>
      <c r="AF125" s="175" t="str">
        <f t="shared" si="50"/>
        <v/>
      </c>
      <c r="AG125" s="175" t="str">
        <f t="shared" si="43"/>
        <v>E</v>
      </c>
      <c r="AH125" s="175" cm="1">
        <f t="array" ref="AH125">_xlfn.IFS(COUNTIF($N125:$P125,"合意済")=3,4,OR(COUNTIF($N125:$P125,"合意済")=2,COUNTIF($N125:$P125,"合意済")=1),3,COUNTIF($N125:$P125,"合意済")=0,2)</f>
        <v>2</v>
      </c>
      <c r="AI125" s="175" t="e">
        <f t="shared" ca="1" si="45"/>
        <v>#VALUE!</v>
      </c>
      <c r="AJ125" s="175" t="str">
        <f t="shared" ca="1" si="48"/>
        <v/>
      </c>
    </row>
    <row r="126" spans="2:36" ht="42" customHeight="1">
      <c r="D126" s="16"/>
      <c r="E126" s="271"/>
      <c r="F126" s="1361"/>
      <c r="G126" s="1374"/>
      <c r="H126" s="1374"/>
      <c r="I126" s="1372"/>
      <c r="J126" s="1374"/>
      <c r="K126" s="1374"/>
      <c r="L126" s="1290"/>
      <c r="M126" s="434" t="s">
        <v>196</v>
      </c>
      <c r="N126" s="434" t="s">
        <v>101</v>
      </c>
      <c r="O126" s="434" t="s">
        <v>195</v>
      </c>
      <c r="P126" s="365" t="s">
        <v>100</v>
      </c>
      <c r="Q126" s="1380"/>
      <c r="R126" s="19"/>
      <c r="T126" s="1380"/>
      <c r="V126" s="175">
        <f t="shared" si="40"/>
        <v>119</v>
      </c>
      <c r="W126" s="215">
        <f ca="1">IF(OFFSET('4.1(2)新規再エネ導入予定（設備情報）'!$O$1,MATCH(X126,'4.1(2)新規再エネ導入予定（設備情報）'!$Z:$Z,0)-1,0)="低圧",1,0)</f>
        <v>0</v>
      </c>
      <c r="X126" s="125" t="str">
        <f ca="1">IFERROR(IF(AND(G126="",L126&lt;&gt;""),MAX(OFFSET($X$8,0,0,ROW()-8,1)),OFFSET('4.1(2)新規再エネ導入予定（設備情報）'!$Z$1,MATCH($G126,'4.1(2)新規再エネ導入予定（設備情報）'!$G:$G,0)-1,0)),"")</f>
        <v/>
      </c>
      <c r="Y126" s="270">
        <f t="shared" si="54"/>
        <v>0</v>
      </c>
      <c r="Z126" s="261">
        <f t="shared" ca="1" si="46"/>
        <v>0</v>
      </c>
      <c r="AA126" s="270">
        <f t="shared" si="53"/>
        <v>0</v>
      </c>
      <c r="AB126" s="262">
        <f t="shared" ca="1" si="47"/>
        <v>1</v>
      </c>
      <c r="AC126" s="175">
        <f t="shared" si="51"/>
        <v>0</v>
      </c>
      <c r="AD126" s="175">
        <f t="shared" si="52"/>
        <v>0</v>
      </c>
      <c r="AE126" s="175">
        <f t="shared" si="49"/>
        <v>0</v>
      </c>
      <c r="AF126" s="175">
        <f t="shared" si="50"/>
        <v>0</v>
      </c>
      <c r="AG126" s="175">
        <f t="shared" ca="1" si="43"/>
        <v>0</v>
      </c>
      <c r="AH126" s="175" cm="1">
        <f t="array" ref="AH126">_xlfn.IFS(COUNTIF($N126:$P126,"合意済")=3,4,OR(COUNTIF($N126:$P126,"合意済")=2,COUNTIF($N126:$P126,"合意済")=1),3,COUNTIF($N126:$P126,"合意済")=0,2)</f>
        <v>2</v>
      </c>
      <c r="AI126" s="175">
        <f t="shared" ca="1" si="45"/>
        <v>0</v>
      </c>
      <c r="AJ126" s="175" t="str">
        <f t="shared" ca="1" si="48"/>
        <v/>
      </c>
    </row>
    <row r="127" spans="2:36" s="11" customFormat="1" hidden="1">
      <c r="B127" s="21"/>
      <c r="C127" s="21"/>
      <c r="D127" s="22"/>
      <c r="E127" s="128"/>
      <c r="F127" s="707"/>
      <c r="G127" s="479"/>
      <c r="H127" s="495"/>
      <c r="I127" s="496"/>
      <c r="J127" s="497"/>
      <c r="K127" s="498"/>
      <c r="L127" s="481"/>
      <c r="M127" s="484"/>
      <c r="N127" s="484"/>
      <c r="O127" s="484"/>
      <c r="P127" s="484"/>
      <c r="Q127" s="484"/>
      <c r="R127" s="24"/>
      <c r="S127" s="21"/>
      <c r="T127" s="484"/>
      <c r="V127" s="255">
        <f t="shared" si="40"/>
        <v>120</v>
      </c>
      <c r="W127" s="129">
        <f ca="1">IF(OFFSET('4.1(2)新規再エネ導入予定（設備情報）'!$O$1,MATCH(X127,'4.1(2)新規再エネ導入予定（設備情報）'!$Z:$Z,0)-1,0)="低圧",1,0)</f>
        <v>0</v>
      </c>
      <c r="X127" s="125" t="str">
        <f ca="1">IFERROR(IF(AND(G127="",L127&lt;&gt;""),MAX(OFFSET($X$8,0,0,ROW()-8,1)),OFFSET('4.1(2)新規再エネ導入予定（設備情報）'!$Z$1,MATCH($G127,'4.1(2)新規再エネ導入予定（設備情報）'!$G:$G,0)-1,0)),"")</f>
        <v/>
      </c>
      <c r="Y127" s="224">
        <f t="shared" si="54"/>
        <v>0</v>
      </c>
      <c r="Z127" s="224">
        <f t="shared" ca="1" si="46"/>
        <v>0</v>
      </c>
      <c r="AA127" s="224">
        <f t="shared" si="53"/>
        <v>0</v>
      </c>
      <c r="AB127" s="277">
        <f t="shared" ca="1" si="47"/>
        <v>1</v>
      </c>
      <c r="AC127" s="255" t="str">
        <f t="shared" si="51"/>
        <v/>
      </c>
      <c r="AD127" s="255" t="str">
        <f t="shared" si="52"/>
        <v/>
      </c>
      <c r="AE127" s="255" t="str">
        <f t="shared" si="49"/>
        <v/>
      </c>
      <c r="AF127" s="255" t="str">
        <f t="shared" si="50"/>
        <v/>
      </c>
      <c r="AG127" s="255" t="str">
        <f t="shared" si="43"/>
        <v>E</v>
      </c>
      <c r="AH127" s="255" cm="1">
        <f t="array" ref="AH127">_xlfn.IFS(COUNTIF($N127:$P127,"合意済")=3,4,OR(COUNTIF($N127:$P127,"合意済")=2,COUNTIF($N127:$P127,"合意済")=1),3,COUNTIF($N127:$P127,"合意済")=0,2)</f>
        <v>2</v>
      </c>
      <c r="AI127" s="255" t="e">
        <f t="shared" ca="1" si="45"/>
        <v>#VALUE!</v>
      </c>
      <c r="AJ127" s="255" t="str">
        <f t="shared" ca="1" si="48"/>
        <v/>
      </c>
    </row>
    <row r="128" spans="2:36" s="11" customFormat="1">
      <c r="B128" s="21"/>
      <c r="C128" s="21"/>
      <c r="D128" s="22"/>
      <c r="E128" s="128"/>
      <c r="F128" s="489" t="str">
        <f ca="1">IFERROR(OFFSET('4.1(2)新規再エネ導入予定（設備情報）'!$F$1,MATCH(G128,'4.1(2)新規再エネ導入予定（設備情報）'!$G:$G,0)-1,0),"")</f>
        <v/>
      </c>
      <c r="G128" s="480"/>
      <c r="H128" s="491" t="str">
        <f ca="1">IFERROR(OFFSET('4.1(2)新規再エネ導入予定（設備情報）'!$H$1,MATCH(G128,'4.1(2)新規再エネ導入予定（設備情報）'!$G:$G,0)-1,0)&amp;"","")</f>
        <v/>
      </c>
      <c r="I128" s="492" t="str">
        <f ca="1">IFERROR(OFFSET('4.1(2)新規再エネ導入予定（設備情報）'!$L$1,MATCH(G128,'4.1(2)新規再エネ導入予定（設備情報）'!$G:$G,0)-1,0),"")</f>
        <v/>
      </c>
      <c r="J128" s="493" t="str">
        <f ca="1">IFERROR(OFFSET('4.1(2)新規再エネ導入予定（設備情報）'!$O$1,MATCH(G128,'4.1(2)新規再エネ導入予定（設備情報）'!$G:$G,0)-1,0),"")</f>
        <v/>
      </c>
      <c r="K128" s="494" t="str">
        <f ca="1">IFERROR(OFFSET('4.1(2)新規再エネ導入予定（設備情報）'!$P$1,MATCH(G128,'4.1(2)新規再エネ導入予定（設備情報）'!$G:$G,0)-1,0),"")</f>
        <v/>
      </c>
      <c r="L128" s="483"/>
      <c r="M128" s="486"/>
      <c r="N128" s="486"/>
      <c r="O128" s="486"/>
      <c r="P128" s="486"/>
      <c r="Q128" s="486"/>
      <c r="R128" s="24"/>
      <c r="S128" s="21"/>
      <c r="T128" s="486"/>
      <c r="V128" s="255">
        <f t="shared" si="40"/>
        <v>121</v>
      </c>
      <c r="W128" s="129">
        <f ca="1">IF(OFFSET('4.1(2)新規再エネ導入予定（設備情報）'!$O$1,MATCH(X128,'4.1(2)新規再エネ導入予定（設備情報）'!$Z:$Z,0)-1,0)="低圧",1,0)</f>
        <v>0</v>
      </c>
      <c r="X128" s="125" t="str">
        <f ca="1">IFERROR(IF(AND(G128="",L128&lt;&gt;""),MAX(OFFSET($X$8,0,0,ROW()-8,1)),OFFSET('4.1(2)新規再エネ導入予定（設備情報）'!$Z$1,MATCH($G128,'4.1(2)新規再エネ導入予定（設備情報）'!$G:$G,0)-1,0)),"")</f>
        <v/>
      </c>
      <c r="Y128" s="223">
        <f t="shared" si="54"/>
        <v>0</v>
      </c>
      <c r="Z128" s="224">
        <f t="shared" ca="1" si="46"/>
        <v>0</v>
      </c>
      <c r="AA128" s="223">
        <f t="shared" si="53"/>
        <v>0</v>
      </c>
      <c r="AB128" s="277">
        <f t="shared" ca="1" si="47"/>
        <v>1</v>
      </c>
      <c r="AC128" s="255" t="str">
        <f t="shared" si="51"/>
        <v/>
      </c>
      <c r="AD128" s="255" t="str">
        <f t="shared" si="52"/>
        <v/>
      </c>
      <c r="AE128" s="255" t="str">
        <f t="shared" si="49"/>
        <v/>
      </c>
      <c r="AF128" s="255" t="str">
        <f t="shared" si="50"/>
        <v/>
      </c>
      <c r="AG128" s="255" t="str">
        <f t="shared" si="43"/>
        <v>E</v>
      </c>
      <c r="AH128" s="255" cm="1">
        <f t="array" ref="AH128">_xlfn.IFS(COUNTIF($N128:$P128,"合意済")=3,4,OR(COUNTIF($N128:$P128,"合意済")=2,COUNTIF($N128:$P128,"合意済")=1),3,COUNTIF($N128:$P128,"合意済")=0,2)</f>
        <v>2</v>
      </c>
      <c r="AI128" s="255" t="e">
        <f t="shared" ca="1" si="45"/>
        <v>#VALUE!</v>
      </c>
      <c r="AJ128" s="255" t="str">
        <f t="shared" ca="1" si="48"/>
        <v/>
      </c>
    </row>
    <row r="129" spans="2:36" s="11" customFormat="1">
      <c r="B129" s="21"/>
      <c r="C129" s="21"/>
      <c r="D129" s="22"/>
      <c r="E129" s="128"/>
      <c r="F129" s="489" t="str">
        <f ca="1">IFERROR(OFFSET('4.1(2)新規再エネ導入予定（設備情報）'!$F$1,MATCH(G129,'4.1(2)新規再エネ導入予定（設備情報）'!$G:$G,0)-1,0),"")</f>
        <v/>
      </c>
      <c r="G129" s="480"/>
      <c r="H129" s="491" t="str">
        <f ca="1">IFERROR(OFFSET('4.1(2)新規再エネ導入予定（設備情報）'!$H$1,MATCH(G129,'4.1(2)新規再エネ導入予定（設備情報）'!$G:$G,0)-1,0)&amp;"","")</f>
        <v/>
      </c>
      <c r="I129" s="492" t="str">
        <f ca="1">IFERROR(OFFSET('4.1(2)新規再エネ導入予定（設備情報）'!$L$1,MATCH(G129,'4.1(2)新規再エネ導入予定（設備情報）'!$G:$G,0)-1,0),"")</f>
        <v/>
      </c>
      <c r="J129" s="493" t="str">
        <f ca="1">IFERROR(OFFSET('4.1(2)新規再エネ導入予定（設備情報）'!$O$1,MATCH(G129,'4.1(2)新規再エネ導入予定（設備情報）'!$G:$G,0)-1,0),"")</f>
        <v/>
      </c>
      <c r="K129" s="494" t="str">
        <f ca="1">IFERROR(OFFSET('4.1(2)新規再エネ導入予定（設備情報）'!$P$1,MATCH(G129,'4.1(2)新規再エネ導入予定（設備情報）'!$G:$G,0)-1,0),"")</f>
        <v/>
      </c>
      <c r="L129" s="483"/>
      <c r="M129" s="486"/>
      <c r="N129" s="486"/>
      <c r="O129" s="486"/>
      <c r="P129" s="486"/>
      <c r="Q129" s="486"/>
      <c r="R129" s="24"/>
      <c r="S129" s="21"/>
      <c r="T129" s="486"/>
      <c r="V129" s="255">
        <f t="shared" si="40"/>
        <v>122</v>
      </c>
      <c r="W129" s="129">
        <f ca="1">IF(OFFSET('4.1(2)新規再エネ導入予定（設備情報）'!$O$1,MATCH(X129,'4.1(2)新規再エネ導入予定（設備情報）'!$Z:$Z,0)-1,0)="低圧",1,0)</f>
        <v>0</v>
      </c>
      <c r="X129" s="125" t="str">
        <f ca="1">IFERROR(IF(AND(G129="",L129&lt;&gt;""),MAX(OFFSET($X$8,0,0,ROW()-8,1)),OFFSET('4.1(2)新規再エネ導入予定（設備情報）'!$Z$1,MATCH($G129,'4.1(2)新規再エネ導入予定（設備情報）'!$G:$G,0)-1,0)),"")</f>
        <v/>
      </c>
      <c r="Y129" s="223">
        <f t="shared" si="54"/>
        <v>0</v>
      </c>
      <c r="Z129" s="224">
        <f t="shared" ca="1" si="46"/>
        <v>0</v>
      </c>
      <c r="AA129" s="223">
        <f t="shared" si="53"/>
        <v>0</v>
      </c>
      <c r="AB129" s="277">
        <f t="shared" ca="1" si="47"/>
        <v>1</v>
      </c>
      <c r="AC129" s="255" t="str">
        <f t="shared" si="51"/>
        <v/>
      </c>
      <c r="AD129" s="255" t="str">
        <f t="shared" si="52"/>
        <v/>
      </c>
      <c r="AE129" s="255" t="str">
        <f t="shared" si="49"/>
        <v/>
      </c>
      <c r="AF129" s="255" t="str">
        <f t="shared" si="50"/>
        <v/>
      </c>
      <c r="AG129" s="255" t="str">
        <f t="shared" si="43"/>
        <v>E</v>
      </c>
      <c r="AH129" s="255" cm="1">
        <f t="array" ref="AH129">_xlfn.IFS(COUNTIF($N129:$P129,"合意済")=3,4,OR(COUNTIF($N129:$P129,"合意済")=2,COUNTIF($N129:$P129,"合意済")=1),3,COUNTIF($N129:$P129,"合意済")=0,2)</f>
        <v>2</v>
      </c>
      <c r="AI129" s="255" t="e">
        <f t="shared" ca="1" si="45"/>
        <v>#VALUE!</v>
      </c>
      <c r="AJ129" s="255" t="str">
        <f t="shared" ca="1" si="48"/>
        <v/>
      </c>
    </row>
    <row r="130" spans="2:36" s="11" customFormat="1">
      <c r="B130" s="21"/>
      <c r="C130" s="21"/>
      <c r="D130" s="22"/>
      <c r="E130" s="128"/>
      <c r="F130" s="489" t="str">
        <f ca="1">IFERROR(OFFSET('4.1(2)新規再エネ導入予定（設備情報）'!$F$1,MATCH(G130,'4.1(2)新規再エネ導入予定（設備情報）'!$G:$G,0)-1,0),"")</f>
        <v/>
      </c>
      <c r="G130" s="480"/>
      <c r="H130" s="491" t="str">
        <f ca="1">IFERROR(OFFSET('4.1(2)新規再エネ導入予定（設備情報）'!$H$1,MATCH(G130,'4.1(2)新規再エネ導入予定（設備情報）'!$G:$G,0)-1,0)&amp;"","")</f>
        <v/>
      </c>
      <c r="I130" s="492" t="str">
        <f ca="1">IFERROR(OFFSET('4.1(2)新規再エネ導入予定（設備情報）'!$L$1,MATCH(G130,'4.1(2)新規再エネ導入予定（設備情報）'!$G:$G,0)-1,0),"")</f>
        <v/>
      </c>
      <c r="J130" s="493" t="str">
        <f ca="1">IFERROR(OFFSET('4.1(2)新規再エネ導入予定（設備情報）'!$O$1,MATCH(G130,'4.1(2)新規再エネ導入予定（設備情報）'!$G:$G,0)-1,0),"")</f>
        <v/>
      </c>
      <c r="K130" s="494" t="str">
        <f ca="1">IFERROR(OFFSET('4.1(2)新規再エネ導入予定（設備情報）'!$P$1,MATCH(G130,'4.1(2)新規再エネ導入予定（設備情報）'!$G:$G,0)-1,0),"")</f>
        <v/>
      </c>
      <c r="L130" s="483"/>
      <c r="M130" s="486"/>
      <c r="N130" s="486"/>
      <c r="O130" s="486"/>
      <c r="P130" s="486"/>
      <c r="Q130" s="486"/>
      <c r="R130" s="24"/>
      <c r="S130" s="21"/>
      <c r="T130" s="486"/>
      <c r="V130" s="255">
        <f t="shared" si="40"/>
        <v>123</v>
      </c>
      <c r="W130" s="129">
        <f ca="1">IF(OFFSET('4.1(2)新規再エネ導入予定（設備情報）'!$O$1,MATCH(X130,'4.1(2)新規再エネ導入予定（設備情報）'!$Z:$Z,0)-1,0)="低圧",1,0)</f>
        <v>0</v>
      </c>
      <c r="X130" s="125" t="str">
        <f ca="1">IFERROR(IF(AND(G130="",L130&lt;&gt;""),MAX(OFFSET($X$8,0,0,ROW()-8,1)),OFFSET('4.1(2)新規再エネ導入予定（設備情報）'!$Z$1,MATCH($G130,'4.1(2)新規再エネ導入予定（設備情報）'!$G:$G,0)-1,0)),"")</f>
        <v/>
      </c>
      <c r="Y130" s="223">
        <f t="shared" si="54"/>
        <v>0</v>
      </c>
      <c r="Z130" s="224">
        <f t="shared" ca="1" si="46"/>
        <v>0</v>
      </c>
      <c r="AA130" s="223">
        <f t="shared" si="53"/>
        <v>0</v>
      </c>
      <c r="AB130" s="277">
        <f t="shared" ca="1" si="47"/>
        <v>1</v>
      </c>
      <c r="AC130" s="255" t="str">
        <f t="shared" si="51"/>
        <v/>
      </c>
      <c r="AD130" s="255" t="str">
        <f t="shared" si="52"/>
        <v/>
      </c>
      <c r="AE130" s="255" t="str">
        <f t="shared" si="49"/>
        <v/>
      </c>
      <c r="AF130" s="255" t="str">
        <f t="shared" si="50"/>
        <v/>
      </c>
      <c r="AG130" s="255" t="str">
        <f t="shared" si="43"/>
        <v>E</v>
      </c>
      <c r="AH130" s="255" cm="1">
        <f t="array" ref="AH130">_xlfn.IFS(COUNTIF($N130:$P130,"合意済")=3,4,OR(COUNTIF($N130:$P130,"合意済")=2,COUNTIF($N130:$P130,"合意済")=1),3,COUNTIF($N130:$P130,"合意済")=0,2)</f>
        <v>2</v>
      </c>
      <c r="AI130" s="255" t="e">
        <f t="shared" ca="1" si="45"/>
        <v>#VALUE!</v>
      </c>
      <c r="AJ130" s="255" t="str">
        <f t="shared" ca="1" si="48"/>
        <v/>
      </c>
    </row>
    <row r="131" spans="2:36" s="11" customFormat="1">
      <c r="B131" s="21"/>
      <c r="C131" s="21"/>
      <c r="D131" s="22"/>
      <c r="E131" s="128"/>
      <c r="F131" s="489" t="str">
        <f ca="1">IFERROR(OFFSET('4.1(2)新規再エネ導入予定（設備情報）'!$F$1,MATCH(G131,'4.1(2)新規再エネ導入予定（設備情報）'!$G:$G,0)-1,0),"")</f>
        <v/>
      </c>
      <c r="G131" s="480"/>
      <c r="H131" s="491" t="str">
        <f ca="1">IFERROR(OFFSET('4.1(2)新規再エネ導入予定（設備情報）'!$H$1,MATCH(G131,'4.1(2)新規再エネ導入予定（設備情報）'!$G:$G,0)-1,0)&amp;"","")</f>
        <v/>
      </c>
      <c r="I131" s="492" t="str">
        <f ca="1">IFERROR(OFFSET('4.1(2)新規再エネ導入予定（設備情報）'!$L$1,MATCH(G131,'4.1(2)新規再エネ導入予定（設備情報）'!$G:$G,0)-1,0),"")</f>
        <v/>
      </c>
      <c r="J131" s="493" t="str">
        <f ca="1">IFERROR(OFFSET('4.1(2)新規再エネ導入予定（設備情報）'!$O$1,MATCH(G131,'4.1(2)新規再エネ導入予定（設備情報）'!$G:$G,0)-1,0),"")</f>
        <v/>
      </c>
      <c r="K131" s="494" t="str">
        <f ca="1">IFERROR(OFFSET('4.1(2)新規再エネ導入予定（設備情報）'!$P$1,MATCH(G131,'4.1(2)新規再エネ導入予定（設備情報）'!$G:$G,0)-1,0),"")</f>
        <v/>
      </c>
      <c r="L131" s="483"/>
      <c r="M131" s="486"/>
      <c r="N131" s="486"/>
      <c r="O131" s="486"/>
      <c r="P131" s="486"/>
      <c r="Q131" s="486"/>
      <c r="R131" s="24"/>
      <c r="S131" s="21"/>
      <c r="T131" s="486"/>
      <c r="V131" s="255">
        <f t="shared" si="40"/>
        <v>124</v>
      </c>
      <c r="W131" s="129">
        <f ca="1">IF(OFFSET('4.1(2)新規再エネ導入予定（設備情報）'!$O$1,MATCH(X131,'4.1(2)新規再エネ導入予定（設備情報）'!$Z:$Z,0)-1,0)="低圧",1,0)</f>
        <v>0</v>
      </c>
      <c r="X131" s="125" t="str">
        <f ca="1">IFERROR(IF(AND(G131="",L131&lt;&gt;""),MAX(OFFSET($X$8,0,0,ROW()-8,1)),OFFSET('4.1(2)新規再エネ導入予定（設備情報）'!$Z$1,MATCH($G131,'4.1(2)新規再エネ導入予定（設備情報）'!$G:$G,0)-1,0)),"")</f>
        <v/>
      </c>
      <c r="Y131" s="223">
        <f t="shared" si="54"/>
        <v>0</v>
      </c>
      <c r="Z131" s="224">
        <f t="shared" ca="1" si="46"/>
        <v>0</v>
      </c>
      <c r="AA131" s="223">
        <f t="shared" si="53"/>
        <v>0</v>
      </c>
      <c r="AB131" s="277">
        <f t="shared" ca="1" si="47"/>
        <v>1</v>
      </c>
      <c r="AC131" s="255" t="str">
        <f t="shared" si="51"/>
        <v/>
      </c>
      <c r="AD131" s="255" t="str">
        <f t="shared" si="52"/>
        <v/>
      </c>
      <c r="AE131" s="255" t="str">
        <f t="shared" si="49"/>
        <v/>
      </c>
      <c r="AF131" s="255" t="str">
        <f t="shared" si="50"/>
        <v/>
      </c>
      <c r="AG131" s="255" t="str">
        <f t="shared" si="43"/>
        <v>E</v>
      </c>
      <c r="AH131" s="255" cm="1">
        <f t="array" ref="AH131">_xlfn.IFS(COUNTIF($N131:$P131,"合意済")=3,4,OR(COUNTIF($N131:$P131,"合意済")=2,COUNTIF($N131:$P131,"合意済")=1),3,COUNTIF($N131:$P131,"合意済")=0,2)</f>
        <v>2</v>
      </c>
      <c r="AI131" s="255" t="e">
        <f t="shared" ca="1" si="45"/>
        <v>#VALUE!</v>
      </c>
      <c r="AJ131" s="255" t="str">
        <f t="shared" ca="1" si="48"/>
        <v/>
      </c>
    </row>
    <row r="132" spans="2:36">
      <c r="D132" s="16"/>
      <c r="E132" s="272"/>
      <c r="F132" s="189" t="s">
        <v>26</v>
      </c>
      <c r="G132" s="240"/>
      <c r="H132" s="240"/>
      <c r="I132" s="273"/>
      <c r="J132" s="274"/>
      <c r="K132" s="499">
        <f ca="1">SUM(INDIRECT("K"&amp;ROW(K125)&amp;":K"&amp;ROW()-1))</f>
        <v>0</v>
      </c>
      <c r="L132" s="274"/>
      <c r="M132" s="242"/>
      <c r="N132" s="242"/>
      <c r="O132" s="242"/>
      <c r="P132" s="242"/>
      <c r="Q132" s="242"/>
      <c r="R132" s="19"/>
      <c r="T132" s="242"/>
      <c r="V132" s="175">
        <f t="shared" si="40"/>
        <v>125</v>
      </c>
      <c r="W132" s="215">
        <f ca="1">IF(OFFSET('4.1(2)新規再エネ導入予定（設備情報）'!$O$1,MATCH(X132,'4.1(2)新規再エネ導入予定（設備情報）'!$Z:$Z,0)-1,0)="低圧",1,0)</f>
        <v>0</v>
      </c>
      <c r="X132" s="125" t="str">
        <f ca="1">IFERROR(IF(AND(G132="",L132&lt;&gt;""),MAX(OFFSET($X$8,0,0,ROW()-8,1)),OFFSET('4.1(2)新規再エネ導入予定（設備情報）'!$Z$1,MATCH($G132,'4.1(2)新規再エネ導入予定（設備情報）'!$G:$G,0)-1,0)),"")</f>
        <v/>
      </c>
      <c r="Y132" s="222">
        <f t="shared" si="54"/>
        <v>0</v>
      </c>
      <c r="Z132" s="261">
        <f t="shared" ca="1" si="46"/>
        <v>0</v>
      </c>
      <c r="AA132" s="222">
        <f t="shared" si="53"/>
        <v>0</v>
      </c>
      <c r="AB132" s="262">
        <f t="shared" ca="1" si="47"/>
        <v>1</v>
      </c>
      <c r="AC132" s="175" t="str">
        <f t="shared" si="51"/>
        <v/>
      </c>
      <c r="AD132" s="175" t="str">
        <f t="shared" si="52"/>
        <v/>
      </c>
      <c r="AE132" s="175" t="str">
        <f t="shared" si="49"/>
        <v/>
      </c>
      <c r="AF132" s="175" t="str">
        <f t="shared" si="50"/>
        <v/>
      </c>
      <c r="AG132" s="175" t="str">
        <f t="shared" si="43"/>
        <v>E</v>
      </c>
      <c r="AH132" s="175" cm="1">
        <f t="array" ref="AH132">_xlfn.IFS(COUNTIF($N132:$P132,"合意済")=3,4,OR(COUNTIF($N132:$P132,"合意済")=2,COUNTIF($N132:$P132,"合意済")=1),3,COUNTIF($N132:$P132,"合意済")=0,2)</f>
        <v>2</v>
      </c>
      <c r="AI132" s="175" t="e">
        <f t="shared" ca="1" si="45"/>
        <v>#VALUE!</v>
      </c>
      <c r="AJ132" s="175" t="str">
        <f t="shared" ca="1" si="48"/>
        <v/>
      </c>
    </row>
    <row r="133" spans="2:36">
      <c r="D133" s="46"/>
      <c r="E133" s="26"/>
      <c r="F133" s="26"/>
      <c r="G133" s="4"/>
      <c r="H133" s="4"/>
      <c r="I133" s="122"/>
      <c r="J133" s="4"/>
      <c r="K133" s="4"/>
      <c r="L133" s="4"/>
      <c r="M133" s="123"/>
      <c r="N133" s="123"/>
      <c r="O133" s="123"/>
      <c r="P133" s="123"/>
      <c r="Q133" s="123"/>
      <c r="R133" s="27"/>
      <c r="S133"/>
      <c r="T133" s="247"/>
      <c r="U133" s="247"/>
      <c r="V133" s="175">
        <f t="shared" si="40"/>
        <v>126</v>
      </c>
      <c r="W133" s="215">
        <f ca="1">IF(OFFSET('4.1(2)新規再エネ導入予定（設備情報）'!$O$1,MATCH(X133,'4.1(2)新規再エネ導入予定（設備情報）'!$Z:$Z,0)-1,0)="低圧",1,0)</f>
        <v>0</v>
      </c>
      <c r="X133" s="125" t="str">
        <f ca="1">IFERROR(IF(AND(G133="",L133&lt;&gt;""),MAX(OFFSET($X$8,0,0,ROW()-8,1)),OFFSET('4.1(2)新規再エネ導入予定（設備情報）'!$Z$1,MATCH($G133,'4.1(2)新規再エネ導入予定（設備情報）'!$G:$G,0)-1,0)),"")</f>
        <v/>
      </c>
      <c r="Y133" s="222">
        <f t="shared" si="54"/>
        <v>0</v>
      </c>
      <c r="Z133" s="261">
        <f t="shared" ca="1" si="46"/>
        <v>0</v>
      </c>
      <c r="AA133" s="222">
        <f t="shared" si="53"/>
        <v>0</v>
      </c>
      <c r="AB133" s="262">
        <f t="shared" ca="1" si="47"/>
        <v>1</v>
      </c>
      <c r="AC133" s="175" t="str">
        <f t="shared" si="51"/>
        <v/>
      </c>
      <c r="AD133" s="175" t="str">
        <f t="shared" si="52"/>
        <v/>
      </c>
      <c r="AE133" s="175" t="str">
        <f t="shared" si="49"/>
        <v/>
      </c>
      <c r="AF133" s="175" t="str">
        <f t="shared" si="50"/>
        <v/>
      </c>
      <c r="AG133" s="175" t="str">
        <f t="shared" si="43"/>
        <v>E</v>
      </c>
      <c r="AH133" s="175" cm="1">
        <f t="array" ref="AH133">_xlfn.IFS(COUNTIF($N133:$P133,"合意済")=3,4,OR(COUNTIF($N133:$P133,"合意済")=2,COUNTIF($N133:$P133,"合意済")=1),3,COUNTIF($N133:$P133,"合意済")=0,2)</f>
        <v>2</v>
      </c>
      <c r="AI133" s="175" t="e">
        <f t="shared" ca="1" si="45"/>
        <v>#VALUE!</v>
      </c>
      <c r="AJ133" s="175" t="str">
        <f t="shared" ca="1" si="48"/>
        <v/>
      </c>
    </row>
    <row r="134" spans="2:36">
      <c r="F134" s="31"/>
      <c r="G134" s="31"/>
      <c r="H134" s="31"/>
      <c r="I134" s="268"/>
      <c r="J134" s="31"/>
      <c r="K134" s="31"/>
      <c r="L134" s="31"/>
      <c r="M134" s="247"/>
      <c r="N134" s="247"/>
      <c r="O134" s="247"/>
      <c r="P134" s="247"/>
      <c r="Q134" s="247"/>
      <c r="T134" s="247"/>
      <c r="U134" s="247"/>
      <c r="V134" s="175">
        <f t="shared" si="40"/>
        <v>127</v>
      </c>
      <c r="W134" s="215">
        <f ca="1">IF(OFFSET('4.1(2)新規再エネ導入予定（設備情報）'!$O$1,MATCH(X134,'4.1(2)新規再エネ導入予定（設備情報）'!$Z:$Z,0)-1,0)="低圧",1,0)</f>
        <v>0</v>
      </c>
      <c r="X134" s="125" t="str">
        <f ca="1">IFERROR(IF(AND(G134="",L134&lt;&gt;""),MAX(OFFSET($X$8,0,0,ROW()-8,1)),OFFSET('4.1(2)新規再エネ導入予定（設備情報）'!$Z$1,MATCH($G134,'4.1(2)新規再エネ導入予定（設備情報）'!$G:$G,0)-1,0)),"")</f>
        <v/>
      </c>
      <c r="Y134" s="222">
        <f t="shared" si="54"/>
        <v>0</v>
      </c>
      <c r="Z134" s="261">
        <f t="shared" ca="1" si="46"/>
        <v>0</v>
      </c>
      <c r="AA134" s="222">
        <f t="shared" si="53"/>
        <v>0</v>
      </c>
      <c r="AB134" s="262">
        <f t="shared" ca="1" si="47"/>
        <v>1</v>
      </c>
      <c r="AC134" s="175" t="str">
        <f t="shared" si="51"/>
        <v/>
      </c>
      <c r="AD134" s="175" t="str">
        <f t="shared" si="52"/>
        <v/>
      </c>
      <c r="AE134" s="175" t="str">
        <f t="shared" si="49"/>
        <v/>
      </c>
      <c r="AF134" s="175" t="str">
        <f t="shared" si="50"/>
        <v/>
      </c>
      <c r="AG134" s="175" t="str">
        <f t="shared" si="43"/>
        <v>E</v>
      </c>
      <c r="AH134" s="175" cm="1">
        <f t="array" ref="AH134">_xlfn.IFS(COUNTIF($N134:$P134,"合意済")=3,4,OR(COUNTIF($N134:$P134,"合意済")=2,COUNTIF($N134:$P134,"合意済")=1),3,COUNTIF($N134:$P134,"合意済")=0,2)</f>
        <v>2</v>
      </c>
      <c r="AI134" s="175" t="e">
        <f t="shared" ca="1" si="45"/>
        <v>#VALUE!</v>
      </c>
      <c r="AJ134" s="175" t="str">
        <f t="shared" ca="1" si="48"/>
        <v/>
      </c>
    </row>
    <row r="135" spans="2:36">
      <c r="F135" s="31"/>
      <c r="G135" s="31"/>
      <c r="H135" s="31"/>
      <c r="I135" s="268"/>
      <c r="J135" s="31"/>
      <c r="K135" s="31"/>
      <c r="L135" s="31"/>
      <c r="M135" s="247"/>
      <c r="N135" s="247"/>
      <c r="O135" s="247"/>
      <c r="P135" s="247"/>
      <c r="Q135" s="247"/>
      <c r="T135" s="247"/>
      <c r="U135" s="247"/>
      <c r="V135" s="175">
        <f t="shared" si="40"/>
        <v>128</v>
      </c>
      <c r="W135" s="215">
        <f ca="1">IF(OFFSET('4.1(2)新規再エネ導入予定（設備情報）'!$O$1,MATCH(X135,'4.1(2)新規再エネ導入予定（設備情報）'!$Z:$Z,0)-1,0)="低圧",1,0)</f>
        <v>0</v>
      </c>
      <c r="X135" s="125" t="str">
        <f ca="1">IFERROR(IF(AND(G135="",L135&lt;&gt;""),MAX(OFFSET($X$8,0,0,ROW()-8,1)),OFFSET('4.1(2)新規再エネ導入予定（設備情報）'!$Z$1,MATCH($G135,'4.1(2)新規再エネ導入予定（設備情報）'!$G:$G,0)-1,0)),"")</f>
        <v/>
      </c>
      <c r="Y135" s="222">
        <f t="shared" si="54"/>
        <v>0</v>
      </c>
      <c r="Z135" s="261">
        <f t="shared" ca="1" si="46"/>
        <v>0</v>
      </c>
      <c r="AA135" s="222">
        <f t="shared" si="53"/>
        <v>0</v>
      </c>
      <c r="AB135" s="262">
        <f t="shared" ca="1" si="47"/>
        <v>1</v>
      </c>
      <c r="AC135" s="175" t="str">
        <f t="shared" si="51"/>
        <v/>
      </c>
      <c r="AD135" s="175" t="str">
        <f t="shared" si="52"/>
        <v/>
      </c>
      <c r="AE135" s="175" t="str">
        <f t="shared" si="49"/>
        <v/>
      </c>
      <c r="AF135" s="175" t="str">
        <f t="shared" si="50"/>
        <v/>
      </c>
      <c r="AG135" s="175" t="str">
        <f t="shared" si="43"/>
        <v>E</v>
      </c>
      <c r="AH135" s="175" cm="1">
        <f t="array" ref="AH135">_xlfn.IFS(COUNTIF($N135:$P135,"合意済")=3,4,OR(COUNTIF($N135:$P135,"合意済")=2,COUNTIF($N135:$P135,"合意済")=1),3,COUNTIF($N135:$P135,"合意済")=0,2)</f>
        <v>2</v>
      </c>
      <c r="AI135" s="175" t="e">
        <f t="shared" ca="1" si="45"/>
        <v>#VALUE!</v>
      </c>
      <c r="AJ135" s="175" t="str">
        <f t="shared" ca="1" si="48"/>
        <v/>
      </c>
    </row>
    <row r="136" spans="2:36" ht="9.75" customHeight="1">
      <c r="D136" s="14"/>
      <c r="E136" s="15"/>
      <c r="F136" s="15"/>
      <c r="G136" s="248"/>
      <c r="H136" s="15"/>
      <c r="I136" s="235"/>
      <c r="J136" s="15"/>
      <c r="K136" s="15"/>
      <c r="L136" s="15"/>
      <c r="M136" s="236"/>
      <c r="N136" s="236"/>
      <c r="O136" s="236"/>
      <c r="P136" s="236"/>
      <c r="Q136" s="236"/>
      <c r="R136" s="30"/>
      <c r="T136" s="229"/>
      <c r="U136" s="229"/>
      <c r="V136" s="175">
        <f t="shared" si="40"/>
        <v>129</v>
      </c>
      <c r="W136" s="215">
        <f ca="1">IF(OFFSET('4.1(2)新規再エネ導入予定（設備情報）'!$O$1,MATCH(X136,'4.1(2)新規再エネ導入予定（設備情報）'!$Z:$Z,0)-1,0)="低圧",1,0)</f>
        <v>0</v>
      </c>
      <c r="X136" s="125" t="str">
        <f ca="1">IFERROR(IF(AND(G136="",L136&lt;&gt;""),MAX(OFFSET($X$8,0,0,ROW()-8,1)),OFFSET('4.1(2)新規再エネ導入予定（設備情報）'!$Z$1,MATCH($G136,'4.1(2)新規再エネ導入予定（設備情報）'!$G:$G,0)-1,0)),"")</f>
        <v/>
      </c>
      <c r="Y136" s="222">
        <f t="shared" si="54"/>
        <v>0</v>
      </c>
      <c r="Z136" s="261">
        <f t="shared" ref="Z136:Z171" ca="1" si="55">SUMIF($X$8:$X$171,X136,$Y$8:$Y$171)</f>
        <v>0</v>
      </c>
      <c r="AA136" s="222">
        <f t="shared" si="53"/>
        <v>0</v>
      </c>
      <c r="AB136" s="262">
        <f t="shared" ref="AB136:AB171" ca="1" si="56">IF(COUNTIFS($X$8:$X$171,X136,$Y$8:$Y$171,1)=0,1,COUNTIFS($X$8:$X$171,X136,$Y$8:$Y$171,1,$AA$8:$AA$171,1))</f>
        <v>1</v>
      </c>
      <c r="AC136" s="175" t="str">
        <f t="shared" si="51"/>
        <v/>
      </c>
      <c r="AD136" s="175" t="str">
        <f t="shared" si="52"/>
        <v/>
      </c>
      <c r="AE136" s="175" t="str">
        <f t="shared" si="49"/>
        <v/>
      </c>
      <c r="AF136" s="175" t="str">
        <f t="shared" si="50"/>
        <v/>
      </c>
      <c r="AG136" s="175" t="str">
        <f t="shared" si="43"/>
        <v>E</v>
      </c>
      <c r="AH136" s="175" cm="1">
        <f t="array" ref="AH136">_xlfn.IFS(COUNTIF($N136:$P136,"合意済")=3,4,OR(COUNTIF($N136:$P136,"合意済")=2,COUNTIF($N136:$P136,"合意済")=1),3,COUNTIF($N136:$P136,"合意済")=0,2)</f>
        <v>2</v>
      </c>
      <c r="AI136" s="175" t="e">
        <f t="shared" ca="1" si="45"/>
        <v>#VALUE!</v>
      </c>
      <c r="AJ136" s="175" t="str">
        <f t="shared" ref="AJ136:AJ171" ca="1" si="57">IFERROR(_xlfn.MINIFS($AI$8:$AI$171,$X$8:$X$171,X136),"")</f>
        <v/>
      </c>
    </row>
    <row r="137" spans="2:36" ht="21">
      <c r="D137" s="237" t="s">
        <v>92</v>
      </c>
      <c r="F137" s="237"/>
      <c r="G137" s="269"/>
      <c r="I137" s="228"/>
      <c r="R137" s="19"/>
      <c r="T137" s="229"/>
      <c r="V137" s="175">
        <f t="shared" ref="V137:V171" si="58">ROW()-7</f>
        <v>130</v>
      </c>
      <c r="W137" s="215">
        <f ca="1">IF(OFFSET('4.1(2)新規再エネ導入予定（設備情報）'!$O$1,MATCH(X137,'4.1(2)新規再エネ導入予定（設備情報）'!$Z:$Z,0)-1,0)="低圧",1,0)</f>
        <v>0</v>
      </c>
      <c r="X137" s="125" t="str">
        <f ca="1">IFERROR(IF(AND(G137="",L137&lt;&gt;""),MAX(OFFSET($X$8,0,0,ROW()-8,1)),OFFSET('4.1(2)新規再エネ導入予定（設備情報）'!$Z$1,MATCH($G137,'4.1(2)新規再エネ導入予定（設備情報）'!$G:$G,0)-1,0)),"")</f>
        <v/>
      </c>
      <c r="Y137" s="222">
        <f t="shared" si="54"/>
        <v>0</v>
      </c>
      <c r="Z137" s="261">
        <f t="shared" ca="1" si="55"/>
        <v>0</v>
      </c>
      <c r="AA137" s="222">
        <f t="shared" si="53"/>
        <v>0</v>
      </c>
      <c r="AB137" s="262">
        <f t="shared" ca="1" si="56"/>
        <v>1</v>
      </c>
      <c r="AC137" s="175" t="str">
        <f t="shared" si="51"/>
        <v/>
      </c>
      <c r="AD137" s="175" t="str">
        <f t="shared" si="52"/>
        <v/>
      </c>
      <c r="AE137" s="175" t="str">
        <f t="shared" ref="AE137:AE171" si="59">IF(O137="","",IF(OR(O137="説明済",O137="協議中",O137="合意済"),1,0))</f>
        <v/>
      </c>
      <c r="AF137" s="175" t="str">
        <f t="shared" ref="AF137:AF171" si="60">IF(P137="","",IF(OR(P137="説明済",P137="協議中",P137="合意済"),1,0))</f>
        <v/>
      </c>
      <c r="AG137" s="175" t="str">
        <f t="shared" ref="AG137:AG171" si="61">IF(COUNTBLANK(AD137:AF137)=0,IF(W137=1,AC137,PRODUCT(AD137:AF137)),"E")</f>
        <v>E</v>
      </c>
      <c r="AH137" s="175" cm="1">
        <f t="array" ref="AH137">_xlfn.IFS(COUNTIF($N137:$P137,"合意済")=3,4,OR(COUNTIF($N137:$P137,"合意済")=2,COUNTIF($N137:$P137,"合意済")=1),3,COUNTIF($N137:$P137,"合意済")=0,2)</f>
        <v>2</v>
      </c>
      <c r="AI137" s="175" t="e">
        <f t="shared" ca="1" si="45"/>
        <v>#VALUE!</v>
      </c>
      <c r="AJ137" s="175" t="str">
        <f t="shared" ca="1" si="57"/>
        <v/>
      </c>
    </row>
    <row r="138" spans="2:36" ht="21" customHeight="1">
      <c r="D138" s="237"/>
      <c r="F138" s="1361" t="s">
        <v>8</v>
      </c>
      <c r="G138" s="1373" t="s">
        <v>185</v>
      </c>
      <c r="H138" s="1373" t="s">
        <v>180</v>
      </c>
      <c r="I138" s="1371" t="s">
        <v>31</v>
      </c>
      <c r="J138" s="1373" t="s">
        <v>186</v>
      </c>
      <c r="K138" s="1373" t="s">
        <v>199</v>
      </c>
      <c r="L138" s="1289" t="s">
        <v>183</v>
      </c>
      <c r="M138" s="1300" t="s">
        <v>184</v>
      </c>
      <c r="N138" s="1300"/>
      <c r="O138" s="1300"/>
      <c r="P138" s="1300"/>
      <c r="Q138" s="1379" t="s">
        <v>303</v>
      </c>
      <c r="R138" s="19"/>
      <c r="T138" s="1379" t="s">
        <v>311</v>
      </c>
      <c r="V138" s="175">
        <f t="shared" si="58"/>
        <v>131</v>
      </c>
      <c r="W138" s="215">
        <f ca="1">IF(OFFSET('4.1(2)新規再エネ導入予定（設備情報）'!$O$1,MATCH(X138,'4.1(2)新規再エネ導入予定（設備情報）'!$Z:$Z,0)-1,0)="低圧",1,0)</f>
        <v>0</v>
      </c>
      <c r="X138" s="125" t="str">
        <f ca="1">IFERROR(IF(AND(G138="",L138&lt;&gt;""),MAX(OFFSET($X$8,0,0,ROW()-8,1)),OFFSET('4.1(2)新規再エネ導入予定（設備情報）'!$Z$1,MATCH($G138,'4.1(2)新規再エネ導入予定（設備情報）'!$G:$G,0)-1,0)),"")</f>
        <v>施設
カウント</v>
      </c>
      <c r="Y138" s="270">
        <f t="shared" si="54"/>
        <v>0</v>
      </c>
      <c r="Z138" s="261">
        <f t="shared" ca="1" si="55"/>
        <v>0</v>
      </c>
      <c r="AA138" s="270">
        <f t="shared" si="53"/>
        <v>0</v>
      </c>
      <c r="AB138" s="262">
        <f t="shared" ca="1" si="56"/>
        <v>1</v>
      </c>
      <c r="AC138" s="175">
        <f t="shared" si="51"/>
        <v>0</v>
      </c>
      <c r="AD138" s="175" t="str">
        <f t="shared" si="52"/>
        <v/>
      </c>
      <c r="AE138" s="175" t="str">
        <f t="shared" si="59"/>
        <v/>
      </c>
      <c r="AF138" s="175" t="str">
        <f t="shared" si="60"/>
        <v/>
      </c>
      <c r="AG138" s="175" t="str">
        <f t="shared" si="61"/>
        <v>E</v>
      </c>
      <c r="AH138" s="175" cm="1">
        <f t="array" ref="AH138">_xlfn.IFS(COUNTIF($N138:$P138,"合意済")=3,4,OR(COUNTIF($N138:$P138,"合意済")=2,COUNTIF($N138:$P138,"合意済")=1),3,COUNTIF($N138:$P138,"合意済")=0,2)</f>
        <v>2</v>
      </c>
      <c r="AI138" s="175" t="e">
        <f t="shared" ca="1" si="45"/>
        <v>#VALUE!</v>
      </c>
      <c r="AJ138" s="175" t="str">
        <f t="shared" ca="1" si="57"/>
        <v/>
      </c>
    </row>
    <row r="139" spans="2:36" ht="42" customHeight="1">
      <c r="D139" s="16"/>
      <c r="E139" s="271"/>
      <c r="F139" s="1361"/>
      <c r="G139" s="1374"/>
      <c r="H139" s="1374"/>
      <c r="I139" s="1372"/>
      <c r="J139" s="1374"/>
      <c r="K139" s="1374"/>
      <c r="L139" s="1290"/>
      <c r="M139" s="434" t="s">
        <v>196</v>
      </c>
      <c r="N139" s="434" t="s">
        <v>101</v>
      </c>
      <c r="O139" s="434" t="s">
        <v>195</v>
      </c>
      <c r="P139" s="365" t="s">
        <v>100</v>
      </c>
      <c r="Q139" s="1380"/>
      <c r="R139" s="19"/>
      <c r="T139" s="1380"/>
      <c r="V139" s="175">
        <f t="shared" si="58"/>
        <v>132</v>
      </c>
      <c r="W139" s="215">
        <f ca="1">IF(OFFSET('4.1(2)新規再エネ導入予定（設備情報）'!$O$1,MATCH(X139,'4.1(2)新規再エネ導入予定（設備情報）'!$Z:$Z,0)-1,0)="低圧",1,0)</f>
        <v>0</v>
      </c>
      <c r="X139" s="125" t="str">
        <f ca="1">IFERROR(IF(AND(G139="",L139&lt;&gt;""),MAX(OFFSET($X$8,0,0,ROW()-8,1)),OFFSET('4.1(2)新規再エネ導入予定（設備情報）'!$Z$1,MATCH($G139,'4.1(2)新規再エネ導入予定（設備情報）'!$G:$G,0)-1,0)),"")</f>
        <v/>
      </c>
      <c r="Y139" s="270">
        <f t="shared" si="54"/>
        <v>0</v>
      </c>
      <c r="Z139" s="261">
        <f t="shared" ca="1" si="55"/>
        <v>0</v>
      </c>
      <c r="AA139" s="270">
        <f t="shared" si="53"/>
        <v>0</v>
      </c>
      <c r="AB139" s="262">
        <f t="shared" ca="1" si="56"/>
        <v>1</v>
      </c>
      <c r="AC139" s="175">
        <f t="shared" si="51"/>
        <v>0</v>
      </c>
      <c r="AD139" s="175">
        <f t="shared" si="52"/>
        <v>0</v>
      </c>
      <c r="AE139" s="175">
        <f t="shared" si="59"/>
        <v>0</v>
      </c>
      <c r="AF139" s="175">
        <f t="shared" si="60"/>
        <v>0</v>
      </c>
      <c r="AG139" s="175">
        <f t="shared" ca="1" si="61"/>
        <v>0</v>
      </c>
      <c r="AH139" s="175" cm="1">
        <f t="array" ref="AH139">_xlfn.IFS(COUNTIF($N139:$P139,"合意済")=3,4,OR(COUNTIF($N139:$P139,"合意済")=2,COUNTIF($N139:$P139,"合意済")=1),3,COUNTIF($N139:$P139,"合意済")=0,2)</f>
        <v>2</v>
      </c>
      <c r="AI139" s="175">
        <f t="shared" ca="1" si="45"/>
        <v>0</v>
      </c>
      <c r="AJ139" s="175" t="str">
        <f t="shared" ca="1" si="57"/>
        <v/>
      </c>
    </row>
    <row r="140" spans="2:36" s="11" customFormat="1" hidden="1">
      <c r="B140" s="21"/>
      <c r="C140" s="21"/>
      <c r="D140" s="22"/>
      <c r="E140" s="128"/>
      <c r="F140" s="707"/>
      <c r="G140" s="479"/>
      <c r="H140" s="495"/>
      <c r="I140" s="496"/>
      <c r="J140" s="497"/>
      <c r="K140" s="498"/>
      <c r="L140" s="481"/>
      <c r="M140" s="484"/>
      <c r="N140" s="484"/>
      <c r="O140" s="484"/>
      <c r="P140" s="484"/>
      <c r="Q140" s="484"/>
      <c r="R140" s="24"/>
      <c r="S140" s="21"/>
      <c r="T140" s="484"/>
      <c r="V140" s="255">
        <f t="shared" si="58"/>
        <v>133</v>
      </c>
      <c r="W140" s="129">
        <f ca="1">IF(OFFSET('4.1(2)新規再エネ導入予定（設備情報）'!$O$1,MATCH(X140,'4.1(2)新規再エネ導入予定（設備情報）'!$Z:$Z,0)-1,0)="低圧",1,0)</f>
        <v>0</v>
      </c>
      <c r="X140" s="125" t="str">
        <f ca="1">IFERROR(IF(AND(G140="",L140&lt;&gt;""),MAX(OFFSET($X$8,0,0,ROW()-8,1)),OFFSET('4.1(2)新規再エネ導入予定（設備情報）'!$Z$1,MATCH($G140,'4.1(2)新規再エネ導入予定（設備情報）'!$G:$G,0)-1,0)),"")</f>
        <v/>
      </c>
      <c r="Y140" s="224">
        <f t="shared" si="54"/>
        <v>0</v>
      </c>
      <c r="Z140" s="224">
        <f t="shared" ca="1" si="55"/>
        <v>0</v>
      </c>
      <c r="AA140" s="224">
        <f t="shared" si="53"/>
        <v>0</v>
      </c>
      <c r="AB140" s="277">
        <f t="shared" ca="1" si="56"/>
        <v>1</v>
      </c>
      <c r="AC140" s="255" t="str">
        <f t="shared" si="51"/>
        <v/>
      </c>
      <c r="AD140" s="255" t="str">
        <f t="shared" si="52"/>
        <v/>
      </c>
      <c r="AE140" s="255" t="str">
        <f t="shared" si="59"/>
        <v/>
      </c>
      <c r="AF140" s="255" t="str">
        <f t="shared" si="60"/>
        <v/>
      </c>
      <c r="AG140" s="255" t="str">
        <f t="shared" si="61"/>
        <v>E</v>
      </c>
      <c r="AH140" s="255" cm="1">
        <f t="array" ref="AH140">_xlfn.IFS(COUNTIF($N140:$P140,"合意済")=3,4,OR(COUNTIF($N140:$P140,"合意済")=2,COUNTIF($N140:$P140,"合意済")=1),3,COUNTIF($N140:$P140,"合意済")=0,2)</f>
        <v>2</v>
      </c>
      <c r="AI140" s="255" t="e">
        <f t="shared" ca="1" si="45"/>
        <v>#VALUE!</v>
      </c>
      <c r="AJ140" s="255" t="str">
        <f t="shared" ca="1" si="57"/>
        <v/>
      </c>
    </row>
    <row r="141" spans="2:36" s="11" customFormat="1">
      <c r="B141" s="21"/>
      <c r="C141" s="21"/>
      <c r="D141" s="22"/>
      <c r="E141" s="128"/>
      <c r="F141" s="489" t="str">
        <f ca="1">IFERROR(OFFSET('4.1(2)新規再エネ導入予定（設備情報）'!$F$1,MATCH(G141,'4.1(2)新規再エネ導入予定（設備情報）'!$G:$G,0)-1,0),"")</f>
        <v/>
      </c>
      <c r="G141" s="480"/>
      <c r="H141" s="491" t="str">
        <f ca="1">IFERROR(OFFSET('4.1(2)新規再エネ導入予定（設備情報）'!$H$1,MATCH(G141,'4.1(2)新規再エネ導入予定（設備情報）'!$G:$G,0)-1,0)&amp;"","")</f>
        <v/>
      </c>
      <c r="I141" s="492" t="str">
        <f ca="1">IFERROR(OFFSET('4.1(2)新規再エネ導入予定（設備情報）'!$L$1,MATCH(G141,'4.1(2)新規再エネ導入予定（設備情報）'!$G:$G,0)-1,0),"")</f>
        <v/>
      </c>
      <c r="J141" s="493" t="str">
        <f ca="1">IFERROR(OFFSET('4.1(2)新規再エネ導入予定（設備情報）'!$O$1,MATCH(G141,'4.1(2)新規再エネ導入予定（設備情報）'!$G:$G,0)-1,0),"")</f>
        <v/>
      </c>
      <c r="K141" s="494" t="str">
        <f ca="1">IFERROR(OFFSET('4.1(2)新規再エネ導入予定（設備情報）'!$P$1,MATCH(G141,'4.1(2)新規再エネ導入予定（設備情報）'!$G:$G,0)-1,0),"")</f>
        <v/>
      </c>
      <c r="L141" s="483"/>
      <c r="M141" s="486"/>
      <c r="N141" s="486"/>
      <c r="O141" s="486"/>
      <c r="P141" s="486"/>
      <c r="Q141" s="486"/>
      <c r="R141" s="24"/>
      <c r="S141" s="21"/>
      <c r="T141" s="486"/>
      <c r="V141" s="255">
        <f t="shared" si="58"/>
        <v>134</v>
      </c>
      <c r="W141" s="129">
        <f ca="1">IF(OFFSET('4.1(2)新規再エネ導入予定（設備情報）'!$O$1,MATCH(X141,'4.1(2)新規再エネ導入予定（設備情報）'!$Z:$Z,0)-1,0)="低圧",1,0)</f>
        <v>0</v>
      </c>
      <c r="X141" s="125" t="str">
        <f ca="1">IFERROR(IF(AND(G141="",L141&lt;&gt;""),MAX(OFFSET($X$8,0,0,ROW()-8,1)),OFFSET('4.1(2)新規再エネ導入予定（設備情報）'!$Z$1,MATCH($G141,'4.1(2)新規再エネ導入予定（設備情報）'!$G:$G,0)-1,0)),"")</f>
        <v/>
      </c>
      <c r="Y141" s="223">
        <f t="shared" si="54"/>
        <v>0</v>
      </c>
      <c r="Z141" s="224">
        <f t="shared" ca="1" si="55"/>
        <v>0</v>
      </c>
      <c r="AA141" s="223">
        <f t="shared" si="53"/>
        <v>0</v>
      </c>
      <c r="AB141" s="277">
        <f t="shared" ca="1" si="56"/>
        <v>1</v>
      </c>
      <c r="AC141" s="255" t="str">
        <f t="shared" si="51"/>
        <v/>
      </c>
      <c r="AD141" s="255" t="str">
        <f t="shared" si="52"/>
        <v/>
      </c>
      <c r="AE141" s="255" t="str">
        <f t="shared" si="59"/>
        <v/>
      </c>
      <c r="AF141" s="255" t="str">
        <f t="shared" si="60"/>
        <v/>
      </c>
      <c r="AG141" s="255" t="str">
        <f t="shared" si="61"/>
        <v>E</v>
      </c>
      <c r="AH141" s="255" cm="1">
        <f t="array" ref="AH141">_xlfn.IFS(COUNTIF($N141:$P141,"合意済")=3,4,OR(COUNTIF($N141:$P141,"合意済")=2,COUNTIF($N141:$P141,"合意済")=1),3,COUNTIF($N141:$P141,"合意済")=0,2)</f>
        <v>2</v>
      </c>
      <c r="AI141" s="255" t="e">
        <f t="shared" ref="AI141:AI171" ca="1" si="62">IF(AND(W141*AA141*AC141=1,AD141*AE141*AF141=0),2,AB141*AC141*AG141*(AH141))</f>
        <v>#VALUE!</v>
      </c>
      <c r="AJ141" s="255" t="str">
        <f t="shared" ca="1" si="57"/>
        <v/>
      </c>
    </row>
    <row r="142" spans="2:36" s="11" customFormat="1">
      <c r="B142" s="21"/>
      <c r="C142" s="21"/>
      <c r="D142" s="22"/>
      <c r="E142" s="128"/>
      <c r="F142" s="489" t="str">
        <f ca="1">IFERROR(OFFSET('4.1(2)新規再エネ導入予定（設備情報）'!$F$1,MATCH(G142,'4.1(2)新規再エネ導入予定（設備情報）'!$G:$G,0)-1,0),"")</f>
        <v/>
      </c>
      <c r="G142" s="480"/>
      <c r="H142" s="491" t="str">
        <f ca="1">IFERROR(OFFSET('4.1(2)新規再エネ導入予定（設備情報）'!$H$1,MATCH(G142,'4.1(2)新規再エネ導入予定（設備情報）'!$G:$G,0)-1,0)&amp;"","")</f>
        <v/>
      </c>
      <c r="I142" s="492" t="str">
        <f ca="1">IFERROR(OFFSET('4.1(2)新規再エネ導入予定（設備情報）'!$L$1,MATCH(G142,'4.1(2)新規再エネ導入予定（設備情報）'!$G:$G,0)-1,0),"")</f>
        <v/>
      </c>
      <c r="J142" s="493" t="str">
        <f ca="1">IFERROR(OFFSET('4.1(2)新規再エネ導入予定（設備情報）'!$O$1,MATCH(G142,'4.1(2)新規再エネ導入予定（設備情報）'!$G:$G,0)-1,0),"")</f>
        <v/>
      </c>
      <c r="K142" s="494" t="str">
        <f ca="1">IFERROR(OFFSET('4.1(2)新規再エネ導入予定（設備情報）'!$P$1,MATCH(G142,'4.1(2)新規再エネ導入予定（設備情報）'!$G:$G,0)-1,0),"")</f>
        <v/>
      </c>
      <c r="L142" s="483"/>
      <c r="M142" s="486"/>
      <c r="N142" s="486"/>
      <c r="O142" s="486"/>
      <c r="P142" s="486"/>
      <c r="Q142" s="486"/>
      <c r="R142" s="24"/>
      <c r="S142" s="21"/>
      <c r="T142" s="486"/>
      <c r="V142" s="255">
        <f t="shared" si="58"/>
        <v>135</v>
      </c>
      <c r="W142" s="129">
        <f ca="1">IF(OFFSET('4.1(2)新規再エネ導入予定（設備情報）'!$O$1,MATCH(X142,'4.1(2)新規再エネ導入予定（設備情報）'!$Z:$Z,0)-1,0)="低圧",1,0)</f>
        <v>0</v>
      </c>
      <c r="X142" s="125" t="str">
        <f ca="1">IFERROR(IF(AND(G142="",L142&lt;&gt;""),MAX(OFFSET($X$8,0,0,ROW()-8,1)),OFFSET('4.1(2)新規再エネ導入予定（設備情報）'!$Z$1,MATCH($G142,'4.1(2)新規再エネ導入予定（設備情報）'!$G:$G,0)-1,0)),"")</f>
        <v/>
      </c>
      <c r="Y142" s="223">
        <f t="shared" si="54"/>
        <v>0</v>
      </c>
      <c r="Z142" s="224">
        <f t="shared" ca="1" si="55"/>
        <v>0</v>
      </c>
      <c r="AA142" s="223">
        <f t="shared" si="53"/>
        <v>0</v>
      </c>
      <c r="AB142" s="277">
        <f t="shared" ca="1" si="56"/>
        <v>1</v>
      </c>
      <c r="AC142" s="255" t="str">
        <f t="shared" si="51"/>
        <v/>
      </c>
      <c r="AD142" s="255" t="str">
        <f t="shared" si="52"/>
        <v/>
      </c>
      <c r="AE142" s="255" t="str">
        <f t="shared" si="59"/>
        <v/>
      </c>
      <c r="AF142" s="255" t="str">
        <f t="shared" si="60"/>
        <v/>
      </c>
      <c r="AG142" s="255" t="str">
        <f t="shared" si="61"/>
        <v>E</v>
      </c>
      <c r="AH142" s="255" cm="1">
        <f t="array" ref="AH142">_xlfn.IFS(COUNTIF($N142:$P142,"合意済")=3,4,OR(COUNTIF($N142:$P142,"合意済")=2,COUNTIF($N142:$P142,"合意済")=1),3,COUNTIF($N142:$P142,"合意済")=0,2)</f>
        <v>2</v>
      </c>
      <c r="AI142" s="255" t="e">
        <f t="shared" ca="1" si="62"/>
        <v>#VALUE!</v>
      </c>
      <c r="AJ142" s="255" t="str">
        <f t="shared" ca="1" si="57"/>
        <v/>
      </c>
    </row>
    <row r="143" spans="2:36" s="11" customFormat="1">
      <c r="B143" s="21"/>
      <c r="C143" s="21"/>
      <c r="D143" s="22"/>
      <c r="E143" s="128"/>
      <c r="F143" s="489" t="str">
        <f ca="1">IFERROR(OFFSET('4.1(2)新規再エネ導入予定（設備情報）'!$F$1,MATCH(G143,'4.1(2)新規再エネ導入予定（設備情報）'!$G:$G,0)-1,0),"")</f>
        <v/>
      </c>
      <c r="G143" s="480"/>
      <c r="H143" s="491" t="str">
        <f ca="1">IFERROR(OFFSET('4.1(2)新規再エネ導入予定（設備情報）'!$H$1,MATCH(G143,'4.1(2)新規再エネ導入予定（設備情報）'!$G:$G,0)-1,0)&amp;"","")</f>
        <v/>
      </c>
      <c r="I143" s="492" t="str">
        <f ca="1">IFERROR(OFFSET('4.1(2)新規再エネ導入予定（設備情報）'!$L$1,MATCH(G143,'4.1(2)新規再エネ導入予定（設備情報）'!$G:$G,0)-1,0),"")</f>
        <v/>
      </c>
      <c r="J143" s="493" t="str">
        <f ca="1">IFERROR(OFFSET('4.1(2)新規再エネ導入予定（設備情報）'!$O$1,MATCH(G143,'4.1(2)新規再エネ導入予定（設備情報）'!$G:$G,0)-1,0),"")</f>
        <v/>
      </c>
      <c r="K143" s="494" t="str">
        <f ca="1">IFERROR(OFFSET('4.1(2)新規再エネ導入予定（設備情報）'!$P$1,MATCH(G143,'4.1(2)新規再エネ導入予定（設備情報）'!$G:$G,0)-1,0),"")</f>
        <v/>
      </c>
      <c r="L143" s="483"/>
      <c r="M143" s="486"/>
      <c r="N143" s="486"/>
      <c r="O143" s="486"/>
      <c r="P143" s="486"/>
      <c r="Q143" s="486"/>
      <c r="R143" s="24"/>
      <c r="S143" s="21"/>
      <c r="T143" s="486"/>
      <c r="V143" s="255">
        <f t="shared" si="58"/>
        <v>136</v>
      </c>
      <c r="W143" s="129">
        <f ca="1">IF(OFFSET('4.1(2)新規再エネ導入予定（設備情報）'!$O$1,MATCH(X143,'4.1(2)新規再エネ導入予定（設備情報）'!$Z:$Z,0)-1,0)="低圧",1,0)</f>
        <v>0</v>
      </c>
      <c r="X143" s="125" t="str">
        <f ca="1">IFERROR(IF(AND(G143="",L143&lt;&gt;""),MAX(OFFSET($X$8,0,0,ROW()-8,1)),OFFSET('4.1(2)新規再エネ導入予定（設備情報）'!$Z$1,MATCH($G143,'4.1(2)新規再エネ導入予定（設備情報）'!$G:$G,0)-1,0)),"")</f>
        <v/>
      </c>
      <c r="Y143" s="223">
        <f t="shared" si="54"/>
        <v>0</v>
      </c>
      <c r="Z143" s="224">
        <f t="shared" ca="1" si="55"/>
        <v>0</v>
      </c>
      <c r="AA143" s="223">
        <f t="shared" si="53"/>
        <v>0</v>
      </c>
      <c r="AB143" s="277">
        <f t="shared" ca="1" si="56"/>
        <v>1</v>
      </c>
      <c r="AC143" s="255" t="str">
        <f t="shared" si="51"/>
        <v/>
      </c>
      <c r="AD143" s="255" t="str">
        <f t="shared" si="52"/>
        <v/>
      </c>
      <c r="AE143" s="255" t="str">
        <f t="shared" si="59"/>
        <v/>
      </c>
      <c r="AF143" s="255" t="str">
        <f t="shared" si="60"/>
        <v/>
      </c>
      <c r="AG143" s="255" t="str">
        <f t="shared" si="61"/>
        <v>E</v>
      </c>
      <c r="AH143" s="255" cm="1">
        <f t="array" ref="AH143">_xlfn.IFS(COUNTIF($N143:$P143,"合意済")=3,4,OR(COUNTIF($N143:$P143,"合意済")=2,COUNTIF($N143:$P143,"合意済")=1),3,COUNTIF($N143:$P143,"合意済")=0,2)</f>
        <v>2</v>
      </c>
      <c r="AI143" s="255" t="e">
        <f t="shared" ca="1" si="62"/>
        <v>#VALUE!</v>
      </c>
      <c r="AJ143" s="255" t="str">
        <f t="shared" ca="1" si="57"/>
        <v/>
      </c>
    </row>
    <row r="144" spans="2:36" s="11" customFormat="1">
      <c r="B144" s="21"/>
      <c r="C144" s="21"/>
      <c r="D144" s="22"/>
      <c r="E144" s="128"/>
      <c r="F144" s="489" t="str">
        <f ca="1">IFERROR(OFFSET('4.1(2)新規再エネ導入予定（設備情報）'!$F$1,MATCH(G144,'4.1(2)新規再エネ導入予定（設備情報）'!$G:$G,0)-1,0),"")</f>
        <v/>
      </c>
      <c r="G144" s="480"/>
      <c r="H144" s="491" t="str">
        <f ca="1">IFERROR(OFFSET('4.1(2)新規再エネ導入予定（設備情報）'!$H$1,MATCH(G144,'4.1(2)新規再エネ導入予定（設備情報）'!$G:$G,0)-1,0)&amp;"","")</f>
        <v/>
      </c>
      <c r="I144" s="492" t="str">
        <f ca="1">IFERROR(OFFSET('4.1(2)新規再エネ導入予定（設備情報）'!$L$1,MATCH(G144,'4.1(2)新規再エネ導入予定（設備情報）'!$G:$G,0)-1,0),"")</f>
        <v/>
      </c>
      <c r="J144" s="493" t="str">
        <f ca="1">IFERROR(OFFSET('4.1(2)新規再エネ導入予定（設備情報）'!$O$1,MATCH(G144,'4.1(2)新規再エネ導入予定（設備情報）'!$G:$G,0)-1,0),"")</f>
        <v/>
      </c>
      <c r="K144" s="494" t="str">
        <f ca="1">IFERROR(OFFSET('4.1(2)新規再エネ導入予定（設備情報）'!$P$1,MATCH(G144,'4.1(2)新規再エネ導入予定（設備情報）'!$G:$G,0)-1,0),"")</f>
        <v/>
      </c>
      <c r="L144" s="483"/>
      <c r="M144" s="486"/>
      <c r="N144" s="486"/>
      <c r="O144" s="486"/>
      <c r="P144" s="486"/>
      <c r="Q144" s="486"/>
      <c r="R144" s="24"/>
      <c r="S144" s="21"/>
      <c r="T144" s="486"/>
      <c r="V144" s="255">
        <f t="shared" si="58"/>
        <v>137</v>
      </c>
      <c r="W144" s="129">
        <f ca="1">IF(OFFSET('4.1(2)新規再エネ導入予定（設備情報）'!$O$1,MATCH(X144,'4.1(2)新規再エネ導入予定（設備情報）'!$Z:$Z,0)-1,0)="低圧",1,0)</f>
        <v>0</v>
      </c>
      <c r="X144" s="125" t="str">
        <f ca="1">IFERROR(IF(AND(G144="",L144&lt;&gt;""),MAX(OFFSET($X$8,0,0,ROW()-8,1)),OFFSET('4.1(2)新規再エネ導入予定（設備情報）'!$Z$1,MATCH($G144,'4.1(2)新規再エネ導入予定（設備情報）'!$G:$G,0)-1,0)),"")</f>
        <v/>
      </c>
      <c r="Y144" s="223">
        <f t="shared" si="54"/>
        <v>0</v>
      </c>
      <c r="Z144" s="224">
        <f t="shared" ca="1" si="55"/>
        <v>0</v>
      </c>
      <c r="AA144" s="223">
        <f t="shared" si="53"/>
        <v>0</v>
      </c>
      <c r="AB144" s="277">
        <f t="shared" ca="1" si="56"/>
        <v>1</v>
      </c>
      <c r="AC144" s="255" t="str">
        <f t="shared" si="51"/>
        <v/>
      </c>
      <c r="AD144" s="255" t="str">
        <f t="shared" si="52"/>
        <v/>
      </c>
      <c r="AE144" s="255" t="str">
        <f t="shared" si="59"/>
        <v/>
      </c>
      <c r="AF144" s="255" t="str">
        <f t="shared" si="60"/>
        <v/>
      </c>
      <c r="AG144" s="255" t="str">
        <f t="shared" si="61"/>
        <v>E</v>
      </c>
      <c r="AH144" s="255" cm="1">
        <f t="array" ref="AH144">_xlfn.IFS(COUNTIF($N144:$P144,"合意済")=3,4,OR(COUNTIF($N144:$P144,"合意済")=2,COUNTIF($N144:$P144,"合意済")=1),3,COUNTIF($N144:$P144,"合意済")=0,2)</f>
        <v>2</v>
      </c>
      <c r="AI144" s="255" t="e">
        <f t="shared" ca="1" si="62"/>
        <v>#VALUE!</v>
      </c>
      <c r="AJ144" s="255" t="str">
        <f t="shared" ca="1" si="57"/>
        <v/>
      </c>
    </row>
    <row r="145" spans="2:36">
      <c r="D145" s="16"/>
      <c r="E145" s="272"/>
      <c r="F145" s="189" t="s">
        <v>26</v>
      </c>
      <c r="G145" s="240"/>
      <c r="H145" s="240"/>
      <c r="I145" s="273"/>
      <c r="J145" s="274"/>
      <c r="K145" s="499">
        <f ca="1">SUM(INDIRECT("K"&amp;ROW(K138)&amp;":K"&amp;ROW()-1))</f>
        <v>0</v>
      </c>
      <c r="L145" s="274"/>
      <c r="M145" s="242"/>
      <c r="N145" s="242"/>
      <c r="O145" s="242"/>
      <c r="P145" s="242"/>
      <c r="Q145" s="242"/>
      <c r="R145" s="19"/>
      <c r="T145" s="242"/>
      <c r="V145" s="175">
        <f t="shared" si="58"/>
        <v>138</v>
      </c>
      <c r="W145" s="215">
        <f ca="1">IF(OFFSET('4.1(2)新規再エネ導入予定（設備情報）'!$O$1,MATCH(X145,'4.1(2)新規再エネ導入予定（設備情報）'!$Z:$Z,0)-1,0)="低圧",1,0)</f>
        <v>0</v>
      </c>
      <c r="X145" s="125" t="str">
        <f ca="1">IFERROR(IF(AND(G145="",L145&lt;&gt;""),MAX(OFFSET($X$8,0,0,ROW()-8,1)),OFFSET('4.1(2)新規再エネ導入予定（設備情報）'!$Z$1,MATCH($G145,'4.1(2)新規再エネ導入予定（設備情報）'!$G:$G,0)-1,0)),"")</f>
        <v/>
      </c>
      <c r="Y145" s="222">
        <f t="shared" si="54"/>
        <v>0</v>
      </c>
      <c r="Z145" s="261">
        <f t="shared" ca="1" si="55"/>
        <v>0</v>
      </c>
      <c r="AA145" s="222">
        <f t="shared" si="53"/>
        <v>0</v>
      </c>
      <c r="AB145" s="262">
        <f t="shared" ca="1" si="56"/>
        <v>1</v>
      </c>
      <c r="AC145" s="175" t="str">
        <f t="shared" si="51"/>
        <v/>
      </c>
      <c r="AD145" s="175" t="str">
        <f t="shared" si="52"/>
        <v/>
      </c>
      <c r="AE145" s="175" t="str">
        <f t="shared" si="59"/>
        <v/>
      </c>
      <c r="AF145" s="175" t="str">
        <f t="shared" si="60"/>
        <v/>
      </c>
      <c r="AG145" s="175" t="str">
        <f t="shared" si="61"/>
        <v>E</v>
      </c>
      <c r="AH145" s="175" cm="1">
        <f t="array" ref="AH145">_xlfn.IFS(COUNTIF($N145:$P145,"合意済")=3,4,OR(COUNTIF($N145:$P145,"合意済")=2,COUNTIF($N145:$P145,"合意済")=1),3,COUNTIF($N145:$P145,"合意済")=0,2)</f>
        <v>2</v>
      </c>
      <c r="AI145" s="175" t="e">
        <f t="shared" ca="1" si="62"/>
        <v>#VALUE!</v>
      </c>
      <c r="AJ145" s="175" t="str">
        <f t="shared" ca="1" si="57"/>
        <v/>
      </c>
    </row>
    <row r="146" spans="2:36">
      <c r="D146" s="46"/>
      <c r="E146" s="26"/>
      <c r="F146" s="26"/>
      <c r="G146" s="4"/>
      <c r="H146" s="4"/>
      <c r="I146" s="122"/>
      <c r="J146" s="4"/>
      <c r="K146" s="4"/>
      <c r="L146" s="4"/>
      <c r="M146" s="123"/>
      <c r="N146" s="123"/>
      <c r="O146" s="123"/>
      <c r="P146" s="123"/>
      <c r="Q146" s="123"/>
      <c r="R146" s="27"/>
      <c r="S146"/>
      <c r="T146" s="247"/>
      <c r="U146" s="247"/>
      <c r="V146" s="175">
        <f t="shared" si="58"/>
        <v>139</v>
      </c>
      <c r="W146" s="215">
        <f ca="1">IF(OFFSET('4.1(2)新規再エネ導入予定（設備情報）'!$O$1,MATCH(X146,'4.1(2)新規再エネ導入予定（設備情報）'!$Z:$Z,0)-1,0)="低圧",1,0)</f>
        <v>0</v>
      </c>
      <c r="X146" s="125" t="str">
        <f ca="1">IFERROR(IF(AND(G146="",L146&lt;&gt;""),MAX(OFFSET($X$8,0,0,ROW()-8,1)),OFFSET('4.1(2)新規再エネ導入予定（設備情報）'!$Z$1,MATCH($G146,'4.1(2)新規再エネ導入予定（設備情報）'!$G:$G,0)-1,0)),"")</f>
        <v/>
      </c>
      <c r="Y146" s="222">
        <f t="shared" si="54"/>
        <v>0</v>
      </c>
      <c r="Z146" s="261">
        <f t="shared" ca="1" si="55"/>
        <v>0</v>
      </c>
      <c r="AA146" s="222">
        <f t="shared" si="53"/>
        <v>0</v>
      </c>
      <c r="AB146" s="262">
        <f t="shared" ca="1" si="56"/>
        <v>1</v>
      </c>
      <c r="AC146" s="175" t="str">
        <f t="shared" si="51"/>
        <v/>
      </c>
      <c r="AD146" s="175" t="str">
        <f t="shared" si="52"/>
        <v/>
      </c>
      <c r="AE146" s="175" t="str">
        <f t="shared" si="59"/>
        <v/>
      </c>
      <c r="AF146" s="175" t="str">
        <f t="shared" si="60"/>
        <v/>
      </c>
      <c r="AG146" s="175" t="str">
        <f t="shared" si="61"/>
        <v>E</v>
      </c>
      <c r="AH146" s="175" cm="1">
        <f t="array" ref="AH146">_xlfn.IFS(COUNTIF($N146:$P146,"合意済")=3,4,OR(COUNTIF($N146:$P146,"合意済")=2,COUNTIF($N146:$P146,"合意済")=1),3,COUNTIF($N146:$P146,"合意済")=0,2)</f>
        <v>2</v>
      </c>
      <c r="AI146" s="175" t="e">
        <f t="shared" ca="1" si="62"/>
        <v>#VALUE!</v>
      </c>
      <c r="AJ146" s="175" t="str">
        <f t="shared" ca="1" si="57"/>
        <v/>
      </c>
    </row>
    <row r="147" spans="2:36">
      <c r="F147" s="31"/>
      <c r="G147" s="31"/>
      <c r="H147" s="31"/>
      <c r="I147" s="268"/>
      <c r="J147" s="31"/>
      <c r="K147" s="31"/>
      <c r="L147" s="31"/>
      <c r="M147" s="247"/>
      <c r="N147" s="247"/>
      <c r="O147" s="247"/>
      <c r="P147" s="247"/>
      <c r="Q147" s="247"/>
      <c r="T147" s="247"/>
      <c r="U147" s="247"/>
      <c r="V147" s="175">
        <f t="shared" si="58"/>
        <v>140</v>
      </c>
      <c r="W147" s="215">
        <f ca="1">IF(OFFSET('4.1(2)新規再エネ導入予定（設備情報）'!$O$1,MATCH(X147,'4.1(2)新規再エネ導入予定（設備情報）'!$Z:$Z,0)-1,0)="低圧",1,0)</f>
        <v>0</v>
      </c>
      <c r="X147" s="125" t="str">
        <f ca="1">IFERROR(IF(AND(G147="",L147&lt;&gt;""),MAX(OFFSET($X$8,0,0,ROW()-8,1)),OFFSET('4.1(2)新規再エネ導入予定（設備情報）'!$Z$1,MATCH($G147,'4.1(2)新規再エネ導入予定（設備情報）'!$G:$G,0)-1,0)),"")</f>
        <v/>
      </c>
      <c r="Y147" s="222">
        <f t="shared" si="54"/>
        <v>0</v>
      </c>
      <c r="Z147" s="261">
        <f t="shared" ca="1" si="55"/>
        <v>0</v>
      </c>
      <c r="AA147" s="222">
        <f t="shared" si="53"/>
        <v>0</v>
      </c>
      <c r="AB147" s="262">
        <f t="shared" ca="1" si="56"/>
        <v>1</v>
      </c>
      <c r="AC147" s="175" t="str">
        <f t="shared" si="51"/>
        <v/>
      </c>
      <c r="AD147" s="175" t="str">
        <f t="shared" si="52"/>
        <v/>
      </c>
      <c r="AE147" s="175" t="str">
        <f t="shared" si="59"/>
        <v/>
      </c>
      <c r="AF147" s="175" t="str">
        <f t="shared" si="60"/>
        <v/>
      </c>
      <c r="AG147" s="175" t="str">
        <f t="shared" si="61"/>
        <v>E</v>
      </c>
      <c r="AH147" s="175" cm="1">
        <f t="array" ref="AH147">_xlfn.IFS(COUNTIF($N147:$P147,"合意済")=3,4,OR(COUNTIF($N147:$P147,"合意済")=2,COUNTIF($N147:$P147,"合意済")=1),3,COUNTIF($N147:$P147,"合意済")=0,2)</f>
        <v>2</v>
      </c>
      <c r="AI147" s="175" t="e">
        <f t="shared" ca="1" si="62"/>
        <v>#VALUE!</v>
      </c>
      <c r="AJ147" s="175" t="str">
        <f t="shared" ca="1" si="57"/>
        <v/>
      </c>
    </row>
    <row r="148" spans="2:36">
      <c r="F148" s="31"/>
      <c r="G148" s="31"/>
      <c r="H148" s="31"/>
      <c r="I148" s="268"/>
      <c r="J148" s="31"/>
      <c r="K148" s="31"/>
      <c r="L148" s="31"/>
      <c r="M148" s="247"/>
      <c r="N148" s="247"/>
      <c r="O148" s="247"/>
      <c r="P148" s="247"/>
      <c r="Q148" s="247"/>
      <c r="T148" s="247"/>
      <c r="U148" s="247"/>
      <c r="V148" s="175">
        <f t="shared" si="58"/>
        <v>141</v>
      </c>
      <c r="W148" s="215">
        <f ca="1">IF(OFFSET('4.1(2)新規再エネ導入予定（設備情報）'!$O$1,MATCH(X148,'4.1(2)新規再エネ導入予定（設備情報）'!$Z:$Z,0)-1,0)="低圧",1,0)</f>
        <v>0</v>
      </c>
      <c r="X148" s="125" t="str">
        <f ca="1">IFERROR(IF(AND(G148="",L148&lt;&gt;""),MAX(OFFSET($X$8,0,0,ROW()-8,1)),OFFSET('4.1(2)新規再エネ導入予定（設備情報）'!$Z$1,MATCH($G148,'4.1(2)新規再エネ導入予定（設備情報）'!$G:$G,0)-1,0)),"")</f>
        <v/>
      </c>
      <c r="Y148" s="222">
        <f t="shared" si="54"/>
        <v>0</v>
      </c>
      <c r="Z148" s="261">
        <f t="shared" ca="1" si="55"/>
        <v>0</v>
      </c>
      <c r="AA148" s="222">
        <f t="shared" si="53"/>
        <v>0</v>
      </c>
      <c r="AB148" s="262">
        <f t="shared" ca="1" si="56"/>
        <v>1</v>
      </c>
      <c r="AC148" s="175" t="str">
        <f t="shared" si="51"/>
        <v/>
      </c>
      <c r="AD148" s="175" t="str">
        <f t="shared" si="52"/>
        <v/>
      </c>
      <c r="AE148" s="175" t="str">
        <f t="shared" si="59"/>
        <v/>
      </c>
      <c r="AF148" s="175" t="str">
        <f t="shared" si="60"/>
        <v/>
      </c>
      <c r="AG148" s="175" t="str">
        <f t="shared" si="61"/>
        <v>E</v>
      </c>
      <c r="AH148" s="175" cm="1">
        <f t="array" ref="AH148">_xlfn.IFS(COUNTIF($N148:$P148,"合意済")=3,4,OR(COUNTIF($N148:$P148,"合意済")=2,COUNTIF($N148:$P148,"合意済")=1),3,COUNTIF($N148:$P148,"合意済")=0,2)</f>
        <v>2</v>
      </c>
      <c r="AI148" s="175" t="e">
        <f t="shared" ca="1" si="62"/>
        <v>#VALUE!</v>
      </c>
      <c r="AJ148" s="175" t="str">
        <f t="shared" ca="1" si="57"/>
        <v/>
      </c>
    </row>
    <row r="149" spans="2:36" ht="9.75" customHeight="1">
      <c r="D149" s="14"/>
      <c r="E149" s="15"/>
      <c r="F149" s="15"/>
      <c r="G149" s="248"/>
      <c r="H149" s="15"/>
      <c r="I149" s="235"/>
      <c r="J149" s="15"/>
      <c r="K149" s="15"/>
      <c r="L149" s="15"/>
      <c r="M149" s="236"/>
      <c r="N149" s="236"/>
      <c r="O149" s="236"/>
      <c r="P149" s="236"/>
      <c r="Q149" s="236"/>
      <c r="R149" s="30"/>
      <c r="T149" s="229"/>
      <c r="U149" s="229"/>
      <c r="V149" s="175">
        <f t="shared" si="58"/>
        <v>142</v>
      </c>
      <c r="W149" s="215">
        <f ca="1">IF(OFFSET('4.1(2)新規再エネ導入予定（設備情報）'!$O$1,MATCH(X149,'4.1(2)新規再エネ導入予定（設備情報）'!$Z:$Z,0)-1,0)="低圧",1,0)</f>
        <v>0</v>
      </c>
      <c r="X149" s="125" t="str">
        <f ca="1">IFERROR(IF(AND(G149="",L149&lt;&gt;""),MAX(OFFSET($X$8,0,0,ROW()-8,1)),OFFSET('4.1(2)新規再エネ導入予定（設備情報）'!$Z$1,MATCH($G149,'4.1(2)新規再エネ導入予定（設備情報）'!$G:$G,0)-1,0)),"")</f>
        <v/>
      </c>
      <c r="Y149" s="222">
        <f t="shared" si="54"/>
        <v>0</v>
      </c>
      <c r="Z149" s="261">
        <f t="shared" ca="1" si="55"/>
        <v>0</v>
      </c>
      <c r="AA149" s="222">
        <f t="shared" si="53"/>
        <v>0</v>
      </c>
      <c r="AB149" s="262">
        <f t="shared" ca="1" si="56"/>
        <v>1</v>
      </c>
      <c r="AC149" s="175" t="str">
        <f t="shared" si="51"/>
        <v/>
      </c>
      <c r="AD149" s="175" t="str">
        <f t="shared" si="52"/>
        <v/>
      </c>
      <c r="AE149" s="175" t="str">
        <f t="shared" si="59"/>
        <v/>
      </c>
      <c r="AF149" s="175" t="str">
        <f t="shared" si="60"/>
        <v/>
      </c>
      <c r="AG149" s="175" t="str">
        <f t="shared" si="61"/>
        <v>E</v>
      </c>
      <c r="AH149" s="175" cm="1">
        <f t="array" ref="AH149">_xlfn.IFS(COUNTIF($N149:$P149,"合意済")=3,4,OR(COUNTIF($N149:$P149,"合意済")=2,COUNTIF($N149:$P149,"合意済")=1),3,COUNTIF($N149:$P149,"合意済")=0,2)</f>
        <v>2</v>
      </c>
      <c r="AI149" s="175" t="e">
        <f t="shared" ca="1" si="62"/>
        <v>#VALUE!</v>
      </c>
      <c r="AJ149" s="175" t="str">
        <f t="shared" ca="1" si="57"/>
        <v/>
      </c>
    </row>
    <row r="150" spans="2:36" ht="26.5">
      <c r="D150" s="237" t="str">
        <f>"【その他発電】"&amp;" "&amp;IF('4.1(2)新規再エネ導入予定（設備情報）'!H147="〇〇発電(こちらに発電方式を記載ください)","",'4.1(2)新規再エネ導入予定（設備情報）'!H147)</f>
        <v xml:space="preserve">【その他発電】 </v>
      </c>
      <c r="F150" s="237"/>
      <c r="G150" s="430" t="str">
        <f>IF('4.1(2)新規再エネ導入予定（設備情報）'!G147="","",'4.1(2)新規再エネ導入予定（設備情報）'!G147)</f>
        <v/>
      </c>
      <c r="I150" s="228"/>
      <c r="R150" s="19"/>
      <c r="T150" s="229"/>
      <c r="V150" s="175">
        <f t="shared" si="58"/>
        <v>143</v>
      </c>
      <c r="W150" s="215">
        <f ca="1">IF(OFFSET('4.1(2)新規再エネ導入予定（設備情報）'!$O$1,MATCH(X150,'4.1(2)新規再エネ導入予定（設備情報）'!$Z:$Z,0)-1,0)="低圧",1,0)</f>
        <v>0</v>
      </c>
      <c r="X150" s="125" t="str">
        <f ca="1">IFERROR(IF(AND(G150="",L150&lt;&gt;""),MAX(OFFSET($X$8,0,0,ROW()-8,1)),OFFSET('4.1(2)新規再エネ導入予定（設備情報）'!$Z$1,MATCH($G150,'4.1(2)新規再エネ導入予定（設備情報）'!$G:$G,0)-1,0)),"")</f>
        <v/>
      </c>
      <c r="Y150" s="222">
        <f t="shared" si="54"/>
        <v>0</v>
      </c>
      <c r="Z150" s="261">
        <f t="shared" ca="1" si="55"/>
        <v>0</v>
      </c>
      <c r="AA150" s="222">
        <f t="shared" si="53"/>
        <v>0</v>
      </c>
      <c r="AB150" s="262">
        <f t="shared" ca="1" si="56"/>
        <v>1</v>
      </c>
      <c r="AC150" s="175" t="str">
        <f t="shared" si="51"/>
        <v/>
      </c>
      <c r="AD150" s="175" t="str">
        <f t="shared" si="52"/>
        <v/>
      </c>
      <c r="AE150" s="175" t="str">
        <f t="shared" si="59"/>
        <v/>
      </c>
      <c r="AF150" s="175" t="str">
        <f t="shared" si="60"/>
        <v/>
      </c>
      <c r="AG150" s="175" t="str">
        <f t="shared" si="61"/>
        <v>E</v>
      </c>
      <c r="AH150" s="175" cm="1">
        <f t="array" ref="AH150">_xlfn.IFS(COUNTIF($N150:$P150,"合意済")=3,4,OR(COUNTIF($N150:$P150,"合意済")=2,COUNTIF($N150:$P150,"合意済")=1),3,COUNTIF($N150:$P150,"合意済")=0,2)</f>
        <v>2</v>
      </c>
      <c r="AI150" s="175" t="e">
        <f t="shared" ca="1" si="62"/>
        <v>#VALUE!</v>
      </c>
      <c r="AJ150" s="175" t="str">
        <f t="shared" ca="1" si="57"/>
        <v/>
      </c>
    </row>
    <row r="151" spans="2:36" ht="21" customHeight="1">
      <c r="D151" s="237"/>
      <c r="F151" s="1361" t="s">
        <v>8</v>
      </c>
      <c r="G151" s="1373" t="s">
        <v>185</v>
      </c>
      <c r="H151" s="1373" t="s">
        <v>180</v>
      </c>
      <c r="I151" s="1371" t="s">
        <v>31</v>
      </c>
      <c r="J151" s="1373" t="s">
        <v>186</v>
      </c>
      <c r="K151" s="1373" t="s">
        <v>81</v>
      </c>
      <c r="L151" s="1289" t="s">
        <v>183</v>
      </c>
      <c r="M151" s="1300" t="s">
        <v>184</v>
      </c>
      <c r="N151" s="1300"/>
      <c r="O151" s="1300"/>
      <c r="P151" s="1300"/>
      <c r="Q151" s="1379" t="s">
        <v>303</v>
      </c>
      <c r="R151" s="19"/>
      <c r="T151" s="1379" t="s">
        <v>311</v>
      </c>
      <c r="V151" s="175">
        <f t="shared" si="58"/>
        <v>144</v>
      </c>
      <c r="W151" s="215">
        <f ca="1">IF(OFFSET('4.1(2)新規再エネ導入予定（設備情報）'!$O$1,MATCH(X151,'4.1(2)新規再エネ導入予定（設備情報）'!$Z:$Z,0)-1,0)="低圧",1,0)</f>
        <v>0</v>
      </c>
      <c r="X151" s="125" t="str">
        <f ca="1">IFERROR(IF(AND(G151="",L151&lt;&gt;""),MAX(OFFSET($X$8,0,0,ROW()-8,1)),OFFSET('4.1(2)新規再エネ導入予定（設備情報）'!$Z$1,MATCH($G151,'4.1(2)新規再エネ導入予定（設備情報）'!$G:$G,0)-1,0)),"")</f>
        <v>施設
カウント</v>
      </c>
      <c r="Y151" s="270">
        <f t="shared" si="54"/>
        <v>0</v>
      </c>
      <c r="Z151" s="261">
        <f t="shared" ca="1" si="55"/>
        <v>0</v>
      </c>
      <c r="AA151" s="270">
        <f t="shared" si="53"/>
        <v>0</v>
      </c>
      <c r="AB151" s="262">
        <f t="shared" ca="1" si="56"/>
        <v>1</v>
      </c>
      <c r="AC151" s="175">
        <f t="shared" si="51"/>
        <v>0</v>
      </c>
      <c r="AD151" s="175" t="str">
        <f t="shared" si="52"/>
        <v/>
      </c>
      <c r="AE151" s="175" t="str">
        <f t="shared" si="59"/>
        <v/>
      </c>
      <c r="AF151" s="175" t="str">
        <f t="shared" si="60"/>
        <v/>
      </c>
      <c r="AG151" s="175" t="str">
        <f t="shared" si="61"/>
        <v>E</v>
      </c>
      <c r="AH151" s="175" cm="1">
        <f t="array" ref="AH151">_xlfn.IFS(COUNTIF($N151:$P151,"合意済")=3,4,OR(COUNTIF($N151:$P151,"合意済")=2,COUNTIF($N151:$P151,"合意済")=1),3,COUNTIF($N151:$P151,"合意済")=0,2)</f>
        <v>2</v>
      </c>
      <c r="AI151" s="175" t="e">
        <f t="shared" ca="1" si="62"/>
        <v>#VALUE!</v>
      </c>
      <c r="AJ151" s="175" t="str">
        <f t="shared" ca="1" si="57"/>
        <v/>
      </c>
    </row>
    <row r="152" spans="2:36" ht="42" customHeight="1">
      <c r="D152" s="16"/>
      <c r="E152" s="271"/>
      <c r="F152" s="1361"/>
      <c r="G152" s="1374"/>
      <c r="H152" s="1374"/>
      <c r="I152" s="1372"/>
      <c r="J152" s="1374"/>
      <c r="K152" s="1374"/>
      <c r="L152" s="1290"/>
      <c r="M152" s="434" t="s">
        <v>196</v>
      </c>
      <c r="N152" s="434" t="s">
        <v>101</v>
      </c>
      <c r="O152" s="434" t="s">
        <v>195</v>
      </c>
      <c r="P152" s="365" t="s">
        <v>100</v>
      </c>
      <c r="Q152" s="1380"/>
      <c r="R152" s="19"/>
      <c r="T152" s="1380"/>
      <c r="V152" s="175">
        <f t="shared" si="58"/>
        <v>145</v>
      </c>
      <c r="W152" s="215">
        <f ca="1">IF(OFFSET('4.1(2)新規再エネ導入予定（設備情報）'!$O$1,MATCH(X152,'4.1(2)新規再エネ導入予定（設備情報）'!$Z:$Z,0)-1,0)="低圧",1,0)</f>
        <v>0</v>
      </c>
      <c r="X152" s="125" t="str">
        <f ca="1">IFERROR(IF(AND(G152="",L152&lt;&gt;""),MAX(OFFSET($X$8,0,0,ROW()-8,1)),OFFSET('4.1(2)新規再エネ導入予定（設備情報）'!$Z$1,MATCH($G152,'4.1(2)新規再エネ導入予定（設備情報）'!$G:$G,0)-1,0)),"")</f>
        <v/>
      </c>
      <c r="Y152" s="270">
        <f t="shared" si="54"/>
        <v>0</v>
      </c>
      <c r="Z152" s="261">
        <f t="shared" ca="1" si="55"/>
        <v>0</v>
      </c>
      <c r="AA152" s="270">
        <f t="shared" si="53"/>
        <v>0</v>
      </c>
      <c r="AB152" s="262">
        <f t="shared" ca="1" si="56"/>
        <v>1</v>
      </c>
      <c r="AC152" s="175">
        <f t="shared" si="51"/>
        <v>0</v>
      </c>
      <c r="AD152" s="175">
        <f t="shared" si="52"/>
        <v>0</v>
      </c>
      <c r="AE152" s="175">
        <f t="shared" si="59"/>
        <v>0</v>
      </c>
      <c r="AF152" s="175">
        <f t="shared" si="60"/>
        <v>0</v>
      </c>
      <c r="AG152" s="175">
        <f t="shared" ca="1" si="61"/>
        <v>0</v>
      </c>
      <c r="AH152" s="175" cm="1">
        <f t="array" ref="AH152">_xlfn.IFS(COUNTIF($N152:$P152,"合意済")=3,4,OR(COUNTIF($N152:$P152,"合意済")=2,COUNTIF($N152:$P152,"合意済")=1),3,COUNTIF($N152:$P152,"合意済")=0,2)</f>
        <v>2</v>
      </c>
      <c r="AI152" s="175">
        <f t="shared" ca="1" si="62"/>
        <v>0</v>
      </c>
      <c r="AJ152" s="175" t="str">
        <f t="shared" ca="1" si="57"/>
        <v/>
      </c>
    </row>
    <row r="153" spans="2:36" s="11" customFormat="1" hidden="1">
      <c r="B153" s="21"/>
      <c r="C153" s="21"/>
      <c r="D153" s="22"/>
      <c r="E153" s="128"/>
      <c r="F153" s="707"/>
      <c r="G153" s="479"/>
      <c r="H153" s="495"/>
      <c r="I153" s="496"/>
      <c r="J153" s="497"/>
      <c r="K153" s="498"/>
      <c r="L153" s="481"/>
      <c r="M153" s="484"/>
      <c r="N153" s="484"/>
      <c r="O153" s="484"/>
      <c r="P153" s="484"/>
      <c r="Q153" s="484"/>
      <c r="R153" s="24"/>
      <c r="S153" s="21"/>
      <c r="T153" s="484"/>
      <c r="V153" s="255">
        <f t="shared" si="58"/>
        <v>146</v>
      </c>
      <c r="W153" s="129">
        <f ca="1">IF(OFFSET('4.1(2)新規再エネ導入予定（設備情報）'!$O$1,MATCH(X153,'4.1(2)新規再エネ導入予定（設備情報）'!$Z:$Z,0)-1,0)="低圧",1,0)</f>
        <v>0</v>
      </c>
      <c r="X153" s="125" t="str">
        <f ca="1">IFERROR(IF(AND(G153="",L153&lt;&gt;""),MAX(OFFSET($X$8,0,0,ROW()-8,1)),OFFSET('4.1(2)新規再エネ導入予定（設備情報）'!$Z$1,MATCH($G153,'4.1(2)新規再エネ導入予定（設備情報）'!$G:$G,0)-1,0)),"")</f>
        <v/>
      </c>
      <c r="Y153" s="224">
        <f t="shared" si="54"/>
        <v>0</v>
      </c>
      <c r="Z153" s="224">
        <f t="shared" ca="1" si="55"/>
        <v>0</v>
      </c>
      <c r="AA153" s="224">
        <f t="shared" si="53"/>
        <v>0</v>
      </c>
      <c r="AB153" s="277">
        <f t="shared" ca="1" si="56"/>
        <v>1</v>
      </c>
      <c r="AC153" s="255" t="str">
        <f t="shared" si="51"/>
        <v/>
      </c>
      <c r="AD153" s="255" t="str">
        <f t="shared" si="52"/>
        <v/>
      </c>
      <c r="AE153" s="255" t="str">
        <f t="shared" si="59"/>
        <v/>
      </c>
      <c r="AF153" s="255" t="str">
        <f t="shared" si="60"/>
        <v/>
      </c>
      <c r="AG153" s="255" t="str">
        <f t="shared" si="61"/>
        <v>E</v>
      </c>
      <c r="AH153" s="255" cm="1">
        <f t="array" ref="AH153">_xlfn.IFS(COUNTIF($N153:$P153,"合意済")=3,4,OR(COUNTIF($N153:$P153,"合意済")=2,COUNTIF($N153:$P153,"合意済")=1),3,COUNTIF($N153:$P153,"合意済")=0,2)</f>
        <v>2</v>
      </c>
      <c r="AI153" s="255" t="e">
        <f t="shared" ca="1" si="62"/>
        <v>#VALUE!</v>
      </c>
      <c r="AJ153" s="255" t="str">
        <f t="shared" ca="1" si="57"/>
        <v/>
      </c>
    </row>
    <row r="154" spans="2:36" s="11" customFormat="1">
      <c r="B154" s="21"/>
      <c r="C154" s="21"/>
      <c r="D154" s="22"/>
      <c r="E154" s="128"/>
      <c r="F154" s="489" t="str">
        <f ca="1">IFERROR(OFFSET('4.1(2)新規再エネ導入予定（設備情報）'!$F$1,MATCH(G154,'4.1(2)新規再エネ導入予定（設備情報）'!$G:$G,0)-1,0),"")</f>
        <v/>
      </c>
      <c r="G154" s="480"/>
      <c r="H154" s="491" t="str">
        <f ca="1">IFERROR(OFFSET('4.1(2)新規再エネ導入予定（設備情報）'!$H$1,MATCH(G154,'4.1(2)新規再エネ導入予定（設備情報）'!$G:$G,0)-1,0)&amp;"","")</f>
        <v/>
      </c>
      <c r="I154" s="492" t="str">
        <f ca="1">IFERROR(OFFSET('4.1(2)新規再エネ導入予定（設備情報）'!$L$1,MATCH(G154,'4.1(2)新規再エネ導入予定（設備情報）'!$G:$G,0)-1,0),"")</f>
        <v/>
      </c>
      <c r="J154" s="493" t="str">
        <f ca="1">IFERROR(OFFSET('4.1(2)新規再エネ導入予定（設備情報）'!$O$1,MATCH(G154,'4.1(2)新規再エネ導入予定（設備情報）'!$G:$G,0)-1,0),"")</f>
        <v/>
      </c>
      <c r="K154" s="494" t="str">
        <f ca="1">IFERROR(OFFSET('4.1(2)新規再エネ導入予定（設備情報）'!$P$1,MATCH(G154,'4.1(2)新規再エネ導入予定（設備情報）'!$G:$G,0)-1,0),"")</f>
        <v/>
      </c>
      <c r="L154" s="483"/>
      <c r="M154" s="486"/>
      <c r="N154" s="486"/>
      <c r="O154" s="486"/>
      <c r="P154" s="486"/>
      <c r="Q154" s="486"/>
      <c r="R154" s="24"/>
      <c r="S154" s="21"/>
      <c r="T154" s="486"/>
      <c r="V154" s="255">
        <f t="shared" si="58"/>
        <v>147</v>
      </c>
      <c r="W154" s="129">
        <f ca="1">IF(OFFSET('4.1(2)新規再エネ導入予定（設備情報）'!$O$1,MATCH(X154,'4.1(2)新規再エネ導入予定（設備情報）'!$Z:$Z,0)-1,0)="低圧",1,0)</f>
        <v>0</v>
      </c>
      <c r="X154" s="125" t="str">
        <f ca="1">IFERROR(IF(AND(G154="",L154&lt;&gt;""),MAX(OFFSET($X$8,0,0,ROW()-8,1)),OFFSET('4.1(2)新規再エネ導入予定（設備情報）'!$Z$1,MATCH($G154,'4.1(2)新規再エネ導入予定（設備情報）'!$G:$G,0)-1,0)),"")</f>
        <v/>
      </c>
      <c r="Y154" s="223">
        <f t="shared" si="54"/>
        <v>0</v>
      </c>
      <c r="Z154" s="224">
        <f t="shared" ca="1" si="55"/>
        <v>0</v>
      </c>
      <c r="AA154" s="223">
        <f t="shared" si="53"/>
        <v>0</v>
      </c>
      <c r="AB154" s="277">
        <f t="shared" ca="1" si="56"/>
        <v>1</v>
      </c>
      <c r="AC154" s="255" t="str">
        <f t="shared" si="51"/>
        <v/>
      </c>
      <c r="AD154" s="255" t="str">
        <f t="shared" si="52"/>
        <v/>
      </c>
      <c r="AE154" s="255" t="str">
        <f t="shared" si="59"/>
        <v/>
      </c>
      <c r="AF154" s="255" t="str">
        <f t="shared" si="60"/>
        <v/>
      </c>
      <c r="AG154" s="255" t="str">
        <f t="shared" si="61"/>
        <v>E</v>
      </c>
      <c r="AH154" s="255" cm="1">
        <f t="array" ref="AH154">_xlfn.IFS(COUNTIF($N154:$P154,"合意済")=3,4,OR(COUNTIF($N154:$P154,"合意済")=2,COUNTIF($N154:$P154,"合意済")=1),3,COUNTIF($N154:$P154,"合意済")=0,2)</f>
        <v>2</v>
      </c>
      <c r="AI154" s="255" t="e">
        <f t="shared" ca="1" si="62"/>
        <v>#VALUE!</v>
      </c>
      <c r="AJ154" s="255" t="str">
        <f t="shared" ca="1" si="57"/>
        <v/>
      </c>
    </row>
    <row r="155" spans="2:36" s="11" customFormat="1">
      <c r="B155" s="21"/>
      <c r="C155" s="21"/>
      <c r="D155" s="22"/>
      <c r="E155" s="128"/>
      <c r="F155" s="489" t="str">
        <f ca="1">IFERROR(OFFSET('4.1(2)新規再エネ導入予定（設備情報）'!$F$1,MATCH(G155,'4.1(2)新規再エネ導入予定（設備情報）'!$G:$G,0)-1,0),"")</f>
        <v/>
      </c>
      <c r="G155" s="480"/>
      <c r="H155" s="491" t="str">
        <f ca="1">IFERROR(OFFSET('4.1(2)新規再エネ導入予定（設備情報）'!$H$1,MATCH(G155,'4.1(2)新規再エネ導入予定（設備情報）'!$G:$G,0)-1,0)&amp;"","")</f>
        <v/>
      </c>
      <c r="I155" s="492" t="str">
        <f ca="1">IFERROR(OFFSET('4.1(2)新規再エネ導入予定（設備情報）'!$L$1,MATCH(G155,'4.1(2)新規再エネ導入予定（設備情報）'!$G:$G,0)-1,0),"")</f>
        <v/>
      </c>
      <c r="J155" s="493" t="str">
        <f ca="1">IFERROR(OFFSET('4.1(2)新規再エネ導入予定（設備情報）'!$O$1,MATCH(G155,'4.1(2)新規再エネ導入予定（設備情報）'!$G:$G,0)-1,0),"")</f>
        <v/>
      </c>
      <c r="K155" s="494" t="str">
        <f ca="1">IFERROR(OFFSET('4.1(2)新規再エネ導入予定（設備情報）'!$P$1,MATCH(G155,'4.1(2)新規再エネ導入予定（設備情報）'!$G:$G,0)-1,0),"")</f>
        <v/>
      </c>
      <c r="L155" s="483"/>
      <c r="M155" s="486"/>
      <c r="N155" s="486"/>
      <c r="O155" s="486"/>
      <c r="P155" s="486"/>
      <c r="Q155" s="486"/>
      <c r="R155" s="24"/>
      <c r="S155" s="21"/>
      <c r="T155" s="486"/>
      <c r="V155" s="255">
        <f t="shared" si="58"/>
        <v>148</v>
      </c>
      <c r="W155" s="129">
        <f ca="1">IF(OFFSET('4.1(2)新規再エネ導入予定（設備情報）'!$O$1,MATCH(X155,'4.1(2)新規再エネ導入予定（設備情報）'!$Z:$Z,0)-1,0)="低圧",1,0)</f>
        <v>0</v>
      </c>
      <c r="X155" s="125" t="str">
        <f ca="1">IFERROR(IF(AND(G155="",L155&lt;&gt;""),MAX(OFFSET($X$8,0,0,ROW()-8,1)),OFFSET('4.1(2)新規再エネ導入予定（設備情報）'!$Z$1,MATCH($G155,'4.1(2)新規再エネ導入予定（設備情報）'!$G:$G,0)-1,0)),"")</f>
        <v/>
      </c>
      <c r="Y155" s="223">
        <f t="shared" si="54"/>
        <v>0</v>
      </c>
      <c r="Z155" s="224">
        <f t="shared" ca="1" si="55"/>
        <v>0</v>
      </c>
      <c r="AA155" s="223">
        <f t="shared" si="53"/>
        <v>0</v>
      </c>
      <c r="AB155" s="277">
        <f t="shared" ca="1" si="56"/>
        <v>1</v>
      </c>
      <c r="AC155" s="255" t="str">
        <f t="shared" si="51"/>
        <v/>
      </c>
      <c r="AD155" s="255" t="str">
        <f t="shared" si="52"/>
        <v/>
      </c>
      <c r="AE155" s="255" t="str">
        <f t="shared" si="59"/>
        <v/>
      </c>
      <c r="AF155" s="255" t="str">
        <f t="shared" si="60"/>
        <v/>
      </c>
      <c r="AG155" s="255" t="str">
        <f t="shared" si="61"/>
        <v>E</v>
      </c>
      <c r="AH155" s="255" cm="1">
        <f t="array" ref="AH155">_xlfn.IFS(COUNTIF($N155:$P155,"合意済")=3,4,OR(COUNTIF($N155:$P155,"合意済")=2,COUNTIF($N155:$P155,"合意済")=1),3,COUNTIF($N155:$P155,"合意済")=0,2)</f>
        <v>2</v>
      </c>
      <c r="AI155" s="255" t="e">
        <f t="shared" ca="1" si="62"/>
        <v>#VALUE!</v>
      </c>
      <c r="AJ155" s="255" t="str">
        <f t="shared" ca="1" si="57"/>
        <v/>
      </c>
    </row>
    <row r="156" spans="2:36" s="11" customFormat="1">
      <c r="B156" s="21"/>
      <c r="C156" s="21"/>
      <c r="D156" s="22"/>
      <c r="E156" s="128"/>
      <c r="F156" s="489" t="str">
        <f ca="1">IFERROR(OFFSET('4.1(2)新規再エネ導入予定（設備情報）'!$F$1,MATCH(G156,'4.1(2)新規再エネ導入予定（設備情報）'!$G:$G,0)-1,0),"")</f>
        <v/>
      </c>
      <c r="G156" s="480"/>
      <c r="H156" s="491" t="str">
        <f ca="1">IFERROR(OFFSET('4.1(2)新規再エネ導入予定（設備情報）'!$H$1,MATCH(G156,'4.1(2)新規再エネ導入予定（設備情報）'!$G:$G,0)-1,0)&amp;"","")</f>
        <v/>
      </c>
      <c r="I156" s="492" t="str">
        <f ca="1">IFERROR(OFFSET('4.1(2)新規再エネ導入予定（設備情報）'!$L$1,MATCH(G156,'4.1(2)新規再エネ導入予定（設備情報）'!$G:$G,0)-1,0),"")</f>
        <v/>
      </c>
      <c r="J156" s="493" t="str">
        <f ca="1">IFERROR(OFFSET('4.1(2)新規再エネ導入予定（設備情報）'!$O$1,MATCH(G156,'4.1(2)新規再エネ導入予定（設備情報）'!$G:$G,0)-1,0),"")</f>
        <v/>
      </c>
      <c r="K156" s="494" t="str">
        <f ca="1">IFERROR(OFFSET('4.1(2)新規再エネ導入予定（設備情報）'!$P$1,MATCH(G156,'4.1(2)新規再エネ導入予定（設備情報）'!$G:$G,0)-1,0),"")</f>
        <v/>
      </c>
      <c r="L156" s="483"/>
      <c r="M156" s="486"/>
      <c r="N156" s="486"/>
      <c r="O156" s="486"/>
      <c r="P156" s="486"/>
      <c r="Q156" s="486"/>
      <c r="R156" s="24"/>
      <c r="S156" s="21"/>
      <c r="T156" s="486"/>
      <c r="V156" s="255">
        <f t="shared" si="58"/>
        <v>149</v>
      </c>
      <c r="W156" s="129">
        <f ca="1">IF(OFFSET('4.1(2)新規再エネ導入予定（設備情報）'!$O$1,MATCH(X156,'4.1(2)新規再エネ導入予定（設備情報）'!$Z:$Z,0)-1,0)="低圧",1,0)</f>
        <v>0</v>
      </c>
      <c r="X156" s="125" t="str">
        <f ca="1">IFERROR(IF(AND(G156="",L156&lt;&gt;""),MAX(OFFSET($X$8,0,0,ROW()-8,1)),OFFSET('4.1(2)新規再エネ導入予定（設備情報）'!$Z$1,MATCH($G156,'4.1(2)新規再エネ導入予定（設備情報）'!$G:$G,0)-1,0)),"")</f>
        <v/>
      </c>
      <c r="Y156" s="223">
        <f t="shared" si="54"/>
        <v>0</v>
      </c>
      <c r="Z156" s="224">
        <f t="shared" ca="1" si="55"/>
        <v>0</v>
      </c>
      <c r="AA156" s="223">
        <f t="shared" si="53"/>
        <v>0</v>
      </c>
      <c r="AB156" s="277">
        <f t="shared" ca="1" si="56"/>
        <v>1</v>
      </c>
      <c r="AC156" s="255" t="str">
        <f t="shared" si="51"/>
        <v/>
      </c>
      <c r="AD156" s="255" t="str">
        <f t="shared" si="52"/>
        <v/>
      </c>
      <c r="AE156" s="255" t="str">
        <f t="shared" si="59"/>
        <v/>
      </c>
      <c r="AF156" s="255" t="str">
        <f t="shared" si="60"/>
        <v/>
      </c>
      <c r="AG156" s="255" t="str">
        <f t="shared" si="61"/>
        <v>E</v>
      </c>
      <c r="AH156" s="255" cm="1">
        <f t="array" ref="AH156">_xlfn.IFS(COUNTIF($N156:$P156,"合意済")=3,4,OR(COUNTIF($N156:$P156,"合意済")=2,COUNTIF($N156:$P156,"合意済")=1),3,COUNTIF($N156:$P156,"合意済")=0,2)</f>
        <v>2</v>
      </c>
      <c r="AI156" s="255" t="e">
        <f t="shared" ca="1" si="62"/>
        <v>#VALUE!</v>
      </c>
      <c r="AJ156" s="255" t="str">
        <f t="shared" ca="1" si="57"/>
        <v/>
      </c>
    </row>
    <row r="157" spans="2:36" s="11" customFormat="1">
      <c r="B157" s="21"/>
      <c r="C157" s="21"/>
      <c r="D157" s="22"/>
      <c r="E157" s="128"/>
      <c r="F157" s="489" t="str">
        <f ca="1">IFERROR(OFFSET('4.1(2)新規再エネ導入予定（設備情報）'!$F$1,MATCH(G157,'4.1(2)新規再エネ導入予定（設備情報）'!$G:$G,0)-1,0),"")</f>
        <v/>
      </c>
      <c r="G157" s="480"/>
      <c r="H157" s="491" t="str">
        <f ca="1">IFERROR(OFFSET('4.1(2)新規再エネ導入予定（設備情報）'!$H$1,MATCH(G157,'4.1(2)新規再エネ導入予定（設備情報）'!$G:$G,0)-1,0)&amp;"","")</f>
        <v/>
      </c>
      <c r="I157" s="492" t="str">
        <f ca="1">IFERROR(OFFSET('4.1(2)新規再エネ導入予定（設備情報）'!$L$1,MATCH(G157,'4.1(2)新規再エネ導入予定（設備情報）'!$G:$G,0)-1,0),"")</f>
        <v/>
      </c>
      <c r="J157" s="493" t="str">
        <f ca="1">IFERROR(OFFSET('4.1(2)新規再エネ導入予定（設備情報）'!$O$1,MATCH(G157,'4.1(2)新規再エネ導入予定（設備情報）'!$G:$G,0)-1,0),"")</f>
        <v/>
      </c>
      <c r="K157" s="494" t="str">
        <f ca="1">IFERROR(OFFSET('4.1(2)新規再エネ導入予定（設備情報）'!$P$1,MATCH(G157,'4.1(2)新規再エネ導入予定（設備情報）'!$G:$G,0)-1,0),"")</f>
        <v/>
      </c>
      <c r="L157" s="483"/>
      <c r="M157" s="486"/>
      <c r="N157" s="486"/>
      <c r="O157" s="486"/>
      <c r="P157" s="486"/>
      <c r="Q157" s="486"/>
      <c r="R157" s="24"/>
      <c r="S157" s="21"/>
      <c r="T157" s="486"/>
      <c r="V157" s="255">
        <f t="shared" si="58"/>
        <v>150</v>
      </c>
      <c r="W157" s="129">
        <f ca="1">IF(OFFSET('4.1(2)新規再エネ導入予定（設備情報）'!$O$1,MATCH(X157,'4.1(2)新規再エネ導入予定（設備情報）'!$Z:$Z,0)-1,0)="低圧",1,0)</f>
        <v>0</v>
      </c>
      <c r="X157" s="125" t="str">
        <f ca="1">IFERROR(IF(AND(G157="",L157&lt;&gt;""),MAX(OFFSET($X$8,0,0,ROW()-8,1)),OFFSET('4.1(2)新規再エネ導入予定（設備情報）'!$Z$1,MATCH($G157,'4.1(2)新規再エネ導入予定（設備情報）'!$G:$G,0)-1,0)),"")</f>
        <v/>
      </c>
      <c r="Y157" s="223">
        <f t="shared" si="54"/>
        <v>0</v>
      </c>
      <c r="Z157" s="224">
        <f t="shared" ca="1" si="55"/>
        <v>0</v>
      </c>
      <c r="AA157" s="223">
        <f t="shared" si="53"/>
        <v>0</v>
      </c>
      <c r="AB157" s="277">
        <f t="shared" ca="1" si="56"/>
        <v>1</v>
      </c>
      <c r="AC157" s="255" t="str">
        <f t="shared" si="51"/>
        <v/>
      </c>
      <c r="AD157" s="255" t="str">
        <f t="shared" si="52"/>
        <v/>
      </c>
      <c r="AE157" s="255" t="str">
        <f t="shared" si="59"/>
        <v/>
      </c>
      <c r="AF157" s="255" t="str">
        <f t="shared" si="60"/>
        <v/>
      </c>
      <c r="AG157" s="255" t="str">
        <f t="shared" si="61"/>
        <v>E</v>
      </c>
      <c r="AH157" s="255" cm="1">
        <f t="array" ref="AH157">_xlfn.IFS(COUNTIF($N157:$P157,"合意済")=3,4,OR(COUNTIF($N157:$P157,"合意済")=2,COUNTIF($N157:$P157,"合意済")=1),3,COUNTIF($N157:$P157,"合意済")=0,2)</f>
        <v>2</v>
      </c>
      <c r="AI157" s="255" t="e">
        <f t="shared" ca="1" si="62"/>
        <v>#VALUE!</v>
      </c>
      <c r="AJ157" s="255" t="str">
        <f t="shared" ca="1" si="57"/>
        <v/>
      </c>
    </row>
    <row r="158" spans="2:36">
      <c r="D158" s="16"/>
      <c r="E158" s="272"/>
      <c r="F158" s="189" t="s">
        <v>26</v>
      </c>
      <c r="G158" s="240"/>
      <c r="H158" s="240"/>
      <c r="I158" s="273"/>
      <c r="J158" s="274"/>
      <c r="K158" s="499">
        <f ca="1">SUM(INDIRECT("K"&amp;ROW(K151)&amp;":K"&amp;ROW()-1))</f>
        <v>0</v>
      </c>
      <c r="L158" s="274"/>
      <c r="M158" s="242"/>
      <c r="N158" s="242"/>
      <c r="O158" s="242"/>
      <c r="P158" s="242"/>
      <c r="Q158" s="242"/>
      <c r="R158" s="19"/>
      <c r="T158" s="242"/>
      <c r="V158" s="175">
        <f t="shared" si="58"/>
        <v>151</v>
      </c>
      <c r="W158" s="215">
        <f ca="1">IF(OFFSET('4.1(2)新規再エネ導入予定（設備情報）'!$O$1,MATCH(X158,'4.1(2)新規再エネ導入予定（設備情報）'!$Z:$Z,0)-1,0)="低圧",1,0)</f>
        <v>0</v>
      </c>
      <c r="X158" s="125" t="str">
        <f ca="1">IFERROR(IF(AND(G158="",L158&lt;&gt;""),MAX(OFFSET($X$8,0,0,ROW()-8,1)),OFFSET('4.1(2)新規再エネ導入予定（設備情報）'!$Z$1,MATCH($G158,'4.1(2)新規再エネ導入予定（設備情報）'!$G:$G,0)-1,0)),"")</f>
        <v/>
      </c>
      <c r="Y158" s="222">
        <f t="shared" si="54"/>
        <v>0</v>
      </c>
      <c r="Z158" s="261">
        <f t="shared" ca="1" si="55"/>
        <v>0</v>
      </c>
      <c r="AA158" s="222">
        <f t="shared" si="53"/>
        <v>0</v>
      </c>
      <c r="AB158" s="262">
        <f t="shared" ca="1" si="56"/>
        <v>1</v>
      </c>
      <c r="AC158" s="175" t="str">
        <f t="shared" si="51"/>
        <v/>
      </c>
      <c r="AD158" s="175" t="str">
        <f t="shared" si="52"/>
        <v/>
      </c>
      <c r="AE158" s="175" t="str">
        <f t="shared" si="59"/>
        <v/>
      </c>
      <c r="AF158" s="175" t="str">
        <f t="shared" si="60"/>
        <v/>
      </c>
      <c r="AG158" s="175" t="str">
        <f t="shared" si="61"/>
        <v>E</v>
      </c>
      <c r="AH158" s="175" cm="1">
        <f t="array" ref="AH158">_xlfn.IFS(COUNTIF($N158:$P158,"合意済")=3,4,OR(COUNTIF($N158:$P158,"合意済")=2,COUNTIF($N158:$P158,"合意済")=1),3,COUNTIF($N158:$P158,"合意済")=0,2)</f>
        <v>2</v>
      </c>
      <c r="AI158" s="175" t="e">
        <f t="shared" ca="1" si="62"/>
        <v>#VALUE!</v>
      </c>
      <c r="AJ158" s="175" t="str">
        <f t="shared" ca="1" si="57"/>
        <v/>
      </c>
    </row>
    <row r="159" spans="2:36">
      <c r="D159" s="46"/>
      <c r="E159" s="26"/>
      <c r="F159" s="26"/>
      <c r="G159" s="4"/>
      <c r="H159" s="4"/>
      <c r="I159" s="122"/>
      <c r="J159" s="4"/>
      <c r="K159" s="4"/>
      <c r="L159" s="4"/>
      <c r="M159" s="123"/>
      <c r="N159" s="123"/>
      <c r="O159" s="123"/>
      <c r="P159" s="123"/>
      <c r="Q159" s="123"/>
      <c r="R159" s="27"/>
      <c r="S159"/>
      <c r="T159" s="247"/>
      <c r="U159" s="247"/>
      <c r="V159" s="175">
        <f t="shared" si="58"/>
        <v>152</v>
      </c>
      <c r="W159" s="215">
        <f ca="1">IF(OFFSET('4.1(2)新規再エネ導入予定（設備情報）'!$O$1,MATCH(X159,'4.1(2)新規再エネ導入予定（設備情報）'!$Z:$Z,0)-1,0)="低圧",1,0)</f>
        <v>0</v>
      </c>
      <c r="X159" s="125" t="str">
        <f ca="1">IFERROR(IF(AND(G159="",L159&lt;&gt;""),MAX(OFFSET($X$8,0,0,ROW()-8,1)),OFFSET('4.1(2)新規再エネ導入予定（設備情報）'!$Z$1,MATCH($G159,'4.1(2)新規再エネ導入予定（設備情報）'!$G:$G,0)-1,0)),"")</f>
        <v/>
      </c>
      <c r="Y159" s="222">
        <f t="shared" si="54"/>
        <v>0</v>
      </c>
      <c r="Z159" s="261">
        <f t="shared" ca="1" si="55"/>
        <v>0</v>
      </c>
      <c r="AA159" s="222">
        <f t="shared" si="53"/>
        <v>0</v>
      </c>
      <c r="AB159" s="262">
        <f t="shared" ca="1" si="56"/>
        <v>1</v>
      </c>
      <c r="AC159" s="175" t="str">
        <f t="shared" si="51"/>
        <v/>
      </c>
      <c r="AD159" s="175" t="str">
        <f t="shared" si="52"/>
        <v/>
      </c>
      <c r="AE159" s="175" t="str">
        <f t="shared" si="59"/>
        <v/>
      </c>
      <c r="AF159" s="175" t="str">
        <f t="shared" si="60"/>
        <v/>
      </c>
      <c r="AG159" s="175" t="str">
        <f t="shared" si="61"/>
        <v>E</v>
      </c>
      <c r="AH159" s="175" cm="1">
        <f t="array" ref="AH159">_xlfn.IFS(COUNTIF($N159:$P159,"合意済")=3,4,OR(COUNTIF($N159:$P159,"合意済")=2,COUNTIF($N159:$P159,"合意済")=1),3,COUNTIF($N159:$P159,"合意済")=0,2)</f>
        <v>2</v>
      </c>
      <c r="AI159" s="175" t="e">
        <f t="shared" ca="1" si="62"/>
        <v>#VALUE!</v>
      </c>
      <c r="AJ159" s="175" t="str">
        <f t="shared" ca="1" si="57"/>
        <v/>
      </c>
    </row>
    <row r="160" spans="2:36">
      <c r="F160" s="31"/>
      <c r="G160" s="31"/>
      <c r="H160" s="31"/>
      <c r="I160" s="268"/>
      <c r="J160" s="31"/>
      <c r="K160" s="31"/>
      <c r="L160" s="31"/>
      <c r="M160" s="247"/>
      <c r="N160" s="247"/>
      <c r="O160" s="247"/>
      <c r="P160" s="247"/>
      <c r="Q160" s="247"/>
      <c r="T160" s="247"/>
      <c r="U160" s="247"/>
      <c r="V160" s="175">
        <f t="shared" si="58"/>
        <v>153</v>
      </c>
      <c r="W160" s="215">
        <f ca="1">IF(OFFSET('4.1(2)新規再エネ導入予定（設備情報）'!$O$1,MATCH(X160,'4.1(2)新規再エネ導入予定（設備情報）'!$Z:$Z,0)-1,0)="低圧",1,0)</f>
        <v>0</v>
      </c>
      <c r="X160" s="125" t="str">
        <f ca="1">IFERROR(IF(AND(G160="",L160&lt;&gt;""),MAX(OFFSET($X$8,0,0,ROW()-8,1)),OFFSET('4.1(2)新規再エネ導入予定（設備情報）'!$Z$1,MATCH($G160,'4.1(2)新規再エネ導入予定（設備情報）'!$G:$G,0)-1,0)),"")</f>
        <v/>
      </c>
      <c r="Y160" s="222">
        <f t="shared" si="54"/>
        <v>0</v>
      </c>
      <c r="Z160" s="261">
        <f t="shared" ca="1" si="55"/>
        <v>0</v>
      </c>
      <c r="AA160" s="222">
        <f t="shared" si="53"/>
        <v>0</v>
      </c>
      <c r="AB160" s="262">
        <f t="shared" ca="1" si="56"/>
        <v>1</v>
      </c>
      <c r="AC160" s="175" t="str">
        <f t="shared" si="51"/>
        <v/>
      </c>
      <c r="AD160" s="175" t="str">
        <f t="shared" si="52"/>
        <v/>
      </c>
      <c r="AE160" s="175" t="str">
        <f t="shared" si="59"/>
        <v/>
      </c>
      <c r="AF160" s="175" t="str">
        <f t="shared" si="60"/>
        <v/>
      </c>
      <c r="AG160" s="175" t="str">
        <f t="shared" si="61"/>
        <v>E</v>
      </c>
      <c r="AH160" s="175" cm="1">
        <f t="array" ref="AH160">_xlfn.IFS(COUNTIF($N160:$P160,"合意済")=3,4,OR(COUNTIF($N160:$P160,"合意済")=2,COUNTIF($N160:$P160,"合意済")=1),3,COUNTIF($N160:$P160,"合意済")=0,2)</f>
        <v>2</v>
      </c>
      <c r="AI160" s="175" t="e">
        <f t="shared" ca="1" si="62"/>
        <v>#VALUE!</v>
      </c>
      <c r="AJ160" s="175" t="str">
        <f t="shared" ca="1" si="57"/>
        <v/>
      </c>
    </row>
    <row r="161" spans="2:36">
      <c r="F161" s="31"/>
      <c r="G161" s="31"/>
      <c r="H161" s="31"/>
      <c r="I161" s="268"/>
      <c r="J161" s="31"/>
      <c r="K161" s="31"/>
      <c r="L161" s="31"/>
      <c r="M161" s="247"/>
      <c r="N161" s="247"/>
      <c r="O161" s="247"/>
      <c r="P161" s="247"/>
      <c r="Q161" s="247"/>
      <c r="T161" s="247"/>
      <c r="U161" s="247"/>
      <c r="V161" s="175">
        <f t="shared" si="58"/>
        <v>154</v>
      </c>
      <c r="W161" s="215">
        <f ca="1">IF(OFFSET('4.1(2)新規再エネ導入予定（設備情報）'!$O$1,MATCH(X161,'4.1(2)新規再エネ導入予定（設備情報）'!$Z:$Z,0)-1,0)="低圧",1,0)</f>
        <v>0</v>
      </c>
      <c r="X161" s="125" t="str">
        <f ca="1">IFERROR(IF(AND(G161="",L161&lt;&gt;""),MAX(OFFSET($X$8,0,0,ROW()-8,1)),OFFSET('4.1(2)新規再エネ導入予定（設備情報）'!$Z$1,MATCH($G161,'4.1(2)新規再エネ導入予定（設備情報）'!$G:$G,0)-1,0)),"")</f>
        <v/>
      </c>
      <c r="Y161" s="222">
        <f t="shared" si="54"/>
        <v>0</v>
      </c>
      <c r="Z161" s="261">
        <f t="shared" ca="1" si="55"/>
        <v>0</v>
      </c>
      <c r="AA161" s="222">
        <f t="shared" si="53"/>
        <v>0</v>
      </c>
      <c r="AB161" s="262">
        <f t="shared" ca="1" si="56"/>
        <v>1</v>
      </c>
      <c r="AC161" s="175" t="str">
        <f t="shared" si="51"/>
        <v/>
      </c>
      <c r="AD161" s="175" t="str">
        <f t="shared" si="52"/>
        <v/>
      </c>
      <c r="AE161" s="175" t="str">
        <f t="shared" si="59"/>
        <v/>
      </c>
      <c r="AF161" s="175" t="str">
        <f t="shared" si="60"/>
        <v/>
      </c>
      <c r="AG161" s="175" t="str">
        <f t="shared" si="61"/>
        <v>E</v>
      </c>
      <c r="AH161" s="175" cm="1">
        <f t="array" ref="AH161">_xlfn.IFS(COUNTIF($N161:$P161,"合意済")=3,4,OR(COUNTIF($N161:$P161,"合意済")=2,COUNTIF($N161:$P161,"合意済")=1),3,COUNTIF($N161:$P161,"合意済")=0,2)</f>
        <v>2</v>
      </c>
      <c r="AI161" s="175" t="e">
        <f t="shared" ca="1" si="62"/>
        <v>#VALUE!</v>
      </c>
      <c r="AJ161" s="175" t="str">
        <f t="shared" ca="1" si="57"/>
        <v/>
      </c>
    </row>
    <row r="162" spans="2:36" ht="9.75" customHeight="1">
      <c r="D162" s="14"/>
      <c r="E162" s="15"/>
      <c r="F162" s="15"/>
      <c r="G162" s="248"/>
      <c r="H162" s="15"/>
      <c r="I162" s="235"/>
      <c r="J162" s="15"/>
      <c r="K162" s="15"/>
      <c r="L162" s="15"/>
      <c r="M162" s="236"/>
      <c r="N162" s="236"/>
      <c r="O162" s="236"/>
      <c r="P162" s="236"/>
      <c r="Q162" s="236"/>
      <c r="R162" s="30"/>
      <c r="T162" s="229"/>
      <c r="U162" s="229"/>
      <c r="V162" s="175">
        <f t="shared" si="58"/>
        <v>155</v>
      </c>
      <c r="W162" s="215">
        <f ca="1">IF(OFFSET('4.1(2)新規再エネ導入予定（設備情報）'!$O$1,MATCH(X162,'4.1(2)新規再エネ導入予定（設備情報）'!$Z:$Z,0)-1,0)="低圧",1,0)</f>
        <v>0</v>
      </c>
      <c r="X162" s="125" t="str">
        <f ca="1">IFERROR(IF(AND(G162="",L162&lt;&gt;""),MAX(OFFSET($X$8,0,0,ROW()-8,1)),OFFSET('4.1(2)新規再エネ導入予定（設備情報）'!$Z$1,MATCH($G162,'4.1(2)新規再エネ導入予定（設備情報）'!$G:$G,0)-1,0)),"")</f>
        <v/>
      </c>
      <c r="Y162" s="222">
        <f t="shared" si="54"/>
        <v>0</v>
      </c>
      <c r="Z162" s="261">
        <f t="shared" ca="1" si="55"/>
        <v>0</v>
      </c>
      <c r="AA162" s="222">
        <f t="shared" si="53"/>
        <v>0</v>
      </c>
      <c r="AB162" s="262">
        <f t="shared" ca="1" si="56"/>
        <v>1</v>
      </c>
      <c r="AC162" s="175" t="str">
        <f t="shared" si="51"/>
        <v/>
      </c>
      <c r="AD162" s="175" t="str">
        <f t="shared" si="52"/>
        <v/>
      </c>
      <c r="AE162" s="175" t="str">
        <f t="shared" si="59"/>
        <v/>
      </c>
      <c r="AF162" s="175" t="str">
        <f t="shared" si="60"/>
        <v/>
      </c>
      <c r="AG162" s="175" t="str">
        <f t="shared" si="61"/>
        <v>E</v>
      </c>
      <c r="AH162" s="175" cm="1">
        <f t="array" ref="AH162">_xlfn.IFS(COUNTIF($N162:$P162,"合意済")=3,4,OR(COUNTIF($N162:$P162,"合意済")=2,COUNTIF($N162:$P162,"合意済")=1),3,COUNTIF($N162:$P162,"合意済")=0,2)</f>
        <v>2</v>
      </c>
      <c r="AI162" s="175" t="e">
        <f t="shared" ca="1" si="62"/>
        <v>#VALUE!</v>
      </c>
      <c r="AJ162" s="175" t="str">
        <f t="shared" ca="1" si="57"/>
        <v/>
      </c>
    </row>
    <row r="163" spans="2:36" ht="21">
      <c r="D163" s="237" t="s">
        <v>318</v>
      </c>
      <c r="F163" s="237"/>
      <c r="G163" s="269"/>
      <c r="I163" s="228"/>
      <c r="R163" s="19"/>
      <c r="T163" s="229"/>
      <c r="V163" s="175">
        <f t="shared" si="58"/>
        <v>156</v>
      </c>
      <c r="W163" s="215">
        <f ca="1">IF(OFFSET('4.1(2)新規再エネ導入予定（設備情報）'!$O$1,MATCH(X163,'4.1(2)新規再エネ導入予定（設備情報）'!$Z:$Z,0)-1,0)="低圧",1,0)</f>
        <v>0</v>
      </c>
      <c r="X163" s="125" t="str">
        <f ca="1">IFERROR(IF(AND(G163="",L163&lt;&gt;""),MAX(OFFSET($X$8,0,0,ROW()-8,1)),OFFSET('4.1(2)新規再エネ導入予定（設備情報）'!$Z$1,MATCH($G163,'4.1(2)新規再エネ導入予定（設備情報）'!$G:$G,0)-1,0)),"")</f>
        <v/>
      </c>
      <c r="Y163" s="222">
        <f t="shared" si="54"/>
        <v>0</v>
      </c>
      <c r="Z163" s="261">
        <f t="shared" ca="1" si="55"/>
        <v>0</v>
      </c>
      <c r="AA163" s="222">
        <f t="shared" si="53"/>
        <v>0</v>
      </c>
      <c r="AB163" s="262">
        <f t="shared" ca="1" si="56"/>
        <v>1</v>
      </c>
      <c r="AC163" s="175" t="str">
        <f t="shared" si="51"/>
        <v/>
      </c>
      <c r="AD163" s="175" t="str">
        <f t="shared" si="52"/>
        <v/>
      </c>
      <c r="AE163" s="175" t="str">
        <f t="shared" si="59"/>
        <v/>
      </c>
      <c r="AF163" s="175" t="str">
        <f t="shared" si="60"/>
        <v/>
      </c>
      <c r="AG163" s="175" t="str">
        <f t="shared" si="61"/>
        <v>E</v>
      </c>
      <c r="AH163" s="175" cm="1">
        <f t="array" ref="AH163">_xlfn.IFS(COUNTIF($N163:$P163,"合意済")=3,4,OR(COUNTIF($N163:$P163,"合意済")=2,COUNTIF($N163:$P163,"合意済")=1),3,COUNTIF($N163:$P163,"合意済")=0,2)</f>
        <v>2</v>
      </c>
      <c r="AI163" s="175" t="e">
        <f t="shared" ca="1" si="62"/>
        <v>#VALUE!</v>
      </c>
      <c r="AJ163" s="175" t="str">
        <f t="shared" ca="1" si="57"/>
        <v/>
      </c>
    </row>
    <row r="164" spans="2:36" ht="21" customHeight="1">
      <c r="D164" s="237"/>
      <c r="F164" s="1361" t="s">
        <v>8</v>
      </c>
      <c r="G164" s="1373" t="s">
        <v>185</v>
      </c>
      <c r="H164" s="1373" t="s">
        <v>180</v>
      </c>
      <c r="I164" s="1371" t="s">
        <v>31</v>
      </c>
      <c r="J164" s="1373" t="s">
        <v>186</v>
      </c>
      <c r="K164" s="1373" t="s">
        <v>81</v>
      </c>
      <c r="L164" s="1289" t="s">
        <v>183</v>
      </c>
      <c r="M164" s="1300" t="s">
        <v>184</v>
      </c>
      <c r="N164" s="1300"/>
      <c r="O164" s="1300"/>
      <c r="P164" s="1300"/>
      <c r="Q164" s="1379" t="s">
        <v>303</v>
      </c>
      <c r="R164" s="19"/>
      <c r="T164" s="1379" t="s">
        <v>311</v>
      </c>
      <c r="V164" s="175">
        <f t="shared" si="58"/>
        <v>157</v>
      </c>
      <c r="W164" s="215">
        <f ca="1">IF(OFFSET('4.1(2)新規再エネ導入予定（設備情報）'!$O$1,MATCH(X164,'4.1(2)新規再エネ導入予定（設備情報）'!$Z:$Z,0)-1,0)="低圧",1,0)</f>
        <v>0</v>
      </c>
      <c r="X164" s="125" t="str">
        <f ca="1">IFERROR(IF(AND(G164="",L164&lt;&gt;""),MAX(OFFSET($X$8,0,0,ROW()-8,1)),OFFSET('4.1(2)新規再エネ導入予定（設備情報）'!$Z$1,MATCH($G164,'4.1(2)新規再エネ導入予定（設備情報）'!$G:$G,0)-1,0)),"")</f>
        <v>施設
カウント</v>
      </c>
      <c r="Y164" s="270">
        <f t="shared" si="54"/>
        <v>0</v>
      </c>
      <c r="Z164" s="261">
        <f t="shared" ca="1" si="55"/>
        <v>0</v>
      </c>
      <c r="AA164" s="270">
        <f t="shared" si="53"/>
        <v>0</v>
      </c>
      <c r="AB164" s="262">
        <f t="shared" ca="1" si="56"/>
        <v>1</v>
      </c>
      <c r="AC164" s="175">
        <f t="shared" si="51"/>
        <v>0</v>
      </c>
      <c r="AD164" s="175" t="str">
        <f t="shared" si="52"/>
        <v/>
      </c>
      <c r="AE164" s="175" t="str">
        <f t="shared" si="59"/>
        <v/>
      </c>
      <c r="AF164" s="175" t="str">
        <f t="shared" si="60"/>
        <v/>
      </c>
      <c r="AG164" s="175" t="str">
        <f t="shared" si="61"/>
        <v>E</v>
      </c>
      <c r="AH164" s="175" cm="1">
        <f t="array" ref="AH164">_xlfn.IFS(COUNTIF($N164:$P164,"合意済")=3,4,OR(COUNTIF($N164:$P164,"合意済")=2,COUNTIF($N164:$P164,"合意済")=1),3,COUNTIF($N164:$P164,"合意済")=0,2)</f>
        <v>2</v>
      </c>
      <c r="AI164" s="175" t="e">
        <f t="shared" ca="1" si="62"/>
        <v>#VALUE!</v>
      </c>
      <c r="AJ164" s="175" t="str">
        <f t="shared" ca="1" si="57"/>
        <v/>
      </c>
    </row>
    <row r="165" spans="2:36" ht="42" customHeight="1">
      <c r="D165" s="16"/>
      <c r="E165" s="271"/>
      <c r="F165" s="1361"/>
      <c r="G165" s="1374"/>
      <c r="H165" s="1374"/>
      <c r="I165" s="1372"/>
      <c r="J165" s="1374"/>
      <c r="K165" s="1374"/>
      <c r="L165" s="1290"/>
      <c r="M165" s="434" t="s">
        <v>196</v>
      </c>
      <c r="N165" s="434" t="s">
        <v>101</v>
      </c>
      <c r="O165" s="434" t="s">
        <v>195</v>
      </c>
      <c r="P165" s="365" t="s">
        <v>100</v>
      </c>
      <c r="Q165" s="1380"/>
      <c r="R165" s="19"/>
      <c r="T165" s="1380"/>
      <c r="V165" s="175">
        <f t="shared" si="58"/>
        <v>158</v>
      </c>
      <c r="W165" s="215">
        <f ca="1">IF(OFFSET('4.1(2)新規再エネ導入予定（設備情報）'!$O$1,MATCH(X165,'4.1(2)新規再エネ導入予定（設備情報）'!$Z:$Z,0)-1,0)="低圧",1,0)</f>
        <v>0</v>
      </c>
      <c r="X165" s="125" t="str">
        <f ca="1">IFERROR(IF(AND(G165="",L165&lt;&gt;""),MAX(OFFSET($X$8,0,0,ROW()-8,1)),OFFSET('4.1(2)新規再エネ導入予定（設備情報）'!$Z$1,MATCH($G165,'4.1(2)新規再エネ導入予定（設備情報）'!$G:$G,0)-1,0)),"")</f>
        <v/>
      </c>
      <c r="Y165" s="270">
        <f t="shared" si="54"/>
        <v>0</v>
      </c>
      <c r="Z165" s="261">
        <f t="shared" ca="1" si="55"/>
        <v>0</v>
      </c>
      <c r="AA165" s="270">
        <f t="shared" si="53"/>
        <v>0</v>
      </c>
      <c r="AB165" s="262">
        <f t="shared" ca="1" si="56"/>
        <v>1</v>
      </c>
      <c r="AC165" s="175">
        <f t="shared" si="51"/>
        <v>0</v>
      </c>
      <c r="AD165" s="175">
        <f t="shared" si="52"/>
        <v>0</v>
      </c>
      <c r="AE165" s="175">
        <f t="shared" si="59"/>
        <v>0</v>
      </c>
      <c r="AF165" s="175">
        <f t="shared" si="60"/>
        <v>0</v>
      </c>
      <c r="AG165" s="175">
        <f t="shared" ca="1" si="61"/>
        <v>0</v>
      </c>
      <c r="AH165" s="175" cm="1">
        <f t="array" ref="AH165">_xlfn.IFS(COUNTIF($N165:$P165,"合意済")=3,4,OR(COUNTIF($N165:$P165,"合意済")=2,COUNTIF($N165:$P165,"合意済")=1),3,COUNTIF($N165:$P165,"合意済")=0,2)</f>
        <v>2</v>
      </c>
      <c r="AI165" s="175">
        <f t="shared" ca="1" si="62"/>
        <v>0</v>
      </c>
      <c r="AJ165" s="175" t="str">
        <f t="shared" ca="1" si="57"/>
        <v/>
      </c>
    </row>
    <row r="166" spans="2:36" s="11" customFormat="1" hidden="1">
      <c r="B166" s="21"/>
      <c r="C166" s="21"/>
      <c r="D166" s="22"/>
      <c r="E166" s="128"/>
      <c r="F166" s="707"/>
      <c r="G166" s="479"/>
      <c r="H166" s="495"/>
      <c r="I166" s="496"/>
      <c r="J166" s="497"/>
      <c r="K166" s="498"/>
      <c r="L166" s="481"/>
      <c r="M166" s="484"/>
      <c r="N166" s="484"/>
      <c r="O166" s="484"/>
      <c r="P166" s="484"/>
      <c r="Q166" s="484"/>
      <c r="R166" s="24"/>
      <c r="S166" s="21"/>
      <c r="T166" s="484"/>
      <c r="V166" s="255">
        <f t="shared" si="58"/>
        <v>159</v>
      </c>
      <c r="W166" s="129">
        <f ca="1">IF(OFFSET('4.1(2)新規再エネ導入予定（設備情報）'!$O$1,MATCH(X166,'4.1(2)新規再エネ導入予定（設備情報）'!$Z:$Z,0)-1,0)="低圧",1,0)</f>
        <v>0</v>
      </c>
      <c r="X166" s="125" t="str">
        <f ca="1">IFERROR(IF(AND(G166="",L166&lt;&gt;""),MAX(OFFSET($X$8,0,0,ROW()-8,1)),OFFSET('4.1(2)新規再エネ導入予定（設備情報）'!$Z$1,MATCH($G166,'4.1(2)新規再エネ導入予定（設備情報）'!$G:$G,0)-1,0)),"")</f>
        <v/>
      </c>
      <c r="Y166" s="224">
        <f t="shared" si="54"/>
        <v>0</v>
      </c>
      <c r="Z166" s="224">
        <f t="shared" ca="1" si="55"/>
        <v>0</v>
      </c>
      <c r="AA166" s="224">
        <f t="shared" si="53"/>
        <v>0</v>
      </c>
      <c r="AB166" s="277">
        <f t="shared" ca="1" si="56"/>
        <v>1</v>
      </c>
      <c r="AC166" s="255" t="str">
        <f t="shared" ref="AC166:AC171" si="63">IF(M166="","",IF(OR(M166="説明済",M166="協議中",M166="合意済"),1,0))</f>
        <v/>
      </c>
      <c r="AD166" s="255" t="str">
        <f t="shared" ref="AD166:AD171" si="64">IF(N166="","",IF(OR(N166="説明済",N166="協議中",N166="合意済"),1,0))</f>
        <v/>
      </c>
      <c r="AE166" s="255" t="str">
        <f t="shared" si="59"/>
        <v/>
      </c>
      <c r="AF166" s="255" t="str">
        <f t="shared" si="60"/>
        <v/>
      </c>
      <c r="AG166" s="255" t="str">
        <f t="shared" si="61"/>
        <v>E</v>
      </c>
      <c r="AH166" s="255" cm="1">
        <f t="array" ref="AH166">_xlfn.IFS(COUNTIF($N166:$P166,"合意済")=3,4,OR(COUNTIF($N166:$P166,"合意済")=2,COUNTIF($N166:$P166,"合意済")=1),3,COUNTIF($N166:$P166,"合意済")=0,2)</f>
        <v>2</v>
      </c>
      <c r="AI166" s="255" t="e">
        <f t="shared" ca="1" si="62"/>
        <v>#VALUE!</v>
      </c>
      <c r="AJ166" s="255" t="str">
        <f t="shared" ca="1" si="57"/>
        <v/>
      </c>
    </row>
    <row r="167" spans="2:36" s="11" customFormat="1">
      <c r="B167" s="21"/>
      <c r="C167" s="21"/>
      <c r="D167" s="22"/>
      <c r="E167" s="128"/>
      <c r="F167" s="489" t="str">
        <f ca="1">IFERROR(OFFSET('4.1(2)新規再エネ導入予定（設備情報）'!$F$1,MATCH(G167,'4.1(2)新規再エネ導入予定（設備情報）'!$G:$G,0)-1,0),"")</f>
        <v/>
      </c>
      <c r="G167" s="480"/>
      <c r="H167" s="491" t="str">
        <f ca="1">IFERROR(OFFSET('4.1(2)新規再エネ導入予定（設備情報）'!$H$1,MATCH(G167,'4.1(2)新規再エネ導入予定（設備情報）'!$G:$G,0)-1,0)&amp;"","")</f>
        <v/>
      </c>
      <c r="I167" s="492" t="str">
        <f ca="1">IFERROR(OFFSET('4.1(2)新規再エネ導入予定（設備情報）'!$L$1,MATCH(G167,'4.1(2)新規再エネ導入予定（設備情報）'!$G:$G,0)-1,0),"")</f>
        <v/>
      </c>
      <c r="J167" s="493" t="str">
        <f ca="1">IFERROR(OFFSET('4.1(2)新規再エネ導入予定（設備情報）'!$O$1,MATCH(G167,'4.1(2)新規再エネ導入予定（設備情報）'!$G:$G,0)-1,0),"")</f>
        <v/>
      </c>
      <c r="K167" s="494" t="str">
        <f ca="1">IFERROR(OFFSET('4.1(2)新規再エネ導入予定（設備情報）'!$P$1,MATCH(G167,'4.1(2)新規再エネ導入予定（設備情報）'!$G:$G,0)-1,0),"")</f>
        <v/>
      </c>
      <c r="L167" s="483"/>
      <c r="M167" s="486"/>
      <c r="N167" s="486"/>
      <c r="O167" s="486"/>
      <c r="P167" s="486"/>
      <c r="Q167" s="486"/>
      <c r="R167" s="24"/>
      <c r="S167" s="21"/>
      <c r="T167" s="486"/>
      <c r="V167" s="255">
        <f t="shared" si="58"/>
        <v>160</v>
      </c>
      <c r="W167" s="129">
        <f ca="1">IF(OFFSET('4.1(2)新規再エネ導入予定（設備情報）'!$O$1,MATCH(X167,'4.1(2)新規再エネ導入予定（設備情報）'!$Z:$Z,0)-1,0)="低圧",1,0)</f>
        <v>0</v>
      </c>
      <c r="X167" s="125" t="str">
        <f ca="1">IFERROR(IF(AND(G167="",L167&lt;&gt;""),MAX(OFFSET($X$8,0,0,ROW()-8,1)),OFFSET('4.1(2)新規再エネ導入予定（設備情報）'!$Z$1,MATCH($G167,'4.1(2)新規再エネ導入予定（設備情報）'!$G:$G,0)-1,0)),"")</f>
        <v/>
      </c>
      <c r="Y167" s="223">
        <f t="shared" si="54"/>
        <v>0</v>
      </c>
      <c r="Z167" s="224">
        <f t="shared" ca="1" si="55"/>
        <v>0</v>
      </c>
      <c r="AA167" s="223">
        <f t="shared" si="53"/>
        <v>0</v>
      </c>
      <c r="AB167" s="277">
        <f t="shared" ca="1" si="56"/>
        <v>1</v>
      </c>
      <c r="AC167" s="255" t="str">
        <f t="shared" si="63"/>
        <v/>
      </c>
      <c r="AD167" s="255" t="str">
        <f t="shared" si="64"/>
        <v/>
      </c>
      <c r="AE167" s="255" t="str">
        <f t="shared" si="59"/>
        <v/>
      </c>
      <c r="AF167" s="255" t="str">
        <f t="shared" si="60"/>
        <v/>
      </c>
      <c r="AG167" s="255" t="str">
        <f t="shared" si="61"/>
        <v>E</v>
      </c>
      <c r="AH167" s="255" cm="1">
        <f t="array" ref="AH167">_xlfn.IFS(COUNTIF($N167:$P167,"合意済")=3,4,OR(COUNTIF($N167:$P167,"合意済")=2,COUNTIF($N167:$P167,"合意済")=1),3,COUNTIF($N167:$P167,"合意済")=0,2)</f>
        <v>2</v>
      </c>
      <c r="AI167" s="255" t="e">
        <f t="shared" ca="1" si="62"/>
        <v>#VALUE!</v>
      </c>
      <c r="AJ167" s="255" t="str">
        <f t="shared" ca="1" si="57"/>
        <v/>
      </c>
    </row>
    <row r="168" spans="2:36" s="11" customFormat="1">
      <c r="B168" s="21"/>
      <c r="C168" s="21"/>
      <c r="D168" s="22"/>
      <c r="E168" s="128"/>
      <c r="F168" s="489" t="str">
        <f ca="1">IFERROR(OFFSET('4.1(2)新規再エネ導入予定（設備情報）'!$F$1,MATCH(G168,'4.1(2)新規再エネ導入予定（設備情報）'!$G:$G,0)-1,0),"")</f>
        <v/>
      </c>
      <c r="G168" s="480"/>
      <c r="H168" s="491" t="str">
        <f ca="1">IFERROR(OFFSET('4.1(2)新規再エネ導入予定（設備情報）'!$H$1,MATCH(G168,'4.1(2)新規再エネ導入予定（設備情報）'!$G:$G,0)-1,0)&amp;"","")</f>
        <v/>
      </c>
      <c r="I168" s="492" t="str">
        <f ca="1">IFERROR(OFFSET('4.1(2)新規再エネ導入予定（設備情報）'!$L$1,MATCH(G168,'4.1(2)新規再エネ導入予定（設備情報）'!$G:$G,0)-1,0),"")</f>
        <v/>
      </c>
      <c r="J168" s="493" t="str">
        <f ca="1">IFERROR(OFFSET('4.1(2)新規再エネ導入予定（設備情報）'!$O$1,MATCH(G168,'4.1(2)新規再エネ導入予定（設備情報）'!$G:$G,0)-1,0),"")</f>
        <v/>
      </c>
      <c r="K168" s="494" t="str">
        <f ca="1">IFERROR(OFFSET('4.1(2)新規再エネ導入予定（設備情報）'!$P$1,MATCH(G168,'4.1(2)新規再エネ導入予定（設備情報）'!$G:$G,0)-1,0),"")</f>
        <v/>
      </c>
      <c r="L168" s="483"/>
      <c r="M168" s="486"/>
      <c r="N168" s="486"/>
      <c r="O168" s="486"/>
      <c r="P168" s="486"/>
      <c r="Q168" s="486"/>
      <c r="R168" s="24"/>
      <c r="S168" s="21"/>
      <c r="T168" s="486"/>
      <c r="V168" s="255">
        <f t="shared" si="58"/>
        <v>161</v>
      </c>
      <c r="W168" s="129">
        <f ca="1">IF(OFFSET('4.1(2)新規再エネ導入予定（設備情報）'!$O$1,MATCH(X168,'4.1(2)新規再エネ導入予定（設備情報）'!$Z:$Z,0)-1,0)="低圧",1,0)</f>
        <v>0</v>
      </c>
      <c r="X168" s="125" t="str">
        <f ca="1">IFERROR(IF(AND(G168="",L168&lt;&gt;""),MAX(OFFSET($X$8,0,0,ROW()-8,1)),OFFSET('4.1(2)新規再エネ導入予定（設備情報）'!$Z$1,MATCH($G168,'4.1(2)新規再エネ導入予定（設備情報）'!$G:$G,0)-1,0)),"")</f>
        <v/>
      </c>
      <c r="Y168" s="223">
        <f t="shared" ref="Y168:Y171" si="65">IF(T168="○",1,0)</f>
        <v>0</v>
      </c>
      <c r="Z168" s="224">
        <f t="shared" ca="1" si="55"/>
        <v>0</v>
      </c>
      <c r="AA168" s="223">
        <f t="shared" ref="AA168:AA171" si="66">IF($M168="合意済",1,0)</f>
        <v>0</v>
      </c>
      <c r="AB168" s="277">
        <f t="shared" ca="1" si="56"/>
        <v>1</v>
      </c>
      <c r="AC168" s="255" t="str">
        <f t="shared" si="63"/>
        <v/>
      </c>
      <c r="AD168" s="255" t="str">
        <f t="shared" si="64"/>
        <v/>
      </c>
      <c r="AE168" s="255" t="str">
        <f t="shared" si="59"/>
        <v/>
      </c>
      <c r="AF168" s="255" t="str">
        <f t="shared" si="60"/>
        <v/>
      </c>
      <c r="AG168" s="255" t="str">
        <f t="shared" si="61"/>
        <v>E</v>
      </c>
      <c r="AH168" s="255" cm="1">
        <f t="array" ref="AH168">_xlfn.IFS(COUNTIF($N168:$P168,"合意済")=3,4,OR(COUNTIF($N168:$P168,"合意済")=2,COUNTIF($N168:$P168,"合意済")=1),3,COUNTIF($N168:$P168,"合意済")=0,2)</f>
        <v>2</v>
      </c>
      <c r="AI168" s="255" t="e">
        <f t="shared" ca="1" si="62"/>
        <v>#VALUE!</v>
      </c>
      <c r="AJ168" s="255" t="str">
        <f t="shared" ca="1" si="57"/>
        <v/>
      </c>
    </row>
    <row r="169" spans="2:36" s="11" customFormat="1">
      <c r="B169" s="21"/>
      <c r="C169" s="21"/>
      <c r="D169" s="22"/>
      <c r="E169" s="128"/>
      <c r="F169" s="489" t="str">
        <f ca="1">IFERROR(OFFSET('4.1(2)新規再エネ導入予定（設備情報）'!$F$1,MATCH(G169,'4.1(2)新規再エネ導入予定（設備情報）'!$G:$G,0)-1,0),"")</f>
        <v/>
      </c>
      <c r="G169" s="480"/>
      <c r="H169" s="491" t="str">
        <f ca="1">IFERROR(OFFSET('4.1(2)新規再エネ導入予定（設備情報）'!$H$1,MATCH(G169,'4.1(2)新規再エネ導入予定（設備情報）'!$G:$G,0)-1,0)&amp;"","")</f>
        <v/>
      </c>
      <c r="I169" s="492" t="str">
        <f ca="1">IFERROR(OFFSET('4.1(2)新規再エネ導入予定（設備情報）'!$L$1,MATCH(G169,'4.1(2)新規再エネ導入予定（設備情報）'!$G:$G,0)-1,0),"")</f>
        <v/>
      </c>
      <c r="J169" s="493" t="str">
        <f ca="1">IFERROR(OFFSET('4.1(2)新規再エネ導入予定（設備情報）'!$O$1,MATCH(G169,'4.1(2)新規再エネ導入予定（設備情報）'!$G:$G,0)-1,0),"")</f>
        <v/>
      </c>
      <c r="K169" s="494" t="str">
        <f ca="1">IFERROR(OFFSET('4.1(2)新規再エネ導入予定（設備情報）'!$P$1,MATCH(G169,'4.1(2)新規再エネ導入予定（設備情報）'!$G:$G,0)-1,0),"")</f>
        <v/>
      </c>
      <c r="L169" s="483"/>
      <c r="M169" s="486"/>
      <c r="N169" s="486"/>
      <c r="O169" s="486"/>
      <c r="P169" s="486"/>
      <c r="Q169" s="486"/>
      <c r="R169" s="24"/>
      <c r="S169" s="21"/>
      <c r="T169" s="486"/>
      <c r="V169" s="255">
        <f t="shared" si="58"/>
        <v>162</v>
      </c>
      <c r="W169" s="129">
        <f ca="1">IF(OFFSET('4.1(2)新規再エネ導入予定（設備情報）'!$O$1,MATCH(X169,'4.1(2)新規再エネ導入予定（設備情報）'!$Z:$Z,0)-1,0)="低圧",1,0)</f>
        <v>0</v>
      </c>
      <c r="X169" s="125" t="str">
        <f ca="1">IFERROR(IF(AND(G169="",L169&lt;&gt;""),MAX(OFFSET($X$8,0,0,ROW()-8,1)),OFFSET('4.1(2)新規再エネ導入予定（設備情報）'!$Z$1,MATCH($G169,'4.1(2)新規再エネ導入予定（設備情報）'!$G:$G,0)-1,0)),"")</f>
        <v/>
      </c>
      <c r="Y169" s="223">
        <f t="shared" si="65"/>
        <v>0</v>
      </c>
      <c r="Z169" s="224">
        <f t="shared" ca="1" si="55"/>
        <v>0</v>
      </c>
      <c r="AA169" s="223">
        <f t="shared" si="66"/>
        <v>0</v>
      </c>
      <c r="AB169" s="277">
        <f t="shared" ca="1" si="56"/>
        <v>1</v>
      </c>
      <c r="AC169" s="255" t="str">
        <f t="shared" si="63"/>
        <v/>
      </c>
      <c r="AD169" s="255" t="str">
        <f t="shared" si="64"/>
        <v/>
      </c>
      <c r="AE169" s="255" t="str">
        <f t="shared" si="59"/>
        <v/>
      </c>
      <c r="AF169" s="255" t="str">
        <f t="shared" si="60"/>
        <v/>
      </c>
      <c r="AG169" s="255" t="str">
        <f t="shared" si="61"/>
        <v>E</v>
      </c>
      <c r="AH169" s="255" cm="1">
        <f t="array" ref="AH169">_xlfn.IFS(COUNTIF($N169:$P169,"合意済")=3,4,OR(COUNTIF($N169:$P169,"合意済")=2,COUNTIF($N169:$P169,"合意済")=1),3,COUNTIF($N169:$P169,"合意済")=0,2)</f>
        <v>2</v>
      </c>
      <c r="AI169" s="255" t="e">
        <f t="shared" ca="1" si="62"/>
        <v>#VALUE!</v>
      </c>
      <c r="AJ169" s="255" t="str">
        <f t="shared" ca="1" si="57"/>
        <v/>
      </c>
    </row>
    <row r="170" spans="2:36" s="11" customFormat="1">
      <c r="B170" s="21"/>
      <c r="C170" s="21"/>
      <c r="D170" s="22"/>
      <c r="E170" s="128"/>
      <c r="F170" s="489" t="str">
        <f ca="1">IFERROR(OFFSET('4.1(2)新規再エネ導入予定（設備情報）'!$F$1,MATCH(G170,'4.1(2)新規再エネ導入予定（設備情報）'!$G:$G,0)-1,0),"")</f>
        <v/>
      </c>
      <c r="G170" s="480"/>
      <c r="H170" s="491" t="str">
        <f ca="1">IFERROR(OFFSET('4.1(2)新規再エネ導入予定（設備情報）'!$H$1,MATCH(G170,'4.1(2)新規再エネ導入予定（設備情報）'!$G:$G,0)-1,0)&amp;"","")</f>
        <v/>
      </c>
      <c r="I170" s="492" t="str">
        <f ca="1">IFERROR(OFFSET('4.1(2)新規再エネ導入予定（設備情報）'!$L$1,MATCH(G170,'4.1(2)新規再エネ導入予定（設備情報）'!$G:$G,0)-1,0),"")</f>
        <v/>
      </c>
      <c r="J170" s="493" t="str">
        <f ca="1">IFERROR(OFFSET('4.1(2)新規再エネ導入予定（設備情報）'!$O$1,MATCH(G170,'4.1(2)新規再エネ導入予定（設備情報）'!$G:$G,0)-1,0),"")</f>
        <v/>
      </c>
      <c r="K170" s="494" t="str">
        <f ca="1">IFERROR(OFFSET('4.1(2)新規再エネ導入予定（設備情報）'!$P$1,MATCH(G170,'4.1(2)新規再エネ導入予定（設備情報）'!$G:$G,0)-1,0),"")</f>
        <v/>
      </c>
      <c r="L170" s="483"/>
      <c r="M170" s="486"/>
      <c r="N170" s="486"/>
      <c r="O170" s="486"/>
      <c r="P170" s="486"/>
      <c r="Q170" s="486"/>
      <c r="R170" s="24"/>
      <c r="S170" s="21"/>
      <c r="T170" s="486"/>
      <c r="V170" s="255">
        <f t="shared" si="58"/>
        <v>163</v>
      </c>
      <c r="W170" s="129">
        <f ca="1">IF(OFFSET('4.1(2)新規再エネ導入予定（設備情報）'!$O$1,MATCH(X170,'4.1(2)新規再エネ導入予定（設備情報）'!$Z:$Z,0)-1,0)="低圧",1,0)</f>
        <v>0</v>
      </c>
      <c r="X170" s="125" t="str">
        <f ca="1">IFERROR(IF(AND(G170="",L170&lt;&gt;""),MAX(OFFSET($X$8,0,0,ROW()-8,1)),OFFSET('4.1(2)新規再エネ導入予定（設備情報）'!$Z$1,MATCH($G170,'4.1(2)新規再エネ導入予定（設備情報）'!$G:$G,0)-1,0)),"")</f>
        <v/>
      </c>
      <c r="Y170" s="223">
        <f t="shared" si="65"/>
        <v>0</v>
      </c>
      <c r="Z170" s="224">
        <f t="shared" ca="1" si="55"/>
        <v>0</v>
      </c>
      <c r="AA170" s="223">
        <f t="shared" si="66"/>
        <v>0</v>
      </c>
      <c r="AB170" s="277">
        <f t="shared" ca="1" si="56"/>
        <v>1</v>
      </c>
      <c r="AC170" s="255" t="str">
        <f t="shared" si="63"/>
        <v/>
      </c>
      <c r="AD170" s="255" t="str">
        <f t="shared" si="64"/>
        <v/>
      </c>
      <c r="AE170" s="255" t="str">
        <f t="shared" si="59"/>
        <v/>
      </c>
      <c r="AF170" s="255" t="str">
        <f t="shared" si="60"/>
        <v/>
      </c>
      <c r="AG170" s="255" t="str">
        <f t="shared" si="61"/>
        <v>E</v>
      </c>
      <c r="AH170" s="255" cm="1">
        <f t="array" ref="AH170">_xlfn.IFS(COUNTIF($N170:$P170,"合意済")=3,4,OR(COUNTIF($N170:$P170,"合意済")=2,COUNTIF($N170:$P170,"合意済")=1),3,COUNTIF($N170:$P170,"合意済")=0,2)</f>
        <v>2</v>
      </c>
      <c r="AI170" s="255" t="e">
        <f t="shared" ca="1" si="62"/>
        <v>#VALUE!</v>
      </c>
      <c r="AJ170" s="255" t="str">
        <f t="shared" ca="1" si="57"/>
        <v/>
      </c>
    </row>
    <row r="171" spans="2:36">
      <c r="D171" s="16"/>
      <c r="E171" s="272"/>
      <c r="F171" s="189" t="s">
        <v>26</v>
      </c>
      <c r="G171" s="240"/>
      <c r="H171" s="240"/>
      <c r="I171" s="273"/>
      <c r="J171" s="274"/>
      <c r="K171" s="499">
        <f ca="1">SUM(INDIRECT("K"&amp;ROW(K164)&amp;":K"&amp;ROW()-1))</f>
        <v>0</v>
      </c>
      <c r="L171" s="274"/>
      <c r="M171" s="242"/>
      <c r="N171" s="242"/>
      <c r="O171" s="242"/>
      <c r="P171" s="242"/>
      <c r="Q171" s="242"/>
      <c r="R171" s="19"/>
      <c r="T171" s="242"/>
      <c r="V171" s="175">
        <f t="shared" si="58"/>
        <v>164</v>
      </c>
      <c r="W171" s="215">
        <f ca="1">IF(OFFSET('4.1(2)新規再エネ導入予定（設備情報）'!$O$1,MATCH(X171,'4.1(2)新規再エネ導入予定（設備情報）'!$Z:$Z,0)-1,0)="低圧",1,0)</f>
        <v>0</v>
      </c>
      <c r="X171" s="125" t="str">
        <f ca="1">IFERROR(IF(AND(G171="",L171&lt;&gt;""),MAX(OFFSET($X$8,0,0,ROW()-8,1)),OFFSET('4.1(2)新規再エネ導入予定（設備情報）'!$Z$1,MATCH($G171,'4.1(2)新規再エネ導入予定（設備情報）'!$G:$G,0)-1,0)),"")</f>
        <v/>
      </c>
      <c r="Y171" s="222">
        <f t="shared" si="65"/>
        <v>0</v>
      </c>
      <c r="Z171" s="261">
        <f t="shared" ca="1" si="55"/>
        <v>0</v>
      </c>
      <c r="AA171" s="222">
        <f t="shared" si="66"/>
        <v>0</v>
      </c>
      <c r="AB171" s="262">
        <f t="shared" ca="1" si="56"/>
        <v>1</v>
      </c>
      <c r="AC171" s="175" t="str">
        <f t="shared" si="63"/>
        <v/>
      </c>
      <c r="AD171" s="175" t="str">
        <f t="shared" si="64"/>
        <v/>
      </c>
      <c r="AE171" s="175" t="str">
        <f t="shared" si="59"/>
        <v/>
      </c>
      <c r="AF171" s="175" t="str">
        <f t="shared" si="60"/>
        <v/>
      </c>
      <c r="AG171" s="175" t="str">
        <f t="shared" si="61"/>
        <v>E</v>
      </c>
      <c r="AH171" s="175" cm="1">
        <f t="array" ref="AH171">_xlfn.IFS(COUNTIF($N171:$P171,"合意済")=3,4,OR(COUNTIF($N171:$P171,"合意済")=2,COUNTIF($N171:$P171,"合意済")=1),3,COUNTIF($N171:$P171,"合意済")=0,2)</f>
        <v>2</v>
      </c>
      <c r="AI171" s="175" t="e">
        <f t="shared" ca="1" si="62"/>
        <v>#VALUE!</v>
      </c>
      <c r="AJ171" s="175" t="str">
        <f t="shared" ca="1" si="57"/>
        <v/>
      </c>
    </row>
    <row r="172" spans="2:36">
      <c r="D172" s="46"/>
      <c r="E172" s="26"/>
      <c r="F172" s="26"/>
      <c r="G172" s="4"/>
      <c r="H172" s="4"/>
      <c r="I172" s="122"/>
      <c r="J172" s="4"/>
      <c r="K172" s="4"/>
      <c r="L172" s="4"/>
      <c r="M172" s="123"/>
      <c r="N172" s="123"/>
      <c r="O172" s="123"/>
      <c r="P172" s="123"/>
      <c r="Q172" s="123"/>
      <c r="R172" s="27"/>
      <c r="S172"/>
      <c r="V172" s="121"/>
      <c r="W172" s="275"/>
      <c r="AB172" s="121"/>
      <c r="AC172" s="121"/>
      <c r="AD172" s="121"/>
      <c r="AE172" s="121"/>
      <c r="AF172" s="121"/>
      <c r="AG172" s="121"/>
      <c r="AH172" s="121"/>
      <c r="AI172" s="121"/>
      <c r="AJ172" s="121"/>
    </row>
    <row r="173" spans="2:36">
      <c r="F173" s="31"/>
      <c r="G173" s="31"/>
      <c r="H173" s="31"/>
      <c r="I173" s="268"/>
      <c r="J173" s="31"/>
      <c r="K173" s="31"/>
      <c r="L173" s="31"/>
      <c r="M173" s="247"/>
      <c r="N173" s="247"/>
      <c r="O173" s="247"/>
      <c r="P173" s="247"/>
      <c r="Q173" s="247"/>
    </row>
    <row r="174" spans="2:36">
      <c r="F174" s="31"/>
      <c r="G174" s="31"/>
      <c r="H174" s="31"/>
      <c r="I174" s="268"/>
      <c r="J174" s="31"/>
      <c r="K174" s="31"/>
      <c r="L174" s="31"/>
      <c r="M174" s="247"/>
      <c r="N174" s="247"/>
      <c r="O174" s="247"/>
      <c r="P174" s="247"/>
      <c r="Q174" s="247"/>
    </row>
    <row r="175" spans="2:36" ht="18" customHeight="1">
      <c r="D175"/>
      <c r="E175"/>
      <c r="F175"/>
      <c r="G175"/>
      <c r="H175"/>
      <c r="I175" s="88"/>
      <c r="J175"/>
      <c r="K175"/>
      <c r="L175"/>
      <c r="M175" s="2"/>
      <c r="N175" s="2"/>
      <c r="O175" s="2"/>
      <c r="P175" s="2"/>
      <c r="Q175" s="2"/>
      <c r="R175"/>
      <c r="S175"/>
    </row>
    <row r="176" spans="2:36" ht="14.25" customHeight="1">
      <c r="I176" s="228"/>
      <c r="J176"/>
      <c r="K176"/>
      <c r="L176"/>
      <c r="M176" s="2"/>
      <c r="N176" s="2"/>
      <c r="O176" s="2"/>
      <c r="P176" s="2"/>
      <c r="Q176" s="2"/>
      <c r="R176"/>
      <c r="S176"/>
    </row>
    <row r="177" spans="4:24" ht="24" customHeight="1">
      <c r="D177" s="883" t="s">
        <v>166</v>
      </c>
      <c r="F177"/>
      <c r="G177"/>
      <c r="H177"/>
      <c r="I177" s="88"/>
      <c r="J177"/>
      <c r="K177"/>
      <c r="L177"/>
      <c r="M177" s="2"/>
      <c r="N177" s="2"/>
      <c r="O177" s="2"/>
      <c r="P177" s="2"/>
      <c r="Q177" s="2"/>
      <c r="R177"/>
      <c r="S177"/>
      <c r="X177" s="275" t="s">
        <v>419</v>
      </c>
    </row>
    <row r="178" spans="4:24">
      <c r="E178" s="1364" t="s">
        <v>162</v>
      </c>
      <c r="F178" s="1365"/>
      <c r="G178" s="1365"/>
      <c r="H178" s="1381"/>
      <c r="I178" s="1384">
        <f ca="1">K80</f>
        <v>0</v>
      </c>
      <c r="J178" s="1385"/>
      <c r="K178"/>
      <c r="L178"/>
      <c r="M178" s="2"/>
      <c r="N178" s="2"/>
      <c r="O178" s="2"/>
      <c r="P178" s="2"/>
      <c r="Q178" s="2"/>
      <c r="R178"/>
      <c r="S178"/>
      <c r="X178" s="121">
        <f ca="1">IF('4.1(2)新規再エネ導入予定（設備情報）'!J171=I178,1,0)</f>
        <v>1</v>
      </c>
    </row>
    <row r="179" spans="4:24">
      <c r="E179" s="1364" t="s">
        <v>284</v>
      </c>
      <c r="F179" s="1365"/>
      <c r="G179" s="1365"/>
      <c r="H179" s="1381"/>
      <c r="I179" s="1384">
        <f ca="1">K93</f>
        <v>0</v>
      </c>
      <c r="J179" s="1385"/>
      <c r="K179"/>
      <c r="L179"/>
      <c r="M179" s="2"/>
      <c r="N179" s="2"/>
      <c r="O179" s="2"/>
      <c r="P179" s="2"/>
      <c r="Q179" s="2"/>
      <c r="R179"/>
      <c r="S179"/>
      <c r="X179" s="121">
        <f ca="1">IF('4.1(2)新規再エネ導入予定（設備情報）'!J172=I179,1,0)</f>
        <v>1</v>
      </c>
    </row>
    <row r="180" spans="4:24">
      <c r="E180" s="1364" t="s">
        <v>91</v>
      </c>
      <c r="F180" s="1365"/>
      <c r="G180" s="1365"/>
      <c r="H180" s="1365"/>
      <c r="I180" s="1382">
        <f ca="1">K106</f>
        <v>0</v>
      </c>
      <c r="J180" s="1383"/>
      <c r="K180"/>
      <c r="L180"/>
      <c r="M180" s="2"/>
      <c r="N180" s="2"/>
      <c r="O180" s="2"/>
      <c r="P180" s="2"/>
      <c r="Q180" s="2"/>
      <c r="R180"/>
      <c r="S180"/>
      <c r="X180" s="121">
        <f ca="1">IF('4.1(2)新規再エネ導入予定（設備情報）'!J173=I180,1,0)</f>
        <v>1</v>
      </c>
    </row>
    <row r="181" spans="4:24">
      <c r="E181" s="1364" t="s">
        <v>163</v>
      </c>
      <c r="F181" s="1365"/>
      <c r="G181" s="1365"/>
      <c r="H181" s="1365"/>
      <c r="I181" s="1382">
        <f ca="1">K119</f>
        <v>0</v>
      </c>
      <c r="J181" s="1383"/>
      <c r="K181"/>
      <c r="L181"/>
      <c r="M181" s="2"/>
      <c r="N181" s="2"/>
      <c r="O181" s="2"/>
      <c r="P181" s="2"/>
      <c r="Q181" s="2"/>
      <c r="R181"/>
      <c r="S181"/>
      <c r="X181" s="121">
        <f ca="1">IF('4.1(2)新規再エネ導入予定（設備情報）'!J174=I181,1,0)</f>
        <v>1</v>
      </c>
    </row>
    <row r="182" spans="4:24">
      <c r="E182" s="1364" t="s">
        <v>164</v>
      </c>
      <c r="F182" s="1365"/>
      <c r="G182" s="1365"/>
      <c r="H182" s="1365"/>
      <c r="I182" s="1382">
        <f ca="1">K132</f>
        <v>0</v>
      </c>
      <c r="J182" s="1383"/>
      <c r="K182"/>
      <c r="L182"/>
      <c r="M182" s="2"/>
      <c r="N182" s="2"/>
      <c r="O182" s="2"/>
      <c r="P182" s="2"/>
      <c r="Q182" s="2"/>
      <c r="R182"/>
      <c r="S182"/>
      <c r="X182" s="121">
        <f ca="1">IF('4.1(2)新規再エネ導入予定（設備情報）'!J175=I182,1,0)</f>
        <v>1</v>
      </c>
    </row>
    <row r="183" spans="4:24">
      <c r="E183" s="1364" t="s">
        <v>165</v>
      </c>
      <c r="F183" s="1365"/>
      <c r="G183" s="1365"/>
      <c r="H183" s="1365"/>
      <c r="I183" s="1382">
        <f ca="1">K145</f>
        <v>0</v>
      </c>
      <c r="J183" s="1383"/>
      <c r="K183"/>
      <c r="L183"/>
      <c r="M183" s="2"/>
      <c r="N183" s="2"/>
      <c r="O183" s="2"/>
      <c r="P183" s="2"/>
      <c r="Q183" s="2"/>
      <c r="R183"/>
      <c r="S183"/>
      <c r="X183" s="121">
        <f ca="1">IF('4.1(2)新規再エネ導入予定（設備情報）'!J176=I183,1,0)</f>
        <v>1</v>
      </c>
    </row>
    <row r="184" spans="4:24">
      <c r="E184" s="1364" t="s">
        <v>224</v>
      </c>
      <c r="F184" s="1365"/>
      <c r="G184" s="1365"/>
      <c r="H184" s="1365"/>
      <c r="I184" s="1382">
        <f ca="1">K158</f>
        <v>0</v>
      </c>
      <c r="J184" s="1383"/>
      <c r="K184"/>
      <c r="L184"/>
      <c r="M184" s="2"/>
      <c r="N184" s="2"/>
      <c r="O184" s="2"/>
      <c r="P184" s="2"/>
      <c r="Q184" s="2"/>
      <c r="R184"/>
      <c r="S184"/>
      <c r="X184" s="121">
        <f ca="1">IF('4.1(2)新規再エネ導入予定（設備情報）'!J177=I184,1,0)</f>
        <v>1</v>
      </c>
    </row>
    <row r="185" spans="4:24">
      <c r="E185" s="1364" t="s">
        <v>319</v>
      </c>
      <c r="F185" s="1365"/>
      <c r="G185" s="1365"/>
      <c r="H185" s="1365"/>
      <c r="I185" s="1382">
        <f ca="1">SUM(I178:I184)</f>
        <v>0</v>
      </c>
      <c r="J185" s="1383"/>
      <c r="K185"/>
      <c r="L185"/>
      <c r="M185" s="2"/>
      <c r="N185" s="2"/>
      <c r="O185" s="2"/>
      <c r="P185" s="2"/>
      <c r="Q185" s="2"/>
      <c r="R185"/>
      <c r="S185"/>
      <c r="X185" s="121">
        <f ca="1">IF('4.1(2)新規再エネ導入予定（設備情報）'!J178=I185,1,0)</f>
        <v>1</v>
      </c>
    </row>
    <row r="186" spans="4:24">
      <c r="E186" s="1364" t="s">
        <v>317</v>
      </c>
      <c r="F186" s="1365"/>
      <c r="G186" s="1365"/>
      <c r="H186" s="1365"/>
      <c r="I186" s="1382">
        <f ca="1">K171</f>
        <v>0</v>
      </c>
      <c r="J186" s="1383"/>
      <c r="K186"/>
      <c r="L186"/>
      <c r="M186" s="2"/>
      <c r="N186" s="2"/>
      <c r="O186" s="2"/>
      <c r="P186" s="2"/>
      <c r="Q186" s="2"/>
      <c r="R186"/>
      <c r="S186"/>
      <c r="X186" s="121">
        <f ca="1">IF('4.1(2)新規再エネ導入予定（設備情報）'!J179=I186,1,0)</f>
        <v>1</v>
      </c>
    </row>
    <row r="187" spans="4:24" ht="18" customHeight="1">
      <c r="I187" s="228"/>
      <c r="J187"/>
      <c r="K187"/>
      <c r="L187"/>
      <c r="M187" s="2"/>
      <c r="N187" s="2"/>
      <c r="O187" s="2"/>
      <c r="P187" s="2"/>
      <c r="Q187" s="2"/>
      <c r="R187"/>
      <c r="S187"/>
      <c r="X187" s="195">
        <f ca="1">PRODUCT(X178:X186)</f>
        <v>1</v>
      </c>
    </row>
    <row r="188" spans="4:24">
      <c r="D188"/>
      <c r="E188"/>
      <c r="F188"/>
      <c r="G188"/>
      <c r="H188"/>
      <c r="I188" s="88"/>
      <c r="J188"/>
      <c r="K188"/>
      <c r="L188"/>
      <c r="M188" s="2"/>
      <c r="N188" s="2"/>
      <c r="O188" s="2"/>
      <c r="P188" s="2"/>
      <c r="Q188" s="2"/>
      <c r="R188"/>
      <c r="S188"/>
    </row>
    <row r="189" spans="4:24">
      <c r="D189"/>
      <c r="E189"/>
      <c r="F189"/>
      <c r="G189"/>
      <c r="H189"/>
      <c r="I189" s="88"/>
      <c r="J189"/>
      <c r="K189"/>
      <c r="L189"/>
      <c r="M189" s="2"/>
      <c r="N189" s="2"/>
      <c r="O189" s="2"/>
      <c r="P189" s="2"/>
      <c r="Q189" s="2"/>
      <c r="R189"/>
      <c r="S189"/>
    </row>
    <row r="190" spans="4:24">
      <c r="D190"/>
      <c r="E190"/>
      <c r="F190"/>
      <c r="G190"/>
      <c r="H190"/>
      <c r="I190" s="88"/>
      <c r="J190"/>
      <c r="K190"/>
      <c r="L190"/>
      <c r="M190" s="2"/>
      <c r="N190" s="2"/>
      <c r="O190" s="2"/>
      <c r="P190" s="2"/>
      <c r="Q190" s="2"/>
      <c r="R190"/>
      <c r="S190"/>
    </row>
    <row r="191" spans="4:24">
      <c r="D191"/>
      <c r="E191"/>
      <c r="F191"/>
      <c r="G191"/>
      <c r="H191"/>
      <c r="I191" s="88"/>
      <c r="J191"/>
      <c r="K191"/>
      <c r="L191"/>
      <c r="M191" s="2"/>
      <c r="N191" s="2"/>
      <c r="O191" s="2"/>
      <c r="P191" s="2"/>
      <c r="Q191" s="2"/>
      <c r="R191"/>
      <c r="S191"/>
    </row>
    <row r="192" spans="4:24">
      <c r="D192"/>
      <c r="E192"/>
      <c r="F192"/>
      <c r="G192"/>
      <c r="H192"/>
      <c r="I192" s="88"/>
      <c r="J192"/>
      <c r="K192"/>
      <c r="L192"/>
      <c r="M192" s="2"/>
      <c r="N192" s="2"/>
      <c r="O192" s="2"/>
      <c r="P192" s="2"/>
      <c r="Q192" s="2"/>
      <c r="R192"/>
      <c r="S192"/>
    </row>
    <row r="193" spans="4:20">
      <c r="D193"/>
      <c r="E193"/>
      <c r="F193"/>
      <c r="G193"/>
      <c r="H193"/>
      <c r="I193" s="88"/>
      <c r="J193"/>
      <c r="K193"/>
      <c r="L193"/>
      <c r="M193" s="2"/>
      <c r="N193" s="2"/>
      <c r="O193" s="2"/>
      <c r="P193" s="2"/>
      <c r="Q193" s="2"/>
    </row>
    <row r="194" spans="4:20">
      <c r="D194"/>
      <c r="E194"/>
      <c r="F194"/>
      <c r="G194"/>
      <c r="H194"/>
      <c r="I194" s="88"/>
      <c r="J194"/>
      <c r="K194"/>
      <c r="L194"/>
      <c r="M194" s="2"/>
      <c r="N194" s="2"/>
      <c r="O194" s="2"/>
      <c r="P194" s="2"/>
      <c r="Q194" s="2"/>
    </row>
    <row r="195" spans="4:20">
      <c r="D195"/>
      <c r="E195"/>
      <c r="F195"/>
      <c r="G195"/>
      <c r="H195"/>
      <c r="I195" s="88"/>
      <c r="J195"/>
      <c r="K195"/>
      <c r="L195"/>
      <c r="M195" s="2"/>
      <c r="N195" s="2"/>
      <c r="O195" s="2"/>
      <c r="P195" s="2"/>
      <c r="Q195" s="2"/>
      <c r="T195" s="229"/>
    </row>
    <row r="196" spans="4:20" ht="37.5" customHeight="1">
      <c r="D196"/>
      <c r="E196"/>
      <c r="F196"/>
      <c r="G196"/>
      <c r="H196"/>
      <c r="I196" s="88"/>
      <c r="J196"/>
      <c r="K196"/>
      <c r="L196"/>
      <c r="M196" s="2"/>
      <c r="N196" s="2"/>
      <c r="O196" s="2"/>
      <c r="P196" s="2"/>
      <c r="Q196" s="2"/>
    </row>
    <row r="197" spans="4:20">
      <c r="D197"/>
      <c r="E197"/>
      <c r="F197"/>
      <c r="G197"/>
      <c r="H197"/>
      <c r="I197" s="88"/>
      <c r="J197"/>
      <c r="K197"/>
      <c r="L197"/>
      <c r="M197" s="2"/>
      <c r="N197" s="2"/>
      <c r="O197" s="2"/>
      <c r="P197" s="2"/>
      <c r="Q197" s="2"/>
    </row>
    <row r="198" spans="4:20">
      <c r="D198"/>
      <c r="E198"/>
      <c r="F198"/>
      <c r="G198"/>
      <c r="H198"/>
      <c r="I198" s="88"/>
      <c r="J198"/>
      <c r="K198"/>
      <c r="L198"/>
      <c r="M198" s="2"/>
      <c r="N198" s="2"/>
      <c r="O198" s="2"/>
      <c r="P198" s="2"/>
      <c r="Q198" s="2"/>
    </row>
    <row r="199" spans="4:20">
      <c r="D199"/>
      <c r="E199"/>
      <c r="F199"/>
      <c r="G199"/>
      <c r="H199"/>
      <c r="I199" s="88"/>
      <c r="J199"/>
      <c r="K199"/>
      <c r="L199"/>
      <c r="M199" s="2"/>
      <c r="N199" s="2"/>
      <c r="O199" s="2"/>
      <c r="P199" s="2"/>
      <c r="Q199" s="2"/>
    </row>
    <row r="200" spans="4:20">
      <c r="D200"/>
      <c r="E200"/>
      <c r="F200"/>
      <c r="G200"/>
      <c r="H200"/>
      <c r="I200" s="88"/>
      <c r="J200"/>
      <c r="K200"/>
      <c r="L200"/>
      <c r="M200" s="2"/>
      <c r="N200" s="2"/>
      <c r="O200" s="2"/>
      <c r="P200" s="2"/>
      <c r="Q200" s="2"/>
    </row>
    <row r="201" spans="4:20">
      <c r="D201"/>
      <c r="E201"/>
      <c r="F201"/>
      <c r="G201"/>
      <c r="H201"/>
      <c r="I201" s="88"/>
      <c r="J201"/>
      <c r="K201"/>
      <c r="L201"/>
      <c r="M201" s="2"/>
      <c r="N201" s="2"/>
      <c r="O201" s="2"/>
      <c r="P201" s="2"/>
      <c r="Q201" s="2"/>
    </row>
    <row r="202" spans="4:20">
      <c r="D202"/>
      <c r="E202"/>
      <c r="F202"/>
      <c r="G202"/>
      <c r="H202"/>
      <c r="I202" s="88"/>
      <c r="J202"/>
      <c r="K202"/>
      <c r="L202"/>
      <c r="M202" s="2"/>
      <c r="N202" s="2"/>
      <c r="O202" s="2"/>
      <c r="P202" s="2"/>
      <c r="Q202" s="2"/>
    </row>
    <row r="203" spans="4:20">
      <c r="D203"/>
      <c r="E203"/>
      <c r="F203"/>
      <c r="G203"/>
      <c r="H203"/>
      <c r="I203" s="88"/>
      <c r="J203"/>
      <c r="K203"/>
      <c r="L203"/>
      <c r="M203" s="2"/>
      <c r="N203" s="2"/>
      <c r="O203" s="2"/>
      <c r="P203" s="2"/>
      <c r="Q203" s="2"/>
    </row>
    <row r="204" spans="4:20">
      <c r="D204"/>
      <c r="E204"/>
      <c r="F204"/>
      <c r="G204"/>
      <c r="H204"/>
      <c r="I204" s="88"/>
      <c r="J204"/>
      <c r="K204"/>
      <c r="L204"/>
      <c r="M204" s="2"/>
      <c r="N204" s="2"/>
      <c r="O204" s="2"/>
      <c r="P204" s="2"/>
      <c r="Q204" s="2"/>
    </row>
    <row r="205" spans="4:20">
      <c r="D205"/>
      <c r="E205"/>
      <c r="F205"/>
      <c r="G205"/>
      <c r="H205"/>
      <c r="I205" s="88"/>
      <c r="J205"/>
      <c r="K205"/>
      <c r="L205"/>
      <c r="M205" s="2"/>
      <c r="N205" s="2"/>
      <c r="O205" s="2"/>
      <c r="P205" s="2"/>
      <c r="Q205" s="2"/>
      <c r="T205" s="229"/>
    </row>
    <row r="206" spans="4:20">
      <c r="D206"/>
      <c r="E206"/>
      <c r="F206"/>
      <c r="G206"/>
      <c r="H206"/>
      <c r="I206" s="88"/>
      <c r="J206"/>
      <c r="K206"/>
      <c r="L206"/>
      <c r="M206" s="2"/>
      <c r="N206" s="2"/>
      <c r="O206" s="2"/>
      <c r="P206" s="2"/>
      <c r="Q206" s="2"/>
      <c r="T206" s="229"/>
    </row>
    <row r="207" spans="4:20">
      <c r="D207"/>
      <c r="E207"/>
      <c r="F207"/>
      <c r="G207"/>
      <c r="H207"/>
      <c r="I207" s="88"/>
      <c r="J207"/>
      <c r="K207"/>
      <c r="L207"/>
      <c r="M207" s="2"/>
      <c r="N207" s="2"/>
      <c r="O207" s="2"/>
      <c r="P207" s="2"/>
      <c r="Q207" s="2"/>
      <c r="T207" s="229"/>
    </row>
    <row r="208" spans="4:20" ht="37.5" customHeight="1">
      <c r="D208"/>
      <c r="E208"/>
      <c r="F208"/>
      <c r="G208"/>
      <c r="H208"/>
      <c r="I208" s="88"/>
      <c r="J208"/>
      <c r="K208"/>
      <c r="L208"/>
      <c r="M208" s="2"/>
      <c r="N208" s="2"/>
      <c r="O208" s="2"/>
      <c r="P208" s="2"/>
      <c r="Q208" s="2"/>
    </row>
    <row r="209" spans="4:20">
      <c r="D209"/>
      <c r="E209"/>
      <c r="F209"/>
      <c r="G209"/>
      <c r="H209"/>
      <c r="I209" s="88"/>
      <c r="J209"/>
      <c r="K209"/>
      <c r="L209"/>
      <c r="M209" s="2"/>
      <c r="N209" s="2"/>
      <c r="O209" s="2"/>
      <c r="P209" s="2"/>
      <c r="Q209" s="2"/>
    </row>
    <row r="210" spans="4:20">
      <c r="D210"/>
      <c r="E210"/>
      <c r="F210"/>
      <c r="G210"/>
      <c r="H210"/>
      <c r="I210" s="88"/>
      <c r="J210"/>
      <c r="K210"/>
      <c r="L210"/>
      <c r="M210" s="2"/>
      <c r="N210" s="2"/>
      <c r="O210" s="2"/>
      <c r="P210" s="2"/>
      <c r="Q210" s="2"/>
    </row>
    <row r="211" spans="4:20">
      <c r="D211"/>
      <c r="E211"/>
      <c r="F211"/>
      <c r="G211"/>
      <c r="H211"/>
      <c r="I211" s="88"/>
      <c r="J211"/>
      <c r="K211"/>
      <c r="L211"/>
      <c r="M211" s="2"/>
      <c r="N211" s="2"/>
      <c r="O211" s="2"/>
      <c r="P211" s="2"/>
      <c r="Q211" s="2"/>
    </row>
    <row r="212" spans="4:20">
      <c r="D212"/>
      <c r="E212"/>
      <c r="F212"/>
      <c r="G212"/>
      <c r="H212"/>
      <c r="I212" s="88"/>
      <c r="J212"/>
      <c r="K212"/>
      <c r="L212"/>
      <c r="M212" s="2"/>
      <c r="N212" s="2"/>
      <c r="O212" s="2"/>
      <c r="P212" s="2"/>
      <c r="Q212" s="2"/>
    </row>
    <row r="213" spans="4:20">
      <c r="D213"/>
      <c r="E213"/>
      <c r="F213"/>
      <c r="G213"/>
      <c r="H213"/>
      <c r="I213" s="88"/>
      <c r="J213"/>
      <c r="K213"/>
      <c r="L213"/>
      <c r="M213" s="2"/>
      <c r="N213" s="2"/>
      <c r="O213" s="2"/>
      <c r="P213" s="2"/>
      <c r="Q213" s="2"/>
    </row>
    <row r="214" spans="4:20">
      <c r="D214"/>
      <c r="E214"/>
      <c r="F214"/>
      <c r="G214"/>
      <c r="H214"/>
      <c r="I214" s="88"/>
      <c r="J214"/>
      <c r="K214"/>
      <c r="L214"/>
      <c r="M214" s="2"/>
      <c r="N214" s="2"/>
      <c r="O214" s="2"/>
      <c r="P214" s="2"/>
      <c r="Q214" s="2"/>
    </row>
    <row r="215" spans="4:20">
      <c r="E215"/>
      <c r="F215"/>
      <c r="G215"/>
      <c r="H215"/>
      <c r="I215" s="276"/>
      <c r="J215"/>
      <c r="K215"/>
      <c r="L215"/>
      <c r="M215" s="2"/>
      <c r="N215" s="2"/>
      <c r="O215" s="2"/>
      <c r="P215" s="2"/>
      <c r="Q215" s="2"/>
    </row>
    <row r="216" spans="4:20">
      <c r="E216"/>
      <c r="F216"/>
      <c r="G216"/>
      <c r="H216"/>
      <c r="I216" s="276"/>
      <c r="J216"/>
      <c r="K216"/>
      <c r="L216"/>
      <c r="M216" s="2"/>
      <c r="N216" s="2"/>
      <c r="O216" s="2"/>
      <c r="P216" s="2"/>
      <c r="Q216" s="2"/>
    </row>
    <row r="217" spans="4:20">
      <c r="E217"/>
      <c r="F217"/>
      <c r="G217"/>
      <c r="H217"/>
      <c r="I217" s="276"/>
      <c r="J217"/>
      <c r="K217"/>
      <c r="L217"/>
      <c r="M217" s="2"/>
      <c r="N217" s="2"/>
      <c r="O217" s="2"/>
      <c r="P217" s="2"/>
      <c r="Q217" s="2"/>
      <c r="T217" s="229"/>
    </row>
    <row r="218" spans="4:20">
      <c r="E218"/>
      <c r="F218"/>
      <c r="G218"/>
      <c r="H218"/>
      <c r="I218" s="276"/>
      <c r="J218"/>
      <c r="K218"/>
      <c r="L218"/>
      <c r="M218" s="2"/>
      <c r="N218" s="2"/>
      <c r="O218" s="2"/>
      <c r="P218" s="2"/>
      <c r="Q218" s="2"/>
    </row>
  </sheetData>
  <sheetProtection algorithmName="SHA-512" hashValue="q6OJ4vaf3NH0YKI4U6Hk9k6vM4YZ8gLcJhdK53Qp84uX0CveRaf7UivL6xdc9cmjvQ+UTO5JnKWe8IydrF77gw==" saltValue="AJCC44Psch4RaMFojxmotQ==" spinCount="100000" sheet="1" formatCells="0" insertRows="0" deleteRows="0"/>
  <mergeCells count="114">
    <mergeCell ref="W6:W7"/>
    <mergeCell ref="Z6:Z7"/>
    <mergeCell ref="Y6:Y7"/>
    <mergeCell ref="T164:T165"/>
    <mergeCell ref="T99:T100"/>
    <mergeCell ref="T112:T113"/>
    <mergeCell ref="X6:X7"/>
    <mergeCell ref="A2:S2"/>
    <mergeCell ref="Q164:Q165"/>
    <mergeCell ref="Q151:Q152"/>
    <mergeCell ref="T125:T126"/>
    <mergeCell ref="T151:T152"/>
    <mergeCell ref="F125:F126"/>
    <mergeCell ref="G125:G126"/>
    <mergeCell ref="H125:H126"/>
    <mergeCell ref="I125:I126"/>
    <mergeCell ref="J125:J126"/>
    <mergeCell ref="K125:K126"/>
    <mergeCell ref="L125:L126"/>
    <mergeCell ref="M125:P125"/>
    <mergeCell ref="F151:F152"/>
    <mergeCell ref="G151:G152"/>
    <mergeCell ref="H138:H139"/>
    <mergeCell ref="I138:I139"/>
    <mergeCell ref="E186:H186"/>
    <mergeCell ref="I186:J186"/>
    <mergeCell ref="F164:F165"/>
    <mergeCell ref="G164:G165"/>
    <mergeCell ref="H164:H165"/>
    <mergeCell ref="I164:I165"/>
    <mergeCell ref="J164:J165"/>
    <mergeCell ref="I183:J183"/>
    <mergeCell ref="I184:J184"/>
    <mergeCell ref="I185:J185"/>
    <mergeCell ref="I178:J178"/>
    <mergeCell ref="I179:J179"/>
    <mergeCell ref="I180:J180"/>
    <mergeCell ref="I181:J181"/>
    <mergeCell ref="I182:J182"/>
    <mergeCell ref="J138:J139"/>
    <mergeCell ref="K151:K152"/>
    <mergeCell ref="L151:L152"/>
    <mergeCell ref="H151:H152"/>
    <mergeCell ref="I151:I152"/>
    <mergeCell ref="J151:J152"/>
    <mergeCell ref="T138:T139"/>
    <mergeCell ref="E185:H185"/>
    <mergeCell ref="E178:H178"/>
    <mergeCell ref="E179:H179"/>
    <mergeCell ref="E180:H180"/>
    <mergeCell ref="E181:H181"/>
    <mergeCell ref="E182:H182"/>
    <mergeCell ref="E183:H183"/>
    <mergeCell ref="E184:H184"/>
    <mergeCell ref="K138:K139"/>
    <mergeCell ref="F138:F139"/>
    <mergeCell ref="G138:G139"/>
    <mergeCell ref="J112:J113"/>
    <mergeCell ref="K112:K113"/>
    <mergeCell ref="L112:L113"/>
    <mergeCell ref="F99:F100"/>
    <mergeCell ref="G99:G100"/>
    <mergeCell ref="H99:H100"/>
    <mergeCell ref="I99:I100"/>
    <mergeCell ref="J99:J100"/>
    <mergeCell ref="K99:K100"/>
    <mergeCell ref="L99:L100"/>
    <mergeCell ref="F112:F113"/>
    <mergeCell ref="G112:G113"/>
    <mergeCell ref="H112:H113"/>
    <mergeCell ref="I112:I113"/>
    <mergeCell ref="I6:I7"/>
    <mergeCell ref="J6:J7"/>
    <mergeCell ref="K6:K7"/>
    <mergeCell ref="L6:L7"/>
    <mergeCell ref="M6:P6"/>
    <mergeCell ref="E6:F7"/>
    <mergeCell ref="G6:G7"/>
    <mergeCell ref="H6:H7"/>
    <mergeCell ref="Q99:Q100"/>
    <mergeCell ref="M99:P99"/>
    <mergeCell ref="F86:F87"/>
    <mergeCell ref="G86:G87"/>
    <mergeCell ref="H86:H87"/>
    <mergeCell ref="I86:I87"/>
    <mergeCell ref="J86:J87"/>
    <mergeCell ref="K86:K87"/>
    <mergeCell ref="L86:L87"/>
    <mergeCell ref="M86:P86"/>
    <mergeCell ref="Q86:Q87"/>
    <mergeCell ref="V6:V7"/>
    <mergeCell ref="AI6:AI7"/>
    <mergeCell ref="AJ6:AJ7"/>
    <mergeCell ref="AG6:AG7"/>
    <mergeCell ref="K164:K165"/>
    <mergeCell ref="L164:L165"/>
    <mergeCell ref="M164:P164"/>
    <mergeCell ref="AB6:AB7"/>
    <mergeCell ref="AC6:AC7"/>
    <mergeCell ref="AD6:AD7"/>
    <mergeCell ref="AE6:AE7"/>
    <mergeCell ref="AF6:AF7"/>
    <mergeCell ref="AH6:AH7"/>
    <mergeCell ref="Q6:Q7"/>
    <mergeCell ref="M112:P112"/>
    <mergeCell ref="Q112:Q113"/>
    <mergeCell ref="Q125:Q126"/>
    <mergeCell ref="L138:L139"/>
    <mergeCell ref="M138:P138"/>
    <mergeCell ref="Q138:Q139"/>
    <mergeCell ref="M151:P151"/>
    <mergeCell ref="T6:T7"/>
    <mergeCell ref="AA6:AA7"/>
    <mergeCell ref="T86:T87"/>
  </mergeCells>
  <phoneticPr fontId="1"/>
  <conditionalFormatting sqref="E178:H184 E186:H186">
    <cfRule type="expression" dxfId="2597" priority="1">
      <formula>$X178&lt;&gt;1</formula>
    </cfRule>
  </conditionalFormatting>
  <conditionalFormatting sqref="E8:T80">
    <cfRule type="expression" dxfId="2596" priority="76">
      <formula>$V8=""</formula>
    </cfRule>
  </conditionalFormatting>
  <conditionalFormatting sqref="F8:F80">
    <cfRule type="expression" dxfId="2595" priority="6">
      <formula>$E8&lt;&gt;""</formula>
    </cfRule>
  </conditionalFormatting>
  <conditionalFormatting sqref="F86:G87 F99:G100 F112:G113 F125:G126 F138:G139 F151:G152 F164:G165">
    <cfRule type="notContainsBlanks" dxfId="2594" priority="5">
      <formula>LEN(TRIM(F86))&gt;0</formula>
    </cfRule>
  </conditionalFormatting>
  <conditionalFormatting sqref="F9:K80">
    <cfRule type="expression" dxfId="2593" priority="79">
      <formula>$L9&lt;&gt;""</formula>
    </cfRule>
    <cfRule type="expression" dxfId="2592" priority="283">
      <formula>$G9&lt;&gt;""</formula>
    </cfRule>
  </conditionalFormatting>
  <conditionalFormatting sqref="F88:K92">
    <cfRule type="expression" dxfId="2591" priority="74">
      <formula>$G88&lt;&gt;""</formula>
    </cfRule>
    <cfRule type="expression" dxfId="2590" priority="73">
      <formula>$L88&lt;&gt;""</formula>
    </cfRule>
  </conditionalFormatting>
  <conditionalFormatting sqref="F101:K105">
    <cfRule type="expression" dxfId="2589" priority="60">
      <formula>$G101&lt;&gt;""</formula>
    </cfRule>
    <cfRule type="expression" dxfId="2588" priority="59">
      <formula>$L101&lt;&gt;""</formula>
    </cfRule>
  </conditionalFormatting>
  <conditionalFormatting sqref="F114:K118">
    <cfRule type="expression" dxfId="2587" priority="51">
      <formula>$G114&lt;&gt;""</formula>
    </cfRule>
    <cfRule type="expression" dxfId="2586" priority="50">
      <formula>$L114&lt;&gt;""</formula>
    </cfRule>
  </conditionalFormatting>
  <conditionalFormatting sqref="F127:K131">
    <cfRule type="expression" dxfId="2585" priority="42">
      <formula>$G127&lt;&gt;""</formula>
    </cfRule>
    <cfRule type="expression" dxfId="2584" priority="41">
      <formula>$L127&lt;&gt;""</formula>
    </cfRule>
  </conditionalFormatting>
  <conditionalFormatting sqref="F140:K144">
    <cfRule type="expression" dxfId="2583" priority="32">
      <formula>$L140&lt;&gt;""</formula>
    </cfRule>
    <cfRule type="expression" dxfId="2582" priority="33">
      <formula>$G140&lt;&gt;""</formula>
    </cfRule>
  </conditionalFormatting>
  <conditionalFormatting sqref="F153:K157">
    <cfRule type="expression" dxfId="2581" priority="23">
      <formula>$L153&lt;&gt;""</formula>
    </cfRule>
    <cfRule type="expression" dxfId="2580" priority="24">
      <formula>$G153&lt;&gt;""</formula>
    </cfRule>
  </conditionalFormatting>
  <conditionalFormatting sqref="F166:K170">
    <cfRule type="expression" dxfId="2579" priority="14">
      <formula>$L166&lt;&gt;""</formula>
    </cfRule>
    <cfRule type="expression" dxfId="2578" priority="15">
      <formula>$G166&lt;&gt;""</formula>
    </cfRule>
  </conditionalFormatting>
  <conditionalFormatting sqref="F88:T92">
    <cfRule type="expression" dxfId="2577" priority="70">
      <formula>$V88=""</formula>
    </cfRule>
  </conditionalFormatting>
  <conditionalFormatting sqref="F101:T105">
    <cfRule type="expression" dxfId="2576" priority="56">
      <formula>$V101=""</formula>
    </cfRule>
  </conditionalFormatting>
  <conditionalFormatting sqref="F114:T118">
    <cfRule type="expression" dxfId="2575" priority="47">
      <formula>$V114=""</formula>
    </cfRule>
  </conditionalFormatting>
  <conditionalFormatting sqref="F127:T131">
    <cfRule type="expression" dxfId="2574" priority="38">
      <formula>$V127=""</formula>
    </cfRule>
  </conditionalFormatting>
  <conditionalFormatting sqref="F140:T144">
    <cfRule type="expression" dxfId="2573" priority="29">
      <formula>$V140=""</formula>
    </cfRule>
  </conditionalFormatting>
  <conditionalFormatting sqref="F153:T157">
    <cfRule type="expression" dxfId="2572" priority="20">
      <formula>$V153=""</formula>
    </cfRule>
  </conditionalFormatting>
  <conditionalFormatting sqref="F166:T170">
    <cfRule type="expression" dxfId="2571" priority="11">
      <formula>$V166=""</formula>
    </cfRule>
  </conditionalFormatting>
  <conditionalFormatting sqref="I178:J186">
    <cfRule type="cellIs" dxfId="2570" priority="4" operator="notEqual">
      <formula>0</formula>
    </cfRule>
  </conditionalFormatting>
  <conditionalFormatting sqref="K80">
    <cfRule type="cellIs" dxfId="2569" priority="75" operator="notEqual">
      <formula>0</formula>
    </cfRule>
  </conditionalFormatting>
  <conditionalFormatting sqref="K93">
    <cfRule type="cellIs" dxfId="2568" priority="61" operator="notEqual">
      <formula>0</formula>
    </cfRule>
    <cfRule type="expression" dxfId="2567" priority="64">
      <formula>$G93&lt;&gt;""</formula>
    </cfRule>
    <cfRule type="expression" dxfId="2566" priority="63">
      <formula>$L93&lt;&gt;""</formula>
    </cfRule>
    <cfRule type="expression" dxfId="2565" priority="62">
      <formula>$V93=""</formula>
    </cfRule>
  </conditionalFormatting>
  <conditionalFormatting sqref="K106">
    <cfRule type="expression" dxfId="2564" priority="53">
      <formula>$V106=""</formula>
    </cfRule>
    <cfRule type="expression" dxfId="2563" priority="54">
      <formula>$L106&lt;&gt;""</formula>
    </cfRule>
    <cfRule type="expression" dxfId="2562" priority="55">
      <formula>$G106&lt;&gt;""</formula>
    </cfRule>
    <cfRule type="cellIs" dxfId="2561" priority="52" operator="notEqual">
      <formula>0</formula>
    </cfRule>
  </conditionalFormatting>
  <conditionalFormatting sqref="K119">
    <cfRule type="expression" dxfId="2560" priority="46">
      <formula>$G119&lt;&gt;""</formula>
    </cfRule>
    <cfRule type="cellIs" dxfId="2559" priority="43" operator="notEqual">
      <formula>0</formula>
    </cfRule>
    <cfRule type="expression" dxfId="2558" priority="44">
      <formula>$V119=""</formula>
    </cfRule>
    <cfRule type="expression" dxfId="2557" priority="45">
      <formula>$L119&lt;&gt;""</formula>
    </cfRule>
  </conditionalFormatting>
  <conditionalFormatting sqref="K132">
    <cfRule type="expression" dxfId="2556" priority="36">
      <formula>$L132&lt;&gt;""</formula>
    </cfRule>
    <cfRule type="expression" dxfId="2555" priority="35">
      <formula>$V132=""</formula>
    </cfRule>
    <cfRule type="expression" dxfId="2554" priority="37">
      <formula>$G132&lt;&gt;""</formula>
    </cfRule>
    <cfRule type="cellIs" dxfId="2553" priority="34" operator="notEqual">
      <formula>0</formula>
    </cfRule>
  </conditionalFormatting>
  <conditionalFormatting sqref="K145">
    <cfRule type="expression" dxfId="2552" priority="28">
      <formula>$G145&lt;&gt;""</formula>
    </cfRule>
    <cfRule type="expression" dxfId="2551" priority="27">
      <formula>$L145&lt;&gt;""</formula>
    </cfRule>
    <cfRule type="cellIs" dxfId="2550" priority="25" operator="notEqual">
      <formula>0</formula>
    </cfRule>
    <cfRule type="expression" dxfId="2549" priority="26">
      <formula>$V145=""</formula>
    </cfRule>
  </conditionalFormatting>
  <conditionalFormatting sqref="K158">
    <cfRule type="cellIs" dxfId="2548" priority="16" operator="notEqual">
      <formula>0</formula>
    </cfRule>
    <cfRule type="expression" dxfId="2547" priority="19">
      <formula>$G158&lt;&gt;""</formula>
    </cfRule>
    <cfRule type="expression" dxfId="2546" priority="18">
      <formula>$L158&lt;&gt;""</formula>
    </cfRule>
    <cfRule type="expression" dxfId="2545" priority="17">
      <formula>$V158=""</formula>
    </cfRule>
  </conditionalFormatting>
  <conditionalFormatting sqref="K171">
    <cfRule type="cellIs" dxfId="2544" priority="7" operator="notEqual">
      <formula>0</formula>
    </cfRule>
    <cfRule type="expression" dxfId="2543" priority="8">
      <formula>$V171=""</formula>
    </cfRule>
    <cfRule type="expression" dxfId="2542" priority="9">
      <formula>$L171&lt;&gt;""</formula>
    </cfRule>
    <cfRule type="expression" dxfId="2541" priority="10">
      <formula>$G171&lt;&gt;""</formula>
    </cfRule>
  </conditionalFormatting>
  <conditionalFormatting sqref="L88:Q92">
    <cfRule type="notContainsBlanks" dxfId="2540" priority="72">
      <formula>LEN(TRIM(L88))&gt;0</formula>
    </cfRule>
  </conditionalFormatting>
  <conditionalFormatting sqref="L101:Q105">
    <cfRule type="notContainsBlanks" dxfId="2539" priority="58">
      <formula>LEN(TRIM(L101))&gt;0</formula>
    </cfRule>
  </conditionalFormatting>
  <conditionalFormatting sqref="L114:Q118">
    <cfRule type="notContainsBlanks" dxfId="2538" priority="49">
      <formula>LEN(TRIM(L114))&gt;0</formula>
    </cfRule>
  </conditionalFormatting>
  <conditionalFormatting sqref="L127:Q131">
    <cfRule type="notContainsBlanks" dxfId="2537" priority="40">
      <formula>LEN(TRIM(L127))&gt;0</formula>
    </cfRule>
  </conditionalFormatting>
  <conditionalFormatting sqref="L140:Q144">
    <cfRule type="notContainsBlanks" dxfId="2536" priority="31">
      <formula>LEN(TRIM(L140))&gt;0</formula>
    </cfRule>
  </conditionalFormatting>
  <conditionalFormatting sqref="L153:Q157">
    <cfRule type="notContainsBlanks" dxfId="2535" priority="22">
      <formula>LEN(TRIM(L153))&gt;0</formula>
    </cfRule>
  </conditionalFormatting>
  <conditionalFormatting sqref="L166:Q170">
    <cfRule type="notContainsBlanks" dxfId="2534" priority="13">
      <formula>LEN(TRIM(L166))&gt;0</formula>
    </cfRule>
  </conditionalFormatting>
  <conditionalFormatting sqref="R86:S87 R93:S100 R106:S113 R119:S126 R132:S139 R145:S152 R158:S165 R171:S171">
    <cfRule type="expression" dxfId="2533" priority="269">
      <formula>$V86=""</formula>
    </cfRule>
  </conditionalFormatting>
  <conditionalFormatting sqref="T8:T80 L9:Q79">
    <cfRule type="notContainsBlanks" dxfId="2532" priority="78">
      <formula>LEN(TRIM(L8))&gt;0</formula>
    </cfRule>
  </conditionalFormatting>
  <conditionalFormatting sqref="T88:T92">
    <cfRule type="notContainsBlanks" dxfId="2531" priority="71">
      <formula>LEN(TRIM(T88))&gt;0</formula>
    </cfRule>
  </conditionalFormatting>
  <conditionalFormatting sqref="T101:T105">
    <cfRule type="notContainsBlanks" dxfId="2530" priority="57">
      <formula>LEN(TRIM(T101))&gt;0</formula>
    </cfRule>
  </conditionalFormatting>
  <conditionalFormatting sqref="T114:T118">
    <cfRule type="notContainsBlanks" dxfId="2529" priority="48">
      <formula>LEN(TRIM(T114))&gt;0</formula>
    </cfRule>
  </conditionalFormatting>
  <conditionalFormatting sqref="T127:T131">
    <cfRule type="notContainsBlanks" dxfId="2528" priority="39">
      <formula>LEN(TRIM(T127))&gt;0</formula>
    </cfRule>
  </conditionalFormatting>
  <conditionalFormatting sqref="T140:T144">
    <cfRule type="notContainsBlanks" dxfId="2527" priority="30">
      <formula>LEN(TRIM(T140))&gt;0</formula>
    </cfRule>
  </conditionalFormatting>
  <conditionalFormatting sqref="T153:T157">
    <cfRule type="notContainsBlanks" dxfId="2526" priority="21">
      <formula>LEN(TRIM(T153))&gt;0</formula>
    </cfRule>
  </conditionalFormatting>
  <conditionalFormatting sqref="T166:T170">
    <cfRule type="notContainsBlanks" dxfId="2525" priority="12">
      <formula>LEN(TRIM(T166))&gt;0</formula>
    </cfRule>
  </conditionalFormatting>
  <dataValidations count="6">
    <dataValidation type="list" allowBlank="1" showInputMessage="1" showErrorMessage="1" sqref="I93 I106 I119 I132 I145 I158 I171" xr:uid="{30EEB213-2C41-4D87-95D8-A8F6A1958E48}">
      <formula1>"オンサイト,オフサイト"</formula1>
    </dataValidation>
    <dataValidation type="decimal" operator="greaterThanOrEqual" allowBlank="1" showInputMessage="1" showErrorMessage="1" error="数値で入力してください" sqref="E80 M8:Q8 M14:Q14 K56:L57 K50:L51 K44:L45 K38:L39 K32:L33 M26:Q26 T74 M20:Q20 K153:L153 K8:L9 K62:L63 M56:Q56 M50:Q50 M38:Q38 K26:L27 K14:L15 K68:L69 T8 K166:L166 M44:Q44 M32:Q32 M62:Q62 K88:L88 K101:L101 K114:L114 K127:L127 K140:L140 T20 T62 T14 M68:Q68 T68 T26 T32 T38 T44 T50 T56 K74:L75 M74:Q74 K20:L21" xr:uid="{2F51D88D-137D-4308-B20C-17738908D386}">
      <formula1>0</formula1>
    </dataValidation>
    <dataValidation type="list" allowBlank="1" showInputMessage="1" showErrorMessage="1" sqref="M27:P31 M33:P37 M39:P43 M15:P19 M45:P49 M51:P55 M57:P61 M75:P79 M88:P92 M63:P67 M9:P13 M69:P73 M101:P105 M114:P118 M127:P131 M140:P144 M153:P157 M166:P170 M21:P25" xr:uid="{E9C22828-930E-48FB-BDCF-81828008E377}">
      <formula1>"未実施,説明済,協議中,合意済"</formula1>
    </dataValidation>
    <dataValidation type="list" allowBlank="1" showInputMessage="1" showErrorMessage="1" sqref="Q15:Q19 Q75:Q79 Q57:Q61 Q51:Q55 Q45:Q49 Q39:Q43 Q33:Q37 Q27:Q31 Q88:Q92 Q63:Q67 Q9:Q13 Q69:Q73 Q101:Q105 Q114:Q118 Q127:Q131 Q140:Q144 Q153:Q157 Q166:Q170 Q21:Q25" xr:uid="{8DDE281F-0308-4B3F-9FAE-F6B92C51B3C8}">
      <formula1>"未実施,協議中,合意済"</formula1>
    </dataValidation>
    <dataValidation type="list" allowBlank="1" showInputMessage="1" showErrorMessage="1" sqref="T15:T19 T27:T31 T33:T37 T39:T43 T45:T49 T51:T55 T57:T61 T75:T80 T88:T93 T63:T67 T166:T171 T69:T73 T101:T106 T114:T119 T127:T132 T140:T145 T153:T158 T9:T13 T21:T25" xr:uid="{2C0EC54A-A57F-4E43-8AA4-3934151C0902}">
      <formula1>"○"</formula1>
    </dataValidation>
    <dataValidation type="textLength" operator="lessThan" allowBlank="1" showInputMessage="1" showErrorMessage="1" sqref="E8:E79" xr:uid="{F3A3B674-B286-40A5-A0DD-4DF88CFED31C}">
      <formula1>1</formula1>
    </dataValidation>
  </dataValidations>
  <pageMargins left="0.7" right="0.7" top="0.75" bottom="0.75" header="0.3" footer="0.3"/>
  <pageSetup paperSize="8" scale="21"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AD0BEFAF-90F4-4E2C-8F86-4121431F44F9}">
          <x14:formula1>
            <xm:f>OFFSET('4.1(2)新規再エネ導入予定（設備情報）'!$AC$7,'4.1(2)新規再エネ導入予定（設備情報）'!$Z$172,0,'4.1(2)新規再エネ導入予定（設備情報）'!$Y$172,1)</xm:f>
          </x14:formula1>
          <xm:sqref>G15:G19</xm:sqref>
        </x14:dataValidation>
        <x14:dataValidation type="list" allowBlank="1" showInputMessage="1" showErrorMessage="1" xr:uid="{D8555288-BC0F-4068-9E37-AA1EEDC0D600}">
          <x14:formula1>
            <xm:f>OFFSET('4.1(2)新規再エネ導入予定（設備情報）'!$AC$7,'4.1(2)新規再エネ導入予定（設備情報）'!$Z$174,0,'4.1(2)新規再エネ導入予定（設備情報）'!$Y$174,1)</xm:f>
          </x14:formula1>
          <xm:sqref>G27:G31</xm:sqref>
        </x14:dataValidation>
        <x14:dataValidation type="list" allowBlank="1" showInputMessage="1" showErrorMessage="1" xr:uid="{A38BF9D4-F456-42E5-961B-8D4E570D9D1E}">
          <x14:formula1>
            <xm:f>OFFSET('4.1(2)新規再エネ導入予定（設備情報）'!$AC$7,'4.1(2)新規再エネ導入予定（設備情報）'!$Z$175,0,'4.1(2)新規再エネ導入予定（設備情報）'!$Y$175,1)</xm:f>
          </x14:formula1>
          <xm:sqref>G33:G37</xm:sqref>
        </x14:dataValidation>
        <x14:dataValidation type="list" allowBlank="1" showInputMessage="1" showErrorMessage="1" xr:uid="{93DE4A3E-4DD4-42E3-9354-2708961D7CE6}">
          <x14:formula1>
            <xm:f>OFFSET('4.1(2)新規再エネ導入予定（設備情報）'!$AC$7,'4.1(2)新規再エネ導入予定（設備情報）'!$Z$176,0,'4.1(2)新規再エネ導入予定（設備情報）'!$Y$176,1)</xm:f>
          </x14:formula1>
          <xm:sqref>G39:G43</xm:sqref>
        </x14:dataValidation>
        <x14:dataValidation type="list" allowBlank="1" showInputMessage="1" showErrorMessage="1" xr:uid="{ECB2C1C3-2DE3-473F-A9FB-6076F56224BE}">
          <x14:formula1>
            <xm:f>OFFSET('4.1(2)新規再エネ導入予定（設備情報）'!$AC$7,'4.1(2)新規再エネ導入予定（設備情報）'!$Z$177,0,'4.1(2)新規再エネ導入予定（設備情報）'!$Y$177,1)</xm:f>
          </x14:formula1>
          <xm:sqref>G45:G49</xm:sqref>
        </x14:dataValidation>
        <x14:dataValidation type="list" allowBlank="1" showInputMessage="1" showErrorMessage="1" xr:uid="{D382C158-42AF-47A5-A4DA-324DF67011E6}">
          <x14:formula1>
            <xm:f>OFFSET('4.1(2)新規再エネ導入予定（設備情報）'!$AC$7,'4.1(2)新規再エネ導入予定（設備情報）'!$Z$178,0,'4.1(2)新規再エネ導入予定（設備情報）'!$Y$178,1)</xm:f>
          </x14:formula1>
          <xm:sqref>G51:G55</xm:sqref>
        </x14:dataValidation>
        <x14:dataValidation type="list" allowBlank="1" showInputMessage="1" showErrorMessage="1" xr:uid="{6DFF0474-5BF9-4FED-A930-8ED1A9902473}">
          <x14:formula1>
            <xm:f>OFFSET('4.1(2)新規再エネ導入予定（設備情報）'!$AC$7,'4.1(2)新規再エネ導入予定（設備情報）'!$Z$179,0,'4.1(2)新規再エネ導入予定（設備情報）'!$Y$179,1)</xm:f>
          </x14:formula1>
          <xm:sqref>G57:G61</xm:sqref>
        </x14:dataValidation>
        <x14:dataValidation type="list" allowBlank="1" showInputMessage="1" showErrorMessage="1" xr:uid="{63E15A19-B084-4F94-820D-B3ABAE56AA4E}">
          <x14:formula1>
            <xm:f>OFFSET('4.1(2)新規再エネ導入予定（設備情報）'!$AC$7,'4.1(2)新規再エネ導入予定（設備情報）'!$Z$182,0,'4.1(2)新規再エネ導入予定（設備情報）'!$Y$182,1)</xm:f>
          </x14:formula1>
          <xm:sqref>G75:G79</xm:sqref>
        </x14:dataValidation>
        <x14:dataValidation type="list" allowBlank="1" showInputMessage="1" showErrorMessage="1" xr:uid="{7F0DFD0A-4598-4284-83BA-0381CF800287}">
          <x14:formula1>
            <xm:f>OFFSET('4.1(2)新規再エネ導入予定（設備情報）'!$AC$7,'4.1(2)新規再エネ導入予定（設備情報）'!$Z$183,0,'4.1(2)新規再エネ導入予定（設備情報）'!$Y$183,1)</xm:f>
          </x14:formula1>
          <xm:sqref>G89:G92 G88</xm:sqref>
        </x14:dataValidation>
        <x14:dataValidation type="list" allowBlank="1" showInputMessage="1" showErrorMessage="1" xr:uid="{F6414E9C-E1DA-4965-AE02-8DFE494352A7}">
          <x14:formula1>
            <xm:f>OFFSET('4.1(2)新規再エネ導入予定（設備情報）'!$AC$7,'4.1(2)新規再エネ導入予定（設備情報）'!$Z$181,0,'4.1(2)新規再エネ導入予定（設備情報）'!$Y$181,1)</xm:f>
          </x14:formula1>
          <xm:sqref>G69:G73</xm:sqref>
        </x14:dataValidation>
        <x14:dataValidation type="list" allowBlank="1" showInputMessage="1" showErrorMessage="1" xr:uid="{1602B1D2-6DA7-4903-A080-CF26775B0B39}">
          <x14:formula1>
            <xm:f>OFFSET('4.1(2)新規再エネ導入予定（設備情報）'!$AC$7,'4.1(2)新規再エネ導入予定（設備情報）'!$Z$180,0,'4.1(2)新規再エネ導入予定（設備情報）'!$Y$180,1)</xm:f>
          </x14:formula1>
          <xm:sqref>G63:G67</xm:sqref>
        </x14:dataValidation>
        <x14:dataValidation type="list" allowBlank="1" showInputMessage="1" showErrorMessage="1" xr:uid="{703ADA31-FCE8-482D-87A1-6C2F135386F2}">
          <x14:formula1>
            <xm:f>OFFSET('4.1(2)新規再エネ導入予定（設備情報）'!$AC$7,'4.1(2)新規再エネ導入予定（設備情報）'!$Z$171,0,'4.1(2)新規再エネ導入予定（設備情報）'!$Y$171,1)</xm:f>
          </x14:formula1>
          <xm:sqref>G9:G13</xm:sqref>
        </x14:dataValidation>
        <x14:dataValidation type="list" allowBlank="1" showInputMessage="1" showErrorMessage="1" xr:uid="{B43A5BE4-F7CB-48E9-A45D-542A3EA5CAB3}">
          <x14:formula1>
            <xm:f>OFFSET('4.1(2)新規再エネ導入予定（設備情報）'!$AC$7,'4.1(2)新規再エネ導入予定（設備情報）'!$Z$184,0,'4.1(2)新規再エネ導入予定（設備情報）'!$Y$184,1)</xm:f>
          </x14:formula1>
          <xm:sqref>G102:G105 G101</xm:sqref>
        </x14:dataValidation>
        <x14:dataValidation type="list" allowBlank="1" showInputMessage="1" showErrorMessage="1" xr:uid="{9C068CEB-EE90-4D40-9C32-5504F42AAE2E}">
          <x14:formula1>
            <xm:f>OFFSET('4.1(2)新規再エネ導入予定（設備情報）'!$AC$7,'4.1(2)新規再エネ導入予定（設備情報）'!$Z$185,0,'4.1(2)新規再エネ導入予定（設備情報）'!$Y$185,1)</xm:f>
          </x14:formula1>
          <xm:sqref>G114:G118</xm:sqref>
        </x14:dataValidation>
        <x14:dataValidation type="list" allowBlank="1" showInputMessage="1" showErrorMessage="1" xr:uid="{803696F3-CAD4-4A73-A475-3175897724FE}">
          <x14:formula1>
            <xm:f>OFFSET('4.1(2)新規再エネ導入予定（設備情報）'!$AC$7,'4.1(2)新規再エネ導入予定（設備情報）'!$Z$186,0,'4.1(2)新規再エネ導入予定（設備情報）'!$Y$186,1)</xm:f>
          </x14:formula1>
          <xm:sqref>G127:G131</xm:sqref>
        </x14:dataValidation>
        <x14:dataValidation type="list" allowBlank="1" showInputMessage="1" showErrorMessage="1" xr:uid="{9647D74E-AAAB-4E72-8F21-70A75DC3AF60}">
          <x14:formula1>
            <xm:f>OFFSET('4.1(2)新規再エネ導入予定（設備情報）'!$AC$7,'4.1(2)新規再エネ導入予定（設備情報）'!$Z$187,0,'4.1(2)新規再エネ導入予定（設備情報）'!$Y$187,1)</xm:f>
          </x14:formula1>
          <xm:sqref>G140:G144</xm:sqref>
        </x14:dataValidation>
        <x14:dataValidation type="list" allowBlank="1" showInputMessage="1" showErrorMessage="1" xr:uid="{4BB87A04-FE0F-4B24-A141-D8DB72127074}">
          <x14:formula1>
            <xm:f>OFFSET('4.1(2)新規再エネ導入予定（設備情報）'!$AC$7,'4.1(2)新規再エネ導入予定（設備情報）'!$Z$188,0,'4.1(2)新規再エネ導入予定（設備情報）'!$Y$188,1)</xm:f>
          </x14:formula1>
          <xm:sqref>G153:G157</xm:sqref>
        </x14:dataValidation>
        <x14:dataValidation type="list" allowBlank="1" showInputMessage="1" showErrorMessage="1" xr:uid="{D44647E9-9350-4764-ACE7-78DDC2B84F2E}">
          <x14:formula1>
            <xm:f>OFFSET('4.1(2)新規再エネ導入予定（設備情報）'!$AC$7,'4.1(2)新規再エネ導入予定（設備情報）'!$Z$189,0,'4.1(2)新規再エネ導入予定（設備情報）'!$Y$189,1)</xm:f>
          </x14:formula1>
          <xm:sqref>G166:G170</xm:sqref>
        </x14:dataValidation>
        <x14:dataValidation type="list" allowBlank="1" showInputMessage="1" showErrorMessage="1" xr:uid="{025A3073-27ED-45D9-9BC5-F6AA9E5975CA}">
          <x14:formula1>
            <xm:f>OFFSET('4.1(2)新規再エネ導入予定（設備情報）'!$AC$7,'4.1(2)新規再エネ導入予定（設備情報）'!$Z$173,0,'4.1(2)新規再エネ導入予定（設備情報）'!$Y$173,1)</xm:f>
          </x14:formula1>
          <xm:sqref>G21:G25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B195-0E61-4F32-A13D-BE76A0C52311}">
  <sheetPr codeName="Sheet6">
    <tabColor theme="7" tint="0.79998168889431442"/>
    <pageSetUpPr autoPageBreaks="0" fitToPage="1"/>
  </sheetPr>
  <dimension ref="A1:J569"/>
  <sheetViews>
    <sheetView showGridLines="0" showZeros="0" topLeftCell="A18" zoomScaleNormal="100" zoomScaleSheetLayoutView="80" workbookViewId="0">
      <selection activeCell="M34" sqref="M34"/>
    </sheetView>
  </sheetViews>
  <sheetFormatPr defaultColWidth="9" defaultRowHeight="13"/>
  <cols>
    <col min="1" max="1" width="3.33203125" style="199" customWidth="1"/>
    <col min="2" max="8" width="20.25" style="199" customWidth="1"/>
    <col min="9" max="9" width="20.25" style="291" customWidth="1"/>
    <col min="10" max="10" width="10.08203125" style="199" customWidth="1"/>
    <col min="11" max="11" width="13.08203125" style="199" customWidth="1"/>
    <col min="12" max="12" width="12.33203125" style="199" customWidth="1"/>
    <col min="13" max="16384" width="9" style="199"/>
  </cols>
  <sheetData>
    <row r="1" spans="2:9" ht="19">
      <c r="B1" s="198" t="s">
        <v>217</v>
      </c>
    </row>
    <row r="2" spans="2:9" ht="23.5">
      <c r="B2" s="200" t="s">
        <v>27</v>
      </c>
      <c r="C2" s="200" t="str">
        <f ca="1">IFERROR(OFFSET('4.1(2)新規再エネ導入予定（設備情報）'!$X$1,MATCH(COUNTIF($B$1:B2,"発電方式"),'4.1(2)新規再エネ導入予定（設備情報）'!$AK:$AK,0)-1,0),"")</f>
        <v/>
      </c>
      <c r="D2" s="201"/>
    </row>
    <row r="3" spans="2:9" ht="39.75" customHeight="1">
      <c r="B3" s="202" t="s">
        <v>8</v>
      </c>
      <c r="C3" s="202" t="s">
        <v>181</v>
      </c>
      <c r="D3" s="203" t="s">
        <v>180</v>
      </c>
      <c r="E3" s="202" t="s">
        <v>9</v>
      </c>
      <c r="F3" s="204" t="s">
        <v>10</v>
      </c>
      <c r="G3" s="203" t="s">
        <v>31</v>
      </c>
      <c r="H3" s="202" t="s">
        <v>13</v>
      </c>
      <c r="I3" s="204" t="s">
        <v>81</v>
      </c>
    </row>
    <row r="4" spans="2:9" ht="36" customHeight="1">
      <c r="B4" s="532" t="str">
        <f ca="1">IFERROR(OFFSET('4.1(2)新規再エネ導入予定（設備情報）'!$F$1,MATCH($C4,'4.1(2)新規再エネ導入予定（設備情報）'!$G:$G,0)-1,0),"")</f>
        <v/>
      </c>
      <c r="C4" s="533" t="str">
        <f ca="1">IFERROR(OFFSET('4.1(2)新規再エネ導入予定（設備情報）'!$G$7,MATCH(COUNTIF($B$1:B2,"発電方式"),'4.1(2)新規再エネ導入予定（設備情報）'!$AK$8:$AK$1000,0),0),"")</f>
        <v/>
      </c>
      <c r="D4" s="532" t="str">
        <f ca="1">IFERROR(OFFSET('4.1(2)新規再エネ導入予定（設備情報）'!$H$1,MATCH($C4,'4.1(2)新規再エネ導入予定（設備情報）'!$G:$G,0)-1,0),"")</f>
        <v/>
      </c>
      <c r="E4" s="534" t="str">
        <f ca="1">IFERROR(OFFSET('4.1(2)新規再エネ導入予定（設備情報）'!$I$1,MATCH($C4,'4.1(2)新規再エネ導入予定（設備情報）'!$G:$G,0)-1,0),"")</f>
        <v/>
      </c>
      <c r="F4" s="534" t="str">
        <f ca="1">IFERROR(OFFSET('4.1(2)新規再エネ導入予定（設備情報）'!$J$1,MATCH($C4,'4.1(2)新規再エネ導入予定（設備情報）'!$G:$G,0)-1,0),"")</f>
        <v/>
      </c>
      <c r="G4" s="533" t="str">
        <f ca="1">IFERROR(OFFSET('4.1(2)新規再エネ導入予定（設備情報）'!$L$1,MATCH($C4,'4.1(2)新規再エネ導入予定（設備情報）'!$G:$G,0)-1,0),"")</f>
        <v/>
      </c>
      <c r="H4" s="533" t="str">
        <f ca="1">IFERROR(OFFSET('4.1(2)新規再エネ導入予定（設備情報）'!$M$1,MATCH($C4,'4.1(2)新規再エネ導入予定（設備情報）'!$G:$G,0)-1,0),"")</f>
        <v/>
      </c>
      <c r="I4" s="535" t="str">
        <f ca="1">IFERROR(OFFSET('4.1(2)新規再エネ導入予定（設備情報）'!$P$1,MATCH($C4,'4.1(2)新規再エネ導入予定（設備情報）'!$G:$G,0)-1,0),"")</f>
        <v/>
      </c>
    </row>
    <row r="5" spans="2:9" ht="16.5" customHeight="1">
      <c r="B5" s="1386" t="s">
        <v>177</v>
      </c>
      <c r="C5" s="1388" t="s">
        <v>14</v>
      </c>
      <c r="D5" s="1390" t="s">
        <v>216</v>
      </c>
      <c r="E5" s="1392" t="s">
        <v>215</v>
      </c>
      <c r="F5" s="1393"/>
      <c r="G5" s="1394"/>
      <c r="H5" s="1392" t="s">
        <v>108</v>
      </c>
      <c r="I5" s="1394"/>
    </row>
    <row r="6" spans="2:9" ht="42.75" customHeight="1">
      <c r="B6" s="1387"/>
      <c r="C6" s="1389"/>
      <c r="D6" s="1391"/>
      <c r="E6" s="205" t="s">
        <v>287</v>
      </c>
      <c r="F6" s="206" t="s">
        <v>109</v>
      </c>
      <c r="G6" s="206" t="s">
        <v>110</v>
      </c>
      <c r="H6" s="206" t="s">
        <v>274</v>
      </c>
      <c r="I6" s="205" t="s">
        <v>241</v>
      </c>
    </row>
    <row r="7" spans="2:9" ht="46.5" customHeight="1">
      <c r="B7" s="533" t="str">
        <f ca="1">IFERROR(OFFSET('4.1(2)新規再エネ導入予定（設備情報）'!$O$1,MATCH($C4,'4.1(2)新規再エネ導入予定（設備情報）'!$G:$G,0)-1,0),"")</f>
        <v/>
      </c>
      <c r="C7" s="533" t="str">
        <f ca="1">IFERROR(OFFSET('4.1(2)新規再エネ導入予定（設備情報）'!$R$1,MATCH($C4,'4.1(2)新規再エネ導入予定（設備情報）'!$G:$G,0)-1,0),"")</f>
        <v/>
      </c>
      <c r="D7" s="533" t="str">
        <f ca="1">IFERROR(OFFSET('4.1(2)新規再エネ導入予定（設備情報）'!$S$1,MATCH($C4,'4.1(2)新規再エネ導入予定（設備情報）'!$G:$G,0)-1,0),"")</f>
        <v/>
      </c>
      <c r="E7" s="533" t="str">
        <f ca="1">IF($C4="","",IFERROR(OFFSET('4.1(2)新規再エネ導入予定(FS調査、系統接続検討状況)'!$L$1,MATCH($C4,'4.1(2)新規再エネ導入予定(FS調査、系統接続検討状況)'!$G:$G,0)-1,0),""))</f>
        <v/>
      </c>
      <c r="F7" s="533" t="str">
        <f ca="1">IF($C4="","",IFERROR(OFFSET('4.1(2)新規再エネ導入予定(FS調査、系統接続検討状況)'!$M$1,MATCH($C4,'4.1(2)新規再エネ導入予定(FS調査、系統接続検討状況)'!$G:$G,0)-1,0),""))</f>
        <v/>
      </c>
      <c r="G7" s="533" t="str">
        <f ca="1">IF($C4="","",IFERROR(OFFSET('4.1(2)新規再エネ導入予定(FS調査、系統接続検討状況)'!$N$1,MATCH($C4,'4.1(2)新規再エネ導入予定(FS調査、系統接続検討状況)'!$G:$G,0)-1,0),""))</f>
        <v/>
      </c>
      <c r="H7" s="533" t="str" cm="1">
        <f t="array" aca="1" ref="H7" ca="1">IFERROR(_xlfn.IFS(OR(I7="検討不要",I7="検討未実施",I7="(低圧)申込完了",I7="(低圧)申込準備開始",I7="(低圧)申込準備完了"),"－",COUNTIF(OFFSET('4.1(2)新規再エネ導入予定(FS調査、系統接続検討状況)'!$O$1,MATCH($C4,'4.1(2)新規再エネ導入予定(FS調査、系統接続検討状況)'!$G:$G,0)-1,0),"*単独*")=1,"単独",COUNTIF(OFFSET('4.1(2)新規再エネ導入予定(FS調査、系統接続検討状況)'!$O$1,MATCH($C4,'4.1(2)新規再エネ導入予定(FS調査、系統接続検討状況)'!$G:$G,0)-1,0),"*一括*")=1,"一括検討"),"")</f>
        <v/>
      </c>
      <c r="I7" s="536" t="str">
        <f ca="1">IFERROR(SUBSTITUTE(SUBSTITUTE(OFFSET('4.1(2)新規再エネ導入予定(FS調査、系統接続検討状況)'!$O$1,MATCH($C4,'4.1(2)新規再エネ導入予定(FS調査、系統接続検討状況)'!$G:$G,0)-1,0),"(一括)",""),"(単独)",""),"")</f>
        <v/>
      </c>
    </row>
    <row r="9" spans="2:9" ht="19">
      <c r="B9" s="198" t="s">
        <v>214</v>
      </c>
    </row>
    <row r="10" spans="2:9" ht="21">
      <c r="B10" s="207" t="str">
        <f ca="1">IFERROR(_xlfn.TEXTJOIN(" ",1,C2,B4,C4),"")</f>
        <v/>
      </c>
      <c r="C10" s="208"/>
      <c r="D10" s="208"/>
    </row>
    <row r="11" spans="2:9" ht="28.5" customHeight="1">
      <c r="B11" s="209" t="s">
        <v>213</v>
      </c>
      <c r="C11" s="209"/>
      <c r="D11" s="209" t="s">
        <v>212</v>
      </c>
      <c r="E11" s="209"/>
      <c r="F11" s="209" t="s">
        <v>226</v>
      </c>
      <c r="G11" s="209"/>
      <c r="H11" s="209"/>
      <c r="I11" s="292"/>
    </row>
    <row r="12" spans="2:9" ht="114.65" customHeight="1">
      <c r="B12" s="1395" t="s">
        <v>211</v>
      </c>
      <c r="C12" s="210" t="s">
        <v>210</v>
      </c>
      <c r="D12" s="1396" t="s">
        <v>209</v>
      </c>
      <c r="E12" s="1397"/>
      <c r="F12" s="1398"/>
      <c r="G12" s="1399"/>
      <c r="H12" s="1399"/>
      <c r="I12" s="1400"/>
    </row>
    <row r="13" spans="2:9" ht="114.65" customHeight="1">
      <c r="B13" s="1395"/>
      <c r="C13" s="211" t="s">
        <v>208</v>
      </c>
      <c r="D13" s="1396" t="s">
        <v>207</v>
      </c>
      <c r="E13" s="1397"/>
      <c r="F13" s="1398"/>
      <c r="G13" s="1399"/>
      <c r="H13" s="1399"/>
      <c r="I13" s="1400"/>
    </row>
    <row r="14" spans="2:9" ht="114.65" customHeight="1">
      <c r="B14" s="1401">
        <v>2</v>
      </c>
      <c r="C14" s="1401"/>
      <c r="D14" s="1396" t="s">
        <v>206</v>
      </c>
      <c r="E14" s="1397"/>
      <c r="F14" s="1398"/>
      <c r="G14" s="1399"/>
      <c r="H14" s="1399"/>
      <c r="I14" s="1400"/>
    </row>
    <row r="15" spans="2:9" ht="114.65" customHeight="1">
      <c r="B15" s="1402">
        <v>3</v>
      </c>
      <c r="C15" s="211" t="s">
        <v>205</v>
      </c>
      <c r="D15" s="1396" t="s">
        <v>204</v>
      </c>
      <c r="E15" s="1397"/>
      <c r="F15" s="1398"/>
      <c r="G15" s="1399"/>
      <c r="H15" s="1399"/>
      <c r="I15" s="1400"/>
    </row>
    <row r="16" spans="2:9" ht="114.65" customHeight="1">
      <c r="B16" s="1402"/>
      <c r="C16" s="211" t="s">
        <v>203</v>
      </c>
      <c r="D16" s="1396" t="s">
        <v>202</v>
      </c>
      <c r="E16" s="1397"/>
      <c r="F16" s="1398"/>
      <c r="G16" s="1399"/>
      <c r="H16" s="1399"/>
      <c r="I16" s="1400"/>
    </row>
    <row r="17" spans="1:10" ht="115" customHeight="1">
      <c r="B17" s="1401">
        <v>4</v>
      </c>
      <c r="C17" s="1401"/>
      <c r="D17" s="1396" t="s">
        <v>201</v>
      </c>
      <c r="E17" s="1397"/>
      <c r="F17" s="1398"/>
      <c r="G17" s="1399"/>
      <c r="H17" s="1399"/>
      <c r="I17" s="1400"/>
    </row>
    <row r="18" spans="1:10" ht="132" customHeight="1">
      <c r="B18" s="1401">
        <v>5</v>
      </c>
      <c r="C18" s="1401"/>
      <c r="D18" s="1396" t="s">
        <v>200</v>
      </c>
      <c r="E18" s="1397"/>
      <c r="F18" s="1398"/>
      <c r="G18" s="1399"/>
      <c r="H18" s="1399"/>
      <c r="I18" s="1400"/>
    </row>
    <row r="20" spans="1:10">
      <c r="A20" s="212"/>
      <c r="B20" s="212"/>
      <c r="C20" s="212"/>
      <c r="D20" s="212"/>
      <c r="E20" s="212"/>
      <c r="F20" s="212"/>
      <c r="G20" s="212"/>
      <c r="H20" s="212"/>
      <c r="I20" s="293"/>
      <c r="J20" s="212"/>
    </row>
    <row r="21" spans="1:10" ht="23.5">
      <c r="B21" s="200" t="s">
        <v>27</v>
      </c>
      <c r="C21" s="200" t="str">
        <f ca="1">IFERROR(OFFSET('4.1(2)新規再エネ導入予定（設備情報）'!$X$1,MATCH(COUNTIF($B$1:B21,"発電方式"),'4.1(2)新規再エネ導入予定（設備情報）'!$AK:$AK,0)-1,0),"")</f>
        <v/>
      </c>
      <c r="D21" s="201"/>
    </row>
    <row r="22" spans="1:10" ht="39.75" customHeight="1">
      <c r="B22" s="202" t="s">
        <v>8</v>
      </c>
      <c r="C22" s="202" t="s">
        <v>181</v>
      </c>
      <c r="D22" s="203" t="s">
        <v>180</v>
      </c>
      <c r="E22" s="202" t="s">
        <v>9</v>
      </c>
      <c r="F22" s="204" t="s">
        <v>10</v>
      </c>
      <c r="G22" s="203" t="s">
        <v>31</v>
      </c>
      <c r="H22" s="202" t="s">
        <v>13</v>
      </c>
      <c r="I22" s="204" t="s">
        <v>81</v>
      </c>
    </row>
    <row r="23" spans="1:10" ht="36" customHeight="1">
      <c r="B23" s="532" t="str">
        <f ca="1">IFERROR(OFFSET('4.1(2)新規再エネ導入予定（設備情報）'!$F$1,MATCH($C23,'4.1(2)新規再エネ導入予定（設備情報）'!$G:$G,0)-1,0),"")</f>
        <v/>
      </c>
      <c r="C23" s="533" t="str">
        <f ca="1">IFERROR(OFFSET('4.1(2)新規再エネ導入予定（設備情報）'!$G$7,MATCH(COUNTIF($B$1:B21,"発電方式"),'4.1(2)新規再エネ導入予定（設備情報）'!$AK$8:$AK$1000,0),0),"")</f>
        <v/>
      </c>
      <c r="D23" s="532" t="str">
        <f ca="1">IFERROR(OFFSET('4.1(2)新規再エネ導入予定（設備情報）'!$H$1,MATCH($C23,'4.1(2)新規再エネ導入予定（設備情報）'!$G:$G,0)-1,0),"")</f>
        <v/>
      </c>
      <c r="E23" s="534" t="str">
        <f ca="1">IFERROR(OFFSET('4.1(2)新規再エネ導入予定（設備情報）'!$I$1,MATCH($C23,'4.1(2)新規再エネ導入予定（設備情報）'!$G:$G,0)-1,0),"")</f>
        <v/>
      </c>
      <c r="F23" s="534" t="str">
        <f ca="1">IFERROR(OFFSET('4.1(2)新規再エネ導入予定（設備情報）'!$J$1,MATCH($C23,'4.1(2)新規再エネ導入予定（設備情報）'!$G:$G,0)-1,0),"")</f>
        <v/>
      </c>
      <c r="G23" s="533" t="str">
        <f ca="1">IFERROR(OFFSET('4.1(2)新規再エネ導入予定（設備情報）'!$L$1,MATCH($C23,'4.1(2)新規再エネ導入予定（設備情報）'!$G:$G,0)-1,0),"")</f>
        <v/>
      </c>
      <c r="H23" s="533" t="str">
        <f ca="1">IFERROR(OFFSET('4.1(2)新規再エネ導入予定（設備情報）'!$M$1,MATCH($C23,'4.1(2)新規再エネ導入予定（設備情報）'!$G:$G,0)-1,0),"")</f>
        <v/>
      </c>
      <c r="I23" s="535" t="str">
        <f ca="1">IFERROR(OFFSET('4.1(2)新規再エネ導入予定（設備情報）'!$P$1,MATCH($C23,'4.1(2)新規再エネ導入予定（設備情報）'!$G:$G,0)-1,0),"")</f>
        <v/>
      </c>
    </row>
    <row r="24" spans="1:10" ht="16.5" customHeight="1">
      <c r="B24" s="1386" t="s">
        <v>177</v>
      </c>
      <c r="C24" s="1388" t="s">
        <v>14</v>
      </c>
      <c r="D24" s="1390" t="s">
        <v>216</v>
      </c>
      <c r="E24" s="1392" t="s">
        <v>215</v>
      </c>
      <c r="F24" s="1393"/>
      <c r="G24" s="1394"/>
      <c r="H24" s="1392" t="s">
        <v>108</v>
      </c>
      <c r="I24" s="1394"/>
    </row>
    <row r="25" spans="1:10" ht="42.75" customHeight="1">
      <c r="B25" s="1387"/>
      <c r="C25" s="1389"/>
      <c r="D25" s="1391"/>
      <c r="E25" s="205" t="s">
        <v>287</v>
      </c>
      <c r="F25" s="206" t="s">
        <v>109</v>
      </c>
      <c r="G25" s="206" t="s">
        <v>110</v>
      </c>
      <c r="H25" s="206" t="s">
        <v>274</v>
      </c>
      <c r="I25" s="205" t="s">
        <v>241</v>
      </c>
    </row>
    <row r="26" spans="1:10" ht="46.5" customHeight="1">
      <c r="B26" s="533" t="str">
        <f ca="1">IFERROR(OFFSET('4.1(2)新規再エネ導入予定（設備情報）'!$O$1,MATCH($C23,'4.1(2)新規再エネ導入予定（設備情報）'!$G:$G,0)-1,0),"")</f>
        <v/>
      </c>
      <c r="C26" s="533" t="str">
        <f ca="1">IFERROR(OFFSET('4.1(2)新規再エネ導入予定（設備情報）'!$R$1,MATCH($C23,'4.1(2)新規再エネ導入予定（設備情報）'!$G:$G,0)-1,0),"")</f>
        <v/>
      </c>
      <c r="D26" s="533" t="str">
        <f ca="1">IFERROR(OFFSET('4.1(2)新規再エネ導入予定（設備情報）'!$S$1,MATCH($C23,'4.1(2)新規再エネ導入予定（設備情報）'!$G:$G,0)-1,0),"")</f>
        <v/>
      </c>
      <c r="E26" s="533" t="str">
        <f ca="1">IF($C23="","",IFERROR(OFFSET('4.1(2)新規再エネ導入予定(FS調査、系統接続検討状況)'!$L$1,MATCH($C23,'4.1(2)新規再エネ導入予定(FS調査、系統接続検討状況)'!$G:$G,0)-1,0),""))</f>
        <v/>
      </c>
      <c r="F26" s="533" t="str">
        <f ca="1">IF($C23="","",IFERROR(OFFSET('4.1(2)新規再エネ導入予定(FS調査、系統接続検討状況)'!$M$1,MATCH($C23,'4.1(2)新規再エネ導入予定(FS調査、系統接続検討状況)'!$G:$G,0)-1,0),""))</f>
        <v/>
      </c>
      <c r="G26" s="533" t="str">
        <f ca="1">IF($C23="","",IFERROR(OFFSET('4.1(2)新規再エネ導入予定(FS調査、系統接続検討状況)'!$N$1,MATCH($C23,'4.1(2)新規再エネ導入予定(FS調査、系統接続検討状況)'!$G:$G,0)-1,0),""))</f>
        <v/>
      </c>
      <c r="H26" s="533" t="str" cm="1">
        <f t="array" aca="1" ref="H26" ca="1">IFERROR(_xlfn.IFS(OR(I26="検討不要",I26="検討未実施",I26="(低圧)申込完了",I26="(低圧)申込準備開始",I26="(低圧)申込準備完了"),"－",COUNTIF(OFFSET('4.1(2)新規再エネ導入予定(FS調査、系統接続検討状況)'!$O$1,MATCH($C23,'4.1(2)新規再エネ導入予定(FS調査、系統接続検討状況)'!$G:$G,0)-1,0),"*単独*")=1,"単独",COUNTIF(OFFSET('4.1(2)新規再エネ導入予定(FS調査、系統接続検討状況)'!$O$1,MATCH($C23,'4.1(2)新規再エネ導入予定(FS調査、系統接続検討状況)'!$G:$G,0)-1,0),"*一括*")=1,"一括検討"),"")</f>
        <v/>
      </c>
      <c r="I26" s="536" t="str">
        <f ca="1">IFERROR(SUBSTITUTE(SUBSTITUTE(OFFSET('4.1(2)新規再エネ導入予定(FS調査、系統接続検討状況)'!$O$1,MATCH($C23,'4.1(2)新規再エネ導入予定(FS調査、系統接続検討状況)'!$G:$G,0)-1,0),"(一括)",""),"(単独)",""),"")</f>
        <v/>
      </c>
    </row>
    <row r="28" spans="1:10" ht="18.75" customHeight="1">
      <c r="B28" s="198" t="s">
        <v>214</v>
      </c>
    </row>
    <row r="29" spans="1:10" ht="21">
      <c r="B29" s="207" t="str">
        <f ca="1">IFERROR(_xlfn.TEXTJOIN(" ",1,C21,B23,C23),"")</f>
        <v/>
      </c>
      <c r="C29" s="208"/>
      <c r="D29" s="208"/>
    </row>
    <row r="30" spans="1:10" ht="28.5" customHeight="1">
      <c r="B30" s="209" t="s">
        <v>213</v>
      </c>
      <c r="C30" s="209"/>
      <c r="D30" s="209" t="s">
        <v>212</v>
      </c>
      <c r="E30" s="209"/>
      <c r="F30" s="209" t="s">
        <v>226</v>
      </c>
      <c r="G30" s="209"/>
      <c r="H30" s="209"/>
      <c r="I30" s="292"/>
    </row>
    <row r="31" spans="1:10" ht="114.65" customHeight="1">
      <c r="B31" s="1395" t="s">
        <v>211</v>
      </c>
      <c r="C31" s="210" t="s">
        <v>210</v>
      </c>
      <c r="D31" s="1396" t="s">
        <v>209</v>
      </c>
      <c r="E31" s="1397"/>
      <c r="F31" s="1398"/>
      <c r="G31" s="1399"/>
      <c r="H31" s="1399"/>
      <c r="I31" s="1400"/>
    </row>
    <row r="32" spans="1:10" ht="114.65" customHeight="1">
      <c r="B32" s="1395"/>
      <c r="C32" s="211" t="s">
        <v>208</v>
      </c>
      <c r="D32" s="1396" t="s">
        <v>207</v>
      </c>
      <c r="E32" s="1397"/>
      <c r="F32" s="1398"/>
      <c r="G32" s="1399"/>
      <c r="H32" s="1399"/>
      <c r="I32" s="1400"/>
    </row>
    <row r="33" spans="1:10" ht="114.65" customHeight="1">
      <c r="B33" s="1401">
        <v>2</v>
      </c>
      <c r="C33" s="1401"/>
      <c r="D33" s="1396" t="s">
        <v>206</v>
      </c>
      <c r="E33" s="1397"/>
      <c r="F33" s="1398"/>
      <c r="G33" s="1399"/>
      <c r="H33" s="1399"/>
      <c r="I33" s="1400"/>
    </row>
    <row r="34" spans="1:10" ht="114.65" customHeight="1">
      <c r="B34" s="1402">
        <v>3</v>
      </c>
      <c r="C34" s="211" t="s">
        <v>205</v>
      </c>
      <c r="D34" s="1396" t="s">
        <v>204</v>
      </c>
      <c r="E34" s="1397"/>
      <c r="F34" s="1398"/>
      <c r="G34" s="1399"/>
      <c r="H34" s="1399"/>
      <c r="I34" s="1400"/>
    </row>
    <row r="35" spans="1:10" ht="114.65" customHeight="1">
      <c r="B35" s="1402"/>
      <c r="C35" s="211" t="s">
        <v>203</v>
      </c>
      <c r="D35" s="1396" t="s">
        <v>202</v>
      </c>
      <c r="E35" s="1397"/>
      <c r="F35" s="1398"/>
      <c r="G35" s="1399"/>
      <c r="H35" s="1399"/>
      <c r="I35" s="1400"/>
    </row>
    <row r="36" spans="1:10" ht="115" customHeight="1">
      <c r="B36" s="1401">
        <v>4</v>
      </c>
      <c r="C36" s="1401"/>
      <c r="D36" s="1396" t="s">
        <v>201</v>
      </c>
      <c r="E36" s="1397"/>
      <c r="F36" s="1398"/>
      <c r="G36" s="1399"/>
      <c r="H36" s="1399"/>
      <c r="I36" s="1400"/>
    </row>
    <row r="37" spans="1:10" ht="132" customHeight="1">
      <c r="B37" s="1401">
        <v>5</v>
      </c>
      <c r="C37" s="1401"/>
      <c r="D37" s="1396" t="s">
        <v>200</v>
      </c>
      <c r="E37" s="1397"/>
      <c r="F37" s="1398"/>
      <c r="G37" s="1399"/>
      <c r="H37" s="1399"/>
      <c r="I37" s="1400"/>
    </row>
    <row r="39" spans="1:10">
      <c r="A39" s="212"/>
      <c r="B39" s="212"/>
      <c r="C39" s="212"/>
      <c r="D39" s="212"/>
      <c r="E39" s="212"/>
      <c r="F39" s="212"/>
      <c r="G39" s="212"/>
      <c r="H39" s="212"/>
      <c r="I39" s="293"/>
      <c r="J39" s="212"/>
    </row>
    <row r="40" spans="1:10" ht="23.5">
      <c r="B40" s="200" t="s">
        <v>27</v>
      </c>
      <c r="C40" s="200" t="str">
        <f ca="1">IFERROR(OFFSET('4.1(2)新規再エネ導入予定（設備情報）'!$X$1,MATCH(COUNTIF($B$1:B40,"発電方式"),'4.1(2)新規再エネ導入予定（設備情報）'!$AK:$AK,0)-1,0),"")</f>
        <v/>
      </c>
      <c r="D40" s="201"/>
    </row>
    <row r="41" spans="1:10" ht="39.75" customHeight="1">
      <c r="B41" s="202" t="s">
        <v>8</v>
      </c>
      <c r="C41" s="202" t="s">
        <v>181</v>
      </c>
      <c r="D41" s="203" t="s">
        <v>180</v>
      </c>
      <c r="E41" s="202" t="s">
        <v>9</v>
      </c>
      <c r="F41" s="204" t="s">
        <v>10</v>
      </c>
      <c r="G41" s="203" t="s">
        <v>31</v>
      </c>
      <c r="H41" s="202" t="s">
        <v>13</v>
      </c>
      <c r="I41" s="204" t="s">
        <v>81</v>
      </c>
    </row>
    <row r="42" spans="1:10" ht="36" customHeight="1">
      <c r="B42" s="532" t="str">
        <f ca="1">IFERROR(OFFSET('4.1(2)新規再エネ導入予定（設備情報）'!$F$1,MATCH($C42,'4.1(2)新規再エネ導入予定（設備情報）'!$G:$G,0)-1,0),"")</f>
        <v/>
      </c>
      <c r="C42" s="533" t="str">
        <f ca="1">IFERROR(OFFSET('4.1(2)新規再エネ導入予定（設備情報）'!$G$7,MATCH(COUNTIF($B$1:B40,"発電方式"),'4.1(2)新規再エネ導入予定（設備情報）'!$AK$8:$AK$1000,0),0),"")</f>
        <v/>
      </c>
      <c r="D42" s="532" t="str">
        <f ca="1">IFERROR(OFFSET('4.1(2)新規再エネ導入予定（設備情報）'!$H$1,MATCH($C42,'4.1(2)新規再エネ導入予定（設備情報）'!$G:$G,0)-1,0),"")</f>
        <v/>
      </c>
      <c r="E42" s="534" t="str">
        <f ca="1">IFERROR(OFFSET('4.1(2)新規再エネ導入予定（設備情報）'!$I$1,MATCH($C42,'4.1(2)新規再エネ導入予定（設備情報）'!$G:$G,0)-1,0),"")</f>
        <v/>
      </c>
      <c r="F42" s="534" t="str">
        <f ca="1">IFERROR(OFFSET('4.1(2)新規再エネ導入予定（設備情報）'!$J$1,MATCH($C42,'4.1(2)新規再エネ導入予定（設備情報）'!$G:$G,0)-1,0),"")</f>
        <v/>
      </c>
      <c r="G42" s="533" t="str">
        <f ca="1">IFERROR(OFFSET('4.1(2)新規再エネ導入予定（設備情報）'!$L$1,MATCH($C42,'4.1(2)新規再エネ導入予定（設備情報）'!$G:$G,0)-1,0),"")</f>
        <v/>
      </c>
      <c r="H42" s="533" t="str">
        <f ca="1">IFERROR(OFFSET('4.1(2)新規再エネ導入予定（設備情報）'!$M$1,MATCH($C42,'4.1(2)新規再エネ導入予定（設備情報）'!$G:$G,0)-1,0),"")</f>
        <v/>
      </c>
      <c r="I42" s="535" t="str">
        <f ca="1">IFERROR(OFFSET('4.1(2)新規再エネ導入予定（設備情報）'!$P$1,MATCH($C42,'4.1(2)新規再エネ導入予定（設備情報）'!$G:$G,0)-1,0),"")</f>
        <v/>
      </c>
    </row>
    <row r="43" spans="1:10" ht="16.5" customHeight="1">
      <c r="B43" s="1386" t="s">
        <v>177</v>
      </c>
      <c r="C43" s="1388" t="s">
        <v>14</v>
      </c>
      <c r="D43" s="1390" t="s">
        <v>216</v>
      </c>
      <c r="E43" s="1392" t="s">
        <v>215</v>
      </c>
      <c r="F43" s="1393"/>
      <c r="G43" s="1394"/>
      <c r="H43" s="1392" t="s">
        <v>108</v>
      </c>
      <c r="I43" s="1394"/>
    </row>
    <row r="44" spans="1:10" ht="42.75" customHeight="1">
      <c r="B44" s="1387"/>
      <c r="C44" s="1389"/>
      <c r="D44" s="1391"/>
      <c r="E44" s="205" t="s">
        <v>287</v>
      </c>
      <c r="F44" s="206" t="s">
        <v>109</v>
      </c>
      <c r="G44" s="206" t="s">
        <v>110</v>
      </c>
      <c r="H44" s="206" t="s">
        <v>274</v>
      </c>
      <c r="I44" s="205" t="s">
        <v>241</v>
      </c>
    </row>
    <row r="45" spans="1:10" ht="46.5" customHeight="1">
      <c r="B45" s="533" t="str">
        <f ca="1">IFERROR(OFFSET('4.1(2)新規再エネ導入予定（設備情報）'!$O$1,MATCH($C42,'4.1(2)新規再エネ導入予定（設備情報）'!$G:$G,0)-1,0),"")</f>
        <v/>
      </c>
      <c r="C45" s="533" t="str">
        <f ca="1">IFERROR(OFFSET('4.1(2)新規再エネ導入予定（設備情報）'!$R$1,MATCH($C42,'4.1(2)新規再エネ導入予定（設備情報）'!$G:$G,0)-1,0),"")</f>
        <v/>
      </c>
      <c r="D45" s="533" t="str">
        <f ca="1">IFERROR(OFFSET('4.1(2)新規再エネ導入予定（設備情報）'!$S$1,MATCH($C42,'4.1(2)新規再エネ導入予定（設備情報）'!$G:$G,0)-1,0),"")</f>
        <v/>
      </c>
      <c r="E45" s="533" t="str">
        <f ca="1">IF($C42="","",IFERROR(OFFSET('4.1(2)新規再エネ導入予定(FS調査、系統接続検討状況)'!$L$1,MATCH($C42,'4.1(2)新規再エネ導入予定(FS調査、系統接続検討状況)'!$G:$G,0)-1,0),""))</f>
        <v/>
      </c>
      <c r="F45" s="533" t="str">
        <f ca="1">IF($C42="","",IFERROR(OFFSET('4.1(2)新規再エネ導入予定(FS調査、系統接続検討状況)'!$M$1,MATCH($C42,'4.1(2)新規再エネ導入予定(FS調査、系統接続検討状況)'!$G:$G,0)-1,0),""))</f>
        <v/>
      </c>
      <c r="G45" s="533" t="str">
        <f ca="1">IF($C42="","",IFERROR(OFFSET('4.1(2)新規再エネ導入予定(FS調査、系統接続検討状況)'!$N$1,MATCH($C42,'4.1(2)新規再エネ導入予定(FS調査、系統接続検討状況)'!$G:$G,0)-1,0),""))</f>
        <v/>
      </c>
      <c r="H45" s="533" t="str" cm="1">
        <f t="array" aca="1" ref="H45" ca="1">IFERROR(_xlfn.IFS(OR(I45="検討不要",I45="検討未実施",I45="(低圧)申込完了",I45="(低圧)申込準備開始",I45="(低圧)申込準備完了"),"－",COUNTIF(OFFSET('4.1(2)新規再エネ導入予定(FS調査、系統接続検討状況)'!$O$1,MATCH($C42,'4.1(2)新規再エネ導入予定(FS調査、系統接続検討状況)'!$G:$G,0)-1,0),"*単独*")=1,"単独",COUNTIF(OFFSET('4.1(2)新規再エネ導入予定(FS調査、系統接続検討状況)'!$O$1,MATCH($C42,'4.1(2)新規再エネ導入予定(FS調査、系統接続検討状況)'!$G:$G,0)-1,0),"*一括*")=1,"一括検討"),"")</f>
        <v/>
      </c>
      <c r="I45" s="536" t="str">
        <f ca="1">IFERROR(SUBSTITUTE(SUBSTITUTE(OFFSET('4.1(2)新規再エネ導入予定(FS調査、系統接続検討状況)'!$O$1,MATCH($C42,'4.1(2)新規再エネ導入予定(FS調査、系統接続検討状況)'!$G:$G,0)-1,0),"(一括)",""),"(単独)",""),"")</f>
        <v/>
      </c>
    </row>
    <row r="47" spans="1:10" ht="19">
      <c r="B47" s="198" t="s">
        <v>214</v>
      </c>
    </row>
    <row r="48" spans="1:10" ht="21">
      <c r="B48" s="207" t="str">
        <f ca="1">IFERROR(_xlfn.TEXTJOIN(" ",1,C40,B42,C42),"")</f>
        <v/>
      </c>
      <c r="C48" s="208"/>
      <c r="D48" s="208"/>
    </row>
    <row r="49" spans="1:10" ht="28.5" customHeight="1">
      <c r="B49" s="209" t="s">
        <v>213</v>
      </c>
      <c r="C49" s="209"/>
      <c r="D49" s="209" t="s">
        <v>212</v>
      </c>
      <c r="E49" s="209"/>
      <c r="F49" s="209" t="s">
        <v>226</v>
      </c>
      <c r="G49" s="209"/>
      <c r="H49" s="209"/>
      <c r="I49" s="292"/>
    </row>
    <row r="50" spans="1:10" ht="114.65" customHeight="1">
      <c r="B50" s="1395" t="s">
        <v>211</v>
      </c>
      <c r="C50" s="210" t="s">
        <v>210</v>
      </c>
      <c r="D50" s="1396" t="s">
        <v>209</v>
      </c>
      <c r="E50" s="1397"/>
      <c r="F50" s="1398"/>
      <c r="G50" s="1399"/>
      <c r="H50" s="1399"/>
      <c r="I50" s="1400"/>
    </row>
    <row r="51" spans="1:10" ht="114.65" customHeight="1">
      <c r="B51" s="1395"/>
      <c r="C51" s="211" t="s">
        <v>208</v>
      </c>
      <c r="D51" s="1396" t="s">
        <v>207</v>
      </c>
      <c r="E51" s="1397"/>
      <c r="F51" s="1398"/>
      <c r="G51" s="1399"/>
      <c r="H51" s="1399"/>
      <c r="I51" s="1400"/>
    </row>
    <row r="52" spans="1:10" ht="114.65" customHeight="1">
      <c r="B52" s="1401">
        <v>2</v>
      </c>
      <c r="C52" s="1401"/>
      <c r="D52" s="1396" t="s">
        <v>206</v>
      </c>
      <c r="E52" s="1397"/>
      <c r="F52" s="1398"/>
      <c r="G52" s="1399"/>
      <c r="H52" s="1399"/>
      <c r="I52" s="1400"/>
    </row>
    <row r="53" spans="1:10" ht="114.65" customHeight="1">
      <c r="B53" s="1402">
        <v>3</v>
      </c>
      <c r="C53" s="211" t="s">
        <v>205</v>
      </c>
      <c r="D53" s="1396" t="s">
        <v>204</v>
      </c>
      <c r="E53" s="1397"/>
      <c r="F53" s="1398"/>
      <c r="G53" s="1399"/>
      <c r="H53" s="1399"/>
      <c r="I53" s="1400"/>
    </row>
    <row r="54" spans="1:10" ht="114.65" customHeight="1">
      <c r="B54" s="1402"/>
      <c r="C54" s="211" t="s">
        <v>203</v>
      </c>
      <c r="D54" s="1396" t="s">
        <v>202</v>
      </c>
      <c r="E54" s="1397"/>
      <c r="F54" s="1398"/>
      <c r="G54" s="1399"/>
      <c r="H54" s="1399"/>
      <c r="I54" s="1400"/>
    </row>
    <row r="55" spans="1:10" ht="115" customHeight="1">
      <c r="B55" s="1401">
        <v>4</v>
      </c>
      <c r="C55" s="1401"/>
      <c r="D55" s="1396" t="s">
        <v>201</v>
      </c>
      <c r="E55" s="1397"/>
      <c r="F55" s="1398"/>
      <c r="G55" s="1399"/>
      <c r="H55" s="1399"/>
      <c r="I55" s="1400"/>
    </row>
    <row r="56" spans="1:10" ht="132" customHeight="1">
      <c r="B56" s="1401">
        <v>5</v>
      </c>
      <c r="C56" s="1401"/>
      <c r="D56" s="1396" t="s">
        <v>200</v>
      </c>
      <c r="E56" s="1397"/>
      <c r="F56" s="1398"/>
      <c r="G56" s="1399"/>
      <c r="H56" s="1399"/>
      <c r="I56" s="1400"/>
    </row>
    <row r="58" spans="1:10">
      <c r="A58" s="212"/>
      <c r="B58" s="212"/>
      <c r="C58" s="212"/>
      <c r="D58" s="212"/>
      <c r="E58" s="212"/>
      <c r="F58" s="212"/>
      <c r="G58" s="212"/>
      <c r="H58" s="212"/>
      <c r="I58" s="293"/>
      <c r="J58" s="212"/>
    </row>
    <row r="59" spans="1:10" ht="23.5">
      <c r="B59" s="200" t="s">
        <v>27</v>
      </c>
      <c r="C59" s="200" t="str">
        <f ca="1">IFERROR(OFFSET('4.1(2)新規再エネ導入予定（設備情報）'!$X$1,MATCH(COUNTIF($B$1:B59,"発電方式"),'4.1(2)新規再エネ導入予定（設備情報）'!$AK:$AK,0)-1,0),"")</f>
        <v/>
      </c>
      <c r="D59" s="201"/>
    </row>
    <row r="60" spans="1:10" ht="39.75" customHeight="1">
      <c r="B60" s="202" t="s">
        <v>8</v>
      </c>
      <c r="C60" s="202" t="s">
        <v>181</v>
      </c>
      <c r="D60" s="203" t="s">
        <v>180</v>
      </c>
      <c r="E60" s="202" t="s">
        <v>9</v>
      </c>
      <c r="F60" s="204" t="s">
        <v>10</v>
      </c>
      <c r="G60" s="203" t="s">
        <v>31</v>
      </c>
      <c r="H60" s="202" t="s">
        <v>13</v>
      </c>
      <c r="I60" s="204" t="s">
        <v>81</v>
      </c>
    </row>
    <row r="61" spans="1:10" ht="36" customHeight="1">
      <c r="B61" s="532" t="str">
        <f ca="1">IFERROR(OFFSET('4.1(2)新規再エネ導入予定（設備情報）'!$F$1,MATCH($C61,'4.1(2)新規再エネ導入予定（設備情報）'!$G:$G,0)-1,0),"")</f>
        <v/>
      </c>
      <c r="C61" s="533" t="str">
        <f ca="1">IFERROR(OFFSET('4.1(2)新規再エネ導入予定（設備情報）'!$G$7,MATCH(COUNTIF($B$1:B59,"発電方式"),'4.1(2)新規再エネ導入予定（設備情報）'!$AK$8:$AK$1000,0),0),"")</f>
        <v/>
      </c>
      <c r="D61" s="532" t="str">
        <f ca="1">IFERROR(OFFSET('4.1(2)新規再エネ導入予定（設備情報）'!$H$1,MATCH($C61,'4.1(2)新規再エネ導入予定（設備情報）'!$G:$G,0)-1,0),"")</f>
        <v/>
      </c>
      <c r="E61" s="534" t="str">
        <f ca="1">IFERROR(OFFSET('4.1(2)新規再エネ導入予定（設備情報）'!$I$1,MATCH($C61,'4.1(2)新規再エネ導入予定（設備情報）'!$G:$G,0)-1,0),"")</f>
        <v/>
      </c>
      <c r="F61" s="534" t="str">
        <f ca="1">IFERROR(OFFSET('4.1(2)新規再エネ導入予定（設備情報）'!$J$1,MATCH($C61,'4.1(2)新規再エネ導入予定（設備情報）'!$G:$G,0)-1,0),"")</f>
        <v/>
      </c>
      <c r="G61" s="533" t="str">
        <f ca="1">IFERROR(OFFSET('4.1(2)新規再エネ導入予定（設備情報）'!$L$1,MATCH($C61,'4.1(2)新規再エネ導入予定（設備情報）'!$G:$G,0)-1,0),"")</f>
        <v/>
      </c>
      <c r="H61" s="533" t="str">
        <f ca="1">IFERROR(OFFSET('4.1(2)新規再エネ導入予定（設備情報）'!$M$1,MATCH($C61,'4.1(2)新規再エネ導入予定（設備情報）'!$G:$G,0)-1,0),"")</f>
        <v/>
      </c>
      <c r="I61" s="535" t="str">
        <f ca="1">IFERROR(OFFSET('4.1(2)新規再エネ導入予定（設備情報）'!$P$1,MATCH($C61,'4.1(2)新規再エネ導入予定（設備情報）'!$G:$G,0)-1,0),"")</f>
        <v/>
      </c>
    </row>
    <row r="62" spans="1:10" ht="16.5" customHeight="1">
      <c r="B62" s="1386" t="s">
        <v>177</v>
      </c>
      <c r="C62" s="1388" t="s">
        <v>14</v>
      </c>
      <c r="D62" s="1390" t="s">
        <v>216</v>
      </c>
      <c r="E62" s="1392" t="s">
        <v>215</v>
      </c>
      <c r="F62" s="1393"/>
      <c r="G62" s="1394"/>
      <c r="H62" s="1392" t="s">
        <v>108</v>
      </c>
      <c r="I62" s="1394"/>
    </row>
    <row r="63" spans="1:10" ht="42.75" customHeight="1">
      <c r="B63" s="1387"/>
      <c r="C63" s="1389"/>
      <c r="D63" s="1391"/>
      <c r="E63" s="205" t="s">
        <v>287</v>
      </c>
      <c r="F63" s="206" t="s">
        <v>109</v>
      </c>
      <c r="G63" s="206" t="s">
        <v>110</v>
      </c>
      <c r="H63" s="206" t="s">
        <v>274</v>
      </c>
      <c r="I63" s="205" t="s">
        <v>241</v>
      </c>
    </row>
    <row r="64" spans="1:10" ht="46.5" customHeight="1">
      <c r="B64" s="533" t="str">
        <f ca="1">IFERROR(OFFSET('4.1(2)新規再エネ導入予定（設備情報）'!$O$1,MATCH($C61,'4.1(2)新規再エネ導入予定（設備情報）'!$G:$G,0)-1,0),"")</f>
        <v/>
      </c>
      <c r="C64" s="533" t="str">
        <f ca="1">IFERROR(OFFSET('4.1(2)新規再エネ導入予定（設備情報）'!$R$1,MATCH($C61,'4.1(2)新規再エネ導入予定（設備情報）'!$G:$G,0)-1,0),"")</f>
        <v/>
      </c>
      <c r="D64" s="533" t="str">
        <f ca="1">IFERROR(OFFSET('4.1(2)新規再エネ導入予定（設備情報）'!$S$1,MATCH($C61,'4.1(2)新規再エネ導入予定（設備情報）'!$G:$G,0)-1,0),"")</f>
        <v/>
      </c>
      <c r="E64" s="533" t="str">
        <f ca="1">IF($C61="","",IFERROR(OFFSET('4.1(2)新規再エネ導入予定(FS調査、系統接続検討状況)'!$L$1,MATCH($C61,'4.1(2)新規再エネ導入予定(FS調査、系統接続検討状況)'!$G:$G,0)-1,0),""))</f>
        <v/>
      </c>
      <c r="F64" s="533" t="str">
        <f ca="1">IF($C61="","",IFERROR(OFFSET('4.1(2)新規再エネ導入予定(FS調査、系統接続検討状況)'!$M$1,MATCH($C61,'4.1(2)新規再エネ導入予定(FS調査、系統接続検討状況)'!$G:$G,0)-1,0),""))</f>
        <v/>
      </c>
      <c r="G64" s="533" t="str">
        <f ca="1">IF($C61="","",IFERROR(OFFSET('4.1(2)新規再エネ導入予定(FS調査、系統接続検討状況)'!$N$1,MATCH($C61,'4.1(2)新規再エネ導入予定(FS調査、系統接続検討状況)'!$G:$G,0)-1,0),""))</f>
        <v/>
      </c>
      <c r="H64" s="533" t="str" cm="1">
        <f t="array" aca="1" ref="H64" ca="1">IFERROR(_xlfn.IFS(OR(I64="検討不要",I64="検討未実施",I64="(低圧)申込完了",I64="(低圧)申込準備開始",I64="(低圧)申込準備完了"),"－",COUNTIF(OFFSET('4.1(2)新規再エネ導入予定(FS調査、系統接続検討状況)'!$O$1,MATCH($C61,'4.1(2)新規再エネ導入予定(FS調査、系統接続検討状況)'!$G:$G,0)-1,0),"*単独*")=1,"単独",COUNTIF(OFFSET('4.1(2)新規再エネ導入予定(FS調査、系統接続検討状況)'!$O$1,MATCH($C61,'4.1(2)新規再エネ導入予定(FS調査、系統接続検討状況)'!$G:$G,0)-1,0),"*一括*")=1,"一括検討"),"")</f>
        <v/>
      </c>
      <c r="I64" s="536" t="str">
        <f ca="1">IFERROR(SUBSTITUTE(SUBSTITUTE(OFFSET('4.1(2)新規再エネ導入予定(FS調査、系統接続検討状況)'!$O$1,MATCH($C61,'4.1(2)新規再エネ導入予定(FS調査、系統接続検討状況)'!$G:$G,0)-1,0),"(一括)",""),"(単独)",""),"")</f>
        <v/>
      </c>
    </row>
    <row r="66" spans="1:10" ht="19">
      <c r="B66" s="198" t="s">
        <v>214</v>
      </c>
    </row>
    <row r="67" spans="1:10" ht="21">
      <c r="B67" s="207" t="str">
        <f ca="1">IFERROR(_xlfn.TEXTJOIN(" ",1,C59,B61,C61),"")</f>
        <v/>
      </c>
      <c r="C67" s="208"/>
      <c r="D67" s="208"/>
    </row>
    <row r="68" spans="1:10" ht="28.5" customHeight="1">
      <c r="B68" s="209" t="s">
        <v>213</v>
      </c>
      <c r="C68" s="209"/>
      <c r="D68" s="209" t="s">
        <v>212</v>
      </c>
      <c r="E68" s="209"/>
      <c r="F68" s="209" t="s">
        <v>226</v>
      </c>
      <c r="G68" s="209"/>
      <c r="H68" s="209"/>
      <c r="I68" s="292"/>
    </row>
    <row r="69" spans="1:10" ht="114.65" customHeight="1">
      <c r="B69" s="1395" t="s">
        <v>211</v>
      </c>
      <c r="C69" s="210" t="s">
        <v>210</v>
      </c>
      <c r="D69" s="1396" t="s">
        <v>209</v>
      </c>
      <c r="E69" s="1397"/>
      <c r="F69" s="1398"/>
      <c r="G69" s="1399"/>
      <c r="H69" s="1399"/>
      <c r="I69" s="1400"/>
    </row>
    <row r="70" spans="1:10" ht="114.65" customHeight="1">
      <c r="B70" s="1395"/>
      <c r="C70" s="211" t="s">
        <v>208</v>
      </c>
      <c r="D70" s="1396" t="s">
        <v>207</v>
      </c>
      <c r="E70" s="1397"/>
      <c r="F70" s="1398"/>
      <c r="G70" s="1399"/>
      <c r="H70" s="1399"/>
      <c r="I70" s="1400"/>
    </row>
    <row r="71" spans="1:10" ht="114.65" customHeight="1">
      <c r="B71" s="1401">
        <v>2</v>
      </c>
      <c r="C71" s="1401"/>
      <c r="D71" s="1396" t="s">
        <v>206</v>
      </c>
      <c r="E71" s="1397"/>
      <c r="F71" s="1398"/>
      <c r="G71" s="1399"/>
      <c r="H71" s="1399"/>
      <c r="I71" s="1400"/>
    </row>
    <row r="72" spans="1:10" ht="114.65" customHeight="1">
      <c r="B72" s="1402">
        <v>3</v>
      </c>
      <c r="C72" s="211" t="s">
        <v>205</v>
      </c>
      <c r="D72" s="1396" t="s">
        <v>204</v>
      </c>
      <c r="E72" s="1397"/>
      <c r="F72" s="1398"/>
      <c r="G72" s="1399"/>
      <c r="H72" s="1399"/>
      <c r="I72" s="1400"/>
    </row>
    <row r="73" spans="1:10" ht="114.65" customHeight="1">
      <c r="B73" s="1402"/>
      <c r="C73" s="211" t="s">
        <v>203</v>
      </c>
      <c r="D73" s="1396" t="s">
        <v>202</v>
      </c>
      <c r="E73" s="1397"/>
      <c r="F73" s="1398"/>
      <c r="G73" s="1399"/>
      <c r="H73" s="1399"/>
      <c r="I73" s="1400"/>
    </row>
    <row r="74" spans="1:10" ht="115" customHeight="1">
      <c r="B74" s="1401">
        <v>4</v>
      </c>
      <c r="C74" s="1401"/>
      <c r="D74" s="1396" t="s">
        <v>201</v>
      </c>
      <c r="E74" s="1397"/>
      <c r="F74" s="1398"/>
      <c r="G74" s="1399"/>
      <c r="H74" s="1399"/>
      <c r="I74" s="1400"/>
    </row>
    <row r="75" spans="1:10" ht="132" customHeight="1">
      <c r="B75" s="1401">
        <v>5</v>
      </c>
      <c r="C75" s="1401"/>
      <c r="D75" s="1396" t="s">
        <v>200</v>
      </c>
      <c r="E75" s="1397"/>
      <c r="F75" s="1398"/>
      <c r="G75" s="1399"/>
      <c r="H75" s="1399"/>
      <c r="I75" s="1400"/>
    </row>
    <row r="77" spans="1:10">
      <c r="A77" s="212"/>
      <c r="B77" s="212"/>
      <c r="C77" s="212"/>
      <c r="D77" s="212"/>
      <c r="E77" s="212"/>
      <c r="F77" s="212"/>
      <c r="G77" s="212"/>
      <c r="H77" s="212"/>
      <c r="I77" s="293"/>
      <c r="J77" s="212"/>
    </row>
    <row r="78" spans="1:10" ht="23.5">
      <c r="B78" s="200" t="s">
        <v>27</v>
      </c>
      <c r="C78" s="200" t="str">
        <f ca="1">IFERROR(OFFSET('4.1(2)新規再エネ導入予定（設備情報）'!$X$1,MATCH(COUNTIF($B$1:B78,"発電方式"),'4.1(2)新規再エネ導入予定（設備情報）'!$AK:$AK,0)-1,0),"")</f>
        <v/>
      </c>
      <c r="D78" s="201"/>
    </row>
    <row r="79" spans="1:10" ht="39.75" customHeight="1">
      <c r="B79" s="202" t="s">
        <v>8</v>
      </c>
      <c r="C79" s="202" t="s">
        <v>181</v>
      </c>
      <c r="D79" s="203" t="s">
        <v>180</v>
      </c>
      <c r="E79" s="202" t="s">
        <v>9</v>
      </c>
      <c r="F79" s="204" t="s">
        <v>10</v>
      </c>
      <c r="G79" s="203" t="s">
        <v>31</v>
      </c>
      <c r="H79" s="202" t="s">
        <v>13</v>
      </c>
      <c r="I79" s="204" t="s">
        <v>81</v>
      </c>
    </row>
    <row r="80" spans="1:10" ht="36" customHeight="1">
      <c r="B80" s="532" t="str">
        <f ca="1">IFERROR(OFFSET('4.1(2)新規再エネ導入予定（設備情報）'!$F$1,MATCH($C80,'4.1(2)新規再エネ導入予定（設備情報）'!$G:$G,0)-1,0),"")</f>
        <v/>
      </c>
      <c r="C80" s="533" t="str">
        <f ca="1">IFERROR(OFFSET('4.1(2)新規再エネ導入予定（設備情報）'!$G$7,MATCH(COUNTIF($B$1:B78,"発電方式"),'4.1(2)新規再エネ導入予定（設備情報）'!$AK$8:$AK$1000,0),0),"")</f>
        <v/>
      </c>
      <c r="D80" s="532" t="str">
        <f ca="1">IFERROR(OFFSET('4.1(2)新規再エネ導入予定（設備情報）'!$H$1,MATCH($C80,'4.1(2)新規再エネ導入予定（設備情報）'!$G:$G,0)-1,0),"")</f>
        <v/>
      </c>
      <c r="E80" s="534" t="str">
        <f ca="1">IFERROR(OFFSET('4.1(2)新規再エネ導入予定（設備情報）'!$I$1,MATCH($C80,'4.1(2)新規再エネ導入予定（設備情報）'!$G:$G,0)-1,0),"")</f>
        <v/>
      </c>
      <c r="F80" s="534" t="str">
        <f ca="1">IFERROR(OFFSET('4.1(2)新規再エネ導入予定（設備情報）'!$J$1,MATCH($C80,'4.1(2)新規再エネ導入予定（設備情報）'!$G:$G,0)-1,0),"")</f>
        <v/>
      </c>
      <c r="G80" s="533" t="str">
        <f ca="1">IFERROR(OFFSET('4.1(2)新規再エネ導入予定（設備情報）'!$L$1,MATCH($C80,'4.1(2)新規再エネ導入予定（設備情報）'!$G:$G,0)-1,0),"")</f>
        <v/>
      </c>
      <c r="H80" s="533" t="str">
        <f ca="1">IFERROR(OFFSET('4.1(2)新規再エネ導入予定（設備情報）'!$M$1,MATCH($C80,'4.1(2)新規再エネ導入予定（設備情報）'!$G:$G,0)-1,0),"")</f>
        <v/>
      </c>
      <c r="I80" s="535" t="str">
        <f ca="1">IFERROR(OFFSET('4.1(2)新規再エネ導入予定（設備情報）'!$P$1,MATCH($C80,'4.1(2)新規再エネ導入予定（設備情報）'!$G:$G,0)-1,0),"")</f>
        <v/>
      </c>
    </row>
    <row r="81" spans="1:10" ht="16.5" customHeight="1">
      <c r="B81" s="1386" t="s">
        <v>177</v>
      </c>
      <c r="C81" s="1388" t="s">
        <v>14</v>
      </c>
      <c r="D81" s="1390" t="s">
        <v>216</v>
      </c>
      <c r="E81" s="1392" t="s">
        <v>215</v>
      </c>
      <c r="F81" s="1393"/>
      <c r="G81" s="1394"/>
      <c r="H81" s="1392" t="s">
        <v>108</v>
      </c>
      <c r="I81" s="1394"/>
    </row>
    <row r="82" spans="1:10" ht="42.75" customHeight="1">
      <c r="B82" s="1387"/>
      <c r="C82" s="1389"/>
      <c r="D82" s="1391"/>
      <c r="E82" s="205" t="s">
        <v>287</v>
      </c>
      <c r="F82" s="206" t="s">
        <v>109</v>
      </c>
      <c r="G82" s="206" t="s">
        <v>110</v>
      </c>
      <c r="H82" s="206" t="s">
        <v>274</v>
      </c>
      <c r="I82" s="205" t="s">
        <v>241</v>
      </c>
    </row>
    <row r="83" spans="1:10" ht="46.5" customHeight="1">
      <c r="B83" s="533" t="str">
        <f ca="1">IFERROR(OFFSET('4.1(2)新規再エネ導入予定（設備情報）'!$O$1,MATCH($C80,'4.1(2)新規再エネ導入予定（設備情報）'!$G:$G,0)-1,0),"")</f>
        <v/>
      </c>
      <c r="C83" s="533" t="str">
        <f ca="1">IFERROR(OFFSET('4.1(2)新規再エネ導入予定（設備情報）'!$R$1,MATCH($C80,'4.1(2)新規再エネ導入予定（設備情報）'!$G:$G,0)-1,0),"")</f>
        <v/>
      </c>
      <c r="D83" s="533" t="str">
        <f ca="1">IFERROR(OFFSET('4.1(2)新規再エネ導入予定（設備情報）'!$S$1,MATCH($C80,'4.1(2)新規再エネ導入予定（設備情報）'!$G:$G,0)-1,0),"")</f>
        <v/>
      </c>
      <c r="E83" s="533" t="str">
        <f ca="1">IF($C80="","",IFERROR(OFFSET('4.1(2)新規再エネ導入予定(FS調査、系統接続検討状況)'!$L$1,MATCH($C80,'4.1(2)新規再エネ導入予定(FS調査、系統接続検討状況)'!$G:$G,0)-1,0),""))</f>
        <v/>
      </c>
      <c r="F83" s="533" t="str">
        <f ca="1">IF($C80="","",IFERROR(OFFSET('4.1(2)新規再エネ導入予定(FS調査、系統接続検討状況)'!$M$1,MATCH($C80,'4.1(2)新規再エネ導入予定(FS調査、系統接続検討状況)'!$G:$G,0)-1,0),""))</f>
        <v/>
      </c>
      <c r="G83" s="533" t="str">
        <f ca="1">IF($C80="","",IFERROR(OFFSET('4.1(2)新規再エネ導入予定(FS調査、系統接続検討状況)'!$N$1,MATCH($C80,'4.1(2)新規再エネ導入予定(FS調査、系統接続検討状況)'!$G:$G,0)-1,0),""))</f>
        <v/>
      </c>
      <c r="H83" s="533" t="str" cm="1">
        <f t="array" aca="1" ref="H83" ca="1">IFERROR(_xlfn.IFS(OR(I83="検討不要",I83="検討未実施",I83="(低圧)申込完了",I83="(低圧)申込準備開始",I83="(低圧)申込準備完了"),"－",COUNTIF(OFFSET('4.1(2)新規再エネ導入予定(FS調査、系統接続検討状況)'!$O$1,MATCH($C80,'4.1(2)新規再エネ導入予定(FS調査、系統接続検討状況)'!$G:$G,0)-1,0),"*単独*")=1,"単独",COUNTIF(OFFSET('4.1(2)新規再エネ導入予定(FS調査、系統接続検討状況)'!$O$1,MATCH($C80,'4.1(2)新規再エネ導入予定(FS調査、系統接続検討状況)'!$G:$G,0)-1,0),"*一括*")=1,"一括検討"),"")</f>
        <v/>
      </c>
      <c r="I83" s="536" t="str">
        <f ca="1">IFERROR(SUBSTITUTE(SUBSTITUTE(OFFSET('4.1(2)新規再エネ導入予定(FS調査、系統接続検討状況)'!$O$1,MATCH($C80,'4.1(2)新規再エネ導入予定(FS調査、系統接続検討状況)'!$G:$G,0)-1,0),"(一括)",""),"(単独)",""),"")</f>
        <v/>
      </c>
    </row>
    <row r="85" spans="1:10" ht="19">
      <c r="B85" s="198" t="s">
        <v>214</v>
      </c>
    </row>
    <row r="86" spans="1:10" ht="21">
      <c r="B86" s="207" t="str">
        <f ca="1">IFERROR(_xlfn.TEXTJOIN(" ",1,C78,B80,C80),"")</f>
        <v/>
      </c>
      <c r="C86" s="208"/>
      <c r="D86" s="208"/>
    </row>
    <row r="87" spans="1:10" ht="28.5" customHeight="1">
      <c r="B87" s="209" t="s">
        <v>213</v>
      </c>
      <c r="C87" s="209"/>
      <c r="D87" s="209" t="s">
        <v>212</v>
      </c>
      <c r="E87" s="209"/>
      <c r="F87" s="209" t="s">
        <v>226</v>
      </c>
      <c r="G87" s="209"/>
      <c r="H87" s="209"/>
      <c r="I87" s="292"/>
    </row>
    <row r="88" spans="1:10" ht="114.65" customHeight="1">
      <c r="B88" s="1395" t="s">
        <v>211</v>
      </c>
      <c r="C88" s="210" t="s">
        <v>210</v>
      </c>
      <c r="D88" s="1396" t="s">
        <v>209</v>
      </c>
      <c r="E88" s="1397"/>
      <c r="F88" s="1398"/>
      <c r="G88" s="1399"/>
      <c r="H88" s="1399"/>
      <c r="I88" s="1400"/>
    </row>
    <row r="89" spans="1:10" ht="114.65" customHeight="1">
      <c r="B89" s="1395"/>
      <c r="C89" s="211" t="s">
        <v>208</v>
      </c>
      <c r="D89" s="1396" t="s">
        <v>207</v>
      </c>
      <c r="E89" s="1397"/>
      <c r="F89" s="1398"/>
      <c r="G89" s="1399"/>
      <c r="H89" s="1399"/>
      <c r="I89" s="1400"/>
    </row>
    <row r="90" spans="1:10" ht="114.65" customHeight="1">
      <c r="B90" s="1401">
        <v>2</v>
      </c>
      <c r="C90" s="1401"/>
      <c r="D90" s="1396" t="s">
        <v>206</v>
      </c>
      <c r="E90" s="1397"/>
      <c r="F90" s="1398"/>
      <c r="G90" s="1399"/>
      <c r="H90" s="1399"/>
      <c r="I90" s="1400"/>
    </row>
    <row r="91" spans="1:10" ht="114.65" customHeight="1">
      <c r="B91" s="1402">
        <v>3</v>
      </c>
      <c r="C91" s="211" t="s">
        <v>205</v>
      </c>
      <c r="D91" s="1396" t="s">
        <v>204</v>
      </c>
      <c r="E91" s="1397"/>
      <c r="F91" s="1398"/>
      <c r="G91" s="1399"/>
      <c r="H91" s="1399"/>
      <c r="I91" s="1400"/>
    </row>
    <row r="92" spans="1:10" ht="114.65" customHeight="1">
      <c r="B92" s="1402"/>
      <c r="C92" s="211" t="s">
        <v>203</v>
      </c>
      <c r="D92" s="1396" t="s">
        <v>202</v>
      </c>
      <c r="E92" s="1397"/>
      <c r="F92" s="1398"/>
      <c r="G92" s="1399"/>
      <c r="H92" s="1399"/>
      <c r="I92" s="1400"/>
    </row>
    <row r="93" spans="1:10" ht="115" customHeight="1">
      <c r="B93" s="1401">
        <v>4</v>
      </c>
      <c r="C93" s="1401"/>
      <c r="D93" s="1396" t="s">
        <v>201</v>
      </c>
      <c r="E93" s="1397"/>
      <c r="F93" s="1398"/>
      <c r="G93" s="1399"/>
      <c r="H93" s="1399"/>
      <c r="I93" s="1400"/>
    </row>
    <row r="94" spans="1:10" ht="132" customHeight="1">
      <c r="B94" s="1401">
        <v>5</v>
      </c>
      <c r="C94" s="1401"/>
      <c r="D94" s="1396" t="s">
        <v>200</v>
      </c>
      <c r="E94" s="1397"/>
      <c r="F94" s="1398"/>
      <c r="G94" s="1399"/>
      <c r="H94" s="1399"/>
      <c r="I94" s="1400"/>
    </row>
    <row r="96" spans="1:10">
      <c r="A96" s="212"/>
      <c r="B96" s="212"/>
      <c r="C96" s="212"/>
      <c r="D96" s="212"/>
      <c r="E96" s="212"/>
      <c r="F96" s="212"/>
      <c r="G96" s="212"/>
      <c r="H96" s="212"/>
      <c r="I96" s="293"/>
      <c r="J96" s="212"/>
    </row>
    <row r="97" spans="2:9" ht="23.5">
      <c r="B97" s="200" t="s">
        <v>27</v>
      </c>
      <c r="C97" s="200" t="str">
        <f ca="1">IFERROR(OFFSET('4.1(2)新規再エネ導入予定（設備情報）'!$X$1,MATCH(COUNTIF($B$1:B97,"発電方式"),'4.1(2)新規再エネ導入予定（設備情報）'!$AK:$AK,0)-1,0),"")</f>
        <v/>
      </c>
      <c r="D97" s="201"/>
    </row>
    <row r="98" spans="2:9" ht="39.75" customHeight="1">
      <c r="B98" s="202" t="s">
        <v>8</v>
      </c>
      <c r="C98" s="202" t="s">
        <v>181</v>
      </c>
      <c r="D98" s="203" t="s">
        <v>180</v>
      </c>
      <c r="E98" s="202" t="s">
        <v>9</v>
      </c>
      <c r="F98" s="204" t="s">
        <v>10</v>
      </c>
      <c r="G98" s="203" t="s">
        <v>31</v>
      </c>
      <c r="H98" s="202" t="s">
        <v>13</v>
      </c>
      <c r="I98" s="204" t="s">
        <v>81</v>
      </c>
    </row>
    <row r="99" spans="2:9" ht="36" customHeight="1">
      <c r="B99" s="532" t="str">
        <f ca="1">IFERROR(OFFSET('4.1(2)新規再エネ導入予定（設備情報）'!$F$1,MATCH($C99,'4.1(2)新規再エネ導入予定（設備情報）'!$G:$G,0)-1,0),"")</f>
        <v/>
      </c>
      <c r="C99" s="533" t="str">
        <f ca="1">IFERROR(OFFSET('4.1(2)新規再エネ導入予定（設備情報）'!$G$7,MATCH(COUNTIF($B$1:B97,"発電方式"),'4.1(2)新規再エネ導入予定（設備情報）'!$AK$8:$AK$1000,0),0),"")</f>
        <v/>
      </c>
      <c r="D99" s="532" t="str">
        <f ca="1">IFERROR(OFFSET('4.1(2)新規再エネ導入予定（設備情報）'!$H$1,MATCH($C99,'4.1(2)新規再エネ導入予定（設備情報）'!$G:$G,0)-1,0),"")</f>
        <v/>
      </c>
      <c r="E99" s="534" t="str">
        <f ca="1">IFERROR(OFFSET('4.1(2)新規再エネ導入予定（設備情報）'!$I$1,MATCH($C99,'4.1(2)新規再エネ導入予定（設備情報）'!$G:$G,0)-1,0),"")</f>
        <v/>
      </c>
      <c r="F99" s="534" t="str">
        <f ca="1">IFERROR(OFFSET('4.1(2)新規再エネ導入予定（設備情報）'!$J$1,MATCH($C99,'4.1(2)新規再エネ導入予定（設備情報）'!$G:$G,0)-1,0),"")</f>
        <v/>
      </c>
      <c r="G99" s="533" t="str">
        <f ca="1">IFERROR(OFFSET('4.1(2)新規再エネ導入予定（設備情報）'!$L$1,MATCH($C99,'4.1(2)新規再エネ導入予定（設備情報）'!$G:$G,0)-1,0),"")</f>
        <v/>
      </c>
      <c r="H99" s="533" t="str">
        <f ca="1">IFERROR(OFFSET('4.1(2)新規再エネ導入予定（設備情報）'!$M$1,MATCH($C99,'4.1(2)新規再エネ導入予定（設備情報）'!$G:$G,0)-1,0),"")</f>
        <v/>
      </c>
      <c r="I99" s="535" t="str">
        <f ca="1">IFERROR(OFFSET('4.1(2)新規再エネ導入予定（設備情報）'!$P$1,MATCH($C99,'4.1(2)新規再エネ導入予定（設備情報）'!$G:$G,0)-1,0),"")</f>
        <v/>
      </c>
    </row>
    <row r="100" spans="2:9" ht="16.5" customHeight="1">
      <c r="B100" s="1386" t="s">
        <v>177</v>
      </c>
      <c r="C100" s="1388" t="s">
        <v>14</v>
      </c>
      <c r="D100" s="1390" t="s">
        <v>216</v>
      </c>
      <c r="E100" s="1392" t="s">
        <v>215</v>
      </c>
      <c r="F100" s="1393"/>
      <c r="G100" s="1394"/>
      <c r="H100" s="1392" t="s">
        <v>108</v>
      </c>
      <c r="I100" s="1394"/>
    </row>
    <row r="101" spans="2:9" ht="42.75" customHeight="1">
      <c r="B101" s="1387"/>
      <c r="C101" s="1389"/>
      <c r="D101" s="1391"/>
      <c r="E101" s="205" t="s">
        <v>287</v>
      </c>
      <c r="F101" s="206" t="s">
        <v>109</v>
      </c>
      <c r="G101" s="206" t="s">
        <v>110</v>
      </c>
      <c r="H101" s="206" t="s">
        <v>274</v>
      </c>
      <c r="I101" s="205" t="s">
        <v>241</v>
      </c>
    </row>
    <row r="102" spans="2:9" ht="46.5" customHeight="1">
      <c r="B102" s="533" t="str">
        <f ca="1">IFERROR(OFFSET('4.1(2)新規再エネ導入予定（設備情報）'!$O$1,MATCH($C99,'4.1(2)新規再エネ導入予定（設備情報）'!$G:$G,0)-1,0),"")</f>
        <v/>
      </c>
      <c r="C102" s="533" t="str">
        <f ca="1">IFERROR(OFFSET('4.1(2)新規再エネ導入予定（設備情報）'!$R$1,MATCH($C99,'4.1(2)新規再エネ導入予定（設備情報）'!$G:$G,0)-1,0),"")</f>
        <v/>
      </c>
      <c r="D102" s="533" t="str">
        <f ca="1">IFERROR(OFFSET('4.1(2)新規再エネ導入予定（設備情報）'!$S$1,MATCH($C99,'4.1(2)新規再エネ導入予定（設備情報）'!$G:$G,0)-1,0),"")</f>
        <v/>
      </c>
      <c r="E102" s="533" t="str">
        <f ca="1">IF($C99="","",IFERROR(OFFSET('4.1(2)新規再エネ導入予定(FS調査、系統接続検討状況)'!$L$1,MATCH($C99,'4.1(2)新規再エネ導入予定(FS調査、系統接続検討状況)'!$G:$G,0)-1,0),""))</f>
        <v/>
      </c>
      <c r="F102" s="533" t="str">
        <f ca="1">IF($C99="","",IFERROR(OFFSET('4.1(2)新規再エネ導入予定(FS調査、系統接続検討状況)'!$M$1,MATCH($C99,'4.1(2)新規再エネ導入予定(FS調査、系統接続検討状況)'!$G:$G,0)-1,0),""))</f>
        <v/>
      </c>
      <c r="G102" s="533" t="str">
        <f ca="1">IF($C99="","",IFERROR(OFFSET('4.1(2)新規再エネ導入予定(FS調査、系統接続検討状況)'!$N$1,MATCH($C99,'4.1(2)新規再エネ導入予定(FS調査、系統接続検討状況)'!$G:$G,0)-1,0),""))</f>
        <v/>
      </c>
      <c r="H102" s="533" t="str" cm="1">
        <f t="array" aca="1" ref="H102" ca="1">IFERROR(_xlfn.IFS(OR(I102="検討不要",I102="検討未実施",I102="(低圧)申込完了",I102="(低圧)申込準備開始",I102="(低圧)申込準備完了"),"－",COUNTIF(OFFSET('4.1(2)新規再エネ導入予定(FS調査、系統接続検討状況)'!$O$1,MATCH($C99,'4.1(2)新規再エネ導入予定(FS調査、系統接続検討状況)'!$G:$G,0)-1,0),"*単独*")=1,"単独",COUNTIF(OFFSET('4.1(2)新規再エネ導入予定(FS調査、系統接続検討状況)'!$O$1,MATCH($C99,'4.1(2)新規再エネ導入予定(FS調査、系統接続検討状況)'!$G:$G,0)-1,0),"*一括*")=1,"一括検討"),"")</f>
        <v/>
      </c>
      <c r="I102" s="536" t="str">
        <f ca="1">IFERROR(SUBSTITUTE(SUBSTITUTE(OFFSET('4.1(2)新規再エネ導入予定(FS調査、系統接続検討状況)'!$O$1,MATCH($C99,'4.1(2)新規再エネ導入予定(FS調査、系統接続検討状況)'!$G:$G,0)-1,0),"(一括)",""),"(単独)",""),"")</f>
        <v/>
      </c>
    </row>
    <row r="104" spans="2:9" ht="19">
      <c r="B104" s="198" t="s">
        <v>214</v>
      </c>
    </row>
    <row r="105" spans="2:9" ht="21">
      <c r="B105" s="207" t="str">
        <f ca="1">IFERROR(_xlfn.TEXTJOIN(" ",1,C97,B99,C99),"")</f>
        <v/>
      </c>
      <c r="C105" s="208"/>
      <c r="D105" s="208"/>
    </row>
    <row r="106" spans="2:9" ht="28.5" customHeight="1">
      <c r="B106" s="209" t="s">
        <v>213</v>
      </c>
      <c r="C106" s="209"/>
      <c r="D106" s="209" t="s">
        <v>212</v>
      </c>
      <c r="E106" s="209"/>
      <c r="F106" s="209" t="s">
        <v>226</v>
      </c>
      <c r="G106" s="209"/>
      <c r="H106" s="209"/>
      <c r="I106" s="292"/>
    </row>
    <row r="107" spans="2:9" ht="114.65" customHeight="1">
      <c r="B107" s="1395" t="s">
        <v>211</v>
      </c>
      <c r="C107" s="210" t="s">
        <v>210</v>
      </c>
      <c r="D107" s="1396" t="s">
        <v>209</v>
      </c>
      <c r="E107" s="1397"/>
      <c r="F107" s="1398"/>
      <c r="G107" s="1399"/>
      <c r="H107" s="1399"/>
      <c r="I107" s="1400"/>
    </row>
    <row r="108" spans="2:9" ht="114.65" customHeight="1">
      <c r="B108" s="1395"/>
      <c r="C108" s="211" t="s">
        <v>208</v>
      </c>
      <c r="D108" s="1396" t="s">
        <v>207</v>
      </c>
      <c r="E108" s="1397"/>
      <c r="F108" s="1398"/>
      <c r="G108" s="1399"/>
      <c r="H108" s="1399"/>
      <c r="I108" s="1400"/>
    </row>
    <row r="109" spans="2:9" ht="114.65" customHeight="1">
      <c r="B109" s="1401">
        <v>2</v>
      </c>
      <c r="C109" s="1401"/>
      <c r="D109" s="1396" t="s">
        <v>206</v>
      </c>
      <c r="E109" s="1397"/>
      <c r="F109" s="1398"/>
      <c r="G109" s="1399"/>
      <c r="H109" s="1399"/>
      <c r="I109" s="1400"/>
    </row>
    <row r="110" spans="2:9" ht="114.65" customHeight="1">
      <c r="B110" s="1402">
        <v>3</v>
      </c>
      <c r="C110" s="211" t="s">
        <v>205</v>
      </c>
      <c r="D110" s="1396" t="s">
        <v>204</v>
      </c>
      <c r="E110" s="1397"/>
      <c r="F110" s="1398"/>
      <c r="G110" s="1399"/>
      <c r="H110" s="1399"/>
      <c r="I110" s="1400"/>
    </row>
    <row r="111" spans="2:9" ht="114.65" customHeight="1">
      <c r="B111" s="1402"/>
      <c r="C111" s="211" t="s">
        <v>203</v>
      </c>
      <c r="D111" s="1396" t="s">
        <v>202</v>
      </c>
      <c r="E111" s="1397"/>
      <c r="F111" s="1398"/>
      <c r="G111" s="1399"/>
      <c r="H111" s="1399"/>
      <c r="I111" s="1400"/>
    </row>
    <row r="112" spans="2:9" ht="115" customHeight="1">
      <c r="B112" s="1401">
        <v>4</v>
      </c>
      <c r="C112" s="1401"/>
      <c r="D112" s="1396" t="s">
        <v>201</v>
      </c>
      <c r="E112" s="1397"/>
      <c r="F112" s="1398"/>
      <c r="G112" s="1399"/>
      <c r="H112" s="1399"/>
      <c r="I112" s="1400"/>
    </row>
    <row r="113" spans="1:10" ht="132" customHeight="1">
      <c r="B113" s="1401">
        <v>5</v>
      </c>
      <c r="C113" s="1401"/>
      <c r="D113" s="1396" t="s">
        <v>200</v>
      </c>
      <c r="E113" s="1397"/>
      <c r="F113" s="1398"/>
      <c r="G113" s="1399"/>
      <c r="H113" s="1399"/>
      <c r="I113" s="1400"/>
    </row>
    <row r="115" spans="1:10">
      <c r="A115" s="212"/>
      <c r="B115" s="212"/>
      <c r="C115" s="212"/>
      <c r="D115" s="212"/>
      <c r="E115" s="212"/>
      <c r="F115" s="212"/>
      <c r="G115" s="212"/>
      <c r="H115" s="212"/>
      <c r="I115" s="293"/>
      <c r="J115" s="212"/>
    </row>
    <row r="116" spans="1:10" ht="23.5">
      <c r="B116" s="200" t="s">
        <v>27</v>
      </c>
      <c r="C116" s="200" t="str">
        <f ca="1">IFERROR(OFFSET('4.1(2)新規再エネ導入予定（設備情報）'!$X$1,MATCH(COUNTIF($B$1:B116,"発電方式"),'4.1(2)新規再エネ導入予定（設備情報）'!$AK:$AK,0)-1,0),"")</f>
        <v/>
      </c>
      <c r="D116" s="201"/>
    </row>
    <row r="117" spans="1:10" ht="39.75" customHeight="1">
      <c r="B117" s="202" t="s">
        <v>8</v>
      </c>
      <c r="C117" s="202" t="s">
        <v>181</v>
      </c>
      <c r="D117" s="203" t="s">
        <v>180</v>
      </c>
      <c r="E117" s="202" t="s">
        <v>9</v>
      </c>
      <c r="F117" s="204" t="s">
        <v>10</v>
      </c>
      <c r="G117" s="203" t="s">
        <v>31</v>
      </c>
      <c r="H117" s="202" t="s">
        <v>13</v>
      </c>
      <c r="I117" s="204" t="s">
        <v>81</v>
      </c>
    </row>
    <row r="118" spans="1:10" ht="36" customHeight="1">
      <c r="B118" s="532" t="str">
        <f ca="1">IFERROR(OFFSET('4.1(2)新規再エネ導入予定（設備情報）'!$F$1,MATCH($C118,'4.1(2)新規再エネ導入予定（設備情報）'!$G:$G,0)-1,0),"")</f>
        <v/>
      </c>
      <c r="C118" s="533" t="str">
        <f ca="1">IFERROR(OFFSET('4.1(2)新規再エネ導入予定（設備情報）'!$G$7,MATCH(COUNTIF($B$1:B116,"発電方式"),'4.1(2)新規再エネ導入予定（設備情報）'!$AK$8:$AK$1000,0),0),"")</f>
        <v/>
      </c>
      <c r="D118" s="532" t="str">
        <f ca="1">IFERROR(OFFSET('4.1(2)新規再エネ導入予定（設備情報）'!$H$1,MATCH($C118,'4.1(2)新規再エネ導入予定（設備情報）'!$G:$G,0)-1,0),"")</f>
        <v/>
      </c>
      <c r="E118" s="534" t="str">
        <f ca="1">IFERROR(OFFSET('4.1(2)新規再エネ導入予定（設備情報）'!$I$1,MATCH($C118,'4.1(2)新規再エネ導入予定（設備情報）'!$G:$G,0)-1,0),"")</f>
        <v/>
      </c>
      <c r="F118" s="534" t="str">
        <f ca="1">IFERROR(OFFSET('4.1(2)新規再エネ導入予定（設備情報）'!$J$1,MATCH($C118,'4.1(2)新規再エネ導入予定（設備情報）'!$G:$G,0)-1,0),"")</f>
        <v/>
      </c>
      <c r="G118" s="533" t="str">
        <f ca="1">IFERROR(OFFSET('4.1(2)新規再エネ導入予定（設備情報）'!$L$1,MATCH($C118,'4.1(2)新規再エネ導入予定（設備情報）'!$G:$G,0)-1,0),"")</f>
        <v/>
      </c>
      <c r="H118" s="533" t="str">
        <f ca="1">IFERROR(OFFSET('4.1(2)新規再エネ導入予定（設備情報）'!$M$1,MATCH($C118,'4.1(2)新規再エネ導入予定（設備情報）'!$G:$G,0)-1,0),"")</f>
        <v/>
      </c>
      <c r="I118" s="535" t="str">
        <f ca="1">IFERROR(OFFSET('4.1(2)新規再エネ導入予定（設備情報）'!$P$1,MATCH($C118,'4.1(2)新規再エネ導入予定（設備情報）'!$G:$G,0)-1,0),"")</f>
        <v/>
      </c>
    </row>
    <row r="119" spans="1:10" ht="16.5" customHeight="1">
      <c r="B119" s="1386" t="s">
        <v>177</v>
      </c>
      <c r="C119" s="1388" t="s">
        <v>14</v>
      </c>
      <c r="D119" s="1390" t="s">
        <v>216</v>
      </c>
      <c r="E119" s="1392" t="s">
        <v>215</v>
      </c>
      <c r="F119" s="1393"/>
      <c r="G119" s="1394"/>
      <c r="H119" s="1392" t="s">
        <v>108</v>
      </c>
      <c r="I119" s="1394"/>
    </row>
    <row r="120" spans="1:10" ht="42.75" customHeight="1">
      <c r="B120" s="1387"/>
      <c r="C120" s="1389"/>
      <c r="D120" s="1391"/>
      <c r="E120" s="205" t="s">
        <v>287</v>
      </c>
      <c r="F120" s="206" t="s">
        <v>109</v>
      </c>
      <c r="G120" s="206" t="s">
        <v>110</v>
      </c>
      <c r="H120" s="206" t="s">
        <v>274</v>
      </c>
      <c r="I120" s="205" t="s">
        <v>241</v>
      </c>
    </row>
    <row r="121" spans="1:10" ht="46.5" customHeight="1">
      <c r="B121" s="533" t="str">
        <f ca="1">IFERROR(OFFSET('4.1(2)新規再エネ導入予定（設備情報）'!$O$1,MATCH($C118,'4.1(2)新規再エネ導入予定（設備情報）'!$G:$G,0)-1,0),"")</f>
        <v/>
      </c>
      <c r="C121" s="533" t="str">
        <f ca="1">IFERROR(OFFSET('4.1(2)新規再エネ導入予定（設備情報）'!$R$1,MATCH($C118,'4.1(2)新規再エネ導入予定（設備情報）'!$G:$G,0)-1,0),"")</f>
        <v/>
      </c>
      <c r="D121" s="533" t="str">
        <f ca="1">IFERROR(OFFSET('4.1(2)新規再エネ導入予定（設備情報）'!$S$1,MATCH($C118,'4.1(2)新規再エネ導入予定（設備情報）'!$G:$G,0)-1,0),"")</f>
        <v/>
      </c>
      <c r="E121" s="533" t="str">
        <f ca="1">IF($C118="","",IFERROR(OFFSET('4.1(2)新規再エネ導入予定(FS調査、系統接続検討状況)'!$L$1,MATCH($C118,'4.1(2)新規再エネ導入予定(FS調査、系統接続検討状況)'!$G:$G,0)-1,0),""))</f>
        <v/>
      </c>
      <c r="F121" s="533" t="str">
        <f ca="1">IF($C118="","",IFERROR(OFFSET('4.1(2)新規再エネ導入予定(FS調査、系統接続検討状況)'!$M$1,MATCH($C118,'4.1(2)新規再エネ導入予定(FS調査、系統接続検討状況)'!$G:$G,0)-1,0),""))</f>
        <v/>
      </c>
      <c r="G121" s="533" t="str">
        <f ca="1">IF($C118="","",IFERROR(OFFSET('4.1(2)新規再エネ導入予定(FS調査、系統接続検討状況)'!$N$1,MATCH($C118,'4.1(2)新規再エネ導入予定(FS調査、系統接続検討状況)'!$G:$G,0)-1,0),""))</f>
        <v/>
      </c>
      <c r="H121" s="533" t="str" cm="1">
        <f t="array" aca="1" ref="H121" ca="1">IFERROR(_xlfn.IFS(OR(I121="検討不要",I121="検討未実施",I121="(低圧)申込完了",I121="(低圧)申込準備開始",I121="(低圧)申込準備完了"),"－",COUNTIF(OFFSET('4.1(2)新規再エネ導入予定(FS調査、系統接続検討状況)'!$O$1,MATCH($C118,'4.1(2)新規再エネ導入予定(FS調査、系統接続検討状況)'!$G:$G,0)-1,0),"*単独*")=1,"単独",COUNTIF(OFFSET('4.1(2)新規再エネ導入予定(FS調査、系統接続検討状況)'!$O$1,MATCH($C118,'4.1(2)新規再エネ導入予定(FS調査、系統接続検討状況)'!$G:$G,0)-1,0),"*一括*")=1,"一括検討"),"")</f>
        <v/>
      </c>
      <c r="I121" s="536" t="str">
        <f ca="1">IFERROR(SUBSTITUTE(SUBSTITUTE(OFFSET('4.1(2)新規再エネ導入予定(FS調査、系統接続検討状況)'!$O$1,MATCH($C118,'4.1(2)新規再エネ導入予定(FS調査、系統接続検討状況)'!$G:$G,0)-1,0),"(一括)",""),"(単独)",""),"")</f>
        <v/>
      </c>
    </row>
    <row r="123" spans="1:10" ht="19">
      <c r="B123" s="198" t="s">
        <v>214</v>
      </c>
    </row>
    <row r="124" spans="1:10" ht="21">
      <c r="B124" s="207" t="str">
        <f ca="1">IFERROR(_xlfn.TEXTJOIN(" ",1,C116,B118,C118),"")</f>
        <v/>
      </c>
      <c r="C124" s="208"/>
      <c r="D124" s="208"/>
    </row>
    <row r="125" spans="1:10" ht="28.5" customHeight="1">
      <c r="B125" s="209" t="s">
        <v>213</v>
      </c>
      <c r="C125" s="209"/>
      <c r="D125" s="209" t="s">
        <v>212</v>
      </c>
      <c r="E125" s="209"/>
      <c r="F125" s="209" t="s">
        <v>226</v>
      </c>
      <c r="G125" s="209"/>
      <c r="H125" s="209"/>
      <c r="I125" s="292"/>
    </row>
    <row r="126" spans="1:10" ht="114.65" customHeight="1">
      <c r="B126" s="1395" t="s">
        <v>211</v>
      </c>
      <c r="C126" s="210" t="s">
        <v>210</v>
      </c>
      <c r="D126" s="1396" t="s">
        <v>209</v>
      </c>
      <c r="E126" s="1397"/>
      <c r="F126" s="1398"/>
      <c r="G126" s="1399"/>
      <c r="H126" s="1399"/>
      <c r="I126" s="1400"/>
    </row>
    <row r="127" spans="1:10" ht="114.65" customHeight="1">
      <c r="B127" s="1395"/>
      <c r="C127" s="211" t="s">
        <v>208</v>
      </c>
      <c r="D127" s="1396" t="s">
        <v>207</v>
      </c>
      <c r="E127" s="1397"/>
      <c r="F127" s="1398"/>
      <c r="G127" s="1399"/>
      <c r="H127" s="1399"/>
      <c r="I127" s="1400"/>
    </row>
    <row r="128" spans="1:10" ht="114.65" customHeight="1">
      <c r="B128" s="1401">
        <v>2</v>
      </c>
      <c r="C128" s="1401"/>
      <c r="D128" s="1396" t="s">
        <v>206</v>
      </c>
      <c r="E128" s="1397"/>
      <c r="F128" s="1398"/>
      <c r="G128" s="1399"/>
      <c r="H128" s="1399"/>
      <c r="I128" s="1400"/>
    </row>
    <row r="129" spans="1:10" ht="114.65" customHeight="1">
      <c r="B129" s="1402">
        <v>3</v>
      </c>
      <c r="C129" s="211" t="s">
        <v>205</v>
      </c>
      <c r="D129" s="1396" t="s">
        <v>204</v>
      </c>
      <c r="E129" s="1397"/>
      <c r="F129" s="1398"/>
      <c r="G129" s="1399"/>
      <c r="H129" s="1399"/>
      <c r="I129" s="1400"/>
    </row>
    <row r="130" spans="1:10" ht="114.65" customHeight="1">
      <c r="B130" s="1402"/>
      <c r="C130" s="211" t="s">
        <v>203</v>
      </c>
      <c r="D130" s="1396" t="s">
        <v>202</v>
      </c>
      <c r="E130" s="1397"/>
      <c r="F130" s="1398"/>
      <c r="G130" s="1399"/>
      <c r="H130" s="1399"/>
      <c r="I130" s="1400"/>
    </row>
    <row r="131" spans="1:10" ht="115" customHeight="1">
      <c r="B131" s="1401">
        <v>4</v>
      </c>
      <c r="C131" s="1401"/>
      <c r="D131" s="1396" t="s">
        <v>201</v>
      </c>
      <c r="E131" s="1397"/>
      <c r="F131" s="1398"/>
      <c r="G131" s="1399"/>
      <c r="H131" s="1399"/>
      <c r="I131" s="1400"/>
    </row>
    <row r="132" spans="1:10" ht="132" customHeight="1">
      <c r="B132" s="1401">
        <v>5</v>
      </c>
      <c r="C132" s="1401"/>
      <c r="D132" s="1396" t="s">
        <v>200</v>
      </c>
      <c r="E132" s="1397"/>
      <c r="F132" s="1398"/>
      <c r="G132" s="1399"/>
      <c r="H132" s="1399"/>
      <c r="I132" s="1400"/>
    </row>
    <row r="134" spans="1:10">
      <c r="A134" s="212"/>
      <c r="B134" s="212"/>
      <c r="C134" s="212"/>
      <c r="D134" s="212"/>
      <c r="E134" s="212"/>
      <c r="F134" s="212"/>
      <c r="G134" s="212"/>
      <c r="H134" s="212"/>
      <c r="I134" s="293"/>
      <c r="J134" s="212"/>
    </row>
    <row r="135" spans="1:10" ht="23.5">
      <c r="B135" s="200" t="s">
        <v>27</v>
      </c>
      <c r="C135" s="200" t="str">
        <f ca="1">IFERROR(OFFSET('4.1(2)新規再エネ導入予定（設備情報）'!$X$1,MATCH(COUNTIF($B$1:B135,"発電方式"),'4.1(2)新規再エネ導入予定（設備情報）'!$AK:$AK,0)-1,0),"")</f>
        <v/>
      </c>
      <c r="D135" s="201"/>
    </row>
    <row r="136" spans="1:10" ht="39.75" customHeight="1">
      <c r="B136" s="202" t="s">
        <v>8</v>
      </c>
      <c r="C136" s="202" t="s">
        <v>181</v>
      </c>
      <c r="D136" s="203" t="s">
        <v>180</v>
      </c>
      <c r="E136" s="202" t="s">
        <v>9</v>
      </c>
      <c r="F136" s="204" t="s">
        <v>10</v>
      </c>
      <c r="G136" s="203" t="s">
        <v>31</v>
      </c>
      <c r="H136" s="202" t="s">
        <v>13</v>
      </c>
      <c r="I136" s="204" t="s">
        <v>81</v>
      </c>
    </row>
    <row r="137" spans="1:10" ht="36" customHeight="1">
      <c r="B137" s="532" t="str">
        <f ca="1">IFERROR(OFFSET('4.1(2)新規再エネ導入予定（設備情報）'!$F$1,MATCH($C137,'4.1(2)新規再エネ導入予定（設備情報）'!$G:$G,0)-1,0),"")</f>
        <v/>
      </c>
      <c r="C137" s="533" t="str">
        <f ca="1">IFERROR(OFFSET('4.1(2)新規再エネ導入予定（設備情報）'!$G$7,MATCH(COUNTIF($B$1:B135,"発電方式"),'4.1(2)新規再エネ導入予定（設備情報）'!$AK$8:$AK$1000,0),0),"")</f>
        <v/>
      </c>
      <c r="D137" s="532" t="str">
        <f ca="1">IFERROR(OFFSET('4.1(2)新規再エネ導入予定（設備情報）'!$H$1,MATCH($C137,'4.1(2)新規再エネ導入予定（設備情報）'!$G:$G,0)-1,0),"")</f>
        <v/>
      </c>
      <c r="E137" s="534" t="str">
        <f ca="1">IFERROR(OFFSET('4.1(2)新規再エネ導入予定（設備情報）'!$I$1,MATCH($C137,'4.1(2)新規再エネ導入予定（設備情報）'!$G:$G,0)-1,0),"")</f>
        <v/>
      </c>
      <c r="F137" s="534" t="str">
        <f ca="1">IFERROR(OFFSET('4.1(2)新規再エネ導入予定（設備情報）'!$J$1,MATCH($C137,'4.1(2)新規再エネ導入予定（設備情報）'!$G:$G,0)-1,0),"")</f>
        <v/>
      </c>
      <c r="G137" s="533" t="str">
        <f ca="1">IFERROR(OFFSET('4.1(2)新規再エネ導入予定（設備情報）'!$L$1,MATCH($C137,'4.1(2)新規再エネ導入予定（設備情報）'!$G:$G,0)-1,0),"")</f>
        <v/>
      </c>
      <c r="H137" s="533" t="str">
        <f ca="1">IFERROR(OFFSET('4.1(2)新規再エネ導入予定（設備情報）'!$M$1,MATCH($C137,'4.1(2)新規再エネ導入予定（設備情報）'!$G:$G,0)-1,0),"")</f>
        <v/>
      </c>
      <c r="I137" s="535" t="str">
        <f ca="1">IFERROR(OFFSET('4.1(2)新規再エネ導入予定（設備情報）'!$P$1,MATCH($C137,'4.1(2)新規再エネ導入予定（設備情報）'!$G:$G,0)-1,0),"")</f>
        <v/>
      </c>
    </row>
    <row r="138" spans="1:10" ht="16.5" customHeight="1">
      <c r="B138" s="1386" t="s">
        <v>177</v>
      </c>
      <c r="C138" s="1388" t="s">
        <v>14</v>
      </c>
      <c r="D138" s="1390" t="s">
        <v>216</v>
      </c>
      <c r="E138" s="1392" t="s">
        <v>215</v>
      </c>
      <c r="F138" s="1393"/>
      <c r="G138" s="1394"/>
      <c r="H138" s="1392" t="s">
        <v>108</v>
      </c>
      <c r="I138" s="1394"/>
    </row>
    <row r="139" spans="1:10" ht="42.75" customHeight="1">
      <c r="B139" s="1387"/>
      <c r="C139" s="1389"/>
      <c r="D139" s="1391"/>
      <c r="E139" s="205" t="s">
        <v>287</v>
      </c>
      <c r="F139" s="206" t="s">
        <v>109</v>
      </c>
      <c r="G139" s="206" t="s">
        <v>110</v>
      </c>
      <c r="H139" s="206" t="s">
        <v>274</v>
      </c>
      <c r="I139" s="205" t="s">
        <v>241</v>
      </c>
    </row>
    <row r="140" spans="1:10" ht="46.5" customHeight="1">
      <c r="B140" s="533" t="str">
        <f ca="1">IFERROR(OFFSET('4.1(2)新規再エネ導入予定（設備情報）'!$O$1,MATCH($C137,'4.1(2)新規再エネ導入予定（設備情報）'!$G:$G,0)-1,0),"")</f>
        <v/>
      </c>
      <c r="C140" s="533" t="str">
        <f ca="1">IFERROR(OFFSET('4.1(2)新規再エネ導入予定（設備情報）'!$R$1,MATCH($C137,'4.1(2)新規再エネ導入予定（設備情報）'!$G:$G,0)-1,0),"")</f>
        <v/>
      </c>
      <c r="D140" s="533" t="str">
        <f ca="1">IFERROR(OFFSET('4.1(2)新規再エネ導入予定（設備情報）'!$S$1,MATCH($C137,'4.1(2)新規再エネ導入予定（設備情報）'!$G:$G,0)-1,0),"")</f>
        <v/>
      </c>
      <c r="E140" s="533" t="str">
        <f ca="1">IF($C137="","",IFERROR(OFFSET('4.1(2)新規再エネ導入予定(FS調査、系統接続検討状況)'!$L$1,MATCH($C137,'4.1(2)新規再エネ導入予定(FS調査、系統接続検討状況)'!$G:$G,0)-1,0),""))</f>
        <v/>
      </c>
      <c r="F140" s="533" t="str">
        <f ca="1">IF($C137="","",IFERROR(OFFSET('4.1(2)新規再エネ導入予定(FS調査、系統接続検討状況)'!$M$1,MATCH($C137,'4.1(2)新規再エネ導入予定(FS調査、系統接続検討状況)'!$G:$G,0)-1,0),""))</f>
        <v/>
      </c>
      <c r="G140" s="533" t="str">
        <f ca="1">IF($C137="","",IFERROR(OFFSET('4.1(2)新規再エネ導入予定(FS調査、系統接続検討状況)'!$N$1,MATCH($C137,'4.1(2)新規再エネ導入予定(FS調査、系統接続検討状況)'!$G:$G,0)-1,0),""))</f>
        <v/>
      </c>
      <c r="H140" s="533" t="str" cm="1">
        <f t="array" aca="1" ref="H140" ca="1">IFERROR(_xlfn.IFS(OR(I140="検討不要",I140="検討未実施",I140="(低圧)申込完了",I140="(低圧)申込準備開始",I140="(低圧)申込準備完了"),"－",COUNTIF(OFFSET('4.1(2)新規再エネ導入予定(FS調査、系統接続検討状況)'!$O$1,MATCH($C137,'4.1(2)新規再エネ導入予定(FS調査、系統接続検討状況)'!$G:$G,0)-1,0),"*単独*")=1,"単独",COUNTIF(OFFSET('4.1(2)新規再エネ導入予定(FS調査、系統接続検討状況)'!$O$1,MATCH($C137,'4.1(2)新規再エネ導入予定(FS調査、系統接続検討状況)'!$G:$G,0)-1,0),"*一括*")=1,"一括検討"),"")</f>
        <v/>
      </c>
      <c r="I140" s="536" t="str">
        <f ca="1">IFERROR(SUBSTITUTE(SUBSTITUTE(OFFSET('4.1(2)新規再エネ導入予定(FS調査、系統接続検討状況)'!$O$1,MATCH($C137,'4.1(2)新規再エネ導入予定(FS調査、系統接続検討状況)'!$G:$G,0)-1,0),"(一括)",""),"(単独)",""),"")</f>
        <v/>
      </c>
    </row>
    <row r="142" spans="1:10" ht="19">
      <c r="B142" s="198" t="s">
        <v>214</v>
      </c>
    </row>
    <row r="143" spans="1:10" ht="21">
      <c r="B143" s="207" t="str">
        <f ca="1">IFERROR(_xlfn.TEXTJOIN(" ",1,C135,B137,C137),"")</f>
        <v/>
      </c>
      <c r="C143" s="208"/>
      <c r="D143" s="208"/>
    </row>
    <row r="144" spans="1:10" ht="28.5" customHeight="1">
      <c r="B144" s="209" t="s">
        <v>213</v>
      </c>
      <c r="C144" s="209"/>
      <c r="D144" s="209" t="s">
        <v>212</v>
      </c>
      <c r="E144" s="209"/>
      <c r="F144" s="209" t="s">
        <v>226</v>
      </c>
      <c r="G144" s="209"/>
      <c r="H144" s="209"/>
      <c r="I144" s="292"/>
    </row>
    <row r="145" spans="1:10" ht="114.65" customHeight="1">
      <c r="B145" s="1395" t="s">
        <v>211</v>
      </c>
      <c r="C145" s="210" t="s">
        <v>210</v>
      </c>
      <c r="D145" s="1396" t="s">
        <v>209</v>
      </c>
      <c r="E145" s="1397"/>
      <c r="F145" s="1398"/>
      <c r="G145" s="1399"/>
      <c r="H145" s="1399"/>
      <c r="I145" s="1400"/>
    </row>
    <row r="146" spans="1:10" ht="114.65" customHeight="1">
      <c r="B146" s="1395"/>
      <c r="C146" s="211" t="s">
        <v>208</v>
      </c>
      <c r="D146" s="1396" t="s">
        <v>207</v>
      </c>
      <c r="E146" s="1397"/>
      <c r="F146" s="1398"/>
      <c r="G146" s="1399"/>
      <c r="H146" s="1399"/>
      <c r="I146" s="1400"/>
    </row>
    <row r="147" spans="1:10" ht="114.65" customHeight="1">
      <c r="B147" s="1401">
        <v>2</v>
      </c>
      <c r="C147" s="1401"/>
      <c r="D147" s="1396" t="s">
        <v>206</v>
      </c>
      <c r="E147" s="1397"/>
      <c r="F147" s="1398"/>
      <c r="G147" s="1399"/>
      <c r="H147" s="1399"/>
      <c r="I147" s="1400"/>
    </row>
    <row r="148" spans="1:10" ht="114.65" customHeight="1">
      <c r="B148" s="1402">
        <v>3</v>
      </c>
      <c r="C148" s="211" t="s">
        <v>205</v>
      </c>
      <c r="D148" s="1396" t="s">
        <v>204</v>
      </c>
      <c r="E148" s="1397"/>
      <c r="F148" s="1398"/>
      <c r="G148" s="1399"/>
      <c r="H148" s="1399"/>
      <c r="I148" s="1400"/>
    </row>
    <row r="149" spans="1:10" ht="114.65" customHeight="1">
      <c r="B149" s="1402"/>
      <c r="C149" s="211" t="s">
        <v>203</v>
      </c>
      <c r="D149" s="1396" t="s">
        <v>202</v>
      </c>
      <c r="E149" s="1397"/>
      <c r="F149" s="1398"/>
      <c r="G149" s="1399"/>
      <c r="H149" s="1399"/>
      <c r="I149" s="1400"/>
    </row>
    <row r="150" spans="1:10" ht="115" customHeight="1">
      <c r="B150" s="1401">
        <v>4</v>
      </c>
      <c r="C150" s="1401"/>
      <c r="D150" s="1396" t="s">
        <v>201</v>
      </c>
      <c r="E150" s="1397"/>
      <c r="F150" s="1398"/>
      <c r="G150" s="1399"/>
      <c r="H150" s="1399"/>
      <c r="I150" s="1400"/>
    </row>
    <row r="151" spans="1:10" ht="132" customHeight="1">
      <c r="B151" s="1401">
        <v>5</v>
      </c>
      <c r="C151" s="1401"/>
      <c r="D151" s="1396" t="s">
        <v>200</v>
      </c>
      <c r="E151" s="1397"/>
      <c r="F151" s="1398"/>
      <c r="G151" s="1399"/>
      <c r="H151" s="1399"/>
      <c r="I151" s="1400"/>
    </row>
    <row r="153" spans="1:10">
      <c r="A153" s="212"/>
      <c r="B153" s="212"/>
      <c r="C153" s="212"/>
      <c r="D153" s="212"/>
      <c r="E153" s="212"/>
      <c r="F153" s="212"/>
      <c r="G153" s="212"/>
      <c r="H153" s="212"/>
      <c r="I153" s="293"/>
      <c r="J153" s="212"/>
    </row>
    <row r="154" spans="1:10" ht="23.5">
      <c r="B154" s="200" t="s">
        <v>27</v>
      </c>
      <c r="C154" s="200" t="str">
        <f ca="1">IFERROR(OFFSET('4.1(2)新規再エネ導入予定（設備情報）'!$X$1,MATCH(COUNTIF($B$1:B154,"発電方式"),'4.1(2)新規再エネ導入予定（設備情報）'!$AK:$AK,0)-1,0),"")</f>
        <v/>
      </c>
      <c r="D154" s="201"/>
    </row>
    <row r="155" spans="1:10" ht="39.75" customHeight="1">
      <c r="B155" s="202" t="s">
        <v>8</v>
      </c>
      <c r="C155" s="202" t="s">
        <v>181</v>
      </c>
      <c r="D155" s="203" t="s">
        <v>180</v>
      </c>
      <c r="E155" s="202" t="s">
        <v>9</v>
      </c>
      <c r="F155" s="204" t="s">
        <v>10</v>
      </c>
      <c r="G155" s="203" t="s">
        <v>31</v>
      </c>
      <c r="H155" s="202" t="s">
        <v>13</v>
      </c>
      <c r="I155" s="204" t="s">
        <v>81</v>
      </c>
    </row>
    <row r="156" spans="1:10" ht="36" customHeight="1">
      <c r="B156" s="532" t="str">
        <f ca="1">IFERROR(OFFSET('4.1(2)新規再エネ導入予定（設備情報）'!$F$1,MATCH($C156,'4.1(2)新規再エネ導入予定（設備情報）'!$G:$G,0)-1,0),"")</f>
        <v/>
      </c>
      <c r="C156" s="533" t="str">
        <f ca="1">IFERROR(OFFSET('4.1(2)新規再エネ導入予定（設備情報）'!$G$7,MATCH(COUNTIF($B$1:B154,"発電方式"),'4.1(2)新規再エネ導入予定（設備情報）'!$AK$8:$AK$1000,0),0),"")</f>
        <v/>
      </c>
      <c r="D156" s="532" t="str">
        <f ca="1">IFERROR(OFFSET('4.1(2)新規再エネ導入予定（設備情報）'!$H$1,MATCH($C156,'4.1(2)新規再エネ導入予定（設備情報）'!$G:$G,0)-1,0),"")</f>
        <v/>
      </c>
      <c r="E156" s="534" t="str">
        <f ca="1">IFERROR(OFFSET('4.1(2)新規再エネ導入予定（設備情報）'!$I$1,MATCH($C156,'4.1(2)新規再エネ導入予定（設備情報）'!$G:$G,0)-1,0),"")</f>
        <v/>
      </c>
      <c r="F156" s="534" t="str">
        <f ca="1">IFERROR(OFFSET('4.1(2)新規再エネ導入予定（設備情報）'!$J$1,MATCH($C156,'4.1(2)新規再エネ導入予定（設備情報）'!$G:$G,0)-1,0),"")</f>
        <v/>
      </c>
      <c r="G156" s="533" t="str">
        <f ca="1">IFERROR(OFFSET('4.1(2)新規再エネ導入予定（設備情報）'!$L$1,MATCH($C156,'4.1(2)新規再エネ導入予定（設備情報）'!$G:$G,0)-1,0),"")</f>
        <v/>
      </c>
      <c r="H156" s="533" t="str">
        <f ca="1">IFERROR(OFFSET('4.1(2)新規再エネ導入予定（設備情報）'!$M$1,MATCH($C156,'4.1(2)新規再エネ導入予定（設備情報）'!$G:$G,0)-1,0),"")</f>
        <v/>
      </c>
      <c r="I156" s="535" t="str">
        <f ca="1">IFERROR(OFFSET('4.1(2)新規再エネ導入予定（設備情報）'!$P$1,MATCH($C156,'4.1(2)新規再エネ導入予定（設備情報）'!$G:$G,0)-1,0),"")</f>
        <v/>
      </c>
    </row>
    <row r="157" spans="1:10" ht="16.5" customHeight="1">
      <c r="B157" s="1386" t="s">
        <v>177</v>
      </c>
      <c r="C157" s="1388" t="s">
        <v>14</v>
      </c>
      <c r="D157" s="1390" t="s">
        <v>216</v>
      </c>
      <c r="E157" s="1392" t="s">
        <v>215</v>
      </c>
      <c r="F157" s="1393"/>
      <c r="G157" s="1394"/>
      <c r="H157" s="1392" t="s">
        <v>108</v>
      </c>
      <c r="I157" s="1394"/>
    </row>
    <row r="158" spans="1:10" ht="42.75" customHeight="1">
      <c r="B158" s="1387"/>
      <c r="C158" s="1389"/>
      <c r="D158" s="1391"/>
      <c r="E158" s="205" t="s">
        <v>287</v>
      </c>
      <c r="F158" s="206" t="s">
        <v>109</v>
      </c>
      <c r="G158" s="206" t="s">
        <v>110</v>
      </c>
      <c r="H158" s="206" t="s">
        <v>274</v>
      </c>
      <c r="I158" s="205" t="s">
        <v>241</v>
      </c>
    </row>
    <row r="159" spans="1:10" ht="46.5" customHeight="1">
      <c r="B159" s="533" t="str">
        <f ca="1">IFERROR(OFFSET('4.1(2)新規再エネ導入予定（設備情報）'!$O$1,MATCH($C156,'4.1(2)新規再エネ導入予定（設備情報）'!$G:$G,0)-1,0),"")</f>
        <v/>
      </c>
      <c r="C159" s="533" t="str">
        <f ca="1">IFERROR(OFFSET('4.1(2)新規再エネ導入予定（設備情報）'!$R$1,MATCH($C156,'4.1(2)新規再エネ導入予定（設備情報）'!$G:$G,0)-1,0),"")</f>
        <v/>
      </c>
      <c r="D159" s="533" t="str">
        <f ca="1">IFERROR(OFFSET('4.1(2)新規再エネ導入予定（設備情報）'!$S$1,MATCH($C156,'4.1(2)新規再エネ導入予定（設備情報）'!$G:$G,0)-1,0),"")</f>
        <v/>
      </c>
      <c r="E159" s="533" t="str">
        <f ca="1">IF($C156="","",IFERROR(OFFSET('4.1(2)新規再エネ導入予定(FS調査、系統接続検討状況)'!$L$1,MATCH($C156,'4.1(2)新規再エネ導入予定(FS調査、系統接続検討状況)'!$G:$G,0)-1,0),""))</f>
        <v/>
      </c>
      <c r="F159" s="533" t="str">
        <f ca="1">IF($C156="","",IFERROR(OFFSET('4.1(2)新規再エネ導入予定(FS調査、系統接続検討状況)'!$M$1,MATCH($C156,'4.1(2)新規再エネ導入予定(FS調査、系統接続検討状況)'!$G:$G,0)-1,0),""))</f>
        <v/>
      </c>
      <c r="G159" s="533" t="str">
        <f ca="1">IF($C156="","",IFERROR(OFFSET('4.1(2)新規再エネ導入予定(FS調査、系統接続検討状況)'!$N$1,MATCH($C156,'4.1(2)新規再エネ導入予定(FS調査、系統接続検討状況)'!$G:$G,0)-1,0),""))</f>
        <v/>
      </c>
      <c r="H159" s="533" t="str" cm="1">
        <f t="array" aca="1" ref="H159" ca="1">IFERROR(_xlfn.IFS(OR(I159="検討不要",I159="検討未実施",I159="(低圧)申込完了",I159="(低圧)申込準備開始",I159="(低圧)申込準備完了"),"－",COUNTIF(OFFSET('4.1(2)新規再エネ導入予定(FS調査、系統接続検討状況)'!$O$1,MATCH($C156,'4.1(2)新規再エネ導入予定(FS調査、系統接続検討状況)'!$G:$G,0)-1,0),"*単独*")=1,"単独",COUNTIF(OFFSET('4.1(2)新規再エネ導入予定(FS調査、系統接続検討状況)'!$O$1,MATCH($C156,'4.1(2)新規再エネ導入予定(FS調査、系統接続検討状況)'!$G:$G,0)-1,0),"*一括*")=1,"一括検討"),"")</f>
        <v/>
      </c>
      <c r="I159" s="536" t="str">
        <f ca="1">IFERROR(SUBSTITUTE(SUBSTITUTE(OFFSET('4.1(2)新規再エネ導入予定(FS調査、系統接続検討状況)'!$O$1,MATCH($C156,'4.1(2)新規再エネ導入予定(FS調査、系統接続検討状況)'!$G:$G,0)-1,0),"(一括)",""),"(単独)",""),"")</f>
        <v/>
      </c>
    </row>
    <row r="161" spans="1:10" ht="19">
      <c r="B161" s="198" t="s">
        <v>214</v>
      </c>
    </row>
    <row r="162" spans="1:10" ht="21">
      <c r="B162" s="207" t="str">
        <f ca="1">IFERROR(_xlfn.TEXTJOIN(" ",1,C154,B156,C156),"")</f>
        <v/>
      </c>
      <c r="C162" s="208"/>
      <c r="D162" s="208"/>
    </row>
    <row r="163" spans="1:10" ht="28.5" customHeight="1">
      <c r="B163" s="209" t="s">
        <v>213</v>
      </c>
      <c r="C163" s="209"/>
      <c r="D163" s="209" t="s">
        <v>212</v>
      </c>
      <c r="E163" s="209"/>
      <c r="F163" s="209" t="s">
        <v>226</v>
      </c>
      <c r="G163" s="209"/>
      <c r="H163" s="209"/>
      <c r="I163" s="292"/>
    </row>
    <row r="164" spans="1:10" ht="114.65" customHeight="1">
      <c r="B164" s="1395" t="s">
        <v>211</v>
      </c>
      <c r="C164" s="210" t="s">
        <v>210</v>
      </c>
      <c r="D164" s="1396" t="s">
        <v>209</v>
      </c>
      <c r="E164" s="1397"/>
      <c r="F164" s="1398"/>
      <c r="G164" s="1399"/>
      <c r="H164" s="1399"/>
      <c r="I164" s="1400"/>
    </row>
    <row r="165" spans="1:10" ht="114.65" customHeight="1">
      <c r="B165" s="1395"/>
      <c r="C165" s="211" t="s">
        <v>208</v>
      </c>
      <c r="D165" s="1396" t="s">
        <v>207</v>
      </c>
      <c r="E165" s="1397"/>
      <c r="F165" s="1398"/>
      <c r="G165" s="1399"/>
      <c r="H165" s="1399"/>
      <c r="I165" s="1400"/>
    </row>
    <row r="166" spans="1:10" ht="114.65" customHeight="1">
      <c r="B166" s="1401">
        <v>2</v>
      </c>
      <c r="C166" s="1401"/>
      <c r="D166" s="1396" t="s">
        <v>206</v>
      </c>
      <c r="E166" s="1397"/>
      <c r="F166" s="1398"/>
      <c r="G166" s="1399"/>
      <c r="H166" s="1399"/>
      <c r="I166" s="1400"/>
    </row>
    <row r="167" spans="1:10" ht="114.65" customHeight="1">
      <c r="B167" s="1402">
        <v>3</v>
      </c>
      <c r="C167" s="211" t="s">
        <v>205</v>
      </c>
      <c r="D167" s="1396" t="s">
        <v>204</v>
      </c>
      <c r="E167" s="1397"/>
      <c r="F167" s="1398"/>
      <c r="G167" s="1399"/>
      <c r="H167" s="1399"/>
      <c r="I167" s="1400"/>
    </row>
    <row r="168" spans="1:10" ht="114.65" customHeight="1">
      <c r="B168" s="1402"/>
      <c r="C168" s="211" t="s">
        <v>203</v>
      </c>
      <c r="D168" s="1396" t="s">
        <v>202</v>
      </c>
      <c r="E168" s="1397"/>
      <c r="F168" s="1398"/>
      <c r="G168" s="1399"/>
      <c r="H168" s="1399"/>
      <c r="I168" s="1400"/>
    </row>
    <row r="169" spans="1:10" ht="115" customHeight="1">
      <c r="B169" s="1401">
        <v>4</v>
      </c>
      <c r="C169" s="1401"/>
      <c r="D169" s="1396" t="s">
        <v>201</v>
      </c>
      <c r="E169" s="1397"/>
      <c r="F169" s="1398"/>
      <c r="G169" s="1399"/>
      <c r="H169" s="1399"/>
      <c r="I169" s="1400"/>
    </row>
    <row r="170" spans="1:10" ht="132" customHeight="1">
      <c r="B170" s="1401">
        <v>5</v>
      </c>
      <c r="C170" s="1401"/>
      <c r="D170" s="1396" t="s">
        <v>200</v>
      </c>
      <c r="E170" s="1397"/>
      <c r="F170" s="1398"/>
      <c r="G170" s="1399"/>
      <c r="H170" s="1399"/>
      <c r="I170" s="1400"/>
    </row>
    <row r="172" spans="1:10">
      <c r="A172" s="212"/>
      <c r="B172" s="212"/>
      <c r="C172" s="212"/>
      <c r="D172" s="212"/>
      <c r="E172" s="212"/>
      <c r="F172" s="212"/>
      <c r="G172" s="212"/>
      <c r="H172" s="212"/>
      <c r="I172" s="293"/>
      <c r="J172" s="212"/>
    </row>
    <row r="173" spans="1:10" ht="23.5">
      <c r="B173" s="200" t="s">
        <v>27</v>
      </c>
      <c r="C173" s="200" t="str">
        <f ca="1">IFERROR(OFFSET('4.1(2)新規再エネ導入予定（設備情報）'!$X$1,MATCH(COUNTIF($B$1:B173,"発電方式"),'4.1(2)新規再エネ導入予定（設備情報）'!$AK:$AK,0)-1,0),"")</f>
        <v/>
      </c>
      <c r="D173" s="201"/>
    </row>
    <row r="174" spans="1:10" ht="39.75" customHeight="1">
      <c r="B174" s="202" t="s">
        <v>8</v>
      </c>
      <c r="C174" s="202" t="s">
        <v>181</v>
      </c>
      <c r="D174" s="203" t="s">
        <v>180</v>
      </c>
      <c r="E174" s="202" t="s">
        <v>9</v>
      </c>
      <c r="F174" s="204" t="s">
        <v>10</v>
      </c>
      <c r="G174" s="203" t="s">
        <v>31</v>
      </c>
      <c r="H174" s="202" t="s">
        <v>13</v>
      </c>
      <c r="I174" s="204" t="s">
        <v>81</v>
      </c>
    </row>
    <row r="175" spans="1:10" ht="36" customHeight="1">
      <c r="B175" s="532" t="str">
        <f ca="1">IFERROR(OFFSET('4.1(2)新規再エネ導入予定（設備情報）'!$F$1,MATCH($C175,'4.1(2)新規再エネ導入予定（設備情報）'!$G:$G,0)-1,0),"")</f>
        <v/>
      </c>
      <c r="C175" s="533" t="str">
        <f ca="1">IFERROR(OFFSET('4.1(2)新規再エネ導入予定（設備情報）'!$G$7,MATCH(COUNTIF($B$1:B173,"発電方式"),'4.1(2)新規再エネ導入予定（設備情報）'!$AK$8:$AK$1000,0),0),"")</f>
        <v/>
      </c>
      <c r="D175" s="532" t="str">
        <f ca="1">IFERROR(OFFSET('4.1(2)新規再エネ導入予定（設備情報）'!$H$1,MATCH($C175,'4.1(2)新規再エネ導入予定（設備情報）'!$G:$G,0)-1,0),"")</f>
        <v/>
      </c>
      <c r="E175" s="534" t="str">
        <f ca="1">IFERROR(OFFSET('4.1(2)新規再エネ導入予定（設備情報）'!$I$1,MATCH($C175,'4.1(2)新規再エネ導入予定（設備情報）'!$G:$G,0)-1,0),"")</f>
        <v/>
      </c>
      <c r="F175" s="534" t="str">
        <f ca="1">IFERROR(OFFSET('4.1(2)新規再エネ導入予定（設備情報）'!$J$1,MATCH($C175,'4.1(2)新規再エネ導入予定（設備情報）'!$G:$G,0)-1,0),"")</f>
        <v/>
      </c>
      <c r="G175" s="533" t="str">
        <f ca="1">IFERROR(OFFSET('4.1(2)新規再エネ導入予定（設備情報）'!$L$1,MATCH($C175,'4.1(2)新規再エネ導入予定（設備情報）'!$G:$G,0)-1,0),"")</f>
        <v/>
      </c>
      <c r="H175" s="533" t="str">
        <f ca="1">IFERROR(OFFSET('4.1(2)新規再エネ導入予定（設備情報）'!$M$1,MATCH($C175,'4.1(2)新規再エネ導入予定（設備情報）'!$G:$G,0)-1,0),"")</f>
        <v/>
      </c>
      <c r="I175" s="535" t="str">
        <f ca="1">IFERROR(OFFSET('4.1(2)新規再エネ導入予定（設備情報）'!$P$1,MATCH($C175,'4.1(2)新規再エネ導入予定（設備情報）'!$G:$G,0)-1,0),"")</f>
        <v/>
      </c>
    </row>
    <row r="176" spans="1:10" ht="16.5" customHeight="1">
      <c r="B176" s="1386" t="s">
        <v>177</v>
      </c>
      <c r="C176" s="1388" t="s">
        <v>14</v>
      </c>
      <c r="D176" s="1390" t="s">
        <v>216</v>
      </c>
      <c r="E176" s="1392" t="s">
        <v>215</v>
      </c>
      <c r="F176" s="1393"/>
      <c r="G176" s="1394"/>
      <c r="H176" s="1392" t="s">
        <v>108</v>
      </c>
      <c r="I176" s="1394"/>
    </row>
    <row r="177" spans="1:10" ht="42.75" customHeight="1">
      <c r="B177" s="1387"/>
      <c r="C177" s="1389"/>
      <c r="D177" s="1391"/>
      <c r="E177" s="205" t="s">
        <v>287</v>
      </c>
      <c r="F177" s="206" t="s">
        <v>109</v>
      </c>
      <c r="G177" s="206" t="s">
        <v>110</v>
      </c>
      <c r="H177" s="206" t="s">
        <v>274</v>
      </c>
      <c r="I177" s="205" t="s">
        <v>241</v>
      </c>
    </row>
    <row r="178" spans="1:10" ht="46.5" customHeight="1">
      <c r="B178" s="533" t="str">
        <f ca="1">IFERROR(OFFSET('4.1(2)新規再エネ導入予定（設備情報）'!$O$1,MATCH($C175,'4.1(2)新規再エネ導入予定（設備情報）'!$G:$G,0)-1,0),"")</f>
        <v/>
      </c>
      <c r="C178" s="533" t="str">
        <f ca="1">IFERROR(OFFSET('4.1(2)新規再エネ導入予定（設備情報）'!$R$1,MATCH($C175,'4.1(2)新規再エネ導入予定（設備情報）'!$G:$G,0)-1,0),"")</f>
        <v/>
      </c>
      <c r="D178" s="533" t="str">
        <f ca="1">IFERROR(OFFSET('4.1(2)新規再エネ導入予定（設備情報）'!$S$1,MATCH($C175,'4.1(2)新規再エネ導入予定（設備情報）'!$G:$G,0)-1,0),"")</f>
        <v/>
      </c>
      <c r="E178" s="533" t="str">
        <f ca="1">IF($C175="","",IFERROR(OFFSET('4.1(2)新規再エネ導入予定(FS調査、系統接続検討状況)'!$L$1,MATCH($C175,'4.1(2)新規再エネ導入予定(FS調査、系統接続検討状況)'!$G:$G,0)-1,0),""))</f>
        <v/>
      </c>
      <c r="F178" s="533" t="str">
        <f ca="1">IF($C175="","",IFERROR(OFFSET('4.1(2)新規再エネ導入予定(FS調査、系統接続検討状況)'!$M$1,MATCH($C175,'4.1(2)新規再エネ導入予定(FS調査、系統接続検討状況)'!$G:$G,0)-1,0),""))</f>
        <v/>
      </c>
      <c r="G178" s="533" t="str">
        <f ca="1">IF($C175="","",IFERROR(OFFSET('4.1(2)新規再エネ導入予定(FS調査、系統接続検討状況)'!$N$1,MATCH($C175,'4.1(2)新規再エネ導入予定(FS調査、系統接続検討状況)'!$G:$G,0)-1,0),""))</f>
        <v/>
      </c>
      <c r="H178" s="533" t="str" cm="1">
        <f t="array" aca="1" ref="H178" ca="1">IFERROR(_xlfn.IFS(OR(I178="検討不要",I178="検討未実施",I178="(低圧)申込完了",I178="(低圧)申込準備開始",I178="(低圧)申込準備完了"),"－",COUNTIF(OFFSET('4.1(2)新規再エネ導入予定(FS調査、系統接続検討状況)'!$O$1,MATCH($C175,'4.1(2)新規再エネ導入予定(FS調査、系統接続検討状況)'!$G:$G,0)-1,0),"*単独*")=1,"単独",COUNTIF(OFFSET('4.1(2)新規再エネ導入予定(FS調査、系統接続検討状況)'!$O$1,MATCH($C175,'4.1(2)新規再エネ導入予定(FS調査、系統接続検討状況)'!$G:$G,0)-1,0),"*一括*")=1,"一括検討"),"")</f>
        <v/>
      </c>
      <c r="I178" s="536" t="str">
        <f ca="1">IFERROR(SUBSTITUTE(SUBSTITUTE(OFFSET('4.1(2)新規再エネ導入予定(FS調査、系統接続検討状況)'!$O$1,MATCH($C175,'4.1(2)新規再エネ導入予定(FS調査、系統接続検討状況)'!$G:$G,0)-1,0),"(一括)",""),"(単独)",""),"")</f>
        <v/>
      </c>
    </row>
    <row r="180" spans="1:10" ht="19">
      <c r="B180" s="198" t="s">
        <v>214</v>
      </c>
    </row>
    <row r="181" spans="1:10" ht="21">
      <c r="B181" s="207" t="str">
        <f ca="1">IFERROR(_xlfn.TEXTJOIN(" ",1,C173,B175,C175),"")</f>
        <v/>
      </c>
      <c r="C181" s="208"/>
      <c r="D181" s="208"/>
    </row>
    <row r="182" spans="1:10" ht="28.5" customHeight="1">
      <c r="B182" s="209" t="s">
        <v>213</v>
      </c>
      <c r="C182" s="209"/>
      <c r="D182" s="209" t="s">
        <v>212</v>
      </c>
      <c r="E182" s="209"/>
      <c r="F182" s="209" t="s">
        <v>226</v>
      </c>
      <c r="G182" s="209"/>
      <c r="H182" s="209"/>
      <c r="I182" s="292"/>
    </row>
    <row r="183" spans="1:10" ht="114.65" customHeight="1">
      <c r="B183" s="1395" t="s">
        <v>211</v>
      </c>
      <c r="C183" s="210" t="s">
        <v>210</v>
      </c>
      <c r="D183" s="1396" t="s">
        <v>209</v>
      </c>
      <c r="E183" s="1397"/>
      <c r="F183" s="1398"/>
      <c r="G183" s="1399"/>
      <c r="H183" s="1399"/>
      <c r="I183" s="1400"/>
    </row>
    <row r="184" spans="1:10" ht="114.65" customHeight="1">
      <c r="B184" s="1395"/>
      <c r="C184" s="211" t="s">
        <v>208</v>
      </c>
      <c r="D184" s="1396" t="s">
        <v>207</v>
      </c>
      <c r="E184" s="1397"/>
      <c r="F184" s="1398"/>
      <c r="G184" s="1399"/>
      <c r="H184" s="1399"/>
      <c r="I184" s="1400"/>
    </row>
    <row r="185" spans="1:10" ht="114.65" customHeight="1">
      <c r="B185" s="1401">
        <v>2</v>
      </c>
      <c r="C185" s="1401"/>
      <c r="D185" s="1396" t="s">
        <v>206</v>
      </c>
      <c r="E185" s="1397"/>
      <c r="F185" s="1398"/>
      <c r="G185" s="1399"/>
      <c r="H185" s="1399"/>
      <c r="I185" s="1400"/>
    </row>
    <row r="186" spans="1:10" ht="114.65" customHeight="1">
      <c r="B186" s="1402">
        <v>3</v>
      </c>
      <c r="C186" s="211" t="s">
        <v>205</v>
      </c>
      <c r="D186" s="1396" t="s">
        <v>204</v>
      </c>
      <c r="E186" s="1397"/>
      <c r="F186" s="1398"/>
      <c r="G186" s="1399"/>
      <c r="H186" s="1399"/>
      <c r="I186" s="1400"/>
    </row>
    <row r="187" spans="1:10" ht="114.65" customHeight="1">
      <c r="B187" s="1402"/>
      <c r="C187" s="211" t="s">
        <v>203</v>
      </c>
      <c r="D187" s="1396" t="s">
        <v>202</v>
      </c>
      <c r="E187" s="1397"/>
      <c r="F187" s="1398"/>
      <c r="G187" s="1399"/>
      <c r="H187" s="1399"/>
      <c r="I187" s="1400"/>
    </row>
    <row r="188" spans="1:10" ht="115" customHeight="1">
      <c r="B188" s="1401">
        <v>4</v>
      </c>
      <c r="C188" s="1401"/>
      <c r="D188" s="1396" t="s">
        <v>201</v>
      </c>
      <c r="E188" s="1397"/>
      <c r="F188" s="1398"/>
      <c r="G188" s="1399"/>
      <c r="H188" s="1399"/>
      <c r="I188" s="1400"/>
    </row>
    <row r="189" spans="1:10" ht="132" customHeight="1">
      <c r="B189" s="1401">
        <v>5</v>
      </c>
      <c r="C189" s="1401"/>
      <c r="D189" s="1396" t="s">
        <v>200</v>
      </c>
      <c r="E189" s="1397"/>
      <c r="F189" s="1398"/>
      <c r="G189" s="1399"/>
      <c r="H189" s="1399"/>
      <c r="I189" s="1400"/>
    </row>
    <row r="191" spans="1:10">
      <c r="A191" s="212"/>
      <c r="B191" s="212"/>
      <c r="C191" s="212"/>
      <c r="D191" s="212"/>
      <c r="E191" s="212"/>
      <c r="F191" s="212"/>
      <c r="G191" s="212"/>
      <c r="H191" s="212"/>
      <c r="I191" s="293"/>
      <c r="J191" s="212"/>
    </row>
    <row r="192" spans="1:10" ht="23.5">
      <c r="B192" s="200" t="s">
        <v>27</v>
      </c>
      <c r="C192" s="200" t="str">
        <f ca="1">IFERROR(OFFSET('4.1(2)新規再エネ導入予定（設備情報）'!$X$1,MATCH(COUNTIF($B$1:B192,"発電方式"),'4.1(2)新規再エネ導入予定（設備情報）'!$AK:$AK,0)-1,0),"")</f>
        <v/>
      </c>
      <c r="D192" s="201"/>
    </row>
    <row r="193" spans="2:9" ht="39.75" customHeight="1">
      <c r="B193" s="202" t="s">
        <v>8</v>
      </c>
      <c r="C193" s="202" t="s">
        <v>181</v>
      </c>
      <c r="D193" s="203" t="s">
        <v>180</v>
      </c>
      <c r="E193" s="202" t="s">
        <v>9</v>
      </c>
      <c r="F193" s="204" t="s">
        <v>10</v>
      </c>
      <c r="G193" s="203" t="s">
        <v>31</v>
      </c>
      <c r="H193" s="202" t="s">
        <v>13</v>
      </c>
      <c r="I193" s="204" t="s">
        <v>81</v>
      </c>
    </row>
    <row r="194" spans="2:9" ht="36" customHeight="1">
      <c r="B194" s="532" t="str">
        <f ca="1">IFERROR(OFFSET('4.1(2)新規再エネ導入予定（設備情報）'!$F$1,MATCH($C194,'4.1(2)新規再エネ導入予定（設備情報）'!$G:$G,0)-1,0),"")</f>
        <v/>
      </c>
      <c r="C194" s="533" t="str">
        <f ca="1">IFERROR(OFFSET('4.1(2)新規再エネ導入予定（設備情報）'!$G$7,MATCH(COUNTIF($B$1:B192,"発電方式"),'4.1(2)新規再エネ導入予定（設備情報）'!$AK$8:$AK$1000,0),0),"")</f>
        <v/>
      </c>
      <c r="D194" s="532" t="str">
        <f ca="1">IFERROR(OFFSET('4.1(2)新規再エネ導入予定（設備情報）'!$H$1,MATCH($C194,'4.1(2)新規再エネ導入予定（設備情報）'!$G:$G,0)-1,0),"")</f>
        <v/>
      </c>
      <c r="E194" s="534" t="str">
        <f ca="1">IFERROR(OFFSET('4.1(2)新規再エネ導入予定（設備情報）'!$I$1,MATCH($C194,'4.1(2)新規再エネ導入予定（設備情報）'!$G:$G,0)-1,0),"")</f>
        <v/>
      </c>
      <c r="F194" s="534" t="str">
        <f ca="1">IFERROR(OFFSET('4.1(2)新規再エネ導入予定（設備情報）'!$J$1,MATCH($C194,'4.1(2)新規再エネ導入予定（設備情報）'!$G:$G,0)-1,0),"")</f>
        <v/>
      </c>
      <c r="G194" s="533" t="str">
        <f ca="1">IFERROR(OFFSET('4.1(2)新規再エネ導入予定（設備情報）'!$L$1,MATCH($C194,'4.1(2)新規再エネ導入予定（設備情報）'!$G:$G,0)-1,0),"")</f>
        <v/>
      </c>
      <c r="H194" s="533" t="str">
        <f ca="1">IFERROR(OFFSET('4.1(2)新規再エネ導入予定（設備情報）'!$M$1,MATCH($C194,'4.1(2)新規再エネ導入予定（設備情報）'!$G:$G,0)-1,0),"")</f>
        <v/>
      </c>
      <c r="I194" s="535" t="str">
        <f ca="1">IFERROR(OFFSET('4.1(2)新規再エネ導入予定（設備情報）'!$P$1,MATCH($C194,'4.1(2)新規再エネ導入予定（設備情報）'!$G:$G,0)-1,0),"")</f>
        <v/>
      </c>
    </row>
    <row r="195" spans="2:9" ht="16.5" customHeight="1">
      <c r="B195" s="1386" t="s">
        <v>177</v>
      </c>
      <c r="C195" s="1388" t="s">
        <v>14</v>
      </c>
      <c r="D195" s="1390" t="s">
        <v>216</v>
      </c>
      <c r="E195" s="1392" t="s">
        <v>215</v>
      </c>
      <c r="F195" s="1393"/>
      <c r="G195" s="1394"/>
      <c r="H195" s="1392" t="s">
        <v>108</v>
      </c>
      <c r="I195" s="1394"/>
    </row>
    <row r="196" spans="2:9" ht="42.75" customHeight="1">
      <c r="B196" s="1387"/>
      <c r="C196" s="1389"/>
      <c r="D196" s="1391"/>
      <c r="E196" s="205" t="s">
        <v>287</v>
      </c>
      <c r="F196" s="206" t="s">
        <v>109</v>
      </c>
      <c r="G196" s="206" t="s">
        <v>110</v>
      </c>
      <c r="H196" s="206" t="s">
        <v>274</v>
      </c>
      <c r="I196" s="205" t="s">
        <v>241</v>
      </c>
    </row>
    <row r="197" spans="2:9" ht="46.5" customHeight="1">
      <c r="B197" s="533" t="str">
        <f ca="1">IFERROR(OFFSET('4.1(2)新規再エネ導入予定（設備情報）'!$O$1,MATCH($C194,'4.1(2)新規再エネ導入予定（設備情報）'!$G:$G,0)-1,0),"")</f>
        <v/>
      </c>
      <c r="C197" s="533" t="str">
        <f ca="1">IFERROR(OFFSET('4.1(2)新規再エネ導入予定（設備情報）'!$R$1,MATCH($C194,'4.1(2)新規再エネ導入予定（設備情報）'!$G:$G,0)-1,0),"")</f>
        <v/>
      </c>
      <c r="D197" s="533" t="str">
        <f ca="1">IFERROR(OFFSET('4.1(2)新規再エネ導入予定（設備情報）'!$S$1,MATCH($C194,'4.1(2)新規再エネ導入予定（設備情報）'!$G:$G,0)-1,0),"")</f>
        <v/>
      </c>
      <c r="E197" s="533" t="str">
        <f ca="1">IF($C194="","",IFERROR(OFFSET('4.1(2)新規再エネ導入予定(FS調査、系統接続検討状況)'!$L$1,MATCH($C194,'4.1(2)新規再エネ導入予定(FS調査、系統接続検討状況)'!$G:$G,0)-1,0),""))</f>
        <v/>
      </c>
      <c r="F197" s="533" t="str">
        <f ca="1">IF($C194="","",IFERROR(OFFSET('4.1(2)新規再エネ導入予定(FS調査、系統接続検討状況)'!$M$1,MATCH($C194,'4.1(2)新規再エネ導入予定(FS調査、系統接続検討状況)'!$G:$G,0)-1,0),""))</f>
        <v/>
      </c>
      <c r="G197" s="533" t="str">
        <f ca="1">IF($C194="","",IFERROR(OFFSET('4.1(2)新規再エネ導入予定(FS調査、系統接続検討状況)'!$N$1,MATCH($C194,'4.1(2)新規再エネ導入予定(FS調査、系統接続検討状況)'!$G:$G,0)-1,0),""))</f>
        <v/>
      </c>
      <c r="H197" s="533" t="str" cm="1">
        <f t="array" aca="1" ref="H197" ca="1">IFERROR(_xlfn.IFS(OR(I197="検討不要",I197="検討未実施",I197="(低圧)申込完了",I197="(低圧)申込準備開始",I197="(低圧)申込準備完了"),"－",COUNTIF(OFFSET('4.1(2)新規再エネ導入予定(FS調査、系統接続検討状況)'!$O$1,MATCH($C194,'4.1(2)新規再エネ導入予定(FS調査、系統接続検討状況)'!$G:$G,0)-1,0),"*単独*")=1,"単独",COUNTIF(OFFSET('4.1(2)新規再エネ導入予定(FS調査、系統接続検討状況)'!$O$1,MATCH($C194,'4.1(2)新規再エネ導入予定(FS調査、系統接続検討状況)'!$G:$G,0)-1,0),"*一括*")=1,"一括検討"),"")</f>
        <v/>
      </c>
      <c r="I197" s="536" t="str">
        <f ca="1">IFERROR(SUBSTITUTE(SUBSTITUTE(OFFSET('4.1(2)新規再エネ導入予定(FS調査、系統接続検討状況)'!$O$1,MATCH($C194,'4.1(2)新規再エネ導入予定(FS調査、系統接続検討状況)'!$G:$G,0)-1,0),"(一括)",""),"(単独)",""),"")</f>
        <v/>
      </c>
    </row>
    <row r="199" spans="2:9" ht="19">
      <c r="B199" s="198" t="s">
        <v>214</v>
      </c>
    </row>
    <row r="200" spans="2:9" ht="21">
      <c r="B200" s="207" t="str">
        <f ca="1">IFERROR(_xlfn.TEXTJOIN(" ",1,C192,B194,C194),"")</f>
        <v/>
      </c>
      <c r="C200" s="208"/>
      <c r="D200" s="208"/>
    </row>
    <row r="201" spans="2:9" ht="28.5" customHeight="1">
      <c r="B201" s="209" t="s">
        <v>213</v>
      </c>
      <c r="C201" s="209"/>
      <c r="D201" s="209" t="s">
        <v>212</v>
      </c>
      <c r="E201" s="209"/>
      <c r="F201" s="209" t="s">
        <v>226</v>
      </c>
      <c r="G201" s="209"/>
      <c r="H201" s="209"/>
      <c r="I201" s="292"/>
    </row>
    <row r="202" spans="2:9" ht="114.65" customHeight="1">
      <c r="B202" s="1395" t="s">
        <v>211</v>
      </c>
      <c r="C202" s="210" t="s">
        <v>210</v>
      </c>
      <c r="D202" s="1396" t="s">
        <v>209</v>
      </c>
      <c r="E202" s="1397"/>
      <c r="F202" s="1398"/>
      <c r="G202" s="1399"/>
      <c r="H202" s="1399"/>
      <c r="I202" s="1400"/>
    </row>
    <row r="203" spans="2:9" ht="114.65" customHeight="1">
      <c r="B203" s="1395"/>
      <c r="C203" s="211" t="s">
        <v>208</v>
      </c>
      <c r="D203" s="1396" t="s">
        <v>207</v>
      </c>
      <c r="E203" s="1397"/>
      <c r="F203" s="1398"/>
      <c r="G203" s="1399"/>
      <c r="H203" s="1399"/>
      <c r="I203" s="1400"/>
    </row>
    <row r="204" spans="2:9" ht="114.65" customHeight="1">
      <c r="B204" s="1401">
        <v>2</v>
      </c>
      <c r="C204" s="1401"/>
      <c r="D204" s="1396" t="s">
        <v>206</v>
      </c>
      <c r="E204" s="1397"/>
      <c r="F204" s="1398"/>
      <c r="G204" s="1399"/>
      <c r="H204" s="1399"/>
      <c r="I204" s="1400"/>
    </row>
    <row r="205" spans="2:9" ht="114.65" customHeight="1">
      <c r="B205" s="1402">
        <v>3</v>
      </c>
      <c r="C205" s="211" t="s">
        <v>205</v>
      </c>
      <c r="D205" s="1396" t="s">
        <v>204</v>
      </c>
      <c r="E205" s="1397"/>
      <c r="F205" s="1398"/>
      <c r="G205" s="1399"/>
      <c r="H205" s="1399"/>
      <c r="I205" s="1400"/>
    </row>
    <row r="206" spans="2:9" ht="114.65" customHeight="1">
      <c r="B206" s="1402"/>
      <c r="C206" s="211" t="s">
        <v>203</v>
      </c>
      <c r="D206" s="1396" t="s">
        <v>202</v>
      </c>
      <c r="E206" s="1397"/>
      <c r="F206" s="1398"/>
      <c r="G206" s="1399"/>
      <c r="H206" s="1399"/>
      <c r="I206" s="1400"/>
    </row>
    <row r="207" spans="2:9" ht="115" customHeight="1">
      <c r="B207" s="1401">
        <v>4</v>
      </c>
      <c r="C207" s="1401"/>
      <c r="D207" s="1396" t="s">
        <v>201</v>
      </c>
      <c r="E207" s="1397"/>
      <c r="F207" s="1398"/>
      <c r="G207" s="1399"/>
      <c r="H207" s="1399"/>
      <c r="I207" s="1400"/>
    </row>
    <row r="208" spans="2:9" ht="132" customHeight="1">
      <c r="B208" s="1401">
        <v>5</v>
      </c>
      <c r="C208" s="1401"/>
      <c r="D208" s="1396" t="s">
        <v>200</v>
      </c>
      <c r="E208" s="1397"/>
      <c r="F208" s="1398"/>
      <c r="G208" s="1399"/>
      <c r="H208" s="1399"/>
      <c r="I208" s="1400"/>
    </row>
    <row r="210" spans="1:10">
      <c r="A210" s="212"/>
      <c r="B210" s="212"/>
      <c r="C210" s="212"/>
      <c r="D210" s="212"/>
      <c r="E210" s="212"/>
      <c r="F210" s="212"/>
      <c r="G210" s="212"/>
      <c r="H210" s="212"/>
      <c r="I210" s="293"/>
      <c r="J210" s="212"/>
    </row>
    <row r="211" spans="1:10" ht="23.5">
      <c r="B211" s="200" t="s">
        <v>27</v>
      </c>
      <c r="C211" s="200" t="str">
        <f ca="1">IFERROR(OFFSET('4.1(2)新規再エネ導入予定（設備情報）'!$X$1,MATCH(COUNTIF($B$1:B211,"発電方式"),'4.1(2)新規再エネ導入予定（設備情報）'!$AK:$AK,0)-1,0),"")</f>
        <v/>
      </c>
      <c r="D211" s="201"/>
    </row>
    <row r="212" spans="1:10" ht="39.75" customHeight="1">
      <c r="B212" s="202" t="s">
        <v>8</v>
      </c>
      <c r="C212" s="202" t="s">
        <v>181</v>
      </c>
      <c r="D212" s="203" t="s">
        <v>180</v>
      </c>
      <c r="E212" s="202" t="s">
        <v>9</v>
      </c>
      <c r="F212" s="204" t="s">
        <v>10</v>
      </c>
      <c r="G212" s="203" t="s">
        <v>31</v>
      </c>
      <c r="H212" s="202" t="s">
        <v>13</v>
      </c>
      <c r="I212" s="204" t="s">
        <v>81</v>
      </c>
    </row>
    <row r="213" spans="1:10" ht="36" customHeight="1">
      <c r="B213" s="532" t="str">
        <f ca="1">IFERROR(OFFSET('4.1(2)新規再エネ導入予定（設備情報）'!$F$1,MATCH($C213,'4.1(2)新規再エネ導入予定（設備情報）'!$G:$G,0)-1,0),"")</f>
        <v/>
      </c>
      <c r="C213" s="533" t="str">
        <f ca="1">IFERROR(OFFSET('4.1(2)新規再エネ導入予定（設備情報）'!$G$7,MATCH(COUNTIF($B$1:B211,"発電方式"),'4.1(2)新規再エネ導入予定（設備情報）'!$AK$8:$AK$1000,0),0),"")</f>
        <v/>
      </c>
      <c r="D213" s="532" t="str">
        <f ca="1">IFERROR(OFFSET('4.1(2)新規再エネ導入予定（設備情報）'!$H$1,MATCH($C213,'4.1(2)新規再エネ導入予定（設備情報）'!$G:$G,0)-1,0),"")</f>
        <v/>
      </c>
      <c r="E213" s="534" t="str">
        <f ca="1">IFERROR(OFFSET('4.1(2)新規再エネ導入予定（設備情報）'!$I$1,MATCH($C213,'4.1(2)新規再エネ導入予定（設備情報）'!$G:$G,0)-1,0),"")</f>
        <v/>
      </c>
      <c r="F213" s="534" t="str">
        <f ca="1">IFERROR(OFFSET('4.1(2)新規再エネ導入予定（設備情報）'!$J$1,MATCH($C213,'4.1(2)新規再エネ導入予定（設備情報）'!$G:$G,0)-1,0),"")</f>
        <v/>
      </c>
      <c r="G213" s="533" t="str">
        <f ca="1">IFERROR(OFFSET('4.1(2)新規再エネ導入予定（設備情報）'!$L$1,MATCH($C213,'4.1(2)新規再エネ導入予定（設備情報）'!$G:$G,0)-1,0),"")</f>
        <v/>
      </c>
      <c r="H213" s="533" t="str">
        <f ca="1">IFERROR(OFFSET('4.1(2)新規再エネ導入予定（設備情報）'!$M$1,MATCH($C213,'4.1(2)新規再エネ導入予定（設備情報）'!$G:$G,0)-1,0),"")</f>
        <v/>
      </c>
      <c r="I213" s="535" t="str">
        <f ca="1">IFERROR(OFFSET('4.1(2)新規再エネ導入予定（設備情報）'!$P$1,MATCH($C213,'4.1(2)新規再エネ導入予定（設備情報）'!$G:$G,0)-1,0),"")</f>
        <v/>
      </c>
    </row>
    <row r="214" spans="1:10" ht="16.5" customHeight="1">
      <c r="B214" s="1386" t="s">
        <v>177</v>
      </c>
      <c r="C214" s="1388" t="s">
        <v>14</v>
      </c>
      <c r="D214" s="1390" t="s">
        <v>216</v>
      </c>
      <c r="E214" s="1392" t="s">
        <v>215</v>
      </c>
      <c r="F214" s="1393"/>
      <c r="G214" s="1394"/>
      <c r="H214" s="1392" t="s">
        <v>108</v>
      </c>
      <c r="I214" s="1394"/>
    </row>
    <row r="215" spans="1:10" ht="42.75" customHeight="1">
      <c r="B215" s="1387"/>
      <c r="C215" s="1389"/>
      <c r="D215" s="1391"/>
      <c r="E215" s="205" t="s">
        <v>287</v>
      </c>
      <c r="F215" s="206" t="s">
        <v>109</v>
      </c>
      <c r="G215" s="206" t="s">
        <v>110</v>
      </c>
      <c r="H215" s="206" t="s">
        <v>274</v>
      </c>
      <c r="I215" s="205" t="s">
        <v>241</v>
      </c>
    </row>
    <row r="216" spans="1:10" ht="46.5" customHeight="1">
      <c r="B216" s="533" t="str">
        <f ca="1">IFERROR(OFFSET('4.1(2)新規再エネ導入予定（設備情報）'!$O$1,MATCH($C213,'4.1(2)新規再エネ導入予定（設備情報）'!$G:$G,0)-1,0),"")</f>
        <v/>
      </c>
      <c r="C216" s="533" t="str">
        <f ca="1">IFERROR(OFFSET('4.1(2)新規再エネ導入予定（設備情報）'!$R$1,MATCH($C213,'4.1(2)新規再エネ導入予定（設備情報）'!$G:$G,0)-1,0),"")</f>
        <v/>
      </c>
      <c r="D216" s="533" t="str">
        <f ca="1">IFERROR(OFFSET('4.1(2)新規再エネ導入予定（設備情報）'!$S$1,MATCH($C213,'4.1(2)新規再エネ導入予定（設備情報）'!$G:$G,0)-1,0),"")</f>
        <v/>
      </c>
      <c r="E216" s="533" t="str">
        <f ca="1">IF($C213="","",IFERROR(OFFSET('4.1(2)新規再エネ導入予定(FS調査、系統接続検討状況)'!$L$1,MATCH($C213,'4.1(2)新規再エネ導入予定(FS調査、系統接続検討状況)'!$G:$G,0)-1,0),""))</f>
        <v/>
      </c>
      <c r="F216" s="533" t="str">
        <f ca="1">IF($C213="","",IFERROR(OFFSET('4.1(2)新規再エネ導入予定(FS調査、系統接続検討状況)'!$M$1,MATCH($C213,'4.1(2)新規再エネ導入予定(FS調査、系統接続検討状況)'!$G:$G,0)-1,0),""))</f>
        <v/>
      </c>
      <c r="G216" s="533" t="str">
        <f ca="1">IF($C213="","",IFERROR(OFFSET('4.1(2)新規再エネ導入予定(FS調査、系統接続検討状況)'!$N$1,MATCH($C213,'4.1(2)新規再エネ導入予定(FS調査、系統接続検討状況)'!$G:$G,0)-1,0),""))</f>
        <v/>
      </c>
      <c r="H216" s="533" t="str" cm="1">
        <f t="array" aca="1" ref="H216" ca="1">IFERROR(_xlfn.IFS(OR(I216="検討不要",I216="検討未実施",I216="(低圧)申込完了",I216="(低圧)申込準備開始",I216="(低圧)申込準備完了"),"－",COUNTIF(OFFSET('4.1(2)新規再エネ導入予定(FS調査、系統接続検討状況)'!$O$1,MATCH($C213,'4.1(2)新規再エネ導入予定(FS調査、系統接続検討状況)'!$G:$G,0)-1,0),"*単独*")=1,"単独",COUNTIF(OFFSET('4.1(2)新規再エネ導入予定(FS調査、系統接続検討状況)'!$O$1,MATCH($C213,'4.1(2)新規再エネ導入予定(FS調査、系統接続検討状況)'!$G:$G,0)-1,0),"*一括*")=1,"一括検討"),"")</f>
        <v/>
      </c>
      <c r="I216" s="536" t="str">
        <f ca="1">IFERROR(SUBSTITUTE(SUBSTITUTE(OFFSET('4.1(2)新規再エネ導入予定(FS調査、系統接続検討状況)'!$O$1,MATCH($C213,'4.1(2)新規再エネ導入予定(FS調査、系統接続検討状況)'!$G:$G,0)-1,0),"(一括)",""),"(単独)",""),"")</f>
        <v/>
      </c>
    </row>
    <row r="218" spans="1:10" ht="19">
      <c r="B218" s="198" t="s">
        <v>214</v>
      </c>
    </row>
    <row r="219" spans="1:10" ht="21">
      <c r="B219" s="207" t="str">
        <f ca="1">IFERROR(_xlfn.TEXTJOIN(" ",1,C211,B213,C213),"")</f>
        <v/>
      </c>
      <c r="C219" s="208"/>
      <c r="D219" s="208"/>
    </row>
    <row r="220" spans="1:10" ht="28.5" customHeight="1">
      <c r="B220" s="209" t="s">
        <v>213</v>
      </c>
      <c r="C220" s="209"/>
      <c r="D220" s="209" t="s">
        <v>212</v>
      </c>
      <c r="E220" s="209"/>
      <c r="F220" s="209" t="s">
        <v>226</v>
      </c>
      <c r="G220" s="209"/>
      <c r="H220" s="209"/>
      <c r="I220" s="292"/>
    </row>
    <row r="221" spans="1:10" ht="114.65" customHeight="1">
      <c r="B221" s="1395" t="s">
        <v>211</v>
      </c>
      <c r="C221" s="210" t="s">
        <v>210</v>
      </c>
      <c r="D221" s="1396" t="s">
        <v>209</v>
      </c>
      <c r="E221" s="1397"/>
      <c r="F221" s="1398"/>
      <c r="G221" s="1399"/>
      <c r="H221" s="1399"/>
      <c r="I221" s="1400"/>
    </row>
    <row r="222" spans="1:10" ht="114.65" customHeight="1">
      <c r="B222" s="1395"/>
      <c r="C222" s="211" t="s">
        <v>208</v>
      </c>
      <c r="D222" s="1396" t="s">
        <v>207</v>
      </c>
      <c r="E222" s="1397"/>
      <c r="F222" s="1398"/>
      <c r="G222" s="1399"/>
      <c r="H222" s="1399"/>
      <c r="I222" s="1400"/>
    </row>
    <row r="223" spans="1:10" ht="114.65" customHeight="1">
      <c r="B223" s="1401">
        <v>2</v>
      </c>
      <c r="C223" s="1401"/>
      <c r="D223" s="1396" t="s">
        <v>206</v>
      </c>
      <c r="E223" s="1397"/>
      <c r="F223" s="1398"/>
      <c r="G223" s="1399"/>
      <c r="H223" s="1399"/>
      <c r="I223" s="1400"/>
    </row>
    <row r="224" spans="1:10" ht="114.65" customHeight="1">
      <c r="B224" s="1402">
        <v>3</v>
      </c>
      <c r="C224" s="211" t="s">
        <v>205</v>
      </c>
      <c r="D224" s="1396" t="s">
        <v>204</v>
      </c>
      <c r="E224" s="1397"/>
      <c r="F224" s="1398"/>
      <c r="G224" s="1399"/>
      <c r="H224" s="1399"/>
      <c r="I224" s="1400"/>
    </row>
    <row r="225" spans="1:10" ht="114.65" customHeight="1">
      <c r="B225" s="1402"/>
      <c r="C225" s="211" t="s">
        <v>203</v>
      </c>
      <c r="D225" s="1396" t="s">
        <v>202</v>
      </c>
      <c r="E225" s="1397"/>
      <c r="F225" s="1398"/>
      <c r="G225" s="1399"/>
      <c r="H225" s="1399"/>
      <c r="I225" s="1400"/>
    </row>
    <row r="226" spans="1:10" ht="115" customHeight="1">
      <c r="B226" s="1401">
        <v>4</v>
      </c>
      <c r="C226" s="1401"/>
      <c r="D226" s="1396" t="s">
        <v>201</v>
      </c>
      <c r="E226" s="1397"/>
      <c r="F226" s="1398"/>
      <c r="G226" s="1399"/>
      <c r="H226" s="1399"/>
      <c r="I226" s="1400"/>
    </row>
    <row r="227" spans="1:10" ht="132" customHeight="1">
      <c r="B227" s="1401">
        <v>5</v>
      </c>
      <c r="C227" s="1401"/>
      <c r="D227" s="1396" t="s">
        <v>200</v>
      </c>
      <c r="E227" s="1397"/>
      <c r="F227" s="1398"/>
      <c r="G227" s="1399"/>
      <c r="H227" s="1399"/>
      <c r="I227" s="1400"/>
    </row>
    <row r="229" spans="1:10">
      <c r="A229" s="212"/>
      <c r="B229" s="212"/>
      <c r="C229" s="212"/>
      <c r="D229" s="212"/>
      <c r="E229" s="212"/>
      <c r="F229" s="212"/>
      <c r="G229" s="212"/>
      <c r="H229" s="212"/>
      <c r="I229" s="293"/>
      <c r="J229" s="212"/>
    </row>
    <row r="230" spans="1:10" ht="23.5">
      <c r="B230" s="200" t="s">
        <v>27</v>
      </c>
      <c r="C230" s="200" t="str">
        <f ca="1">IFERROR(OFFSET('4.1(2)新規再エネ導入予定（設備情報）'!$X$1,MATCH(COUNTIF($B$1:B230,"発電方式"),'4.1(2)新規再エネ導入予定（設備情報）'!$AK:$AK,0)-1,0),"")</f>
        <v/>
      </c>
      <c r="D230" s="201"/>
    </row>
    <row r="231" spans="1:10" ht="39.75" customHeight="1">
      <c r="B231" s="202" t="s">
        <v>8</v>
      </c>
      <c r="C231" s="202" t="s">
        <v>181</v>
      </c>
      <c r="D231" s="203" t="s">
        <v>180</v>
      </c>
      <c r="E231" s="202" t="s">
        <v>9</v>
      </c>
      <c r="F231" s="204" t="s">
        <v>10</v>
      </c>
      <c r="G231" s="203" t="s">
        <v>31</v>
      </c>
      <c r="H231" s="202" t="s">
        <v>13</v>
      </c>
      <c r="I231" s="204" t="s">
        <v>81</v>
      </c>
    </row>
    <row r="232" spans="1:10" ht="36" customHeight="1">
      <c r="B232" s="532" t="str">
        <f ca="1">IFERROR(OFFSET('4.1(2)新規再エネ導入予定（設備情報）'!$F$1,MATCH($C232,'4.1(2)新規再エネ導入予定（設備情報）'!$G:$G,0)-1,0),"")</f>
        <v/>
      </c>
      <c r="C232" s="533" t="str">
        <f ca="1">IFERROR(OFFSET('4.1(2)新規再エネ導入予定（設備情報）'!$G$7,MATCH(COUNTIF($B$1:B230,"発電方式"),'4.1(2)新規再エネ導入予定（設備情報）'!$AK$8:$AK$1000,0),0),"")</f>
        <v/>
      </c>
      <c r="D232" s="532" t="str">
        <f ca="1">IFERROR(OFFSET('4.1(2)新規再エネ導入予定（設備情報）'!$H$1,MATCH($C232,'4.1(2)新規再エネ導入予定（設備情報）'!$G:$G,0)-1,0),"")</f>
        <v/>
      </c>
      <c r="E232" s="534" t="str">
        <f ca="1">IFERROR(OFFSET('4.1(2)新規再エネ導入予定（設備情報）'!$I$1,MATCH($C232,'4.1(2)新規再エネ導入予定（設備情報）'!$G:$G,0)-1,0),"")</f>
        <v/>
      </c>
      <c r="F232" s="534" t="str">
        <f ca="1">IFERROR(OFFSET('4.1(2)新規再エネ導入予定（設備情報）'!$J$1,MATCH($C232,'4.1(2)新規再エネ導入予定（設備情報）'!$G:$G,0)-1,0),"")</f>
        <v/>
      </c>
      <c r="G232" s="533" t="str">
        <f ca="1">IFERROR(OFFSET('4.1(2)新規再エネ導入予定（設備情報）'!$L$1,MATCH($C232,'4.1(2)新規再エネ導入予定（設備情報）'!$G:$G,0)-1,0),"")</f>
        <v/>
      </c>
      <c r="H232" s="533" t="str">
        <f ca="1">IFERROR(OFFSET('4.1(2)新規再エネ導入予定（設備情報）'!$M$1,MATCH($C232,'4.1(2)新規再エネ導入予定（設備情報）'!$G:$G,0)-1,0),"")</f>
        <v/>
      </c>
      <c r="I232" s="535" t="str">
        <f ca="1">IFERROR(OFFSET('4.1(2)新規再エネ導入予定（設備情報）'!$P$1,MATCH($C232,'4.1(2)新規再エネ導入予定（設備情報）'!$G:$G,0)-1,0),"")</f>
        <v/>
      </c>
    </row>
    <row r="233" spans="1:10" ht="16.5" customHeight="1">
      <c r="B233" s="1386" t="s">
        <v>177</v>
      </c>
      <c r="C233" s="1388" t="s">
        <v>14</v>
      </c>
      <c r="D233" s="1390" t="s">
        <v>216</v>
      </c>
      <c r="E233" s="1392" t="s">
        <v>215</v>
      </c>
      <c r="F233" s="1393"/>
      <c r="G233" s="1394"/>
      <c r="H233" s="1392" t="s">
        <v>108</v>
      </c>
      <c r="I233" s="1394"/>
    </row>
    <row r="234" spans="1:10" ht="42.75" customHeight="1">
      <c r="B234" s="1387"/>
      <c r="C234" s="1389"/>
      <c r="D234" s="1391"/>
      <c r="E234" s="205" t="s">
        <v>287</v>
      </c>
      <c r="F234" s="206" t="s">
        <v>109</v>
      </c>
      <c r="G234" s="206" t="s">
        <v>110</v>
      </c>
      <c r="H234" s="206" t="s">
        <v>274</v>
      </c>
      <c r="I234" s="205" t="s">
        <v>241</v>
      </c>
    </row>
    <row r="235" spans="1:10" ht="46.5" customHeight="1">
      <c r="B235" s="533" t="str">
        <f ca="1">IFERROR(OFFSET('4.1(2)新規再エネ導入予定（設備情報）'!$O$1,MATCH($C232,'4.1(2)新規再エネ導入予定（設備情報）'!$G:$G,0)-1,0),"")</f>
        <v/>
      </c>
      <c r="C235" s="533" t="str">
        <f ca="1">IFERROR(OFFSET('4.1(2)新規再エネ導入予定（設備情報）'!$R$1,MATCH($C232,'4.1(2)新規再エネ導入予定（設備情報）'!$G:$G,0)-1,0),"")</f>
        <v/>
      </c>
      <c r="D235" s="533" t="str">
        <f ca="1">IFERROR(OFFSET('4.1(2)新規再エネ導入予定（設備情報）'!$S$1,MATCH($C232,'4.1(2)新規再エネ導入予定（設備情報）'!$G:$G,0)-1,0),"")</f>
        <v/>
      </c>
      <c r="E235" s="533" t="str">
        <f ca="1">IF($C232="","",IFERROR(OFFSET('4.1(2)新規再エネ導入予定(FS調査、系統接続検討状況)'!$L$1,MATCH($C232,'4.1(2)新規再エネ導入予定(FS調査、系統接続検討状況)'!$G:$G,0)-1,0),""))</f>
        <v/>
      </c>
      <c r="F235" s="533" t="str">
        <f ca="1">IF($C232="","",IFERROR(OFFSET('4.1(2)新規再エネ導入予定(FS調査、系統接続検討状況)'!$M$1,MATCH($C232,'4.1(2)新規再エネ導入予定(FS調査、系統接続検討状況)'!$G:$G,0)-1,0),""))</f>
        <v/>
      </c>
      <c r="G235" s="533" t="str">
        <f ca="1">IF($C232="","",IFERROR(OFFSET('4.1(2)新規再エネ導入予定(FS調査、系統接続検討状況)'!$N$1,MATCH($C232,'4.1(2)新規再エネ導入予定(FS調査、系統接続検討状況)'!$G:$G,0)-1,0),""))</f>
        <v/>
      </c>
      <c r="H235" s="533" t="str" cm="1">
        <f t="array" aca="1" ref="H235" ca="1">IFERROR(_xlfn.IFS(OR(I235="検討不要",I235="検討未実施",I235="(低圧)申込完了",I235="(低圧)申込準備開始",I235="(低圧)申込準備完了"),"－",COUNTIF(OFFSET('4.1(2)新規再エネ導入予定(FS調査、系統接続検討状況)'!$O$1,MATCH($C232,'4.1(2)新規再エネ導入予定(FS調査、系統接続検討状況)'!$G:$G,0)-1,0),"*単独*")=1,"単独",COUNTIF(OFFSET('4.1(2)新規再エネ導入予定(FS調査、系統接続検討状況)'!$O$1,MATCH($C232,'4.1(2)新規再エネ導入予定(FS調査、系統接続検討状況)'!$G:$G,0)-1,0),"*一括*")=1,"一括検討"),"")</f>
        <v/>
      </c>
      <c r="I235" s="536" t="str">
        <f ca="1">IFERROR(SUBSTITUTE(SUBSTITUTE(OFFSET('4.1(2)新規再エネ導入予定(FS調査、系統接続検討状況)'!$O$1,MATCH($C232,'4.1(2)新規再エネ導入予定(FS調査、系統接続検討状況)'!$G:$G,0)-1,0),"(一括)",""),"(単独)",""),"")</f>
        <v/>
      </c>
    </row>
    <row r="237" spans="1:10" ht="19">
      <c r="B237" s="198" t="s">
        <v>214</v>
      </c>
    </row>
    <row r="238" spans="1:10" ht="21">
      <c r="B238" s="207" t="str">
        <f ca="1">IFERROR(_xlfn.TEXTJOIN(" ",1,C230,B232,C232),"")</f>
        <v/>
      </c>
      <c r="C238" s="208"/>
      <c r="D238" s="208"/>
    </row>
    <row r="239" spans="1:10" ht="28.5" customHeight="1">
      <c r="B239" s="209" t="s">
        <v>213</v>
      </c>
      <c r="C239" s="209"/>
      <c r="D239" s="209" t="s">
        <v>212</v>
      </c>
      <c r="E239" s="209"/>
      <c r="F239" s="209" t="s">
        <v>226</v>
      </c>
      <c r="G239" s="209"/>
      <c r="H239" s="209"/>
      <c r="I239" s="292"/>
    </row>
    <row r="240" spans="1:10" ht="114.65" customHeight="1">
      <c r="B240" s="1395" t="s">
        <v>211</v>
      </c>
      <c r="C240" s="210" t="s">
        <v>210</v>
      </c>
      <c r="D240" s="1396" t="s">
        <v>209</v>
      </c>
      <c r="E240" s="1397"/>
      <c r="F240" s="1398"/>
      <c r="G240" s="1399"/>
      <c r="H240" s="1399"/>
      <c r="I240" s="1400"/>
    </row>
    <row r="241" spans="1:10" ht="114.65" customHeight="1">
      <c r="B241" s="1395"/>
      <c r="C241" s="211" t="s">
        <v>208</v>
      </c>
      <c r="D241" s="1396" t="s">
        <v>207</v>
      </c>
      <c r="E241" s="1397"/>
      <c r="F241" s="1398"/>
      <c r="G241" s="1399"/>
      <c r="H241" s="1399"/>
      <c r="I241" s="1400"/>
    </row>
    <row r="242" spans="1:10" ht="114.65" customHeight="1">
      <c r="B242" s="1401">
        <v>2</v>
      </c>
      <c r="C242" s="1401"/>
      <c r="D242" s="1396" t="s">
        <v>206</v>
      </c>
      <c r="E242" s="1397"/>
      <c r="F242" s="1398"/>
      <c r="G242" s="1399"/>
      <c r="H242" s="1399"/>
      <c r="I242" s="1400"/>
    </row>
    <row r="243" spans="1:10" ht="114.65" customHeight="1">
      <c r="B243" s="1402">
        <v>3</v>
      </c>
      <c r="C243" s="211" t="s">
        <v>205</v>
      </c>
      <c r="D243" s="1396" t="s">
        <v>204</v>
      </c>
      <c r="E243" s="1397"/>
      <c r="F243" s="1398"/>
      <c r="G243" s="1399"/>
      <c r="H243" s="1399"/>
      <c r="I243" s="1400"/>
    </row>
    <row r="244" spans="1:10" ht="114.65" customHeight="1">
      <c r="B244" s="1402"/>
      <c r="C244" s="211" t="s">
        <v>203</v>
      </c>
      <c r="D244" s="1396" t="s">
        <v>202</v>
      </c>
      <c r="E244" s="1397"/>
      <c r="F244" s="1398"/>
      <c r="G244" s="1399"/>
      <c r="H244" s="1399"/>
      <c r="I244" s="1400"/>
    </row>
    <row r="245" spans="1:10" ht="115" customHeight="1">
      <c r="B245" s="1401">
        <v>4</v>
      </c>
      <c r="C245" s="1401"/>
      <c r="D245" s="1396" t="s">
        <v>201</v>
      </c>
      <c r="E245" s="1397"/>
      <c r="F245" s="1398"/>
      <c r="G245" s="1399"/>
      <c r="H245" s="1399"/>
      <c r="I245" s="1400"/>
    </row>
    <row r="246" spans="1:10" ht="132" customHeight="1">
      <c r="B246" s="1401">
        <v>5</v>
      </c>
      <c r="C246" s="1401"/>
      <c r="D246" s="1396" t="s">
        <v>200</v>
      </c>
      <c r="E246" s="1397"/>
      <c r="F246" s="1398"/>
      <c r="G246" s="1399"/>
      <c r="H246" s="1399"/>
      <c r="I246" s="1400"/>
    </row>
    <row r="248" spans="1:10">
      <c r="A248" s="212"/>
      <c r="B248" s="212"/>
      <c r="C248" s="212"/>
      <c r="D248" s="212"/>
      <c r="E248" s="212"/>
      <c r="F248" s="212"/>
      <c r="G248" s="212"/>
      <c r="H248" s="212"/>
      <c r="I248" s="293"/>
      <c r="J248" s="212"/>
    </row>
    <row r="249" spans="1:10" ht="23.5">
      <c r="B249" s="200" t="s">
        <v>27</v>
      </c>
      <c r="C249" s="200" t="str">
        <f ca="1">IFERROR(OFFSET('4.1(2)新規再エネ導入予定（設備情報）'!$X$1,MATCH(COUNTIF($B$1:B249,"発電方式"),'4.1(2)新規再エネ導入予定（設備情報）'!$AK:$AK,0)-1,0),"")</f>
        <v/>
      </c>
      <c r="D249" s="201"/>
    </row>
    <row r="250" spans="1:10" ht="39.75" customHeight="1">
      <c r="B250" s="202" t="s">
        <v>8</v>
      </c>
      <c r="C250" s="202" t="s">
        <v>181</v>
      </c>
      <c r="D250" s="203" t="s">
        <v>180</v>
      </c>
      <c r="E250" s="202" t="s">
        <v>9</v>
      </c>
      <c r="F250" s="204" t="s">
        <v>10</v>
      </c>
      <c r="G250" s="203" t="s">
        <v>31</v>
      </c>
      <c r="H250" s="202" t="s">
        <v>13</v>
      </c>
      <c r="I250" s="204" t="s">
        <v>81</v>
      </c>
    </row>
    <row r="251" spans="1:10" ht="36" customHeight="1">
      <c r="B251" s="532" t="str">
        <f ca="1">IFERROR(OFFSET('4.1(2)新規再エネ導入予定（設備情報）'!$F$1,MATCH($C251,'4.1(2)新規再エネ導入予定（設備情報）'!$G:$G,0)-1,0),"")</f>
        <v/>
      </c>
      <c r="C251" s="533" t="str">
        <f ca="1">IFERROR(OFFSET('4.1(2)新規再エネ導入予定（設備情報）'!$G$7,MATCH(COUNTIF($B$1:B249,"発電方式"),'4.1(2)新規再エネ導入予定（設備情報）'!$AK$8:$AK$1000,0),0),"")</f>
        <v/>
      </c>
      <c r="D251" s="532" t="str">
        <f ca="1">IFERROR(OFFSET('4.1(2)新規再エネ導入予定（設備情報）'!$H$1,MATCH($C251,'4.1(2)新規再エネ導入予定（設備情報）'!$G:$G,0)-1,0),"")</f>
        <v/>
      </c>
      <c r="E251" s="534" t="str">
        <f ca="1">IFERROR(OFFSET('4.1(2)新規再エネ導入予定（設備情報）'!$I$1,MATCH($C251,'4.1(2)新規再エネ導入予定（設備情報）'!$G:$G,0)-1,0),"")</f>
        <v/>
      </c>
      <c r="F251" s="534" t="str">
        <f ca="1">IFERROR(OFFSET('4.1(2)新規再エネ導入予定（設備情報）'!$J$1,MATCH($C251,'4.1(2)新規再エネ導入予定（設備情報）'!$G:$G,0)-1,0),"")</f>
        <v/>
      </c>
      <c r="G251" s="533" t="str">
        <f ca="1">IFERROR(OFFSET('4.1(2)新規再エネ導入予定（設備情報）'!$L$1,MATCH($C251,'4.1(2)新規再エネ導入予定（設備情報）'!$G:$G,0)-1,0),"")</f>
        <v/>
      </c>
      <c r="H251" s="533" t="str">
        <f ca="1">IFERROR(OFFSET('4.1(2)新規再エネ導入予定（設備情報）'!$M$1,MATCH($C251,'4.1(2)新規再エネ導入予定（設備情報）'!$G:$G,0)-1,0),"")</f>
        <v/>
      </c>
      <c r="I251" s="535" t="str">
        <f ca="1">IFERROR(OFFSET('4.1(2)新規再エネ導入予定（設備情報）'!$P$1,MATCH($C251,'4.1(2)新規再エネ導入予定（設備情報）'!$G:$G,0)-1,0),"")</f>
        <v/>
      </c>
    </row>
    <row r="252" spans="1:10" ht="16.5" customHeight="1">
      <c r="B252" s="1386" t="s">
        <v>177</v>
      </c>
      <c r="C252" s="1388" t="s">
        <v>14</v>
      </c>
      <c r="D252" s="1390" t="s">
        <v>216</v>
      </c>
      <c r="E252" s="1392" t="s">
        <v>215</v>
      </c>
      <c r="F252" s="1393"/>
      <c r="G252" s="1394"/>
      <c r="H252" s="1392" t="s">
        <v>108</v>
      </c>
      <c r="I252" s="1394"/>
    </row>
    <row r="253" spans="1:10" ht="42.75" customHeight="1">
      <c r="B253" s="1387"/>
      <c r="C253" s="1389"/>
      <c r="D253" s="1391"/>
      <c r="E253" s="205" t="s">
        <v>287</v>
      </c>
      <c r="F253" s="206" t="s">
        <v>109</v>
      </c>
      <c r="G253" s="206" t="s">
        <v>110</v>
      </c>
      <c r="H253" s="206" t="s">
        <v>274</v>
      </c>
      <c r="I253" s="205" t="s">
        <v>241</v>
      </c>
    </row>
    <row r="254" spans="1:10" ht="46.5" customHeight="1">
      <c r="B254" s="533" t="str">
        <f ca="1">IFERROR(OFFSET('4.1(2)新規再エネ導入予定（設備情報）'!$O$1,MATCH($C251,'4.1(2)新規再エネ導入予定（設備情報）'!$G:$G,0)-1,0),"")</f>
        <v/>
      </c>
      <c r="C254" s="533" t="str">
        <f ca="1">IFERROR(OFFSET('4.1(2)新規再エネ導入予定（設備情報）'!$R$1,MATCH($C251,'4.1(2)新規再エネ導入予定（設備情報）'!$G:$G,0)-1,0),"")</f>
        <v/>
      </c>
      <c r="D254" s="533" t="str">
        <f ca="1">IFERROR(OFFSET('4.1(2)新規再エネ導入予定（設備情報）'!$S$1,MATCH($C251,'4.1(2)新規再エネ導入予定（設備情報）'!$G:$G,0)-1,0),"")</f>
        <v/>
      </c>
      <c r="E254" s="533" t="str">
        <f ca="1">IF($C251="","",IFERROR(OFFSET('4.1(2)新規再エネ導入予定(FS調査、系統接続検討状況)'!$L$1,MATCH($C251,'4.1(2)新規再エネ導入予定(FS調査、系統接続検討状況)'!$G:$G,0)-1,0),""))</f>
        <v/>
      </c>
      <c r="F254" s="533" t="str">
        <f ca="1">IF($C251="","",IFERROR(OFFSET('4.1(2)新規再エネ導入予定(FS調査、系統接続検討状況)'!$M$1,MATCH($C251,'4.1(2)新規再エネ導入予定(FS調査、系統接続検討状況)'!$G:$G,0)-1,0),""))</f>
        <v/>
      </c>
      <c r="G254" s="533" t="str">
        <f ca="1">IF($C251="","",IFERROR(OFFSET('4.1(2)新規再エネ導入予定(FS調査、系統接続検討状況)'!$N$1,MATCH($C251,'4.1(2)新規再エネ導入予定(FS調査、系統接続検討状況)'!$G:$G,0)-1,0),""))</f>
        <v/>
      </c>
      <c r="H254" s="533" t="str" cm="1">
        <f t="array" aca="1" ref="H254" ca="1">IFERROR(_xlfn.IFS(OR(I254="検討不要",I254="検討未実施",I254="(低圧)申込完了",I254="(低圧)申込準備開始",I254="(低圧)申込準備完了"),"－",COUNTIF(OFFSET('4.1(2)新規再エネ導入予定(FS調査、系統接続検討状況)'!$O$1,MATCH($C251,'4.1(2)新規再エネ導入予定(FS調査、系統接続検討状況)'!$G:$G,0)-1,0),"*単独*")=1,"単独",COUNTIF(OFFSET('4.1(2)新規再エネ導入予定(FS調査、系統接続検討状況)'!$O$1,MATCH($C251,'4.1(2)新規再エネ導入予定(FS調査、系統接続検討状況)'!$G:$G,0)-1,0),"*一括*")=1,"一括検討"),"")</f>
        <v/>
      </c>
      <c r="I254" s="536" t="str">
        <f ca="1">IFERROR(SUBSTITUTE(SUBSTITUTE(OFFSET('4.1(2)新規再エネ導入予定(FS調査、系統接続検討状況)'!$O$1,MATCH($C251,'4.1(2)新規再エネ導入予定(FS調査、系統接続検討状況)'!$G:$G,0)-1,0),"(一括)",""),"(単独)",""),"")</f>
        <v/>
      </c>
    </row>
    <row r="256" spans="1:10" ht="19">
      <c r="B256" s="198" t="s">
        <v>214</v>
      </c>
    </row>
    <row r="257" spans="1:10" ht="21">
      <c r="B257" s="207" t="str">
        <f ca="1">IFERROR(_xlfn.TEXTJOIN(" ",1,C249,B251,C251),"")</f>
        <v/>
      </c>
      <c r="C257" s="208"/>
      <c r="D257" s="208"/>
    </row>
    <row r="258" spans="1:10" ht="28.5" customHeight="1">
      <c r="B258" s="209" t="s">
        <v>213</v>
      </c>
      <c r="C258" s="209"/>
      <c r="D258" s="209" t="s">
        <v>212</v>
      </c>
      <c r="E258" s="209"/>
      <c r="F258" s="209" t="s">
        <v>226</v>
      </c>
      <c r="G258" s="209"/>
      <c r="H258" s="209"/>
      <c r="I258" s="292"/>
    </row>
    <row r="259" spans="1:10" ht="114.65" customHeight="1">
      <c r="B259" s="1395" t="s">
        <v>211</v>
      </c>
      <c r="C259" s="210" t="s">
        <v>210</v>
      </c>
      <c r="D259" s="1396" t="s">
        <v>209</v>
      </c>
      <c r="E259" s="1397"/>
      <c r="F259" s="1398"/>
      <c r="G259" s="1399"/>
      <c r="H259" s="1399"/>
      <c r="I259" s="1400"/>
    </row>
    <row r="260" spans="1:10" ht="114.65" customHeight="1">
      <c r="B260" s="1395"/>
      <c r="C260" s="211" t="s">
        <v>208</v>
      </c>
      <c r="D260" s="1396" t="s">
        <v>207</v>
      </c>
      <c r="E260" s="1397"/>
      <c r="F260" s="1398"/>
      <c r="G260" s="1399"/>
      <c r="H260" s="1399"/>
      <c r="I260" s="1400"/>
    </row>
    <row r="261" spans="1:10" ht="114.65" customHeight="1">
      <c r="B261" s="1401">
        <v>2</v>
      </c>
      <c r="C261" s="1401"/>
      <c r="D261" s="1396" t="s">
        <v>206</v>
      </c>
      <c r="E261" s="1397"/>
      <c r="F261" s="1398"/>
      <c r="G261" s="1399"/>
      <c r="H261" s="1399"/>
      <c r="I261" s="1400"/>
    </row>
    <row r="262" spans="1:10" ht="114.65" customHeight="1">
      <c r="B262" s="1402">
        <v>3</v>
      </c>
      <c r="C262" s="211" t="s">
        <v>205</v>
      </c>
      <c r="D262" s="1396" t="s">
        <v>204</v>
      </c>
      <c r="E262" s="1397"/>
      <c r="F262" s="1398"/>
      <c r="G262" s="1399"/>
      <c r="H262" s="1399"/>
      <c r="I262" s="1400"/>
    </row>
    <row r="263" spans="1:10" ht="114.65" customHeight="1">
      <c r="B263" s="1402"/>
      <c r="C263" s="211" t="s">
        <v>203</v>
      </c>
      <c r="D263" s="1396" t="s">
        <v>202</v>
      </c>
      <c r="E263" s="1397"/>
      <c r="F263" s="1398"/>
      <c r="G263" s="1399"/>
      <c r="H263" s="1399"/>
      <c r="I263" s="1400"/>
    </row>
    <row r="264" spans="1:10" ht="115" customHeight="1">
      <c r="B264" s="1401">
        <v>4</v>
      </c>
      <c r="C264" s="1401"/>
      <c r="D264" s="1396" t="s">
        <v>201</v>
      </c>
      <c r="E264" s="1397"/>
      <c r="F264" s="1398"/>
      <c r="G264" s="1399"/>
      <c r="H264" s="1399"/>
      <c r="I264" s="1400"/>
    </row>
    <row r="265" spans="1:10" ht="132" customHeight="1">
      <c r="B265" s="1401">
        <v>5</v>
      </c>
      <c r="C265" s="1401"/>
      <c r="D265" s="1396" t="s">
        <v>200</v>
      </c>
      <c r="E265" s="1397"/>
      <c r="F265" s="1398"/>
      <c r="G265" s="1399"/>
      <c r="H265" s="1399"/>
      <c r="I265" s="1400"/>
    </row>
    <row r="267" spans="1:10">
      <c r="A267" s="212"/>
      <c r="B267" s="212"/>
      <c r="C267" s="212"/>
      <c r="D267" s="212"/>
      <c r="E267" s="212"/>
      <c r="F267" s="212"/>
      <c r="G267" s="212"/>
      <c r="H267" s="212"/>
      <c r="I267" s="293"/>
      <c r="J267" s="212"/>
    </row>
    <row r="268" spans="1:10" ht="23.5">
      <c r="B268" s="200" t="s">
        <v>27</v>
      </c>
      <c r="C268" s="200" t="str">
        <f ca="1">IFERROR(OFFSET('4.1(2)新規再エネ導入予定（設備情報）'!$X$1,MATCH(COUNTIF($B$1:B268,"発電方式"),'4.1(2)新規再エネ導入予定（設備情報）'!$AK:$AK,0)-1,0),"")</f>
        <v/>
      </c>
      <c r="D268" s="201"/>
    </row>
    <row r="269" spans="1:10" ht="39.75" customHeight="1">
      <c r="B269" s="202" t="s">
        <v>8</v>
      </c>
      <c r="C269" s="202" t="s">
        <v>181</v>
      </c>
      <c r="D269" s="203" t="s">
        <v>180</v>
      </c>
      <c r="E269" s="202" t="s">
        <v>9</v>
      </c>
      <c r="F269" s="204" t="s">
        <v>10</v>
      </c>
      <c r="G269" s="203" t="s">
        <v>31</v>
      </c>
      <c r="H269" s="202" t="s">
        <v>13</v>
      </c>
      <c r="I269" s="204" t="s">
        <v>81</v>
      </c>
    </row>
    <row r="270" spans="1:10" ht="36" customHeight="1">
      <c r="B270" s="532" t="str">
        <f ca="1">IFERROR(OFFSET('4.1(2)新規再エネ導入予定（設備情報）'!$F$1,MATCH($C270,'4.1(2)新規再エネ導入予定（設備情報）'!$G:$G,0)-1,0),"")</f>
        <v/>
      </c>
      <c r="C270" s="533" t="str">
        <f ca="1">IFERROR(OFFSET('4.1(2)新規再エネ導入予定（設備情報）'!$G$7,MATCH(COUNTIF($B$1:B268,"発電方式"),'4.1(2)新規再エネ導入予定（設備情報）'!$AK$8:$AK$1000,0),0),"")</f>
        <v/>
      </c>
      <c r="D270" s="532" t="str">
        <f ca="1">IFERROR(OFFSET('4.1(2)新規再エネ導入予定（設備情報）'!$H$1,MATCH($C270,'4.1(2)新規再エネ導入予定（設備情報）'!$G:$G,0)-1,0),"")</f>
        <v/>
      </c>
      <c r="E270" s="534" t="str">
        <f ca="1">IFERROR(OFFSET('4.1(2)新規再エネ導入予定（設備情報）'!$I$1,MATCH($C270,'4.1(2)新規再エネ導入予定（設備情報）'!$G:$G,0)-1,0),"")</f>
        <v/>
      </c>
      <c r="F270" s="534" t="str">
        <f ca="1">IFERROR(OFFSET('4.1(2)新規再エネ導入予定（設備情報）'!$J$1,MATCH($C270,'4.1(2)新規再エネ導入予定（設備情報）'!$G:$G,0)-1,0),"")</f>
        <v/>
      </c>
      <c r="G270" s="533" t="str">
        <f ca="1">IFERROR(OFFSET('4.1(2)新規再エネ導入予定（設備情報）'!$L$1,MATCH($C270,'4.1(2)新規再エネ導入予定（設備情報）'!$G:$G,0)-1,0),"")</f>
        <v/>
      </c>
      <c r="H270" s="533" t="str">
        <f ca="1">IFERROR(OFFSET('4.1(2)新規再エネ導入予定（設備情報）'!$M$1,MATCH($C270,'4.1(2)新規再エネ導入予定（設備情報）'!$G:$G,0)-1,0),"")</f>
        <v/>
      </c>
      <c r="I270" s="535" t="str">
        <f ca="1">IFERROR(OFFSET('4.1(2)新規再エネ導入予定（設備情報）'!$P$1,MATCH($C270,'4.1(2)新規再エネ導入予定（設備情報）'!$G:$G,0)-1,0),"")</f>
        <v/>
      </c>
    </row>
    <row r="271" spans="1:10" ht="16.5" customHeight="1">
      <c r="B271" s="1386" t="s">
        <v>177</v>
      </c>
      <c r="C271" s="1388" t="s">
        <v>14</v>
      </c>
      <c r="D271" s="1390" t="s">
        <v>216</v>
      </c>
      <c r="E271" s="1392" t="s">
        <v>215</v>
      </c>
      <c r="F271" s="1393"/>
      <c r="G271" s="1394"/>
      <c r="H271" s="1392" t="s">
        <v>108</v>
      </c>
      <c r="I271" s="1394"/>
    </row>
    <row r="272" spans="1:10" ht="42.75" customHeight="1">
      <c r="B272" s="1387"/>
      <c r="C272" s="1389"/>
      <c r="D272" s="1391"/>
      <c r="E272" s="205" t="s">
        <v>287</v>
      </c>
      <c r="F272" s="206" t="s">
        <v>109</v>
      </c>
      <c r="G272" s="206" t="s">
        <v>110</v>
      </c>
      <c r="H272" s="206" t="s">
        <v>274</v>
      </c>
      <c r="I272" s="205" t="s">
        <v>241</v>
      </c>
    </row>
    <row r="273" spans="1:10" ht="46.5" customHeight="1">
      <c r="B273" s="533" t="str">
        <f ca="1">IFERROR(OFFSET('4.1(2)新規再エネ導入予定（設備情報）'!$O$1,MATCH($C270,'4.1(2)新規再エネ導入予定（設備情報）'!$G:$G,0)-1,0),"")</f>
        <v/>
      </c>
      <c r="C273" s="533" t="str">
        <f ca="1">IFERROR(OFFSET('4.1(2)新規再エネ導入予定（設備情報）'!$R$1,MATCH($C270,'4.1(2)新規再エネ導入予定（設備情報）'!$G:$G,0)-1,0),"")</f>
        <v/>
      </c>
      <c r="D273" s="533" t="str">
        <f ca="1">IFERROR(OFFSET('4.1(2)新規再エネ導入予定（設備情報）'!$S$1,MATCH($C270,'4.1(2)新規再エネ導入予定（設備情報）'!$G:$G,0)-1,0),"")</f>
        <v/>
      </c>
      <c r="E273" s="533" t="str">
        <f ca="1">IF($C270="","",IFERROR(OFFSET('4.1(2)新規再エネ導入予定(FS調査、系統接続検討状況)'!$L$1,MATCH($C270,'4.1(2)新規再エネ導入予定(FS調査、系統接続検討状況)'!$G:$G,0)-1,0),""))</f>
        <v/>
      </c>
      <c r="F273" s="533" t="str">
        <f ca="1">IF($C270="","",IFERROR(OFFSET('4.1(2)新規再エネ導入予定(FS調査、系統接続検討状況)'!$M$1,MATCH($C270,'4.1(2)新規再エネ導入予定(FS調査、系統接続検討状況)'!$G:$G,0)-1,0),""))</f>
        <v/>
      </c>
      <c r="G273" s="533" t="str">
        <f ca="1">IF($C270="","",IFERROR(OFFSET('4.1(2)新規再エネ導入予定(FS調査、系統接続検討状況)'!$N$1,MATCH($C270,'4.1(2)新規再エネ導入予定(FS調査、系統接続検討状況)'!$G:$G,0)-1,0),""))</f>
        <v/>
      </c>
      <c r="H273" s="533" t="str" cm="1">
        <f t="array" aca="1" ref="H273" ca="1">IFERROR(_xlfn.IFS(OR(I273="検討不要",I273="検討未実施",I273="(低圧)申込完了",I273="(低圧)申込準備開始",I273="(低圧)申込準備完了"),"－",COUNTIF(OFFSET('4.1(2)新規再エネ導入予定(FS調査、系統接続検討状況)'!$O$1,MATCH($C270,'4.1(2)新規再エネ導入予定(FS調査、系統接続検討状況)'!$G:$G,0)-1,0),"*単独*")=1,"単独",COUNTIF(OFFSET('4.1(2)新規再エネ導入予定(FS調査、系統接続検討状況)'!$O$1,MATCH($C270,'4.1(2)新規再エネ導入予定(FS調査、系統接続検討状況)'!$G:$G,0)-1,0),"*一括*")=1,"一括検討"),"")</f>
        <v/>
      </c>
      <c r="I273" s="536" t="str">
        <f ca="1">IFERROR(SUBSTITUTE(SUBSTITUTE(OFFSET('4.1(2)新規再エネ導入予定(FS調査、系統接続検討状況)'!$O$1,MATCH($C270,'4.1(2)新規再エネ導入予定(FS調査、系統接続検討状況)'!$G:$G,0)-1,0),"(一括)",""),"(単独)",""),"")</f>
        <v/>
      </c>
    </row>
    <row r="275" spans="1:10" ht="19">
      <c r="B275" s="198" t="s">
        <v>214</v>
      </c>
    </row>
    <row r="276" spans="1:10" ht="21">
      <c r="B276" s="207" t="str">
        <f ca="1">IFERROR(_xlfn.TEXTJOIN(" ",1,C268,B270,C270),"")</f>
        <v/>
      </c>
      <c r="C276" s="208"/>
      <c r="D276" s="208"/>
    </row>
    <row r="277" spans="1:10" ht="28.5" customHeight="1">
      <c r="B277" s="209" t="s">
        <v>213</v>
      </c>
      <c r="C277" s="209"/>
      <c r="D277" s="209" t="s">
        <v>212</v>
      </c>
      <c r="E277" s="209"/>
      <c r="F277" s="209" t="s">
        <v>226</v>
      </c>
      <c r="G277" s="209"/>
      <c r="H277" s="209"/>
      <c r="I277" s="292"/>
    </row>
    <row r="278" spans="1:10" ht="114.65" customHeight="1">
      <c r="B278" s="1395" t="s">
        <v>211</v>
      </c>
      <c r="C278" s="210" t="s">
        <v>210</v>
      </c>
      <c r="D278" s="1396" t="s">
        <v>209</v>
      </c>
      <c r="E278" s="1397"/>
      <c r="F278" s="1398"/>
      <c r="G278" s="1399"/>
      <c r="H278" s="1399"/>
      <c r="I278" s="1400"/>
    </row>
    <row r="279" spans="1:10" ht="114.65" customHeight="1">
      <c r="B279" s="1395"/>
      <c r="C279" s="211" t="s">
        <v>208</v>
      </c>
      <c r="D279" s="1396" t="s">
        <v>207</v>
      </c>
      <c r="E279" s="1397"/>
      <c r="F279" s="1398"/>
      <c r="G279" s="1399"/>
      <c r="H279" s="1399"/>
      <c r="I279" s="1400"/>
    </row>
    <row r="280" spans="1:10" ht="114.65" customHeight="1">
      <c r="B280" s="1401">
        <v>2</v>
      </c>
      <c r="C280" s="1401"/>
      <c r="D280" s="1396" t="s">
        <v>206</v>
      </c>
      <c r="E280" s="1397"/>
      <c r="F280" s="1398"/>
      <c r="G280" s="1399"/>
      <c r="H280" s="1399"/>
      <c r="I280" s="1400"/>
    </row>
    <row r="281" spans="1:10" ht="114.65" customHeight="1">
      <c r="B281" s="1402">
        <v>3</v>
      </c>
      <c r="C281" s="211" t="s">
        <v>205</v>
      </c>
      <c r="D281" s="1396" t="s">
        <v>204</v>
      </c>
      <c r="E281" s="1397"/>
      <c r="F281" s="1398"/>
      <c r="G281" s="1399"/>
      <c r="H281" s="1399"/>
      <c r="I281" s="1400"/>
    </row>
    <row r="282" spans="1:10" ht="114.65" customHeight="1">
      <c r="B282" s="1402"/>
      <c r="C282" s="211" t="s">
        <v>203</v>
      </c>
      <c r="D282" s="1396" t="s">
        <v>202</v>
      </c>
      <c r="E282" s="1397"/>
      <c r="F282" s="1398"/>
      <c r="G282" s="1399"/>
      <c r="H282" s="1399"/>
      <c r="I282" s="1400"/>
    </row>
    <row r="283" spans="1:10" ht="115" customHeight="1">
      <c r="B283" s="1401">
        <v>4</v>
      </c>
      <c r="C283" s="1401"/>
      <c r="D283" s="1396" t="s">
        <v>201</v>
      </c>
      <c r="E283" s="1397"/>
      <c r="F283" s="1398"/>
      <c r="G283" s="1399"/>
      <c r="H283" s="1399"/>
      <c r="I283" s="1400"/>
    </row>
    <row r="284" spans="1:10" ht="132" customHeight="1">
      <c r="B284" s="1401">
        <v>5</v>
      </c>
      <c r="C284" s="1401"/>
      <c r="D284" s="1396" t="s">
        <v>200</v>
      </c>
      <c r="E284" s="1397"/>
      <c r="F284" s="1398"/>
      <c r="G284" s="1399"/>
      <c r="H284" s="1399"/>
      <c r="I284" s="1400"/>
    </row>
    <row r="286" spans="1:10">
      <c r="A286" s="212"/>
      <c r="B286" s="212"/>
      <c r="C286" s="212"/>
      <c r="D286" s="212"/>
      <c r="E286" s="212"/>
      <c r="F286" s="212"/>
      <c r="G286" s="212"/>
      <c r="H286" s="212"/>
      <c r="I286" s="293"/>
      <c r="J286" s="212"/>
    </row>
    <row r="287" spans="1:10" ht="23.5">
      <c r="B287" s="200" t="s">
        <v>27</v>
      </c>
      <c r="C287" s="200" t="str">
        <f ca="1">IFERROR(OFFSET('4.1(2)新規再エネ導入予定（設備情報）'!$X$1,MATCH(COUNTIF($B$1:B287,"発電方式"),'4.1(2)新規再エネ導入予定（設備情報）'!$AK:$AK,0)-1,0),"")</f>
        <v/>
      </c>
      <c r="D287" s="201"/>
    </row>
    <row r="288" spans="1:10" ht="39.75" customHeight="1">
      <c r="B288" s="202" t="s">
        <v>8</v>
      </c>
      <c r="C288" s="202" t="s">
        <v>181</v>
      </c>
      <c r="D288" s="203" t="s">
        <v>180</v>
      </c>
      <c r="E288" s="202" t="s">
        <v>9</v>
      </c>
      <c r="F288" s="204" t="s">
        <v>10</v>
      </c>
      <c r="G288" s="203" t="s">
        <v>31</v>
      </c>
      <c r="H288" s="202" t="s">
        <v>13</v>
      </c>
      <c r="I288" s="204" t="s">
        <v>81</v>
      </c>
    </row>
    <row r="289" spans="2:9" ht="36" customHeight="1">
      <c r="B289" s="532" t="str">
        <f ca="1">IFERROR(OFFSET('4.1(2)新規再エネ導入予定（設備情報）'!$F$1,MATCH($C289,'4.1(2)新規再エネ導入予定（設備情報）'!$G:$G,0)-1,0),"")</f>
        <v/>
      </c>
      <c r="C289" s="533" t="str">
        <f ca="1">IFERROR(OFFSET('4.1(2)新規再エネ導入予定（設備情報）'!$G$7,MATCH(COUNTIF($B$1:B287,"発電方式"),'4.1(2)新規再エネ導入予定（設備情報）'!$AK$8:$AK$1000,0),0),"")</f>
        <v/>
      </c>
      <c r="D289" s="532" t="str">
        <f ca="1">IFERROR(OFFSET('4.1(2)新規再エネ導入予定（設備情報）'!$H$1,MATCH($C289,'4.1(2)新規再エネ導入予定（設備情報）'!$G:$G,0)-1,0),"")</f>
        <v/>
      </c>
      <c r="E289" s="534" t="str">
        <f ca="1">IFERROR(OFFSET('4.1(2)新規再エネ導入予定（設備情報）'!$I$1,MATCH($C289,'4.1(2)新規再エネ導入予定（設備情報）'!$G:$G,0)-1,0),"")</f>
        <v/>
      </c>
      <c r="F289" s="534" t="str">
        <f ca="1">IFERROR(OFFSET('4.1(2)新規再エネ導入予定（設備情報）'!$J$1,MATCH($C289,'4.1(2)新規再エネ導入予定（設備情報）'!$G:$G,0)-1,0),"")</f>
        <v/>
      </c>
      <c r="G289" s="533" t="str">
        <f ca="1">IFERROR(OFFSET('4.1(2)新規再エネ導入予定（設備情報）'!$L$1,MATCH($C289,'4.1(2)新規再エネ導入予定（設備情報）'!$G:$G,0)-1,0),"")</f>
        <v/>
      </c>
      <c r="H289" s="533" t="str">
        <f ca="1">IFERROR(OFFSET('4.1(2)新規再エネ導入予定（設備情報）'!$M$1,MATCH($C289,'4.1(2)新規再エネ導入予定（設備情報）'!$G:$G,0)-1,0),"")</f>
        <v/>
      </c>
      <c r="I289" s="535" t="str">
        <f ca="1">IFERROR(OFFSET('4.1(2)新規再エネ導入予定（設備情報）'!$P$1,MATCH($C289,'4.1(2)新規再エネ導入予定（設備情報）'!$G:$G,0)-1,0),"")</f>
        <v/>
      </c>
    </row>
    <row r="290" spans="2:9" ht="16.5" customHeight="1">
      <c r="B290" s="1386" t="s">
        <v>177</v>
      </c>
      <c r="C290" s="1388" t="s">
        <v>14</v>
      </c>
      <c r="D290" s="1390" t="s">
        <v>216</v>
      </c>
      <c r="E290" s="1392" t="s">
        <v>215</v>
      </c>
      <c r="F290" s="1393"/>
      <c r="G290" s="1394"/>
      <c r="H290" s="1392" t="s">
        <v>108</v>
      </c>
      <c r="I290" s="1394"/>
    </row>
    <row r="291" spans="2:9" ht="42.75" customHeight="1">
      <c r="B291" s="1387"/>
      <c r="C291" s="1389"/>
      <c r="D291" s="1391"/>
      <c r="E291" s="205" t="s">
        <v>287</v>
      </c>
      <c r="F291" s="206" t="s">
        <v>109</v>
      </c>
      <c r="G291" s="206" t="s">
        <v>110</v>
      </c>
      <c r="H291" s="206" t="s">
        <v>274</v>
      </c>
      <c r="I291" s="205" t="s">
        <v>241</v>
      </c>
    </row>
    <row r="292" spans="2:9" ht="46.5" customHeight="1">
      <c r="B292" s="533" t="str">
        <f ca="1">IFERROR(OFFSET('4.1(2)新規再エネ導入予定（設備情報）'!$O$1,MATCH($C289,'4.1(2)新規再エネ導入予定（設備情報）'!$G:$G,0)-1,0),"")</f>
        <v/>
      </c>
      <c r="C292" s="533" t="str">
        <f ca="1">IFERROR(OFFSET('4.1(2)新規再エネ導入予定（設備情報）'!$R$1,MATCH($C289,'4.1(2)新規再エネ導入予定（設備情報）'!$G:$G,0)-1,0),"")</f>
        <v/>
      </c>
      <c r="D292" s="533" t="str">
        <f ca="1">IFERROR(OFFSET('4.1(2)新規再エネ導入予定（設備情報）'!$S$1,MATCH($C289,'4.1(2)新規再エネ導入予定（設備情報）'!$G:$G,0)-1,0),"")</f>
        <v/>
      </c>
      <c r="E292" s="533" t="str">
        <f ca="1">IF($C289="","",IFERROR(OFFSET('4.1(2)新規再エネ導入予定(FS調査、系統接続検討状況)'!$L$1,MATCH($C289,'4.1(2)新規再エネ導入予定(FS調査、系統接続検討状況)'!$G:$G,0)-1,0),""))</f>
        <v/>
      </c>
      <c r="F292" s="533" t="str">
        <f ca="1">IF($C289="","",IFERROR(OFFSET('4.1(2)新規再エネ導入予定(FS調査、系統接続検討状況)'!$M$1,MATCH($C289,'4.1(2)新規再エネ導入予定(FS調査、系統接続検討状況)'!$G:$G,0)-1,0),""))</f>
        <v/>
      </c>
      <c r="G292" s="533" t="str">
        <f ca="1">IF($C289="","",IFERROR(OFFSET('4.1(2)新規再エネ導入予定(FS調査、系統接続検討状況)'!$N$1,MATCH($C289,'4.1(2)新規再エネ導入予定(FS調査、系統接続検討状況)'!$G:$G,0)-1,0),""))</f>
        <v/>
      </c>
      <c r="H292" s="533" t="str" cm="1">
        <f t="array" aca="1" ref="H292" ca="1">IFERROR(_xlfn.IFS(OR(I292="検討不要",I292="検討未実施",I292="(低圧)申込完了",I292="(低圧)申込準備開始",I292="(低圧)申込準備完了"),"－",COUNTIF(OFFSET('4.1(2)新規再エネ導入予定(FS調査、系統接続検討状況)'!$O$1,MATCH($C289,'4.1(2)新規再エネ導入予定(FS調査、系統接続検討状況)'!$G:$G,0)-1,0),"*単独*")=1,"単独",COUNTIF(OFFSET('4.1(2)新規再エネ導入予定(FS調査、系統接続検討状況)'!$O$1,MATCH($C289,'4.1(2)新規再エネ導入予定(FS調査、系統接続検討状況)'!$G:$G,0)-1,0),"*一括*")=1,"一括検討"),"")</f>
        <v/>
      </c>
      <c r="I292" s="536" t="str">
        <f ca="1">IFERROR(SUBSTITUTE(SUBSTITUTE(OFFSET('4.1(2)新規再エネ導入予定(FS調査、系統接続検討状況)'!$O$1,MATCH($C289,'4.1(2)新規再エネ導入予定(FS調査、系統接続検討状況)'!$G:$G,0)-1,0),"(一括)",""),"(単独)",""),"")</f>
        <v/>
      </c>
    </row>
    <row r="294" spans="2:9" ht="19">
      <c r="B294" s="198" t="s">
        <v>214</v>
      </c>
    </row>
    <row r="295" spans="2:9" ht="21">
      <c r="B295" s="207" t="str">
        <f ca="1">IFERROR(_xlfn.TEXTJOIN(" ",1,C287,B289,C289),"")</f>
        <v/>
      </c>
      <c r="C295" s="208"/>
      <c r="D295" s="208"/>
    </row>
    <row r="296" spans="2:9" ht="28.5" customHeight="1">
      <c r="B296" s="209" t="s">
        <v>213</v>
      </c>
      <c r="C296" s="209"/>
      <c r="D296" s="209" t="s">
        <v>212</v>
      </c>
      <c r="E296" s="209"/>
      <c r="F296" s="209" t="s">
        <v>226</v>
      </c>
      <c r="G296" s="209"/>
      <c r="H296" s="209"/>
      <c r="I296" s="292"/>
    </row>
    <row r="297" spans="2:9" ht="114.65" customHeight="1">
      <c r="B297" s="1395" t="s">
        <v>211</v>
      </c>
      <c r="C297" s="210" t="s">
        <v>210</v>
      </c>
      <c r="D297" s="1396" t="s">
        <v>209</v>
      </c>
      <c r="E297" s="1397"/>
      <c r="F297" s="1398"/>
      <c r="G297" s="1399"/>
      <c r="H297" s="1399"/>
      <c r="I297" s="1400"/>
    </row>
    <row r="298" spans="2:9" ht="114.65" customHeight="1">
      <c r="B298" s="1395"/>
      <c r="C298" s="211" t="s">
        <v>208</v>
      </c>
      <c r="D298" s="1396" t="s">
        <v>207</v>
      </c>
      <c r="E298" s="1397"/>
      <c r="F298" s="1398"/>
      <c r="G298" s="1399"/>
      <c r="H298" s="1399"/>
      <c r="I298" s="1400"/>
    </row>
    <row r="299" spans="2:9" ht="114.65" customHeight="1">
      <c r="B299" s="1401">
        <v>2</v>
      </c>
      <c r="C299" s="1401"/>
      <c r="D299" s="1396" t="s">
        <v>206</v>
      </c>
      <c r="E299" s="1397"/>
      <c r="F299" s="1398"/>
      <c r="G299" s="1399"/>
      <c r="H299" s="1399"/>
      <c r="I299" s="1400"/>
    </row>
    <row r="300" spans="2:9" ht="114.65" customHeight="1">
      <c r="B300" s="1402">
        <v>3</v>
      </c>
      <c r="C300" s="211" t="s">
        <v>205</v>
      </c>
      <c r="D300" s="1396" t="s">
        <v>204</v>
      </c>
      <c r="E300" s="1397"/>
      <c r="F300" s="1398"/>
      <c r="G300" s="1399"/>
      <c r="H300" s="1399"/>
      <c r="I300" s="1400"/>
    </row>
    <row r="301" spans="2:9" ht="114.65" customHeight="1">
      <c r="B301" s="1402"/>
      <c r="C301" s="211" t="s">
        <v>203</v>
      </c>
      <c r="D301" s="1396" t="s">
        <v>202</v>
      </c>
      <c r="E301" s="1397"/>
      <c r="F301" s="1398"/>
      <c r="G301" s="1399"/>
      <c r="H301" s="1399"/>
      <c r="I301" s="1400"/>
    </row>
    <row r="302" spans="2:9" ht="115" customHeight="1">
      <c r="B302" s="1401">
        <v>4</v>
      </c>
      <c r="C302" s="1401"/>
      <c r="D302" s="1396" t="s">
        <v>201</v>
      </c>
      <c r="E302" s="1397"/>
      <c r="F302" s="1398"/>
      <c r="G302" s="1399"/>
      <c r="H302" s="1399"/>
      <c r="I302" s="1400"/>
    </row>
    <row r="303" spans="2:9" ht="132" customHeight="1">
      <c r="B303" s="1401">
        <v>5</v>
      </c>
      <c r="C303" s="1401"/>
      <c r="D303" s="1396" t="s">
        <v>200</v>
      </c>
      <c r="E303" s="1397"/>
      <c r="F303" s="1398"/>
      <c r="G303" s="1399"/>
      <c r="H303" s="1399"/>
      <c r="I303" s="1400"/>
    </row>
    <row r="305" spans="1:10">
      <c r="A305" s="212"/>
      <c r="B305" s="212"/>
      <c r="C305" s="212"/>
      <c r="D305" s="212"/>
      <c r="E305" s="212"/>
      <c r="F305" s="212"/>
      <c r="G305" s="212"/>
      <c r="H305" s="212"/>
      <c r="I305" s="293"/>
      <c r="J305" s="212"/>
    </row>
    <row r="306" spans="1:10" ht="23.5">
      <c r="B306" s="200" t="s">
        <v>27</v>
      </c>
      <c r="C306" s="200" t="str">
        <f ca="1">IFERROR(OFFSET('4.1(2)新規再エネ導入予定（設備情報）'!$X$1,MATCH(COUNTIF($B$1:B306,"発電方式"),'4.1(2)新規再エネ導入予定（設備情報）'!$AK:$AK,0)-1,0),"")</f>
        <v/>
      </c>
      <c r="D306" s="201"/>
    </row>
    <row r="307" spans="1:10" ht="39.75" customHeight="1">
      <c r="B307" s="202" t="s">
        <v>8</v>
      </c>
      <c r="C307" s="202" t="s">
        <v>181</v>
      </c>
      <c r="D307" s="203" t="s">
        <v>180</v>
      </c>
      <c r="E307" s="202" t="s">
        <v>9</v>
      </c>
      <c r="F307" s="204" t="s">
        <v>10</v>
      </c>
      <c r="G307" s="203" t="s">
        <v>31</v>
      </c>
      <c r="H307" s="202" t="s">
        <v>13</v>
      </c>
      <c r="I307" s="204" t="s">
        <v>81</v>
      </c>
    </row>
    <row r="308" spans="1:10" ht="36" customHeight="1">
      <c r="B308" s="532" t="str">
        <f ca="1">IFERROR(OFFSET('4.1(2)新規再エネ導入予定（設備情報）'!$F$1,MATCH($C308,'4.1(2)新規再エネ導入予定（設備情報）'!$G:$G,0)-1,0),"")</f>
        <v/>
      </c>
      <c r="C308" s="533" t="str">
        <f ca="1">IFERROR(OFFSET('4.1(2)新規再エネ導入予定（設備情報）'!$G$7,MATCH(COUNTIF($B$1:B306,"発電方式"),'4.1(2)新規再エネ導入予定（設備情報）'!$AK$8:$AK$1000,0),0),"")</f>
        <v/>
      </c>
      <c r="D308" s="532" t="str">
        <f ca="1">IFERROR(OFFSET('4.1(2)新規再エネ導入予定（設備情報）'!$H$1,MATCH($C308,'4.1(2)新規再エネ導入予定（設備情報）'!$G:$G,0)-1,0),"")</f>
        <v/>
      </c>
      <c r="E308" s="534" t="str">
        <f ca="1">IFERROR(OFFSET('4.1(2)新規再エネ導入予定（設備情報）'!$I$1,MATCH($C308,'4.1(2)新規再エネ導入予定（設備情報）'!$G:$G,0)-1,0),"")</f>
        <v/>
      </c>
      <c r="F308" s="534" t="str">
        <f ca="1">IFERROR(OFFSET('4.1(2)新規再エネ導入予定（設備情報）'!$J$1,MATCH($C308,'4.1(2)新規再エネ導入予定（設備情報）'!$G:$G,0)-1,0),"")</f>
        <v/>
      </c>
      <c r="G308" s="533" t="str">
        <f ca="1">IFERROR(OFFSET('4.1(2)新規再エネ導入予定（設備情報）'!$L$1,MATCH($C308,'4.1(2)新規再エネ導入予定（設備情報）'!$G:$G,0)-1,0),"")</f>
        <v/>
      </c>
      <c r="H308" s="533" t="str">
        <f ca="1">IFERROR(OFFSET('4.1(2)新規再エネ導入予定（設備情報）'!$M$1,MATCH($C308,'4.1(2)新規再エネ導入予定（設備情報）'!$G:$G,0)-1,0),"")</f>
        <v/>
      </c>
      <c r="I308" s="535" t="str">
        <f ca="1">IFERROR(OFFSET('4.1(2)新規再エネ導入予定（設備情報）'!$P$1,MATCH($C308,'4.1(2)新規再エネ導入予定（設備情報）'!$G:$G,0)-1,0),"")</f>
        <v/>
      </c>
    </row>
    <row r="309" spans="1:10" ht="16.5" customHeight="1">
      <c r="B309" s="1386" t="s">
        <v>177</v>
      </c>
      <c r="C309" s="1388" t="s">
        <v>14</v>
      </c>
      <c r="D309" s="1390" t="s">
        <v>216</v>
      </c>
      <c r="E309" s="1392" t="s">
        <v>215</v>
      </c>
      <c r="F309" s="1393"/>
      <c r="G309" s="1394"/>
      <c r="H309" s="1392" t="s">
        <v>108</v>
      </c>
      <c r="I309" s="1394"/>
    </row>
    <row r="310" spans="1:10" ht="42.75" customHeight="1">
      <c r="B310" s="1387"/>
      <c r="C310" s="1389"/>
      <c r="D310" s="1391"/>
      <c r="E310" s="205" t="s">
        <v>287</v>
      </c>
      <c r="F310" s="206" t="s">
        <v>109</v>
      </c>
      <c r="G310" s="206" t="s">
        <v>110</v>
      </c>
      <c r="H310" s="206" t="s">
        <v>274</v>
      </c>
      <c r="I310" s="205" t="s">
        <v>241</v>
      </c>
    </row>
    <row r="311" spans="1:10" ht="46.5" customHeight="1">
      <c r="B311" s="533" t="str">
        <f ca="1">IFERROR(OFFSET('4.1(2)新規再エネ導入予定（設備情報）'!$O$1,MATCH($C308,'4.1(2)新規再エネ導入予定（設備情報）'!$G:$G,0)-1,0),"")</f>
        <v/>
      </c>
      <c r="C311" s="533" t="str">
        <f ca="1">IFERROR(OFFSET('4.1(2)新規再エネ導入予定（設備情報）'!$R$1,MATCH($C308,'4.1(2)新規再エネ導入予定（設備情報）'!$G:$G,0)-1,0),"")</f>
        <v/>
      </c>
      <c r="D311" s="533" t="str">
        <f ca="1">IFERROR(OFFSET('4.1(2)新規再エネ導入予定（設備情報）'!$S$1,MATCH($C308,'4.1(2)新規再エネ導入予定（設備情報）'!$G:$G,0)-1,0),"")</f>
        <v/>
      </c>
      <c r="E311" s="533" t="str">
        <f ca="1">IF($C308="","",IFERROR(OFFSET('4.1(2)新規再エネ導入予定(FS調査、系統接続検討状況)'!$L$1,MATCH($C308,'4.1(2)新規再エネ導入予定(FS調査、系統接続検討状況)'!$G:$G,0)-1,0),""))</f>
        <v/>
      </c>
      <c r="F311" s="533" t="str">
        <f ca="1">IF($C308="","",IFERROR(OFFSET('4.1(2)新規再エネ導入予定(FS調査、系統接続検討状況)'!$M$1,MATCH($C308,'4.1(2)新規再エネ導入予定(FS調査、系統接続検討状況)'!$G:$G,0)-1,0),""))</f>
        <v/>
      </c>
      <c r="G311" s="533" t="str">
        <f ca="1">IF($C308="","",IFERROR(OFFSET('4.1(2)新規再エネ導入予定(FS調査、系統接続検討状況)'!$N$1,MATCH($C308,'4.1(2)新規再エネ導入予定(FS調査、系統接続検討状況)'!$G:$G,0)-1,0),""))</f>
        <v/>
      </c>
      <c r="H311" s="533" t="str" cm="1">
        <f t="array" aca="1" ref="H311" ca="1">IFERROR(_xlfn.IFS(OR(I311="検討不要",I311="検討未実施",I311="(低圧)申込完了",I311="(低圧)申込準備開始",I311="(低圧)申込準備完了"),"－",COUNTIF(OFFSET('4.1(2)新規再エネ導入予定(FS調査、系統接続検討状況)'!$O$1,MATCH($C308,'4.1(2)新規再エネ導入予定(FS調査、系統接続検討状況)'!$G:$G,0)-1,0),"*単独*")=1,"単独",COUNTIF(OFFSET('4.1(2)新規再エネ導入予定(FS調査、系統接続検討状況)'!$O$1,MATCH($C308,'4.1(2)新規再エネ導入予定(FS調査、系統接続検討状況)'!$G:$G,0)-1,0),"*一括*")=1,"一括検討"),"")</f>
        <v/>
      </c>
      <c r="I311" s="536" t="str">
        <f ca="1">IFERROR(SUBSTITUTE(SUBSTITUTE(OFFSET('4.1(2)新規再エネ導入予定(FS調査、系統接続検討状況)'!$O$1,MATCH($C308,'4.1(2)新規再エネ導入予定(FS調査、系統接続検討状況)'!$G:$G,0)-1,0),"(一括)",""),"(単独)",""),"")</f>
        <v/>
      </c>
    </row>
    <row r="313" spans="1:10" ht="19">
      <c r="B313" s="198" t="s">
        <v>214</v>
      </c>
    </row>
    <row r="314" spans="1:10" ht="21">
      <c r="B314" s="207" t="str">
        <f ca="1">IFERROR(_xlfn.TEXTJOIN(" ",1,C306,B308,C308),"")</f>
        <v/>
      </c>
      <c r="C314" s="208"/>
      <c r="D314" s="208"/>
    </row>
    <row r="315" spans="1:10" ht="28.5" customHeight="1">
      <c r="B315" s="209" t="s">
        <v>213</v>
      </c>
      <c r="C315" s="209"/>
      <c r="D315" s="209" t="s">
        <v>212</v>
      </c>
      <c r="E315" s="209"/>
      <c r="F315" s="209" t="s">
        <v>226</v>
      </c>
      <c r="G315" s="209"/>
      <c r="H315" s="209"/>
      <c r="I315" s="292"/>
    </row>
    <row r="316" spans="1:10" ht="114.65" customHeight="1">
      <c r="B316" s="1395" t="s">
        <v>211</v>
      </c>
      <c r="C316" s="210" t="s">
        <v>210</v>
      </c>
      <c r="D316" s="1396" t="s">
        <v>209</v>
      </c>
      <c r="E316" s="1397"/>
      <c r="F316" s="1398"/>
      <c r="G316" s="1399"/>
      <c r="H316" s="1399"/>
      <c r="I316" s="1400"/>
    </row>
    <row r="317" spans="1:10" ht="114.65" customHeight="1">
      <c r="B317" s="1395"/>
      <c r="C317" s="211" t="s">
        <v>208</v>
      </c>
      <c r="D317" s="1396" t="s">
        <v>207</v>
      </c>
      <c r="E317" s="1397"/>
      <c r="F317" s="1398"/>
      <c r="G317" s="1399"/>
      <c r="H317" s="1399"/>
      <c r="I317" s="1400"/>
    </row>
    <row r="318" spans="1:10" ht="114.65" customHeight="1">
      <c r="B318" s="1401">
        <v>2</v>
      </c>
      <c r="C318" s="1401"/>
      <c r="D318" s="1396" t="s">
        <v>206</v>
      </c>
      <c r="E318" s="1397"/>
      <c r="F318" s="1398"/>
      <c r="G318" s="1399"/>
      <c r="H318" s="1399"/>
      <c r="I318" s="1400"/>
    </row>
    <row r="319" spans="1:10" ht="114.65" customHeight="1">
      <c r="B319" s="1402">
        <v>3</v>
      </c>
      <c r="C319" s="211" t="s">
        <v>205</v>
      </c>
      <c r="D319" s="1396" t="s">
        <v>204</v>
      </c>
      <c r="E319" s="1397"/>
      <c r="F319" s="1398"/>
      <c r="G319" s="1399"/>
      <c r="H319" s="1399"/>
      <c r="I319" s="1400"/>
    </row>
    <row r="320" spans="1:10" ht="114.65" customHeight="1">
      <c r="B320" s="1402"/>
      <c r="C320" s="211" t="s">
        <v>203</v>
      </c>
      <c r="D320" s="1396" t="s">
        <v>202</v>
      </c>
      <c r="E320" s="1397"/>
      <c r="F320" s="1398"/>
      <c r="G320" s="1399"/>
      <c r="H320" s="1399"/>
      <c r="I320" s="1400"/>
    </row>
    <row r="321" spans="1:10" ht="115" customHeight="1">
      <c r="B321" s="1401">
        <v>4</v>
      </c>
      <c r="C321" s="1401"/>
      <c r="D321" s="1396" t="s">
        <v>201</v>
      </c>
      <c r="E321" s="1397"/>
      <c r="F321" s="1398"/>
      <c r="G321" s="1399"/>
      <c r="H321" s="1399"/>
      <c r="I321" s="1400"/>
    </row>
    <row r="322" spans="1:10" ht="132" customHeight="1">
      <c r="B322" s="1401">
        <v>5</v>
      </c>
      <c r="C322" s="1401"/>
      <c r="D322" s="1396" t="s">
        <v>200</v>
      </c>
      <c r="E322" s="1397"/>
      <c r="F322" s="1398"/>
      <c r="G322" s="1399"/>
      <c r="H322" s="1399"/>
      <c r="I322" s="1400"/>
    </row>
    <row r="324" spans="1:10">
      <c r="A324" s="212"/>
      <c r="B324" s="212"/>
      <c r="C324" s="212"/>
      <c r="D324" s="212"/>
      <c r="E324" s="212"/>
      <c r="F324" s="212"/>
      <c r="G324" s="212"/>
      <c r="H324" s="212"/>
      <c r="I324" s="293"/>
      <c r="J324" s="212"/>
    </row>
    <row r="325" spans="1:10" ht="23.5">
      <c r="B325" s="200" t="s">
        <v>27</v>
      </c>
      <c r="C325" s="200" t="str">
        <f ca="1">IFERROR(OFFSET('4.1(2)新規再エネ導入予定（設備情報）'!$X$1,MATCH(COUNTIF($B$1:B325,"発電方式"),'4.1(2)新規再エネ導入予定（設備情報）'!$AK:$AK,0)-1,0),"")</f>
        <v/>
      </c>
      <c r="D325" s="201"/>
    </row>
    <row r="326" spans="1:10" ht="39.75" customHeight="1">
      <c r="B326" s="202" t="s">
        <v>8</v>
      </c>
      <c r="C326" s="202" t="s">
        <v>181</v>
      </c>
      <c r="D326" s="203" t="s">
        <v>180</v>
      </c>
      <c r="E326" s="202" t="s">
        <v>9</v>
      </c>
      <c r="F326" s="204" t="s">
        <v>10</v>
      </c>
      <c r="G326" s="203" t="s">
        <v>31</v>
      </c>
      <c r="H326" s="202" t="s">
        <v>13</v>
      </c>
      <c r="I326" s="204" t="s">
        <v>81</v>
      </c>
    </row>
    <row r="327" spans="1:10" ht="36" customHeight="1">
      <c r="B327" s="532" t="str">
        <f ca="1">IFERROR(OFFSET('4.1(2)新規再エネ導入予定（設備情報）'!$F$1,MATCH($C327,'4.1(2)新規再エネ導入予定（設備情報）'!$G:$G,0)-1,0),"")</f>
        <v/>
      </c>
      <c r="C327" s="533" t="str">
        <f ca="1">IFERROR(OFFSET('4.1(2)新規再エネ導入予定（設備情報）'!$G$7,MATCH(COUNTIF($B$1:B325,"発電方式"),'4.1(2)新規再エネ導入予定（設備情報）'!$AK$8:$AK$1000,0),0),"")</f>
        <v/>
      </c>
      <c r="D327" s="532" t="str">
        <f ca="1">IFERROR(OFFSET('4.1(2)新規再エネ導入予定（設備情報）'!$H$1,MATCH($C327,'4.1(2)新規再エネ導入予定（設備情報）'!$G:$G,0)-1,0),"")</f>
        <v/>
      </c>
      <c r="E327" s="534" t="str">
        <f ca="1">IFERROR(OFFSET('4.1(2)新規再エネ導入予定（設備情報）'!$I$1,MATCH($C327,'4.1(2)新規再エネ導入予定（設備情報）'!$G:$G,0)-1,0),"")</f>
        <v/>
      </c>
      <c r="F327" s="534" t="str">
        <f ca="1">IFERROR(OFFSET('4.1(2)新規再エネ導入予定（設備情報）'!$J$1,MATCH($C327,'4.1(2)新規再エネ導入予定（設備情報）'!$G:$G,0)-1,0),"")</f>
        <v/>
      </c>
      <c r="G327" s="533" t="str">
        <f ca="1">IFERROR(OFFSET('4.1(2)新規再エネ導入予定（設備情報）'!$L$1,MATCH($C327,'4.1(2)新規再エネ導入予定（設備情報）'!$G:$G,0)-1,0),"")</f>
        <v/>
      </c>
      <c r="H327" s="533" t="str">
        <f ca="1">IFERROR(OFFSET('4.1(2)新規再エネ導入予定（設備情報）'!$M$1,MATCH($C327,'4.1(2)新規再エネ導入予定（設備情報）'!$G:$G,0)-1,0),"")</f>
        <v/>
      </c>
      <c r="I327" s="535" t="str">
        <f ca="1">IFERROR(OFFSET('4.1(2)新規再エネ導入予定（設備情報）'!$P$1,MATCH($C327,'4.1(2)新規再エネ導入予定（設備情報）'!$G:$G,0)-1,0),"")</f>
        <v/>
      </c>
    </row>
    <row r="328" spans="1:10" ht="16.5" customHeight="1">
      <c r="B328" s="1386" t="s">
        <v>177</v>
      </c>
      <c r="C328" s="1388" t="s">
        <v>14</v>
      </c>
      <c r="D328" s="1390" t="s">
        <v>216</v>
      </c>
      <c r="E328" s="1392" t="s">
        <v>215</v>
      </c>
      <c r="F328" s="1393"/>
      <c r="G328" s="1394"/>
      <c r="H328" s="1392" t="s">
        <v>108</v>
      </c>
      <c r="I328" s="1394"/>
    </row>
    <row r="329" spans="1:10" ht="42.75" customHeight="1">
      <c r="B329" s="1387"/>
      <c r="C329" s="1389"/>
      <c r="D329" s="1391"/>
      <c r="E329" s="205" t="s">
        <v>287</v>
      </c>
      <c r="F329" s="206" t="s">
        <v>109</v>
      </c>
      <c r="G329" s="206" t="s">
        <v>110</v>
      </c>
      <c r="H329" s="206" t="s">
        <v>274</v>
      </c>
      <c r="I329" s="205" t="s">
        <v>241</v>
      </c>
    </row>
    <row r="330" spans="1:10" ht="46.5" customHeight="1">
      <c r="B330" s="533" t="str">
        <f ca="1">IFERROR(OFFSET('4.1(2)新規再エネ導入予定（設備情報）'!$O$1,MATCH($C327,'4.1(2)新規再エネ導入予定（設備情報）'!$G:$G,0)-1,0),"")</f>
        <v/>
      </c>
      <c r="C330" s="533" t="str">
        <f ca="1">IFERROR(OFFSET('4.1(2)新規再エネ導入予定（設備情報）'!$R$1,MATCH($C327,'4.1(2)新規再エネ導入予定（設備情報）'!$G:$G,0)-1,0),"")</f>
        <v/>
      </c>
      <c r="D330" s="533" t="str">
        <f ca="1">IFERROR(OFFSET('4.1(2)新規再エネ導入予定（設備情報）'!$S$1,MATCH($C327,'4.1(2)新規再エネ導入予定（設備情報）'!$G:$G,0)-1,0),"")</f>
        <v/>
      </c>
      <c r="E330" s="533" t="str">
        <f ca="1">IF($C327="","",IFERROR(OFFSET('4.1(2)新規再エネ導入予定(FS調査、系統接続検討状況)'!$L$1,MATCH($C327,'4.1(2)新規再エネ導入予定(FS調査、系統接続検討状況)'!$G:$G,0)-1,0),""))</f>
        <v/>
      </c>
      <c r="F330" s="533" t="str">
        <f ca="1">IF($C327="","",IFERROR(OFFSET('4.1(2)新規再エネ導入予定(FS調査、系統接続検討状況)'!$M$1,MATCH($C327,'4.1(2)新規再エネ導入予定(FS調査、系統接続検討状況)'!$G:$G,0)-1,0),""))</f>
        <v/>
      </c>
      <c r="G330" s="533" t="str">
        <f ca="1">IF($C327="","",IFERROR(OFFSET('4.1(2)新規再エネ導入予定(FS調査、系統接続検討状況)'!$N$1,MATCH($C327,'4.1(2)新規再エネ導入予定(FS調査、系統接続検討状況)'!$G:$G,0)-1,0),""))</f>
        <v/>
      </c>
      <c r="H330" s="533" t="str" cm="1">
        <f t="array" aca="1" ref="H330" ca="1">IFERROR(_xlfn.IFS(OR(I330="検討不要",I330="検討未実施",I330="(低圧)申込完了",I330="(低圧)申込準備開始",I330="(低圧)申込準備完了"),"－",COUNTIF(OFFSET('4.1(2)新規再エネ導入予定(FS調査、系統接続検討状況)'!$O$1,MATCH($C327,'4.1(2)新規再エネ導入予定(FS調査、系統接続検討状況)'!$G:$G,0)-1,0),"*単独*")=1,"単独",COUNTIF(OFFSET('4.1(2)新規再エネ導入予定(FS調査、系統接続検討状況)'!$O$1,MATCH($C327,'4.1(2)新規再エネ導入予定(FS調査、系統接続検討状況)'!$G:$G,0)-1,0),"*一括*")=1,"一括検討"),"")</f>
        <v/>
      </c>
      <c r="I330" s="536" t="str">
        <f ca="1">IFERROR(SUBSTITUTE(SUBSTITUTE(OFFSET('4.1(2)新規再エネ導入予定(FS調査、系統接続検討状況)'!$O$1,MATCH($C327,'4.1(2)新規再エネ導入予定(FS調査、系統接続検討状況)'!$G:$G,0)-1,0),"(一括)",""),"(単独)",""),"")</f>
        <v/>
      </c>
    </row>
    <row r="332" spans="1:10" ht="19">
      <c r="B332" s="198" t="s">
        <v>214</v>
      </c>
    </row>
    <row r="333" spans="1:10" ht="21">
      <c r="B333" s="207" t="str">
        <f ca="1">IFERROR(_xlfn.TEXTJOIN(" ",1,C325,B327,C327),"")</f>
        <v/>
      </c>
      <c r="C333" s="208"/>
      <c r="D333" s="208"/>
    </row>
    <row r="334" spans="1:10" ht="28.5" customHeight="1">
      <c r="B334" s="209" t="s">
        <v>213</v>
      </c>
      <c r="C334" s="209"/>
      <c r="D334" s="209" t="s">
        <v>212</v>
      </c>
      <c r="E334" s="209"/>
      <c r="F334" s="209" t="s">
        <v>226</v>
      </c>
      <c r="G334" s="209"/>
      <c r="H334" s="209"/>
      <c r="I334" s="292"/>
    </row>
    <row r="335" spans="1:10" ht="114.65" customHeight="1">
      <c r="B335" s="1395" t="s">
        <v>211</v>
      </c>
      <c r="C335" s="210" t="s">
        <v>210</v>
      </c>
      <c r="D335" s="1396" t="s">
        <v>209</v>
      </c>
      <c r="E335" s="1397"/>
      <c r="F335" s="1398"/>
      <c r="G335" s="1399"/>
      <c r="H335" s="1399"/>
      <c r="I335" s="1400"/>
    </row>
    <row r="336" spans="1:10" ht="114.65" customHeight="1">
      <c r="B336" s="1395"/>
      <c r="C336" s="211" t="s">
        <v>208</v>
      </c>
      <c r="D336" s="1396" t="s">
        <v>207</v>
      </c>
      <c r="E336" s="1397"/>
      <c r="F336" s="1398"/>
      <c r="G336" s="1399"/>
      <c r="H336" s="1399"/>
      <c r="I336" s="1400"/>
    </row>
    <row r="337" spans="1:10" ht="114.65" customHeight="1">
      <c r="B337" s="1401">
        <v>2</v>
      </c>
      <c r="C337" s="1401"/>
      <c r="D337" s="1396" t="s">
        <v>206</v>
      </c>
      <c r="E337" s="1397"/>
      <c r="F337" s="1398"/>
      <c r="G337" s="1399"/>
      <c r="H337" s="1399"/>
      <c r="I337" s="1400"/>
    </row>
    <row r="338" spans="1:10" ht="114.65" customHeight="1">
      <c r="B338" s="1402">
        <v>3</v>
      </c>
      <c r="C338" s="211" t="s">
        <v>205</v>
      </c>
      <c r="D338" s="1396" t="s">
        <v>204</v>
      </c>
      <c r="E338" s="1397"/>
      <c r="F338" s="1398"/>
      <c r="G338" s="1399"/>
      <c r="H338" s="1399"/>
      <c r="I338" s="1400"/>
    </row>
    <row r="339" spans="1:10" ht="114.65" customHeight="1">
      <c r="B339" s="1402"/>
      <c r="C339" s="211" t="s">
        <v>203</v>
      </c>
      <c r="D339" s="1396" t="s">
        <v>202</v>
      </c>
      <c r="E339" s="1397"/>
      <c r="F339" s="1398"/>
      <c r="G339" s="1399"/>
      <c r="H339" s="1399"/>
      <c r="I339" s="1400"/>
    </row>
    <row r="340" spans="1:10" ht="115" customHeight="1">
      <c r="B340" s="1401">
        <v>4</v>
      </c>
      <c r="C340" s="1401"/>
      <c r="D340" s="1396" t="s">
        <v>201</v>
      </c>
      <c r="E340" s="1397"/>
      <c r="F340" s="1398"/>
      <c r="G340" s="1399"/>
      <c r="H340" s="1399"/>
      <c r="I340" s="1400"/>
    </row>
    <row r="341" spans="1:10" ht="132" customHeight="1">
      <c r="B341" s="1401">
        <v>5</v>
      </c>
      <c r="C341" s="1401"/>
      <c r="D341" s="1396" t="s">
        <v>200</v>
      </c>
      <c r="E341" s="1397"/>
      <c r="F341" s="1398"/>
      <c r="G341" s="1399"/>
      <c r="H341" s="1399"/>
      <c r="I341" s="1400"/>
    </row>
    <row r="343" spans="1:10">
      <c r="A343" s="212"/>
      <c r="B343" s="212"/>
      <c r="C343" s="212"/>
      <c r="D343" s="212"/>
      <c r="E343" s="212"/>
      <c r="F343" s="212"/>
      <c r="G343" s="212"/>
      <c r="H343" s="212"/>
      <c r="I343" s="293"/>
      <c r="J343" s="212"/>
    </row>
    <row r="344" spans="1:10" ht="23.5">
      <c r="B344" s="200" t="s">
        <v>27</v>
      </c>
      <c r="C344" s="200" t="str">
        <f ca="1">IFERROR(OFFSET('4.1(2)新規再エネ導入予定（設備情報）'!$X$1,MATCH(COUNTIF($B$1:B344,"発電方式"),'4.1(2)新規再エネ導入予定（設備情報）'!$AK:$AK,0)-1,0),"")</f>
        <v/>
      </c>
      <c r="D344" s="201"/>
    </row>
    <row r="345" spans="1:10" ht="39.75" customHeight="1">
      <c r="B345" s="202" t="s">
        <v>8</v>
      </c>
      <c r="C345" s="202" t="s">
        <v>181</v>
      </c>
      <c r="D345" s="203" t="s">
        <v>180</v>
      </c>
      <c r="E345" s="202" t="s">
        <v>9</v>
      </c>
      <c r="F345" s="204" t="s">
        <v>10</v>
      </c>
      <c r="G345" s="203" t="s">
        <v>31</v>
      </c>
      <c r="H345" s="202" t="s">
        <v>13</v>
      </c>
      <c r="I345" s="204" t="s">
        <v>81</v>
      </c>
    </row>
    <row r="346" spans="1:10" ht="36" customHeight="1">
      <c r="B346" s="532" t="str">
        <f ca="1">IFERROR(OFFSET('4.1(2)新規再エネ導入予定（設備情報）'!$F$1,MATCH($C346,'4.1(2)新規再エネ導入予定（設備情報）'!$G:$G,0)-1,0),"")</f>
        <v/>
      </c>
      <c r="C346" s="533" t="str">
        <f ca="1">IFERROR(OFFSET('4.1(2)新規再エネ導入予定（設備情報）'!$G$7,MATCH(COUNTIF($B$1:B344,"発電方式"),'4.1(2)新規再エネ導入予定（設備情報）'!$AK$8:$AK$1000,0),0),"")</f>
        <v/>
      </c>
      <c r="D346" s="532" t="str">
        <f ca="1">IFERROR(OFFSET('4.1(2)新規再エネ導入予定（設備情報）'!$H$1,MATCH($C346,'4.1(2)新規再エネ導入予定（設備情報）'!$G:$G,0)-1,0),"")</f>
        <v/>
      </c>
      <c r="E346" s="534" t="str">
        <f ca="1">IFERROR(OFFSET('4.1(2)新規再エネ導入予定（設備情報）'!$I$1,MATCH($C346,'4.1(2)新規再エネ導入予定（設備情報）'!$G:$G,0)-1,0),"")</f>
        <v/>
      </c>
      <c r="F346" s="534" t="str">
        <f ca="1">IFERROR(OFFSET('4.1(2)新規再エネ導入予定（設備情報）'!$J$1,MATCH($C346,'4.1(2)新規再エネ導入予定（設備情報）'!$G:$G,0)-1,0),"")</f>
        <v/>
      </c>
      <c r="G346" s="533" t="str">
        <f ca="1">IFERROR(OFFSET('4.1(2)新規再エネ導入予定（設備情報）'!$L$1,MATCH($C346,'4.1(2)新規再エネ導入予定（設備情報）'!$G:$G,0)-1,0),"")</f>
        <v/>
      </c>
      <c r="H346" s="533" t="str">
        <f ca="1">IFERROR(OFFSET('4.1(2)新規再エネ導入予定（設備情報）'!$M$1,MATCH($C346,'4.1(2)新規再エネ導入予定（設備情報）'!$G:$G,0)-1,0),"")</f>
        <v/>
      </c>
      <c r="I346" s="535" t="str">
        <f ca="1">IFERROR(OFFSET('4.1(2)新規再エネ導入予定（設備情報）'!$P$1,MATCH($C346,'4.1(2)新規再エネ導入予定（設備情報）'!$G:$G,0)-1,0),"")</f>
        <v/>
      </c>
    </row>
    <row r="347" spans="1:10" ht="16.5" customHeight="1">
      <c r="B347" s="1386" t="s">
        <v>177</v>
      </c>
      <c r="C347" s="1388" t="s">
        <v>14</v>
      </c>
      <c r="D347" s="1390" t="s">
        <v>216</v>
      </c>
      <c r="E347" s="1392" t="s">
        <v>215</v>
      </c>
      <c r="F347" s="1393"/>
      <c r="G347" s="1394"/>
      <c r="H347" s="1392" t="s">
        <v>108</v>
      </c>
      <c r="I347" s="1394"/>
    </row>
    <row r="348" spans="1:10" ht="42.75" customHeight="1">
      <c r="B348" s="1387"/>
      <c r="C348" s="1389"/>
      <c r="D348" s="1391"/>
      <c r="E348" s="205" t="s">
        <v>287</v>
      </c>
      <c r="F348" s="206" t="s">
        <v>109</v>
      </c>
      <c r="G348" s="206" t="s">
        <v>110</v>
      </c>
      <c r="H348" s="206" t="s">
        <v>274</v>
      </c>
      <c r="I348" s="205" t="s">
        <v>241</v>
      </c>
    </row>
    <row r="349" spans="1:10" ht="46.5" customHeight="1">
      <c r="B349" s="533" t="str">
        <f ca="1">IFERROR(OFFSET('4.1(2)新規再エネ導入予定（設備情報）'!$O$1,MATCH($C346,'4.1(2)新規再エネ導入予定（設備情報）'!$G:$G,0)-1,0),"")</f>
        <v/>
      </c>
      <c r="C349" s="533" t="str">
        <f ca="1">IFERROR(OFFSET('4.1(2)新規再エネ導入予定（設備情報）'!$R$1,MATCH($C346,'4.1(2)新規再エネ導入予定（設備情報）'!$G:$G,0)-1,0),"")</f>
        <v/>
      </c>
      <c r="D349" s="533" t="str">
        <f ca="1">IFERROR(OFFSET('4.1(2)新規再エネ導入予定（設備情報）'!$S$1,MATCH($C346,'4.1(2)新規再エネ導入予定（設備情報）'!$G:$G,0)-1,0),"")</f>
        <v/>
      </c>
      <c r="E349" s="533" t="str">
        <f ca="1">IF($C346="","",IFERROR(OFFSET('4.1(2)新規再エネ導入予定(FS調査、系統接続検討状況)'!$L$1,MATCH($C346,'4.1(2)新規再エネ導入予定(FS調査、系統接続検討状況)'!$G:$G,0)-1,0),""))</f>
        <v/>
      </c>
      <c r="F349" s="533" t="str">
        <f ca="1">IF($C346="","",IFERROR(OFFSET('4.1(2)新規再エネ導入予定(FS調査、系統接続検討状況)'!$M$1,MATCH($C346,'4.1(2)新規再エネ導入予定(FS調査、系統接続検討状況)'!$G:$G,0)-1,0),""))</f>
        <v/>
      </c>
      <c r="G349" s="533" t="str">
        <f ca="1">IF($C346="","",IFERROR(OFFSET('4.1(2)新規再エネ導入予定(FS調査、系統接続検討状況)'!$N$1,MATCH($C346,'4.1(2)新規再エネ導入予定(FS調査、系統接続検討状況)'!$G:$G,0)-1,0),""))</f>
        <v/>
      </c>
      <c r="H349" s="533" t="str" cm="1">
        <f t="array" aca="1" ref="H349" ca="1">IFERROR(_xlfn.IFS(OR(I349="検討不要",I349="検討未実施",I349="(低圧)申込完了",I349="(低圧)申込準備開始",I349="(低圧)申込準備完了"),"－",COUNTIF(OFFSET('4.1(2)新規再エネ導入予定(FS調査、系統接続検討状況)'!$O$1,MATCH($C346,'4.1(2)新規再エネ導入予定(FS調査、系統接続検討状況)'!$G:$G,0)-1,0),"*単独*")=1,"単独",COUNTIF(OFFSET('4.1(2)新規再エネ導入予定(FS調査、系統接続検討状況)'!$O$1,MATCH($C346,'4.1(2)新規再エネ導入予定(FS調査、系統接続検討状況)'!$G:$G,0)-1,0),"*一括*")=1,"一括検討"),"")</f>
        <v/>
      </c>
      <c r="I349" s="536" t="str">
        <f ca="1">IFERROR(SUBSTITUTE(SUBSTITUTE(OFFSET('4.1(2)新規再エネ導入予定(FS調査、系統接続検討状況)'!$O$1,MATCH($C346,'4.1(2)新規再エネ導入予定(FS調査、系統接続検討状況)'!$G:$G,0)-1,0),"(一括)",""),"(単独)",""),"")</f>
        <v/>
      </c>
    </row>
    <row r="351" spans="1:10" ht="19">
      <c r="B351" s="198" t="s">
        <v>214</v>
      </c>
    </row>
    <row r="352" spans="1:10" ht="21">
      <c r="B352" s="207" t="str">
        <f ca="1">IFERROR(_xlfn.TEXTJOIN(" ",1,C344,B346,C346),"")</f>
        <v/>
      </c>
      <c r="C352" s="208"/>
      <c r="D352" s="208"/>
    </row>
    <row r="353" spans="1:10" ht="28.5" customHeight="1">
      <c r="B353" s="209" t="s">
        <v>213</v>
      </c>
      <c r="C353" s="209"/>
      <c r="D353" s="209" t="s">
        <v>212</v>
      </c>
      <c r="E353" s="209"/>
      <c r="F353" s="209" t="s">
        <v>226</v>
      </c>
      <c r="G353" s="209"/>
      <c r="H353" s="209"/>
      <c r="I353" s="292"/>
    </row>
    <row r="354" spans="1:10" ht="114.65" customHeight="1">
      <c r="B354" s="1395" t="s">
        <v>211</v>
      </c>
      <c r="C354" s="210" t="s">
        <v>210</v>
      </c>
      <c r="D354" s="1396" t="s">
        <v>209</v>
      </c>
      <c r="E354" s="1397"/>
      <c r="F354" s="1398"/>
      <c r="G354" s="1399"/>
      <c r="H354" s="1399"/>
      <c r="I354" s="1400"/>
    </row>
    <row r="355" spans="1:10" ht="114.65" customHeight="1">
      <c r="B355" s="1395"/>
      <c r="C355" s="211" t="s">
        <v>208</v>
      </c>
      <c r="D355" s="1396" t="s">
        <v>207</v>
      </c>
      <c r="E355" s="1397"/>
      <c r="F355" s="1398"/>
      <c r="G355" s="1399"/>
      <c r="H355" s="1399"/>
      <c r="I355" s="1400"/>
    </row>
    <row r="356" spans="1:10" ht="114.65" customHeight="1">
      <c r="B356" s="1401">
        <v>2</v>
      </c>
      <c r="C356" s="1401"/>
      <c r="D356" s="1396" t="s">
        <v>206</v>
      </c>
      <c r="E356" s="1397"/>
      <c r="F356" s="1398"/>
      <c r="G356" s="1399"/>
      <c r="H356" s="1399"/>
      <c r="I356" s="1400"/>
    </row>
    <row r="357" spans="1:10" ht="114.65" customHeight="1">
      <c r="B357" s="1402">
        <v>3</v>
      </c>
      <c r="C357" s="211" t="s">
        <v>205</v>
      </c>
      <c r="D357" s="1396" t="s">
        <v>204</v>
      </c>
      <c r="E357" s="1397"/>
      <c r="F357" s="1398"/>
      <c r="G357" s="1399"/>
      <c r="H357" s="1399"/>
      <c r="I357" s="1400"/>
    </row>
    <row r="358" spans="1:10" ht="114.65" customHeight="1">
      <c r="B358" s="1402"/>
      <c r="C358" s="211" t="s">
        <v>203</v>
      </c>
      <c r="D358" s="1396" t="s">
        <v>202</v>
      </c>
      <c r="E358" s="1397"/>
      <c r="F358" s="1398"/>
      <c r="G358" s="1399"/>
      <c r="H358" s="1399"/>
      <c r="I358" s="1400"/>
    </row>
    <row r="359" spans="1:10" ht="115" customHeight="1">
      <c r="B359" s="1401">
        <v>4</v>
      </c>
      <c r="C359" s="1401"/>
      <c r="D359" s="1396" t="s">
        <v>201</v>
      </c>
      <c r="E359" s="1397"/>
      <c r="F359" s="1398"/>
      <c r="G359" s="1399"/>
      <c r="H359" s="1399"/>
      <c r="I359" s="1400"/>
    </row>
    <row r="360" spans="1:10" ht="132" customHeight="1">
      <c r="B360" s="1401">
        <v>5</v>
      </c>
      <c r="C360" s="1401"/>
      <c r="D360" s="1396" t="s">
        <v>200</v>
      </c>
      <c r="E360" s="1397"/>
      <c r="F360" s="1398"/>
      <c r="G360" s="1399"/>
      <c r="H360" s="1399"/>
      <c r="I360" s="1400"/>
    </row>
    <row r="362" spans="1:10">
      <c r="A362" s="212"/>
      <c r="B362" s="212"/>
      <c r="C362" s="212"/>
      <c r="D362" s="212"/>
      <c r="E362" s="212"/>
      <c r="F362" s="212"/>
      <c r="G362" s="212"/>
      <c r="H362" s="212"/>
      <c r="I362" s="293"/>
      <c r="J362" s="212"/>
    </row>
    <row r="363" spans="1:10" ht="23.5">
      <c r="B363" s="200" t="s">
        <v>27</v>
      </c>
      <c r="C363" s="200" t="str">
        <f ca="1">IFERROR(OFFSET('4.1(2)新規再エネ導入予定（設備情報）'!$X$1,MATCH(COUNTIF($B$1:B363,"発電方式"),'4.1(2)新規再エネ導入予定（設備情報）'!$AK:$AK,0)-1,0),"")</f>
        <v/>
      </c>
      <c r="D363" s="201"/>
    </row>
    <row r="364" spans="1:10" ht="39.75" customHeight="1">
      <c r="B364" s="202" t="s">
        <v>8</v>
      </c>
      <c r="C364" s="202" t="s">
        <v>181</v>
      </c>
      <c r="D364" s="203" t="s">
        <v>180</v>
      </c>
      <c r="E364" s="202" t="s">
        <v>9</v>
      </c>
      <c r="F364" s="204" t="s">
        <v>10</v>
      </c>
      <c r="G364" s="203" t="s">
        <v>31</v>
      </c>
      <c r="H364" s="202" t="s">
        <v>13</v>
      </c>
      <c r="I364" s="204" t="s">
        <v>81</v>
      </c>
    </row>
    <row r="365" spans="1:10" ht="36" customHeight="1">
      <c r="B365" s="532" t="str">
        <f ca="1">IFERROR(OFFSET('4.1(2)新規再エネ導入予定（設備情報）'!$F$1,MATCH($C365,'4.1(2)新規再エネ導入予定（設備情報）'!$G:$G,0)-1,0),"")</f>
        <v/>
      </c>
      <c r="C365" s="533" t="str">
        <f ca="1">IFERROR(OFFSET('4.1(2)新規再エネ導入予定（設備情報）'!$G$7,MATCH(COUNTIF($B$1:B363,"発電方式"),'4.1(2)新規再エネ導入予定（設備情報）'!$AK$8:$AK$1000,0),0),"")</f>
        <v/>
      </c>
      <c r="D365" s="532" t="str">
        <f ca="1">IFERROR(OFFSET('4.1(2)新規再エネ導入予定（設備情報）'!$H$1,MATCH($C365,'4.1(2)新規再エネ導入予定（設備情報）'!$G:$G,0)-1,0),"")</f>
        <v/>
      </c>
      <c r="E365" s="534" t="str">
        <f ca="1">IFERROR(OFFSET('4.1(2)新規再エネ導入予定（設備情報）'!$I$1,MATCH($C365,'4.1(2)新規再エネ導入予定（設備情報）'!$G:$G,0)-1,0),"")</f>
        <v/>
      </c>
      <c r="F365" s="534" t="str">
        <f ca="1">IFERROR(OFFSET('4.1(2)新規再エネ導入予定（設備情報）'!$J$1,MATCH($C365,'4.1(2)新規再エネ導入予定（設備情報）'!$G:$G,0)-1,0),"")</f>
        <v/>
      </c>
      <c r="G365" s="533" t="str">
        <f ca="1">IFERROR(OFFSET('4.1(2)新規再エネ導入予定（設備情報）'!$L$1,MATCH($C365,'4.1(2)新規再エネ導入予定（設備情報）'!$G:$G,0)-1,0),"")</f>
        <v/>
      </c>
      <c r="H365" s="533" t="str">
        <f ca="1">IFERROR(OFFSET('4.1(2)新規再エネ導入予定（設備情報）'!$M$1,MATCH($C365,'4.1(2)新規再エネ導入予定（設備情報）'!$G:$G,0)-1,0),"")</f>
        <v/>
      </c>
      <c r="I365" s="535" t="str">
        <f ca="1">IFERROR(OFFSET('4.1(2)新規再エネ導入予定（設備情報）'!$P$1,MATCH($C365,'4.1(2)新規再エネ導入予定（設備情報）'!$G:$G,0)-1,0),"")</f>
        <v/>
      </c>
    </row>
    <row r="366" spans="1:10" ht="16.5" customHeight="1">
      <c r="B366" s="1386" t="s">
        <v>177</v>
      </c>
      <c r="C366" s="1388" t="s">
        <v>14</v>
      </c>
      <c r="D366" s="1390" t="s">
        <v>216</v>
      </c>
      <c r="E366" s="1392" t="s">
        <v>215</v>
      </c>
      <c r="F366" s="1393"/>
      <c r="G366" s="1394"/>
      <c r="H366" s="1392" t="s">
        <v>108</v>
      </c>
      <c r="I366" s="1394"/>
    </row>
    <row r="367" spans="1:10" ht="42.75" customHeight="1">
      <c r="B367" s="1387"/>
      <c r="C367" s="1389"/>
      <c r="D367" s="1391"/>
      <c r="E367" s="205" t="s">
        <v>287</v>
      </c>
      <c r="F367" s="206" t="s">
        <v>109</v>
      </c>
      <c r="G367" s="206" t="s">
        <v>110</v>
      </c>
      <c r="H367" s="206" t="s">
        <v>274</v>
      </c>
      <c r="I367" s="205" t="s">
        <v>241</v>
      </c>
    </row>
    <row r="368" spans="1:10" ht="46.5" customHeight="1">
      <c r="B368" s="533" t="str">
        <f ca="1">IFERROR(OFFSET('4.1(2)新規再エネ導入予定（設備情報）'!$O$1,MATCH($C365,'4.1(2)新規再エネ導入予定（設備情報）'!$G:$G,0)-1,0),"")</f>
        <v/>
      </c>
      <c r="C368" s="533" t="str">
        <f ca="1">IFERROR(OFFSET('4.1(2)新規再エネ導入予定（設備情報）'!$R$1,MATCH($C365,'4.1(2)新規再エネ導入予定（設備情報）'!$G:$G,0)-1,0),"")</f>
        <v/>
      </c>
      <c r="D368" s="533" t="str">
        <f ca="1">IFERROR(OFFSET('4.1(2)新規再エネ導入予定（設備情報）'!$S$1,MATCH($C365,'4.1(2)新規再エネ導入予定（設備情報）'!$G:$G,0)-1,0),"")</f>
        <v/>
      </c>
      <c r="E368" s="533" t="str">
        <f ca="1">IF($C365="","",IFERROR(OFFSET('4.1(2)新規再エネ導入予定(FS調査、系統接続検討状況)'!$L$1,MATCH($C365,'4.1(2)新規再エネ導入予定(FS調査、系統接続検討状況)'!$G:$G,0)-1,0),""))</f>
        <v/>
      </c>
      <c r="F368" s="533" t="str">
        <f ca="1">IF($C365="","",IFERROR(OFFSET('4.1(2)新規再エネ導入予定(FS調査、系統接続検討状況)'!$M$1,MATCH($C365,'4.1(2)新規再エネ導入予定(FS調査、系統接続検討状況)'!$G:$G,0)-1,0),""))</f>
        <v/>
      </c>
      <c r="G368" s="533" t="str">
        <f ca="1">IF($C365="","",IFERROR(OFFSET('4.1(2)新規再エネ導入予定(FS調査、系統接続検討状況)'!$N$1,MATCH($C365,'4.1(2)新規再エネ導入予定(FS調査、系統接続検討状況)'!$G:$G,0)-1,0),""))</f>
        <v/>
      </c>
      <c r="H368" s="533" t="str" cm="1">
        <f t="array" aca="1" ref="H368" ca="1">IFERROR(_xlfn.IFS(OR(I368="検討不要",I368="検討未実施",I368="(低圧)申込完了",I368="(低圧)申込準備開始",I368="(低圧)申込準備完了"),"－",COUNTIF(OFFSET('4.1(2)新規再エネ導入予定(FS調査、系統接続検討状況)'!$O$1,MATCH($C365,'4.1(2)新規再エネ導入予定(FS調査、系統接続検討状況)'!$G:$G,0)-1,0),"*単独*")=1,"単独",COUNTIF(OFFSET('4.1(2)新規再エネ導入予定(FS調査、系統接続検討状況)'!$O$1,MATCH($C365,'4.1(2)新規再エネ導入予定(FS調査、系統接続検討状況)'!$G:$G,0)-1,0),"*一括*")=1,"一括検討"),"")</f>
        <v/>
      </c>
      <c r="I368" s="536" t="str">
        <f ca="1">IFERROR(SUBSTITUTE(SUBSTITUTE(OFFSET('4.1(2)新規再エネ導入予定(FS調査、系統接続検討状況)'!$O$1,MATCH($C365,'4.1(2)新規再エネ導入予定(FS調査、系統接続検討状況)'!$G:$G,0)-1,0),"(一括)",""),"(単独)",""),"")</f>
        <v/>
      </c>
    </row>
    <row r="370" spans="1:10" ht="19">
      <c r="B370" s="198" t="s">
        <v>214</v>
      </c>
    </row>
    <row r="371" spans="1:10" ht="21">
      <c r="B371" s="207" t="str">
        <f ca="1">IFERROR(_xlfn.TEXTJOIN(" ",1,C363,B365,C365),"")</f>
        <v/>
      </c>
      <c r="C371" s="208"/>
      <c r="D371" s="208"/>
    </row>
    <row r="372" spans="1:10" ht="28.5" customHeight="1">
      <c r="B372" s="209" t="s">
        <v>213</v>
      </c>
      <c r="C372" s="209"/>
      <c r="D372" s="209" t="s">
        <v>212</v>
      </c>
      <c r="E372" s="209"/>
      <c r="F372" s="209" t="s">
        <v>226</v>
      </c>
      <c r="G372" s="209"/>
      <c r="H372" s="209"/>
      <c r="I372" s="292"/>
    </row>
    <row r="373" spans="1:10" ht="114.65" customHeight="1">
      <c r="B373" s="1395" t="s">
        <v>211</v>
      </c>
      <c r="C373" s="210" t="s">
        <v>210</v>
      </c>
      <c r="D373" s="1396" t="s">
        <v>209</v>
      </c>
      <c r="E373" s="1397"/>
      <c r="F373" s="1398"/>
      <c r="G373" s="1399"/>
      <c r="H373" s="1399"/>
      <c r="I373" s="1400"/>
    </row>
    <row r="374" spans="1:10" ht="114.65" customHeight="1">
      <c r="B374" s="1395"/>
      <c r="C374" s="211" t="s">
        <v>208</v>
      </c>
      <c r="D374" s="1396" t="s">
        <v>207</v>
      </c>
      <c r="E374" s="1397"/>
      <c r="F374" s="1398"/>
      <c r="G374" s="1399"/>
      <c r="H374" s="1399"/>
      <c r="I374" s="1400"/>
    </row>
    <row r="375" spans="1:10" ht="114.65" customHeight="1">
      <c r="B375" s="1401">
        <v>2</v>
      </c>
      <c r="C375" s="1401"/>
      <c r="D375" s="1396" t="s">
        <v>206</v>
      </c>
      <c r="E375" s="1397"/>
      <c r="F375" s="1398"/>
      <c r="G375" s="1399"/>
      <c r="H375" s="1399"/>
      <c r="I375" s="1400"/>
    </row>
    <row r="376" spans="1:10" ht="114.65" customHeight="1">
      <c r="B376" s="1402">
        <v>3</v>
      </c>
      <c r="C376" s="211" t="s">
        <v>205</v>
      </c>
      <c r="D376" s="1396" t="s">
        <v>204</v>
      </c>
      <c r="E376" s="1397"/>
      <c r="F376" s="1398"/>
      <c r="G376" s="1399"/>
      <c r="H376" s="1399"/>
      <c r="I376" s="1400"/>
    </row>
    <row r="377" spans="1:10" ht="114.65" customHeight="1">
      <c r="B377" s="1402"/>
      <c r="C377" s="211" t="s">
        <v>203</v>
      </c>
      <c r="D377" s="1396" t="s">
        <v>202</v>
      </c>
      <c r="E377" s="1397"/>
      <c r="F377" s="1398"/>
      <c r="G377" s="1399"/>
      <c r="H377" s="1399"/>
      <c r="I377" s="1400"/>
    </row>
    <row r="378" spans="1:10" ht="115" customHeight="1">
      <c r="B378" s="1401">
        <v>4</v>
      </c>
      <c r="C378" s="1401"/>
      <c r="D378" s="1396" t="s">
        <v>201</v>
      </c>
      <c r="E378" s="1397"/>
      <c r="F378" s="1398"/>
      <c r="G378" s="1399"/>
      <c r="H378" s="1399"/>
      <c r="I378" s="1400"/>
    </row>
    <row r="379" spans="1:10" ht="132" customHeight="1">
      <c r="B379" s="1401">
        <v>5</v>
      </c>
      <c r="C379" s="1401"/>
      <c r="D379" s="1396" t="s">
        <v>200</v>
      </c>
      <c r="E379" s="1397"/>
      <c r="F379" s="1398"/>
      <c r="G379" s="1399"/>
      <c r="H379" s="1399"/>
      <c r="I379" s="1400"/>
    </row>
    <row r="381" spans="1:10">
      <c r="A381" s="212"/>
      <c r="B381" s="212"/>
      <c r="C381" s="212"/>
      <c r="D381" s="212"/>
      <c r="E381" s="212"/>
      <c r="F381" s="212"/>
      <c r="G381" s="212"/>
      <c r="H381" s="212"/>
      <c r="I381" s="293"/>
      <c r="J381" s="212"/>
    </row>
    <row r="382" spans="1:10" ht="23.5">
      <c r="B382" s="200" t="s">
        <v>27</v>
      </c>
      <c r="C382" s="200" t="str">
        <f ca="1">IFERROR(OFFSET('4.1(2)新規再エネ導入予定（設備情報）'!$X$1,MATCH(COUNTIF($B$1:B382,"発電方式"),'4.1(2)新規再エネ導入予定（設備情報）'!$AK:$AK,0)-1,0),"")</f>
        <v/>
      </c>
      <c r="D382" s="201"/>
    </row>
    <row r="383" spans="1:10" ht="39.75" customHeight="1">
      <c r="B383" s="202" t="s">
        <v>8</v>
      </c>
      <c r="C383" s="202" t="s">
        <v>181</v>
      </c>
      <c r="D383" s="203" t="s">
        <v>180</v>
      </c>
      <c r="E383" s="202" t="s">
        <v>9</v>
      </c>
      <c r="F383" s="204" t="s">
        <v>10</v>
      </c>
      <c r="G383" s="203" t="s">
        <v>31</v>
      </c>
      <c r="H383" s="202" t="s">
        <v>13</v>
      </c>
      <c r="I383" s="204" t="s">
        <v>81</v>
      </c>
    </row>
    <row r="384" spans="1:10" ht="36" customHeight="1">
      <c r="B384" s="532" t="str">
        <f ca="1">IFERROR(OFFSET('4.1(2)新規再エネ導入予定（設備情報）'!$F$1,MATCH($C384,'4.1(2)新規再エネ導入予定（設備情報）'!$G:$G,0)-1,0),"")</f>
        <v/>
      </c>
      <c r="C384" s="533" t="str">
        <f ca="1">IFERROR(OFFSET('4.1(2)新規再エネ導入予定（設備情報）'!$G$7,MATCH(COUNTIF($B$1:B382,"発電方式"),'4.1(2)新規再エネ導入予定（設備情報）'!$AK$8:$AK$1000,0),0),"")</f>
        <v/>
      </c>
      <c r="D384" s="532" t="str">
        <f ca="1">IFERROR(OFFSET('4.1(2)新規再エネ導入予定（設備情報）'!$H$1,MATCH($C384,'4.1(2)新規再エネ導入予定（設備情報）'!$G:$G,0)-1,0),"")</f>
        <v/>
      </c>
      <c r="E384" s="534" t="str">
        <f ca="1">IFERROR(OFFSET('4.1(2)新規再エネ導入予定（設備情報）'!$I$1,MATCH($C384,'4.1(2)新規再エネ導入予定（設備情報）'!$G:$G,0)-1,0),"")</f>
        <v/>
      </c>
      <c r="F384" s="534" t="str">
        <f ca="1">IFERROR(OFFSET('4.1(2)新規再エネ導入予定（設備情報）'!$J$1,MATCH($C384,'4.1(2)新規再エネ導入予定（設備情報）'!$G:$G,0)-1,0),"")</f>
        <v/>
      </c>
      <c r="G384" s="533" t="str">
        <f ca="1">IFERROR(OFFSET('4.1(2)新規再エネ導入予定（設備情報）'!$L$1,MATCH($C384,'4.1(2)新規再エネ導入予定（設備情報）'!$G:$G,0)-1,0),"")</f>
        <v/>
      </c>
      <c r="H384" s="533" t="str">
        <f ca="1">IFERROR(OFFSET('4.1(2)新規再エネ導入予定（設備情報）'!$M$1,MATCH($C384,'4.1(2)新規再エネ導入予定（設備情報）'!$G:$G,0)-1,0),"")</f>
        <v/>
      </c>
      <c r="I384" s="535" t="str">
        <f ca="1">IFERROR(OFFSET('4.1(2)新規再エネ導入予定（設備情報）'!$P$1,MATCH($C384,'4.1(2)新規再エネ導入予定（設備情報）'!$G:$G,0)-1,0),"")</f>
        <v/>
      </c>
    </row>
    <row r="385" spans="1:10" ht="16.5" customHeight="1">
      <c r="B385" s="1386" t="s">
        <v>177</v>
      </c>
      <c r="C385" s="1388" t="s">
        <v>14</v>
      </c>
      <c r="D385" s="1390" t="s">
        <v>216</v>
      </c>
      <c r="E385" s="1392" t="s">
        <v>215</v>
      </c>
      <c r="F385" s="1393"/>
      <c r="G385" s="1394"/>
      <c r="H385" s="1392" t="s">
        <v>108</v>
      </c>
      <c r="I385" s="1394"/>
    </row>
    <row r="386" spans="1:10" ht="42.75" customHeight="1">
      <c r="B386" s="1387"/>
      <c r="C386" s="1389"/>
      <c r="D386" s="1391"/>
      <c r="E386" s="205" t="s">
        <v>287</v>
      </c>
      <c r="F386" s="206" t="s">
        <v>109</v>
      </c>
      <c r="G386" s="206" t="s">
        <v>110</v>
      </c>
      <c r="H386" s="206" t="s">
        <v>274</v>
      </c>
      <c r="I386" s="205" t="s">
        <v>241</v>
      </c>
    </row>
    <row r="387" spans="1:10" ht="46.5" customHeight="1">
      <c r="B387" s="533" t="str">
        <f ca="1">IFERROR(OFFSET('4.1(2)新規再エネ導入予定（設備情報）'!$O$1,MATCH($C384,'4.1(2)新規再エネ導入予定（設備情報）'!$G:$G,0)-1,0),"")</f>
        <v/>
      </c>
      <c r="C387" s="533" t="str">
        <f ca="1">IFERROR(OFFSET('4.1(2)新規再エネ導入予定（設備情報）'!$R$1,MATCH($C384,'4.1(2)新規再エネ導入予定（設備情報）'!$G:$G,0)-1,0),"")</f>
        <v/>
      </c>
      <c r="D387" s="533" t="str">
        <f ca="1">IFERROR(OFFSET('4.1(2)新規再エネ導入予定（設備情報）'!$S$1,MATCH($C384,'4.1(2)新規再エネ導入予定（設備情報）'!$G:$G,0)-1,0),"")</f>
        <v/>
      </c>
      <c r="E387" s="533" t="str">
        <f ca="1">IF($C384="","",IFERROR(OFFSET('4.1(2)新規再エネ導入予定(FS調査、系統接続検討状況)'!$L$1,MATCH($C384,'4.1(2)新規再エネ導入予定(FS調査、系統接続検討状況)'!$G:$G,0)-1,0),""))</f>
        <v/>
      </c>
      <c r="F387" s="533" t="str">
        <f ca="1">IF($C384="","",IFERROR(OFFSET('4.1(2)新規再エネ導入予定(FS調査、系統接続検討状況)'!$M$1,MATCH($C384,'4.1(2)新規再エネ導入予定(FS調査、系統接続検討状況)'!$G:$G,0)-1,0),""))</f>
        <v/>
      </c>
      <c r="G387" s="533" t="str">
        <f ca="1">IF($C384="","",IFERROR(OFFSET('4.1(2)新規再エネ導入予定(FS調査、系統接続検討状況)'!$N$1,MATCH($C384,'4.1(2)新規再エネ導入予定(FS調査、系統接続検討状況)'!$G:$G,0)-1,0),""))</f>
        <v/>
      </c>
      <c r="H387" s="533" t="str" cm="1">
        <f t="array" aca="1" ref="H387" ca="1">IFERROR(_xlfn.IFS(OR(I387="検討不要",I387="検討未実施",I387="(低圧)申込完了",I387="(低圧)申込準備開始",I387="(低圧)申込準備完了"),"－",COUNTIF(OFFSET('4.1(2)新規再エネ導入予定(FS調査、系統接続検討状況)'!$O$1,MATCH($C384,'4.1(2)新規再エネ導入予定(FS調査、系統接続検討状況)'!$G:$G,0)-1,0),"*単独*")=1,"単独",COUNTIF(OFFSET('4.1(2)新規再エネ導入予定(FS調査、系統接続検討状況)'!$O$1,MATCH($C384,'4.1(2)新規再エネ導入予定(FS調査、系統接続検討状況)'!$G:$G,0)-1,0),"*一括*")=1,"一括検討"),"")</f>
        <v/>
      </c>
      <c r="I387" s="536" t="str">
        <f ca="1">IFERROR(SUBSTITUTE(SUBSTITUTE(OFFSET('4.1(2)新規再エネ導入予定(FS調査、系統接続検討状況)'!$O$1,MATCH($C384,'4.1(2)新規再エネ導入予定(FS調査、系統接続検討状況)'!$G:$G,0)-1,0),"(一括)",""),"(単独)",""),"")</f>
        <v/>
      </c>
    </row>
    <row r="389" spans="1:10" ht="19">
      <c r="B389" s="198" t="s">
        <v>214</v>
      </c>
    </row>
    <row r="390" spans="1:10" ht="21">
      <c r="B390" s="207" t="str">
        <f ca="1">IFERROR(_xlfn.TEXTJOIN(" ",1,C382,B384,C384),"")</f>
        <v/>
      </c>
      <c r="C390" s="208"/>
      <c r="D390" s="208"/>
    </row>
    <row r="391" spans="1:10" ht="28.5" customHeight="1">
      <c r="B391" s="209" t="s">
        <v>213</v>
      </c>
      <c r="C391" s="209"/>
      <c r="D391" s="209" t="s">
        <v>212</v>
      </c>
      <c r="E391" s="209"/>
      <c r="F391" s="209" t="s">
        <v>226</v>
      </c>
      <c r="G391" s="209"/>
      <c r="H391" s="209"/>
      <c r="I391" s="292"/>
    </row>
    <row r="392" spans="1:10" ht="114.65" customHeight="1">
      <c r="B392" s="1395" t="s">
        <v>211</v>
      </c>
      <c r="C392" s="210" t="s">
        <v>210</v>
      </c>
      <c r="D392" s="1396" t="s">
        <v>209</v>
      </c>
      <c r="E392" s="1397"/>
      <c r="F392" s="1398"/>
      <c r="G392" s="1399"/>
      <c r="H392" s="1399"/>
      <c r="I392" s="1400"/>
    </row>
    <row r="393" spans="1:10" ht="114.65" customHeight="1">
      <c r="B393" s="1395"/>
      <c r="C393" s="211" t="s">
        <v>208</v>
      </c>
      <c r="D393" s="1396" t="s">
        <v>207</v>
      </c>
      <c r="E393" s="1397"/>
      <c r="F393" s="1398"/>
      <c r="G393" s="1399"/>
      <c r="H393" s="1399"/>
      <c r="I393" s="1400"/>
    </row>
    <row r="394" spans="1:10" ht="114.65" customHeight="1">
      <c r="B394" s="1401">
        <v>2</v>
      </c>
      <c r="C394" s="1401"/>
      <c r="D394" s="1396" t="s">
        <v>206</v>
      </c>
      <c r="E394" s="1397"/>
      <c r="F394" s="1398"/>
      <c r="G394" s="1399"/>
      <c r="H394" s="1399"/>
      <c r="I394" s="1400"/>
    </row>
    <row r="395" spans="1:10" ht="114.65" customHeight="1">
      <c r="B395" s="1402">
        <v>3</v>
      </c>
      <c r="C395" s="211" t="s">
        <v>205</v>
      </c>
      <c r="D395" s="1396" t="s">
        <v>204</v>
      </c>
      <c r="E395" s="1397"/>
      <c r="F395" s="1398"/>
      <c r="G395" s="1399"/>
      <c r="H395" s="1399"/>
      <c r="I395" s="1400"/>
    </row>
    <row r="396" spans="1:10" ht="114.65" customHeight="1">
      <c r="B396" s="1402"/>
      <c r="C396" s="211" t="s">
        <v>203</v>
      </c>
      <c r="D396" s="1396" t="s">
        <v>202</v>
      </c>
      <c r="E396" s="1397"/>
      <c r="F396" s="1398"/>
      <c r="G396" s="1399"/>
      <c r="H396" s="1399"/>
      <c r="I396" s="1400"/>
    </row>
    <row r="397" spans="1:10" ht="115" customHeight="1">
      <c r="B397" s="1401">
        <v>4</v>
      </c>
      <c r="C397" s="1401"/>
      <c r="D397" s="1396" t="s">
        <v>201</v>
      </c>
      <c r="E397" s="1397"/>
      <c r="F397" s="1398"/>
      <c r="G397" s="1399"/>
      <c r="H397" s="1399"/>
      <c r="I397" s="1400"/>
    </row>
    <row r="398" spans="1:10" ht="132" customHeight="1">
      <c r="B398" s="1401">
        <v>5</v>
      </c>
      <c r="C398" s="1401"/>
      <c r="D398" s="1396" t="s">
        <v>200</v>
      </c>
      <c r="E398" s="1397"/>
      <c r="F398" s="1398"/>
      <c r="G398" s="1399"/>
      <c r="H398" s="1399"/>
      <c r="I398" s="1400"/>
    </row>
    <row r="400" spans="1:10">
      <c r="A400" s="212"/>
      <c r="B400" s="212"/>
      <c r="C400" s="212"/>
      <c r="D400" s="212"/>
      <c r="E400" s="212"/>
      <c r="F400" s="212"/>
      <c r="G400" s="212"/>
      <c r="H400" s="212"/>
      <c r="I400" s="293"/>
      <c r="J400" s="212"/>
    </row>
    <row r="401" spans="2:9" ht="23.5">
      <c r="B401" s="200" t="s">
        <v>27</v>
      </c>
      <c r="C401" s="200" t="str">
        <f ca="1">IFERROR(OFFSET('4.1(2)新規再エネ導入予定（設備情報）'!$X$1,MATCH(COUNTIF($B$1:B401,"発電方式"),'4.1(2)新規再エネ導入予定（設備情報）'!$AK:$AK,0)-1,0),"")</f>
        <v/>
      </c>
      <c r="D401" s="201"/>
    </row>
    <row r="402" spans="2:9" ht="39.75" customHeight="1">
      <c r="B402" s="202" t="s">
        <v>8</v>
      </c>
      <c r="C402" s="202" t="s">
        <v>181</v>
      </c>
      <c r="D402" s="203" t="s">
        <v>180</v>
      </c>
      <c r="E402" s="202" t="s">
        <v>9</v>
      </c>
      <c r="F402" s="204" t="s">
        <v>10</v>
      </c>
      <c r="G402" s="203" t="s">
        <v>31</v>
      </c>
      <c r="H402" s="202" t="s">
        <v>13</v>
      </c>
      <c r="I402" s="204" t="s">
        <v>81</v>
      </c>
    </row>
    <row r="403" spans="2:9" ht="36" customHeight="1">
      <c r="B403" s="532" t="str">
        <f ca="1">IFERROR(OFFSET('4.1(2)新規再エネ導入予定（設備情報）'!$F$1,MATCH($C403,'4.1(2)新規再エネ導入予定（設備情報）'!$G:$G,0)-1,0),"")</f>
        <v/>
      </c>
      <c r="C403" s="533" t="str">
        <f ca="1">IFERROR(OFFSET('4.1(2)新規再エネ導入予定（設備情報）'!$G$7,MATCH(COUNTIF($B$1:B401,"発電方式"),'4.1(2)新規再エネ導入予定（設備情報）'!$AK$8:$AK$1000,0),0),"")</f>
        <v/>
      </c>
      <c r="D403" s="532" t="str">
        <f ca="1">IFERROR(OFFSET('4.1(2)新規再エネ導入予定（設備情報）'!$H$1,MATCH($C403,'4.1(2)新規再エネ導入予定（設備情報）'!$G:$G,0)-1,0),"")</f>
        <v/>
      </c>
      <c r="E403" s="534" t="str">
        <f ca="1">IFERROR(OFFSET('4.1(2)新規再エネ導入予定（設備情報）'!$I$1,MATCH($C403,'4.1(2)新規再エネ導入予定（設備情報）'!$G:$G,0)-1,0),"")</f>
        <v/>
      </c>
      <c r="F403" s="534" t="str">
        <f ca="1">IFERROR(OFFSET('4.1(2)新規再エネ導入予定（設備情報）'!$J$1,MATCH($C403,'4.1(2)新規再エネ導入予定（設備情報）'!$G:$G,0)-1,0),"")</f>
        <v/>
      </c>
      <c r="G403" s="533" t="str">
        <f ca="1">IFERROR(OFFSET('4.1(2)新規再エネ導入予定（設備情報）'!$L$1,MATCH($C403,'4.1(2)新規再エネ導入予定（設備情報）'!$G:$G,0)-1,0),"")</f>
        <v/>
      </c>
      <c r="H403" s="533" t="str">
        <f ca="1">IFERROR(OFFSET('4.1(2)新規再エネ導入予定（設備情報）'!$M$1,MATCH($C403,'4.1(2)新規再エネ導入予定（設備情報）'!$G:$G,0)-1,0),"")</f>
        <v/>
      </c>
      <c r="I403" s="535" t="str">
        <f ca="1">IFERROR(OFFSET('4.1(2)新規再エネ導入予定（設備情報）'!$P$1,MATCH($C403,'4.1(2)新規再エネ導入予定（設備情報）'!$G:$G,0)-1,0),"")</f>
        <v/>
      </c>
    </row>
    <row r="404" spans="2:9" ht="16.5" customHeight="1">
      <c r="B404" s="1386" t="s">
        <v>177</v>
      </c>
      <c r="C404" s="1388" t="s">
        <v>14</v>
      </c>
      <c r="D404" s="1390" t="s">
        <v>216</v>
      </c>
      <c r="E404" s="1392" t="s">
        <v>215</v>
      </c>
      <c r="F404" s="1393"/>
      <c r="G404" s="1394"/>
      <c r="H404" s="1392" t="s">
        <v>108</v>
      </c>
      <c r="I404" s="1394"/>
    </row>
    <row r="405" spans="2:9" ht="42.75" customHeight="1">
      <c r="B405" s="1387"/>
      <c r="C405" s="1389"/>
      <c r="D405" s="1391"/>
      <c r="E405" s="205" t="s">
        <v>287</v>
      </c>
      <c r="F405" s="206" t="s">
        <v>109</v>
      </c>
      <c r="G405" s="206" t="s">
        <v>110</v>
      </c>
      <c r="H405" s="206" t="s">
        <v>274</v>
      </c>
      <c r="I405" s="205" t="s">
        <v>241</v>
      </c>
    </row>
    <row r="406" spans="2:9" ht="46.5" customHeight="1">
      <c r="B406" s="533" t="str">
        <f ca="1">IFERROR(OFFSET('4.1(2)新規再エネ導入予定（設備情報）'!$O$1,MATCH($C403,'4.1(2)新規再エネ導入予定（設備情報）'!$G:$G,0)-1,0),"")</f>
        <v/>
      </c>
      <c r="C406" s="533" t="str">
        <f ca="1">IFERROR(OFFSET('4.1(2)新規再エネ導入予定（設備情報）'!$R$1,MATCH($C403,'4.1(2)新規再エネ導入予定（設備情報）'!$G:$G,0)-1,0),"")</f>
        <v/>
      </c>
      <c r="D406" s="533" t="str">
        <f ca="1">IFERROR(OFFSET('4.1(2)新規再エネ導入予定（設備情報）'!$S$1,MATCH($C403,'4.1(2)新規再エネ導入予定（設備情報）'!$G:$G,0)-1,0),"")</f>
        <v/>
      </c>
      <c r="E406" s="533" t="str">
        <f ca="1">IF($C403="","",IFERROR(OFFSET('4.1(2)新規再エネ導入予定(FS調査、系統接続検討状況)'!$L$1,MATCH($C403,'4.1(2)新規再エネ導入予定(FS調査、系統接続検討状況)'!$G:$G,0)-1,0),""))</f>
        <v/>
      </c>
      <c r="F406" s="533" t="str">
        <f ca="1">IF($C403="","",IFERROR(OFFSET('4.1(2)新規再エネ導入予定(FS調査、系統接続検討状況)'!$M$1,MATCH($C403,'4.1(2)新規再エネ導入予定(FS調査、系統接続検討状況)'!$G:$G,0)-1,0),""))</f>
        <v/>
      </c>
      <c r="G406" s="533" t="str">
        <f ca="1">IF($C403="","",IFERROR(OFFSET('4.1(2)新規再エネ導入予定(FS調査、系統接続検討状況)'!$N$1,MATCH($C403,'4.1(2)新規再エネ導入予定(FS調査、系統接続検討状況)'!$G:$G,0)-1,0),""))</f>
        <v/>
      </c>
      <c r="H406" s="533" t="str" cm="1">
        <f t="array" aca="1" ref="H406" ca="1">IFERROR(_xlfn.IFS(OR(I406="検討不要",I406="検討未実施",I406="(低圧)申込完了",I406="(低圧)申込準備開始",I406="(低圧)申込準備完了"),"－",COUNTIF(OFFSET('4.1(2)新規再エネ導入予定(FS調査、系統接続検討状況)'!$O$1,MATCH($C403,'4.1(2)新規再エネ導入予定(FS調査、系統接続検討状況)'!$G:$G,0)-1,0),"*単独*")=1,"単独",COUNTIF(OFFSET('4.1(2)新規再エネ導入予定(FS調査、系統接続検討状況)'!$O$1,MATCH($C403,'4.1(2)新規再エネ導入予定(FS調査、系統接続検討状況)'!$G:$G,0)-1,0),"*一括*")=1,"一括検討"),"")</f>
        <v/>
      </c>
      <c r="I406" s="536" t="str">
        <f ca="1">IFERROR(SUBSTITUTE(SUBSTITUTE(OFFSET('4.1(2)新規再エネ導入予定(FS調査、系統接続検討状況)'!$O$1,MATCH($C403,'4.1(2)新規再エネ導入予定(FS調査、系統接続検討状況)'!$G:$G,0)-1,0),"(一括)",""),"(単独)",""),"")</f>
        <v/>
      </c>
    </row>
    <row r="408" spans="2:9" ht="19">
      <c r="B408" s="198" t="s">
        <v>214</v>
      </c>
    </row>
    <row r="409" spans="2:9" ht="21">
      <c r="B409" s="207" t="str">
        <f ca="1">IFERROR(_xlfn.TEXTJOIN(" ",1,C401,B403,C403),"")</f>
        <v/>
      </c>
      <c r="C409" s="208"/>
      <c r="D409" s="208"/>
    </row>
    <row r="410" spans="2:9" ht="28.5" customHeight="1">
      <c r="B410" s="209" t="s">
        <v>213</v>
      </c>
      <c r="C410" s="209"/>
      <c r="D410" s="209" t="s">
        <v>212</v>
      </c>
      <c r="E410" s="209"/>
      <c r="F410" s="209" t="s">
        <v>226</v>
      </c>
      <c r="G410" s="209"/>
      <c r="H410" s="209"/>
      <c r="I410" s="292"/>
    </row>
    <row r="411" spans="2:9" ht="114.65" customHeight="1">
      <c r="B411" s="1395" t="s">
        <v>211</v>
      </c>
      <c r="C411" s="210" t="s">
        <v>210</v>
      </c>
      <c r="D411" s="1396" t="s">
        <v>209</v>
      </c>
      <c r="E411" s="1397"/>
      <c r="F411" s="1398"/>
      <c r="G411" s="1399"/>
      <c r="H411" s="1399"/>
      <c r="I411" s="1400"/>
    </row>
    <row r="412" spans="2:9" ht="114.65" customHeight="1">
      <c r="B412" s="1395"/>
      <c r="C412" s="211" t="s">
        <v>208</v>
      </c>
      <c r="D412" s="1396" t="s">
        <v>207</v>
      </c>
      <c r="E412" s="1397"/>
      <c r="F412" s="1398"/>
      <c r="G412" s="1399"/>
      <c r="H412" s="1399"/>
      <c r="I412" s="1400"/>
    </row>
    <row r="413" spans="2:9" ht="114.65" customHeight="1">
      <c r="B413" s="1401">
        <v>2</v>
      </c>
      <c r="C413" s="1401"/>
      <c r="D413" s="1396" t="s">
        <v>206</v>
      </c>
      <c r="E413" s="1397"/>
      <c r="F413" s="1398"/>
      <c r="G413" s="1399"/>
      <c r="H413" s="1399"/>
      <c r="I413" s="1400"/>
    </row>
    <row r="414" spans="2:9" ht="114.65" customHeight="1">
      <c r="B414" s="1402">
        <v>3</v>
      </c>
      <c r="C414" s="211" t="s">
        <v>205</v>
      </c>
      <c r="D414" s="1396" t="s">
        <v>204</v>
      </c>
      <c r="E414" s="1397"/>
      <c r="F414" s="1398"/>
      <c r="G414" s="1399"/>
      <c r="H414" s="1399"/>
      <c r="I414" s="1400"/>
    </row>
    <row r="415" spans="2:9" ht="114.65" customHeight="1">
      <c r="B415" s="1402"/>
      <c r="C415" s="211" t="s">
        <v>203</v>
      </c>
      <c r="D415" s="1396" t="s">
        <v>202</v>
      </c>
      <c r="E415" s="1397"/>
      <c r="F415" s="1398"/>
      <c r="G415" s="1399"/>
      <c r="H415" s="1399"/>
      <c r="I415" s="1400"/>
    </row>
    <row r="416" spans="2:9" ht="115" customHeight="1">
      <c r="B416" s="1401">
        <v>4</v>
      </c>
      <c r="C416" s="1401"/>
      <c r="D416" s="1396" t="s">
        <v>201</v>
      </c>
      <c r="E416" s="1397"/>
      <c r="F416" s="1398"/>
      <c r="G416" s="1399"/>
      <c r="H416" s="1399"/>
      <c r="I416" s="1400"/>
    </row>
    <row r="417" spans="1:10" ht="132" customHeight="1">
      <c r="B417" s="1401">
        <v>5</v>
      </c>
      <c r="C417" s="1401"/>
      <c r="D417" s="1396" t="s">
        <v>200</v>
      </c>
      <c r="E417" s="1397"/>
      <c r="F417" s="1398"/>
      <c r="G417" s="1399"/>
      <c r="H417" s="1399"/>
      <c r="I417" s="1400"/>
    </row>
    <row r="419" spans="1:10">
      <c r="A419" s="212"/>
      <c r="B419" s="212"/>
      <c r="C419" s="212"/>
      <c r="D419" s="212"/>
      <c r="E419" s="212"/>
      <c r="F419" s="212"/>
      <c r="G419" s="212"/>
      <c r="H419" s="212"/>
      <c r="I419" s="293"/>
      <c r="J419" s="212"/>
    </row>
    <row r="420" spans="1:10" ht="23.5">
      <c r="B420" s="200" t="s">
        <v>27</v>
      </c>
      <c r="C420" s="200" t="str">
        <f ca="1">IFERROR(OFFSET('4.1(2)新規再エネ導入予定（設備情報）'!$X$1,MATCH(COUNTIF($B$1:B420,"発電方式"),'4.1(2)新規再エネ導入予定（設備情報）'!$AK:$AK,0)-1,0),"")</f>
        <v/>
      </c>
      <c r="D420" s="201"/>
    </row>
    <row r="421" spans="1:10" ht="39.75" customHeight="1">
      <c r="B421" s="202" t="s">
        <v>8</v>
      </c>
      <c r="C421" s="202" t="s">
        <v>181</v>
      </c>
      <c r="D421" s="203" t="s">
        <v>180</v>
      </c>
      <c r="E421" s="202" t="s">
        <v>9</v>
      </c>
      <c r="F421" s="204" t="s">
        <v>10</v>
      </c>
      <c r="G421" s="203" t="s">
        <v>31</v>
      </c>
      <c r="H421" s="202" t="s">
        <v>13</v>
      </c>
      <c r="I421" s="204" t="s">
        <v>81</v>
      </c>
    </row>
    <row r="422" spans="1:10" ht="36" customHeight="1">
      <c r="B422" s="532" t="str">
        <f ca="1">IFERROR(OFFSET('4.1(2)新規再エネ導入予定（設備情報）'!$F$1,MATCH($C422,'4.1(2)新規再エネ導入予定（設備情報）'!$G:$G,0)-1,0),"")</f>
        <v/>
      </c>
      <c r="C422" s="533" t="str">
        <f ca="1">IFERROR(OFFSET('4.1(2)新規再エネ導入予定（設備情報）'!$G$7,MATCH(COUNTIF($B$1:B420,"発電方式"),'4.1(2)新規再エネ導入予定（設備情報）'!$AK$8:$AK$1000,0),0),"")</f>
        <v/>
      </c>
      <c r="D422" s="532" t="str">
        <f ca="1">IFERROR(OFFSET('4.1(2)新規再エネ導入予定（設備情報）'!$H$1,MATCH($C422,'4.1(2)新規再エネ導入予定（設備情報）'!$G:$G,0)-1,0),"")</f>
        <v/>
      </c>
      <c r="E422" s="534" t="str">
        <f ca="1">IFERROR(OFFSET('4.1(2)新規再エネ導入予定（設備情報）'!$I$1,MATCH($C422,'4.1(2)新規再エネ導入予定（設備情報）'!$G:$G,0)-1,0),"")</f>
        <v/>
      </c>
      <c r="F422" s="534" t="str">
        <f ca="1">IFERROR(OFFSET('4.1(2)新規再エネ導入予定（設備情報）'!$J$1,MATCH($C422,'4.1(2)新規再エネ導入予定（設備情報）'!$G:$G,0)-1,0),"")</f>
        <v/>
      </c>
      <c r="G422" s="533" t="str">
        <f ca="1">IFERROR(OFFSET('4.1(2)新規再エネ導入予定（設備情報）'!$L$1,MATCH($C422,'4.1(2)新規再エネ導入予定（設備情報）'!$G:$G,0)-1,0),"")</f>
        <v/>
      </c>
      <c r="H422" s="533" t="str">
        <f ca="1">IFERROR(OFFSET('4.1(2)新規再エネ導入予定（設備情報）'!$M$1,MATCH($C422,'4.1(2)新規再エネ導入予定（設備情報）'!$G:$G,0)-1,0),"")</f>
        <v/>
      </c>
      <c r="I422" s="535" t="str">
        <f ca="1">IFERROR(OFFSET('4.1(2)新規再エネ導入予定（設備情報）'!$P$1,MATCH($C422,'4.1(2)新規再エネ導入予定（設備情報）'!$G:$G,0)-1,0),"")</f>
        <v/>
      </c>
    </row>
    <row r="423" spans="1:10" ht="16.5" customHeight="1">
      <c r="B423" s="1386" t="s">
        <v>177</v>
      </c>
      <c r="C423" s="1388" t="s">
        <v>14</v>
      </c>
      <c r="D423" s="1390" t="s">
        <v>216</v>
      </c>
      <c r="E423" s="1392" t="s">
        <v>215</v>
      </c>
      <c r="F423" s="1393"/>
      <c r="G423" s="1394"/>
      <c r="H423" s="1392" t="s">
        <v>108</v>
      </c>
      <c r="I423" s="1394"/>
    </row>
    <row r="424" spans="1:10" ht="42.75" customHeight="1">
      <c r="B424" s="1387"/>
      <c r="C424" s="1389"/>
      <c r="D424" s="1391"/>
      <c r="E424" s="205" t="s">
        <v>287</v>
      </c>
      <c r="F424" s="206" t="s">
        <v>109</v>
      </c>
      <c r="G424" s="206" t="s">
        <v>110</v>
      </c>
      <c r="H424" s="206" t="s">
        <v>274</v>
      </c>
      <c r="I424" s="205" t="s">
        <v>241</v>
      </c>
    </row>
    <row r="425" spans="1:10" ht="46.5" customHeight="1">
      <c r="B425" s="533" t="str">
        <f ca="1">IFERROR(OFFSET('4.1(2)新規再エネ導入予定（設備情報）'!$O$1,MATCH($C422,'4.1(2)新規再エネ導入予定（設備情報）'!$G:$G,0)-1,0),"")</f>
        <v/>
      </c>
      <c r="C425" s="533" t="str">
        <f ca="1">IFERROR(OFFSET('4.1(2)新規再エネ導入予定（設備情報）'!$R$1,MATCH($C422,'4.1(2)新規再エネ導入予定（設備情報）'!$G:$G,0)-1,0),"")</f>
        <v/>
      </c>
      <c r="D425" s="533" t="str">
        <f ca="1">IFERROR(OFFSET('4.1(2)新規再エネ導入予定（設備情報）'!$S$1,MATCH($C422,'4.1(2)新規再エネ導入予定（設備情報）'!$G:$G,0)-1,0),"")</f>
        <v/>
      </c>
      <c r="E425" s="533" t="str">
        <f ca="1">IF($C422="","",IFERROR(OFFSET('4.1(2)新規再エネ導入予定(FS調査、系統接続検討状況)'!$L$1,MATCH($C422,'4.1(2)新規再エネ導入予定(FS調査、系統接続検討状況)'!$G:$G,0)-1,0),""))</f>
        <v/>
      </c>
      <c r="F425" s="533" t="str">
        <f ca="1">IF($C422="","",IFERROR(OFFSET('4.1(2)新規再エネ導入予定(FS調査、系統接続検討状況)'!$M$1,MATCH($C422,'4.1(2)新規再エネ導入予定(FS調査、系統接続検討状況)'!$G:$G,0)-1,0),""))</f>
        <v/>
      </c>
      <c r="G425" s="533" t="str">
        <f ca="1">IF($C422="","",IFERROR(OFFSET('4.1(2)新規再エネ導入予定(FS調査、系統接続検討状況)'!$N$1,MATCH($C422,'4.1(2)新規再エネ導入予定(FS調査、系統接続検討状況)'!$G:$G,0)-1,0),""))</f>
        <v/>
      </c>
      <c r="H425" s="533" t="str" cm="1">
        <f t="array" aca="1" ref="H425" ca="1">IFERROR(_xlfn.IFS(OR(I425="検討不要",I425="検討未実施",I425="(低圧)申込完了",I425="(低圧)申込準備開始",I425="(低圧)申込準備完了"),"－",COUNTIF(OFFSET('4.1(2)新規再エネ導入予定(FS調査、系統接続検討状況)'!$O$1,MATCH($C422,'4.1(2)新規再エネ導入予定(FS調査、系統接続検討状況)'!$G:$G,0)-1,0),"*単独*")=1,"単独",COUNTIF(OFFSET('4.1(2)新規再エネ導入予定(FS調査、系統接続検討状況)'!$O$1,MATCH($C422,'4.1(2)新規再エネ導入予定(FS調査、系統接続検討状況)'!$G:$G,0)-1,0),"*一括*")=1,"一括検討"),"")</f>
        <v/>
      </c>
      <c r="I425" s="536" t="str">
        <f ca="1">IFERROR(SUBSTITUTE(SUBSTITUTE(OFFSET('4.1(2)新規再エネ導入予定(FS調査、系統接続検討状況)'!$O$1,MATCH($C422,'4.1(2)新規再エネ導入予定(FS調査、系統接続検討状況)'!$G:$G,0)-1,0),"(一括)",""),"(単独)",""),"")</f>
        <v/>
      </c>
    </row>
    <row r="427" spans="1:10" ht="19">
      <c r="B427" s="198" t="s">
        <v>214</v>
      </c>
    </row>
    <row r="428" spans="1:10" ht="21">
      <c r="B428" s="207" t="str">
        <f ca="1">IFERROR(_xlfn.TEXTJOIN(" ",1,C420,B422,C422),"")</f>
        <v/>
      </c>
      <c r="C428" s="208"/>
      <c r="D428" s="208"/>
    </row>
    <row r="429" spans="1:10" ht="28.5" customHeight="1">
      <c r="B429" s="209" t="s">
        <v>213</v>
      </c>
      <c r="C429" s="209"/>
      <c r="D429" s="209" t="s">
        <v>212</v>
      </c>
      <c r="E429" s="209"/>
      <c r="F429" s="209" t="s">
        <v>226</v>
      </c>
      <c r="G429" s="209"/>
      <c r="H429" s="209"/>
      <c r="I429" s="292"/>
    </row>
    <row r="430" spans="1:10" ht="114.65" customHeight="1">
      <c r="B430" s="1395" t="s">
        <v>211</v>
      </c>
      <c r="C430" s="210" t="s">
        <v>210</v>
      </c>
      <c r="D430" s="1396" t="s">
        <v>209</v>
      </c>
      <c r="E430" s="1397"/>
      <c r="F430" s="1398"/>
      <c r="G430" s="1399"/>
      <c r="H430" s="1399"/>
      <c r="I430" s="1400"/>
    </row>
    <row r="431" spans="1:10" ht="114.65" customHeight="1">
      <c r="B431" s="1395"/>
      <c r="C431" s="211" t="s">
        <v>208</v>
      </c>
      <c r="D431" s="1396" t="s">
        <v>207</v>
      </c>
      <c r="E431" s="1397"/>
      <c r="F431" s="1398"/>
      <c r="G431" s="1399"/>
      <c r="H431" s="1399"/>
      <c r="I431" s="1400"/>
    </row>
    <row r="432" spans="1:10" ht="114.65" customHeight="1">
      <c r="B432" s="1401">
        <v>2</v>
      </c>
      <c r="C432" s="1401"/>
      <c r="D432" s="1396" t="s">
        <v>206</v>
      </c>
      <c r="E432" s="1397"/>
      <c r="F432" s="1398"/>
      <c r="G432" s="1399"/>
      <c r="H432" s="1399"/>
      <c r="I432" s="1400"/>
    </row>
    <row r="433" spans="1:10" ht="114.65" customHeight="1">
      <c r="B433" s="1402">
        <v>3</v>
      </c>
      <c r="C433" s="211" t="s">
        <v>205</v>
      </c>
      <c r="D433" s="1396" t="s">
        <v>204</v>
      </c>
      <c r="E433" s="1397"/>
      <c r="F433" s="1398"/>
      <c r="G433" s="1399"/>
      <c r="H433" s="1399"/>
      <c r="I433" s="1400"/>
    </row>
    <row r="434" spans="1:10" ht="114.65" customHeight="1">
      <c r="B434" s="1402"/>
      <c r="C434" s="211" t="s">
        <v>203</v>
      </c>
      <c r="D434" s="1396" t="s">
        <v>202</v>
      </c>
      <c r="E434" s="1397"/>
      <c r="F434" s="1398"/>
      <c r="G434" s="1399"/>
      <c r="H434" s="1399"/>
      <c r="I434" s="1400"/>
    </row>
    <row r="435" spans="1:10" ht="115" customHeight="1">
      <c r="B435" s="1401">
        <v>4</v>
      </c>
      <c r="C435" s="1401"/>
      <c r="D435" s="1396" t="s">
        <v>201</v>
      </c>
      <c r="E435" s="1397"/>
      <c r="F435" s="1398"/>
      <c r="G435" s="1399"/>
      <c r="H435" s="1399"/>
      <c r="I435" s="1400"/>
    </row>
    <row r="436" spans="1:10" ht="132" customHeight="1">
      <c r="B436" s="1401">
        <v>5</v>
      </c>
      <c r="C436" s="1401"/>
      <c r="D436" s="1396" t="s">
        <v>200</v>
      </c>
      <c r="E436" s="1397"/>
      <c r="F436" s="1398"/>
      <c r="G436" s="1399"/>
      <c r="H436" s="1399"/>
      <c r="I436" s="1400"/>
    </row>
    <row r="438" spans="1:10">
      <c r="A438" s="212"/>
      <c r="B438" s="212"/>
      <c r="C438" s="212"/>
      <c r="D438" s="212"/>
      <c r="E438" s="212"/>
      <c r="F438" s="212"/>
      <c r="G438" s="212"/>
      <c r="H438" s="212"/>
      <c r="I438" s="293"/>
      <c r="J438" s="212"/>
    </row>
    <row r="439" spans="1:10" ht="23.5">
      <c r="B439" s="200" t="s">
        <v>27</v>
      </c>
      <c r="C439" s="200" t="str">
        <f ca="1">IFERROR(OFFSET('4.1(2)新規再エネ導入予定（設備情報）'!$X$1,MATCH(COUNTIF($B$1:B439,"発電方式"),'4.1(2)新規再エネ導入予定（設備情報）'!$AK:$AK,0)-1,0),"")</f>
        <v/>
      </c>
      <c r="D439" s="201"/>
    </row>
    <row r="440" spans="1:10" ht="39.75" customHeight="1">
      <c r="B440" s="202" t="s">
        <v>8</v>
      </c>
      <c r="C440" s="202" t="s">
        <v>181</v>
      </c>
      <c r="D440" s="203" t="s">
        <v>180</v>
      </c>
      <c r="E440" s="202" t="s">
        <v>9</v>
      </c>
      <c r="F440" s="204" t="s">
        <v>10</v>
      </c>
      <c r="G440" s="203" t="s">
        <v>31</v>
      </c>
      <c r="H440" s="202" t="s">
        <v>13</v>
      </c>
      <c r="I440" s="204" t="s">
        <v>81</v>
      </c>
    </row>
    <row r="441" spans="1:10" ht="36" customHeight="1">
      <c r="B441" s="532" t="str">
        <f ca="1">IFERROR(OFFSET('4.1(2)新規再エネ導入予定（設備情報）'!$F$1,MATCH($C441,'4.1(2)新規再エネ導入予定（設備情報）'!$G:$G,0)-1,0),"")</f>
        <v/>
      </c>
      <c r="C441" s="533" t="str">
        <f ca="1">IFERROR(OFFSET('4.1(2)新規再エネ導入予定（設備情報）'!$G$7,MATCH(COUNTIF($B$1:B439,"発電方式"),'4.1(2)新規再エネ導入予定（設備情報）'!$AK$8:$AK$1000,0),0),"")</f>
        <v/>
      </c>
      <c r="D441" s="532" t="str">
        <f ca="1">IFERROR(OFFSET('4.1(2)新規再エネ導入予定（設備情報）'!$H$1,MATCH($C441,'4.1(2)新規再エネ導入予定（設備情報）'!$G:$G,0)-1,0),"")</f>
        <v/>
      </c>
      <c r="E441" s="534" t="str">
        <f ca="1">IFERROR(OFFSET('4.1(2)新規再エネ導入予定（設備情報）'!$I$1,MATCH($C441,'4.1(2)新規再エネ導入予定（設備情報）'!$G:$G,0)-1,0),"")</f>
        <v/>
      </c>
      <c r="F441" s="534" t="str">
        <f ca="1">IFERROR(OFFSET('4.1(2)新規再エネ導入予定（設備情報）'!$J$1,MATCH($C441,'4.1(2)新規再エネ導入予定（設備情報）'!$G:$G,0)-1,0),"")</f>
        <v/>
      </c>
      <c r="G441" s="533" t="str">
        <f ca="1">IFERROR(OFFSET('4.1(2)新規再エネ導入予定（設備情報）'!$L$1,MATCH($C441,'4.1(2)新規再エネ導入予定（設備情報）'!$G:$G,0)-1,0),"")</f>
        <v/>
      </c>
      <c r="H441" s="533" t="str">
        <f ca="1">IFERROR(OFFSET('4.1(2)新規再エネ導入予定（設備情報）'!$M$1,MATCH($C441,'4.1(2)新規再エネ導入予定（設備情報）'!$G:$G,0)-1,0),"")</f>
        <v/>
      </c>
      <c r="I441" s="535" t="str">
        <f ca="1">IFERROR(OFFSET('4.1(2)新規再エネ導入予定（設備情報）'!$P$1,MATCH($C441,'4.1(2)新規再エネ導入予定（設備情報）'!$G:$G,0)-1,0),"")</f>
        <v/>
      </c>
    </row>
    <row r="442" spans="1:10" ht="16.5" customHeight="1">
      <c r="B442" s="1386" t="s">
        <v>177</v>
      </c>
      <c r="C442" s="1388" t="s">
        <v>14</v>
      </c>
      <c r="D442" s="1390" t="s">
        <v>216</v>
      </c>
      <c r="E442" s="1392" t="s">
        <v>215</v>
      </c>
      <c r="F442" s="1393"/>
      <c r="G442" s="1394"/>
      <c r="H442" s="1392" t="s">
        <v>108</v>
      </c>
      <c r="I442" s="1394"/>
    </row>
    <row r="443" spans="1:10" ht="42.75" customHeight="1">
      <c r="B443" s="1387"/>
      <c r="C443" s="1389"/>
      <c r="D443" s="1391"/>
      <c r="E443" s="205" t="s">
        <v>287</v>
      </c>
      <c r="F443" s="206" t="s">
        <v>109</v>
      </c>
      <c r="G443" s="206" t="s">
        <v>110</v>
      </c>
      <c r="H443" s="206" t="s">
        <v>274</v>
      </c>
      <c r="I443" s="205" t="s">
        <v>241</v>
      </c>
    </row>
    <row r="444" spans="1:10" ht="46.5" customHeight="1">
      <c r="B444" s="533" t="str">
        <f ca="1">IFERROR(OFFSET('4.1(2)新規再エネ導入予定（設備情報）'!$O$1,MATCH($C441,'4.1(2)新規再エネ導入予定（設備情報）'!$G:$G,0)-1,0),"")</f>
        <v/>
      </c>
      <c r="C444" s="533" t="str">
        <f ca="1">IFERROR(OFFSET('4.1(2)新規再エネ導入予定（設備情報）'!$R$1,MATCH($C441,'4.1(2)新規再エネ導入予定（設備情報）'!$G:$G,0)-1,0),"")</f>
        <v/>
      </c>
      <c r="D444" s="533" t="str">
        <f ca="1">IFERROR(OFFSET('4.1(2)新規再エネ導入予定（設備情報）'!$S$1,MATCH($C441,'4.1(2)新規再エネ導入予定（設備情報）'!$G:$G,0)-1,0),"")</f>
        <v/>
      </c>
      <c r="E444" s="533" t="str">
        <f ca="1">IF($C441="","",IFERROR(OFFSET('4.1(2)新規再エネ導入予定(FS調査、系統接続検討状況)'!$L$1,MATCH($C441,'4.1(2)新規再エネ導入予定(FS調査、系統接続検討状況)'!$G:$G,0)-1,0),""))</f>
        <v/>
      </c>
      <c r="F444" s="533" t="str">
        <f ca="1">IF($C441="","",IFERROR(OFFSET('4.1(2)新規再エネ導入予定(FS調査、系統接続検討状況)'!$M$1,MATCH($C441,'4.1(2)新規再エネ導入予定(FS調査、系統接続検討状況)'!$G:$G,0)-1,0),""))</f>
        <v/>
      </c>
      <c r="G444" s="533" t="str">
        <f ca="1">IF($C441="","",IFERROR(OFFSET('4.1(2)新規再エネ導入予定(FS調査、系統接続検討状況)'!$N$1,MATCH($C441,'4.1(2)新規再エネ導入予定(FS調査、系統接続検討状況)'!$G:$G,0)-1,0),""))</f>
        <v/>
      </c>
      <c r="H444" s="533" t="str" cm="1">
        <f t="array" aca="1" ref="H444" ca="1">IFERROR(_xlfn.IFS(OR(I444="検討不要",I444="検討未実施",I444="(低圧)申込完了",I444="(低圧)申込準備開始",I444="(低圧)申込準備完了"),"－",COUNTIF(OFFSET('4.1(2)新規再エネ導入予定(FS調査、系統接続検討状況)'!$O$1,MATCH($C441,'4.1(2)新規再エネ導入予定(FS調査、系統接続検討状況)'!$G:$G,0)-1,0),"*単独*")=1,"単独",COUNTIF(OFFSET('4.1(2)新規再エネ導入予定(FS調査、系統接続検討状況)'!$O$1,MATCH($C441,'4.1(2)新規再エネ導入予定(FS調査、系統接続検討状況)'!$G:$G,0)-1,0),"*一括*")=1,"一括検討"),"")</f>
        <v/>
      </c>
      <c r="I444" s="536" t="str">
        <f ca="1">IFERROR(SUBSTITUTE(SUBSTITUTE(OFFSET('4.1(2)新規再エネ導入予定(FS調査、系統接続検討状況)'!$O$1,MATCH($C441,'4.1(2)新規再エネ導入予定(FS調査、系統接続検討状況)'!$G:$G,0)-1,0),"(一括)",""),"(単独)",""),"")</f>
        <v/>
      </c>
    </row>
    <row r="446" spans="1:10" ht="19">
      <c r="B446" s="198" t="s">
        <v>214</v>
      </c>
    </row>
    <row r="447" spans="1:10" ht="21">
      <c r="B447" s="207" t="str">
        <f ca="1">IFERROR(_xlfn.TEXTJOIN(" ",1,C439,B441,C441),"")</f>
        <v/>
      </c>
      <c r="C447" s="208"/>
      <c r="D447" s="208"/>
    </row>
    <row r="448" spans="1:10" ht="28.5" customHeight="1">
      <c r="B448" s="209" t="s">
        <v>213</v>
      </c>
      <c r="C448" s="209"/>
      <c r="D448" s="209" t="s">
        <v>212</v>
      </c>
      <c r="E448" s="209"/>
      <c r="F448" s="209" t="s">
        <v>226</v>
      </c>
      <c r="G448" s="209"/>
      <c r="H448" s="209"/>
      <c r="I448" s="292"/>
    </row>
    <row r="449" spans="1:10" ht="114.65" customHeight="1">
      <c r="B449" s="1395" t="s">
        <v>211</v>
      </c>
      <c r="C449" s="210" t="s">
        <v>210</v>
      </c>
      <c r="D449" s="1396" t="s">
        <v>209</v>
      </c>
      <c r="E449" s="1397"/>
      <c r="F449" s="1398"/>
      <c r="G449" s="1399"/>
      <c r="H449" s="1399"/>
      <c r="I449" s="1400"/>
    </row>
    <row r="450" spans="1:10" ht="114.65" customHeight="1">
      <c r="B450" s="1395"/>
      <c r="C450" s="211" t="s">
        <v>208</v>
      </c>
      <c r="D450" s="1396" t="s">
        <v>207</v>
      </c>
      <c r="E450" s="1397"/>
      <c r="F450" s="1398"/>
      <c r="G450" s="1399"/>
      <c r="H450" s="1399"/>
      <c r="I450" s="1400"/>
    </row>
    <row r="451" spans="1:10" ht="114.65" customHeight="1">
      <c r="B451" s="1401">
        <v>2</v>
      </c>
      <c r="C451" s="1401"/>
      <c r="D451" s="1396" t="s">
        <v>206</v>
      </c>
      <c r="E451" s="1397"/>
      <c r="F451" s="1398"/>
      <c r="G451" s="1399"/>
      <c r="H451" s="1399"/>
      <c r="I451" s="1400"/>
    </row>
    <row r="452" spans="1:10" ht="114.65" customHeight="1">
      <c r="B452" s="1402">
        <v>3</v>
      </c>
      <c r="C452" s="211" t="s">
        <v>205</v>
      </c>
      <c r="D452" s="1396" t="s">
        <v>204</v>
      </c>
      <c r="E452" s="1397"/>
      <c r="F452" s="1398"/>
      <c r="G452" s="1399"/>
      <c r="H452" s="1399"/>
      <c r="I452" s="1400"/>
    </row>
    <row r="453" spans="1:10" ht="114.65" customHeight="1">
      <c r="B453" s="1402"/>
      <c r="C453" s="211" t="s">
        <v>203</v>
      </c>
      <c r="D453" s="1396" t="s">
        <v>202</v>
      </c>
      <c r="E453" s="1397"/>
      <c r="F453" s="1398"/>
      <c r="G453" s="1399"/>
      <c r="H453" s="1399"/>
      <c r="I453" s="1400"/>
    </row>
    <row r="454" spans="1:10" ht="115" customHeight="1">
      <c r="B454" s="1401">
        <v>4</v>
      </c>
      <c r="C454" s="1401"/>
      <c r="D454" s="1396" t="s">
        <v>201</v>
      </c>
      <c r="E454" s="1397"/>
      <c r="F454" s="1398"/>
      <c r="G454" s="1399"/>
      <c r="H454" s="1399"/>
      <c r="I454" s="1400"/>
    </row>
    <row r="455" spans="1:10" ht="132" customHeight="1">
      <c r="B455" s="1401">
        <v>5</v>
      </c>
      <c r="C455" s="1401"/>
      <c r="D455" s="1396" t="s">
        <v>200</v>
      </c>
      <c r="E455" s="1397"/>
      <c r="F455" s="1398"/>
      <c r="G455" s="1399"/>
      <c r="H455" s="1399"/>
      <c r="I455" s="1400"/>
    </row>
    <row r="457" spans="1:10">
      <c r="A457" s="212"/>
      <c r="B457" s="212"/>
      <c r="C457" s="212"/>
      <c r="D457" s="212"/>
      <c r="E457" s="212"/>
      <c r="F457" s="212"/>
      <c r="G457" s="212"/>
      <c r="H457" s="212"/>
      <c r="I457" s="293"/>
      <c r="J457" s="212"/>
    </row>
    <row r="458" spans="1:10" ht="23.5">
      <c r="B458" s="200" t="s">
        <v>27</v>
      </c>
      <c r="C458" s="200" t="str">
        <f ca="1">IFERROR(OFFSET('4.1(2)新規再エネ導入予定（設備情報）'!$X$1,MATCH(COUNTIF($B$1:B458,"発電方式"),'4.1(2)新規再エネ導入予定（設備情報）'!$AK:$AK,0)-1,0),"")</f>
        <v/>
      </c>
      <c r="D458" s="201"/>
    </row>
    <row r="459" spans="1:10" ht="39.75" customHeight="1">
      <c r="B459" s="202" t="s">
        <v>8</v>
      </c>
      <c r="C459" s="202" t="s">
        <v>181</v>
      </c>
      <c r="D459" s="203" t="s">
        <v>180</v>
      </c>
      <c r="E459" s="202" t="s">
        <v>9</v>
      </c>
      <c r="F459" s="204" t="s">
        <v>10</v>
      </c>
      <c r="G459" s="203" t="s">
        <v>31</v>
      </c>
      <c r="H459" s="202" t="s">
        <v>13</v>
      </c>
      <c r="I459" s="204" t="s">
        <v>81</v>
      </c>
    </row>
    <row r="460" spans="1:10" ht="36" customHeight="1">
      <c r="B460" s="532" t="str">
        <f ca="1">IFERROR(OFFSET('4.1(2)新規再エネ導入予定（設備情報）'!$F$1,MATCH($C460,'4.1(2)新規再エネ導入予定（設備情報）'!$G:$G,0)-1,0),"")</f>
        <v/>
      </c>
      <c r="C460" s="533" t="str">
        <f ca="1">IFERROR(OFFSET('4.1(2)新規再エネ導入予定（設備情報）'!$G$7,MATCH(COUNTIF($B$1:B458,"発電方式"),'4.1(2)新規再エネ導入予定（設備情報）'!$AK$8:$AK$1000,0),0),"")</f>
        <v/>
      </c>
      <c r="D460" s="532" t="str">
        <f ca="1">IFERROR(OFFSET('4.1(2)新規再エネ導入予定（設備情報）'!$H$1,MATCH($C460,'4.1(2)新規再エネ導入予定（設備情報）'!$G:$G,0)-1,0),"")</f>
        <v/>
      </c>
      <c r="E460" s="534" t="str">
        <f ca="1">IFERROR(OFFSET('4.1(2)新規再エネ導入予定（設備情報）'!$I$1,MATCH($C460,'4.1(2)新規再エネ導入予定（設備情報）'!$G:$G,0)-1,0),"")</f>
        <v/>
      </c>
      <c r="F460" s="534" t="str">
        <f ca="1">IFERROR(OFFSET('4.1(2)新規再エネ導入予定（設備情報）'!$J$1,MATCH($C460,'4.1(2)新規再エネ導入予定（設備情報）'!$G:$G,0)-1,0),"")</f>
        <v/>
      </c>
      <c r="G460" s="533" t="str">
        <f ca="1">IFERROR(OFFSET('4.1(2)新規再エネ導入予定（設備情報）'!$L$1,MATCH($C460,'4.1(2)新規再エネ導入予定（設備情報）'!$G:$G,0)-1,0),"")</f>
        <v/>
      </c>
      <c r="H460" s="533" t="str">
        <f ca="1">IFERROR(OFFSET('4.1(2)新規再エネ導入予定（設備情報）'!$M$1,MATCH($C460,'4.1(2)新規再エネ導入予定（設備情報）'!$G:$G,0)-1,0),"")</f>
        <v/>
      </c>
      <c r="I460" s="535" t="str">
        <f ca="1">IFERROR(OFFSET('4.1(2)新規再エネ導入予定（設備情報）'!$P$1,MATCH($C460,'4.1(2)新規再エネ導入予定（設備情報）'!$G:$G,0)-1,0),"")</f>
        <v/>
      </c>
    </row>
    <row r="461" spans="1:10" ht="16.5" customHeight="1">
      <c r="B461" s="1386" t="s">
        <v>177</v>
      </c>
      <c r="C461" s="1388" t="s">
        <v>14</v>
      </c>
      <c r="D461" s="1390" t="s">
        <v>216</v>
      </c>
      <c r="E461" s="1392" t="s">
        <v>215</v>
      </c>
      <c r="F461" s="1393"/>
      <c r="G461" s="1394"/>
      <c r="H461" s="1392" t="s">
        <v>108</v>
      </c>
      <c r="I461" s="1394"/>
    </row>
    <row r="462" spans="1:10" ht="42.75" customHeight="1">
      <c r="B462" s="1387"/>
      <c r="C462" s="1389"/>
      <c r="D462" s="1391"/>
      <c r="E462" s="205" t="s">
        <v>287</v>
      </c>
      <c r="F462" s="206" t="s">
        <v>109</v>
      </c>
      <c r="G462" s="206" t="s">
        <v>110</v>
      </c>
      <c r="H462" s="206" t="s">
        <v>274</v>
      </c>
      <c r="I462" s="205" t="s">
        <v>241</v>
      </c>
    </row>
    <row r="463" spans="1:10" ht="46.5" customHeight="1">
      <c r="B463" s="533" t="str">
        <f ca="1">IFERROR(OFFSET('4.1(2)新規再エネ導入予定（設備情報）'!$O$1,MATCH($C460,'4.1(2)新規再エネ導入予定（設備情報）'!$G:$G,0)-1,0),"")</f>
        <v/>
      </c>
      <c r="C463" s="533" t="str">
        <f ca="1">IFERROR(OFFSET('4.1(2)新規再エネ導入予定（設備情報）'!$R$1,MATCH($C460,'4.1(2)新規再エネ導入予定（設備情報）'!$G:$G,0)-1,0),"")</f>
        <v/>
      </c>
      <c r="D463" s="533" t="str">
        <f ca="1">IFERROR(OFFSET('4.1(2)新規再エネ導入予定（設備情報）'!$S$1,MATCH($C460,'4.1(2)新規再エネ導入予定（設備情報）'!$G:$G,0)-1,0),"")</f>
        <v/>
      </c>
      <c r="E463" s="533" t="str">
        <f ca="1">IF($C460="","",IFERROR(OFFSET('4.1(2)新規再エネ導入予定(FS調査、系統接続検討状況)'!$L$1,MATCH($C460,'4.1(2)新規再エネ導入予定(FS調査、系統接続検討状況)'!$G:$G,0)-1,0),""))</f>
        <v/>
      </c>
      <c r="F463" s="533" t="str">
        <f ca="1">IF($C460="","",IFERROR(OFFSET('4.1(2)新規再エネ導入予定(FS調査、系統接続検討状況)'!$M$1,MATCH($C460,'4.1(2)新規再エネ導入予定(FS調査、系統接続検討状況)'!$G:$G,0)-1,0),""))</f>
        <v/>
      </c>
      <c r="G463" s="533" t="str">
        <f ca="1">IF($C460="","",IFERROR(OFFSET('4.1(2)新規再エネ導入予定(FS調査、系統接続検討状況)'!$N$1,MATCH($C460,'4.1(2)新規再エネ導入予定(FS調査、系統接続検討状況)'!$G:$G,0)-1,0),""))</f>
        <v/>
      </c>
      <c r="H463" s="533" t="str" cm="1">
        <f t="array" aca="1" ref="H463" ca="1">IFERROR(_xlfn.IFS(OR(I463="検討不要",I463="検討未実施",I463="(低圧)申込完了",I463="(低圧)申込準備開始",I463="(低圧)申込準備完了"),"－",COUNTIF(OFFSET('4.1(2)新規再エネ導入予定(FS調査、系統接続検討状況)'!$O$1,MATCH($C460,'4.1(2)新規再エネ導入予定(FS調査、系統接続検討状況)'!$G:$G,0)-1,0),"*単独*")=1,"単独",COUNTIF(OFFSET('4.1(2)新規再エネ導入予定(FS調査、系統接続検討状況)'!$O$1,MATCH($C460,'4.1(2)新規再エネ導入予定(FS調査、系統接続検討状況)'!$G:$G,0)-1,0),"*一括*")=1,"一括検討"),"")</f>
        <v/>
      </c>
      <c r="I463" s="536" t="str">
        <f ca="1">IFERROR(SUBSTITUTE(SUBSTITUTE(OFFSET('4.1(2)新規再エネ導入予定(FS調査、系統接続検討状況)'!$O$1,MATCH($C460,'4.1(2)新規再エネ導入予定(FS調査、系統接続検討状況)'!$G:$G,0)-1,0),"(一括)",""),"(単独)",""),"")</f>
        <v/>
      </c>
    </row>
    <row r="465" spans="1:10" ht="19">
      <c r="B465" s="198" t="s">
        <v>214</v>
      </c>
    </row>
    <row r="466" spans="1:10" ht="21">
      <c r="B466" s="207" t="str">
        <f ca="1">IFERROR(_xlfn.TEXTJOIN(" ",1,C458,B460,C460),"")</f>
        <v/>
      </c>
      <c r="C466" s="208"/>
      <c r="D466" s="208"/>
    </row>
    <row r="467" spans="1:10" ht="28.5" customHeight="1">
      <c r="B467" s="209" t="s">
        <v>213</v>
      </c>
      <c r="C467" s="209"/>
      <c r="D467" s="209" t="s">
        <v>212</v>
      </c>
      <c r="E467" s="209"/>
      <c r="F467" s="209" t="s">
        <v>226</v>
      </c>
      <c r="G467" s="209"/>
      <c r="H467" s="209"/>
      <c r="I467" s="292"/>
    </row>
    <row r="468" spans="1:10" ht="114.65" customHeight="1">
      <c r="B468" s="1395" t="s">
        <v>211</v>
      </c>
      <c r="C468" s="210" t="s">
        <v>210</v>
      </c>
      <c r="D468" s="1396" t="s">
        <v>209</v>
      </c>
      <c r="E468" s="1397"/>
      <c r="F468" s="1398"/>
      <c r="G468" s="1399"/>
      <c r="H468" s="1399"/>
      <c r="I468" s="1400"/>
    </row>
    <row r="469" spans="1:10" ht="114.65" customHeight="1">
      <c r="B469" s="1395"/>
      <c r="C469" s="211" t="s">
        <v>208</v>
      </c>
      <c r="D469" s="1396" t="s">
        <v>207</v>
      </c>
      <c r="E469" s="1397"/>
      <c r="F469" s="1398"/>
      <c r="G469" s="1399"/>
      <c r="H469" s="1399"/>
      <c r="I469" s="1400"/>
    </row>
    <row r="470" spans="1:10" ht="114.65" customHeight="1">
      <c r="B470" s="1401">
        <v>2</v>
      </c>
      <c r="C470" s="1401"/>
      <c r="D470" s="1396" t="s">
        <v>206</v>
      </c>
      <c r="E470" s="1397"/>
      <c r="F470" s="1398"/>
      <c r="G470" s="1399"/>
      <c r="H470" s="1399"/>
      <c r="I470" s="1400"/>
    </row>
    <row r="471" spans="1:10" ht="114.65" customHeight="1">
      <c r="B471" s="1402">
        <v>3</v>
      </c>
      <c r="C471" s="211" t="s">
        <v>205</v>
      </c>
      <c r="D471" s="1396" t="s">
        <v>204</v>
      </c>
      <c r="E471" s="1397"/>
      <c r="F471" s="1398"/>
      <c r="G471" s="1399"/>
      <c r="H471" s="1399"/>
      <c r="I471" s="1400"/>
    </row>
    <row r="472" spans="1:10" ht="114.65" customHeight="1">
      <c r="B472" s="1402"/>
      <c r="C472" s="211" t="s">
        <v>203</v>
      </c>
      <c r="D472" s="1396" t="s">
        <v>202</v>
      </c>
      <c r="E472" s="1397"/>
      <c r="F472" s="1398"/>
      <c r="G472" s="1399"/>
      <c r="H472" s="1399"/>
      <c r="I472" s="1400"/>
    </row>
    <row r="473" spans="1:10" ht="115" customHeight="1">
      <c r="B473" s="1401">
        <v>4</v>
      </c>
      <c r="C473" s="1401"/>
      <c r="D473" s="1396" t="s">
        <v>201</v>
      </c>
      <c r="E473" s="1397"/>
      <c r="F473" s="1398"/>
      <c r="G473" s="1399"/>
      <c r="H473" s="1399"/>
      <c r="I473" s="1400"/>
    </row>
    <row r="474" spans="1:10" ht="132" customHeight="1">
      <c r="B474" s="1401">
        <v>5</v>
      </c>
      <c r="C474" s="1401"/>
      <c r="D474" s="1396" t="s">
        <v>200</v>
      </c>
      <c r="E474" s="1397"/>
      <c r="F474" s="1398"/>
      <c r="G474" s="1399"/>
      <c r="H474" s="1399"/>
      <c r="I474" s="1400"/>
    </row>
    <row r="476" spans="1:10">
      <c r="A476" s="212"/>
      <c r="B476" s="212"/>
      <c r="C476" s="212"/>
      <c r="D476" s="212"/>
      <c r="E476" s="212"/>
      <c r="F476" s="212"/>
      <c r="G476" s="212"/>
      <c r="H476" s="212"/>
      <c r="I476" s="293"/>
      <c r="J476" s="212"/>
    </row>
    <row r="477" spans="1:10" ht="23.5">
      <c r="B477" s="200" t="s">
        <v>27</v>
      </c>
      <c r="C477" s="200" t="str">
        <f ca="1">IFERROR(OFFSET('4.1(2)新規再エネ導入予定（設備情報）'!$X$1,MATCH(COUNTIF($B$1:B477,"発電方式"),'4.1(2)新規再エネ導入予定（設備情報）'!$AK:$AK,0)-1,0),"")</f>
        <v/>
      </c>
      <c r="D477" s="201"/>
    </row>
    <row r="478" spans="1:10" ht="39.75" customHeight="1">
      <c r="B478" s="202" t="s">
        <v>8</v>
      </c>
      <c r="C478" s="202" t="s">
        <v>181</v>
      </c>
      <c r="D478" s="203" t="s">
        <v>180</v>
      </c>
      <c r="E478" s="202" t="s">
        <v>9</v>
      </c>
      <c r="F478" s="204" t="s">
        <v>10</v>
      </c>
      <c r="G478" s="203" t="s">
        <v>31</v>
      </c>
      <c r="H478" s="202" t="s">
        <v>13</v>
      </c>
      <c r="I478" s="204" t="s">
        <v>81</v>
      </c>
    </row>
    <row r="479" spans="1:10" ht="36" customHeight="1">
      <c r="B479" s="532" t="str">
        <f ca="1">IFERROR(OFFSET('4.1(2)新規再エネ導入予定（設備情報）'!$F$1,MATCH($C479,'4.1(2)新規再エネ導入予定（設備情報）'!$G:$G,0)-1,0),"")</f>
        <v/>
      </c>
      <c r="C479" s="533" t="str">
        <f ca="1">IFERROR(OFFSET('4.1(2)新規再エネ導入予定（設備情報）'!$G$7,MATCH(COUNTIF($B$1:B477,"発電方式"),'4.1(2)新規再エネ導入予定（設備情報）'!$AK$8:$AK$1000,0),0),"")</f>
        <v/>
      </c>
      <c r="D479" s="532" t="str">
        <f ca="1">IFERROR(OFFSET('4.1(2)新規再エネ導入予定（設備情報）'!$H$1,MATCH($C479,'4.1(2)新規再エネ導入予定（設備情報）'!$G:$G,0)-1,0),"")</f>
        <v/>
      </c>
      <c r="E479" s="534" t="str">
        <f ca="1">IFERROR(OFFSET('4.1(2)新規再エネ導入予定（設備情報）'!$I$1,MATCH($C479,'4.1(2)新規再エネ導入予定（設備情報）'!$G:$G,0)-1,0),"")</f>
        <v/>
      </c>
      <c r="F479" s="534" t="str">
        <f ca="1">IFERROR(OFFSET('4.1(2)新規再エネ導入予定（設備情報）'!$J$1,MATCH($C479,'4.1(2)新規再エネ導入予定（設備情報）'!$G:$G,0)-1,0),"")</f>
        <v/>
      </c>
      <c r="G479" s="533" t="str">
        <f ca="1">IFERROR(OFFSET('4.1(2)新規再エネ導入予定（設備情報）'!$L$1,MATCH($C479,'4.1(2)新規再エネ導入予定（設備情報）'!$G:$G,0)-1,0),"")</f>
        <v/>
      </c>
      <c r="H479" s="533" t="str">
        <f ca="1">IFERROR(OFFSET('4.1(2)新規再エネ導入予定（設備情報）'!$M$1,MATCH($C479,'4.1(2)新規再エネ導入予定（設備情報）'!$G:$G,0)-1,0),"")</f>
        <v/>
      </c>
      <c r="I479" s="535" t="str">
        <f ca="1">IFERROR(OFFSET('4.1(2)新規再エネ導入予定（設備情報）'!$P$1,MATCH($C479,'4.1(2)新規再エネ導入予定（設備情報）'!$G:$G,0)-1,0),"")</f>
        <v/>
      </c>
    </row>
    <row r="480" spans="1:10" ht="16.5" customHeight="1">
      <c r="B480" s="1386" t="s">
        <v>177</v>
      </c>
      <c r="C480" s="1388" t="s">
        <v>14</v>
      </c>
      <c r="D480" s="1390" t="s">
        <v>216</v>
      </c>
      <c r="E480" s="1392" t="s">
        <v>215</v>
      </c>
      <c r="F480" s="1393"/>
      <c r="G480" s="1394"/>
      <c r="H480" s="1392" t="s">
        <v>108</v>
      </c>
      <c r="I480" s="1394"/>
    </row>
    <row r="481" spans="1:10" ht="42.75" customHeight="1">
      <c r="B481" s="1387"/>
      <c r="C481" s="1389"/>
      <c r="D481" s="1391"/>
      <c r="E481" s="205" t="s">
        <v>287</v>
      </c>
      <c r="F481" s="206" t="s">
        <v>109</v>
      </c>
      <c r="G481" s="206" t="s">
        <v>110</v>
      </c>
      <c r="H481" s="206" t="s">
        <v>274</v>
      </c>
      <c r="I481" s="205" t="s">
        <v>241</v>
      </c>
    </row>
    <row r="482" spans="1:10" ht="46.5" customHeight="1">
      <c r="B482" s="533" t="str">
        <f ca="1">IFERROR(OFFSET('4.1(2)新規再エネ導入予定（設備情報）'!$O$1,MATCH($C479,'4.1(2)新規再エネ導入予定（設備情報）'!$G:$G,0)-1,0),"")</f>
        <v/>
      </c>
      <c r="C482" s="533" t="str">
        <f ca="1">IFERROR(OFFSET('4.1(2)新規再エネ導入予定（設備情報）'!$R$1,MATCH($C479,'4.1(2)新規再エネ導入予定（設備情報）'!$G:$G,0)-1,0),"")</f>
        <v/>
      </c>
      <c r="D482" s="533" t="str">
        <f ca="1">IFERROR(OFFSET('4.1(2)新規再エネ導入予定（設備情報）'!$S$1,MATCH($C479,'4.1(2)新規再エネ導入予定（設備情報）'!$G:$G,0)-1,0),"")</f>
        <v/>
      </c>
      <c r="E482" s="533" t="str">
        <f ca="1">IF($C479="","",IFERROR(OFFSET('4.1(2)新規再エネ導入予定(FS調査、系統接続検討状況)'!$L$1,MATCH($C479,'4.1(2)新規再エネ導入予定(FS調査、系統接続検討状況)'!$G:$G,0)-1,0),""))</f>
        <v/>
      </c>
      <c r="F482" s="533" t="str">
        <f ca="1">IF($C479="","",IFERROR(OFFSET('4.1(2)新規再エネ導入予定(FS調査、系統接続検討状況)'!$M$1,MATCH($C479,'4.1(2)新規再エネ導入予定(FS調査、系統接続検討状況)'!$G:$G,0)-1,0),""))</f>
        <v/>
      </c>
      <c r="G482" s="533" t="str">
        <f ca="1">IF($C479="","",IFERROR(OFFSET('4.1(2)新規再エネ導入予定(FS調査、系統接続検討状況)'!$N$1,MATCH($C479,'4.1(2)新規再エネ導入予定(FS調査、系統接続検討状況)'!$G:$G,0)-1,0),""))</f>
        <v/>
      </c>
      <c r="H482" s="533" t="str" cm="1">
        <f t="array" aca="1" ref="H482" ca="1">IFERROR(_xlfn.IFS(OR(I482="検討不要",I482="検討未実施",I482="(低圧)申込完了",I482="(低圧)申込準備開始",I482="(低圧)申込準備完了"),"－",COUNTIF(OFFSET('4.1(2)新規再エネ導入予定(FS調査、系統接続検討状況)'!$O$1,MATCH($C479,'4.1(2)新規再エネ導入予定(FS調査、系統接続検討状況)'!$G:$G,0)-1,0),"*単独*")=1,"単独",COUNTIF(OFFSET('4.1(2)新規再エネ導入予定(FS調査、系統接続検討状況)'!$O$1,MATCH($C479,'4.1(2)新規再エネ導入予定(FS調査、系統接続検討状況)'!$G:$G,0)-1,0),"*一括*")=1,"一括検討"),"")</f>
        <v/>
      </c>
      <c r="I482" s="536" t="str">
        <f ca="1">IFERROR(SUBSTITUTE(SUBSTITUTE(OFFSET('4.1(2)新規再エネ導入予定(FS調査、系統接続検討状況)'!$O$1,MATCH($C479,'4.1(2)新規再エネ導入予定(FS調査、系統接続検討状況)'!$G:$G,0)-1,0),"(一括)",""),"(単独)",""),"")</f>
        <v/>
      </c>
    </row>
    <row r="484" spans="1:10" ht="19">
      <c r="B484" s="198" t="s">
        <v>214</v>
      </c>
    </row>
    <row r="485" spans="1:10" ht="21">
      <c r="B485" s="207" t="str">
        <f ca="1">IFERROR(_xlfn.TEXTJOIN(" ",1,C477,B479,C479),"")</f>
        <v/>
      </c>
      <c r="C485" s="208"/>
      <c r="D485" s="208"/>
    </row>
    <row r="486" spans="1:10" ht="28.5" customHeight="1">
      <c r="B486" s="209" t="s">
        <v>213</v>
      </c>
      <c r="C486" s="209"/>
      <c r="D486" s="209" t="s">
        <v>212</v>
      </c>
      <c r="E486" s="209"/>
      <c r="F486" s="209" t="s">
        <v>226</v>
      </c>
      <c r="G486" s="209"/>
      <c r="H486" s="209"/>
      <c r="I486" s="292"/>
    </row>
    <row r="487" spans="1:10" ht="114.65" customHeight="1">
      <c r="B487" s="1395" t="s">
        <v>211</v>
      </c>
      <c r="C487" s="210" t="s">
        <v>210</v>
      </c>
      <c r="D487" s="1396" t="s">
        <v>209</v>
      </c>
      <c r="E487" s="1397"/>
      <c r="F487" s="1398"/>
      <c r="G487" s="1399"/>
      <c r="H487" s="1399"/>
      <c r="I487" s="1400"/>
    </row>
    <row r="488" spans="1:10" ht="114.65" customHeight="1">
      <c r="B488" s="1395"/>
      <c r="C488" s="211" t="s">
        <v>208</v>
      </c>
      <c r="D488" s="1396" t="s">
        <v>207</v>
      </c>
      <c r="E488" s="1397"/>
      <c r="F488" s="1398"/>
      <c r="G488" s="1399"/>
      <c r="H488" s="1399"/>
      <c r="I488" s="1400"/>
    </row>
    <row r="489" spans="1:10" ht="114.65" customHeight="1">
      <c r="B489" s="1401">
        <v>2</v>
      </c>
      <c r="C489" s="1401"/>
      <c r="D489" s="1396" t="s">
        <v>206</v>
      </c>
      <c r="E489" s="1397"/>
      <c r="F489" s="1398"/>
      <c r="G489" s="1399"/>
      <c r="H489" s="1399"/>
      <c r="I489" s="1400"/>
    </row>
    <row r="490" spans="1:10" ht="114.65" customHeight="1">
      <c r="B490" s="1402">
        <v>3</v>
      </c>
      <c r="C490" s="211" t="s">
        <v>205</v>
      </c>
      <c r="D490" s="1396" t="s">
        <v>204</v>
      </c>
      <c r="E490" s="1397"/>
      <c r="F490" s="1398"/>
      <c r="G490" s="1399"/>
      <c r="H490" s="1399"/>
      <c r="I490" s="1400"/>
    </row>
    <row r="491" spans="1:10" ht="114.65" customHeight="1">
      <c r="B491" s="1402"/>
      <c r="C491" s="211" t="s">
        <v>203</v>
      </c>
      <c r="D491" s="1396" t="s">
        <v>202</v>
      </c>
      <c r="E491" s="1397"/>
      <c r="F491" s="1398"/>
      <c r="G491" s="1399"/>
      <c r="H491" s="1399"/>
      <c r="I491" s="1400"/>
    </row>
    <row r="492" spans="1:10" ht="115" customHeight="1">
      <c r="B492" s="1401">
        <v>4</v>
      </c>
      <c r="C492" s="1401"/>
      <c r="D492" s="1396" t="s">
        <v>201</v>
      </c>
      <c r="E492" s="1397"/>
      <c r="F492" s="1398"/>
      <c r="G492" s="1399"/>
      <c r="H492" s="1399"/>
      <c r="I492" s="1400"/>
    </row>
    <row r="493" spans="1:10" ht="132" customHeight="1">
      <c r="B493" s="1401">
        <v>5</v>
      </c>
      <c r="C493" s="1401"/>
      <c r="D493" s="1396" t="s">
        <v>200</v>
      </c>
      <c r="E493" s="1397"/>
      <c r="F493" s="1398"/>
      <c r="G493" s="1399"/>
      <c r="H493" s="1399"/>
      <c r="I493" s="1400"/>
    </row>
    <row r="495" spans="1:10">
      <c r="A495" s="212"/>
      <c r="B495" s="212"/>
      <c r="C495" s="212"/>
      <c r="D495" s="212"/>
      <c r="E495" s="212"/>
      <c r="F495" s="212"/>
      <c r="G495" s="212"/>
      <c r="H495" s="212"/>
      <c r="I495" s="293"/>
      <c r="J495" s="212"/>
    </row>
    <row r="496" spans="1:10" ht="23.5">
      <c r="B496" s="200" t="s">
        <v>27</v>
      </c>
      <c r="C496" s="200" t="str">
        <f ca="1">IFERROR(OFFSET('4.1(2)新規再エネ導入予定（設備情報）'!$X$1,MATCH(COUNTIF($B$1:B496,"発電方式"),'4.1(2)新規再エネ導入予定（設備情報）'!$AK:$AK,0)-1,0),"")</f>
        <v/>
      </c>
      <c r="D496" s="201"/>
    </row>
    <row r="497" spans="2:9" ht="39.75" customHeight="1">
      <c r="B497" s="202" t="s">
        <v>8</v>
      </c>
      <c r="C497" s="202" t="s">
        <v>181</v>
      </c>
      <c r="D497" s="203" t="s">
        <v>180</v>
      </c>
      <c r="E497" s="202" t="s">
        <v>9</v>
      </c>
      <c r="F497" s="204" t="s">
        <v>10</v>
      </c>
      <c r="G497" s="203" t="s">
        <v>31</v>
      </c>
      <c r="H497" s="202" t="s">
        <v>13</v>
      </c>
      <c r="I497" s="204" t="s">
        <v>81</v>
      </c>
    </row>
    <row r="498" spans="2:9" ht="36" customHeight="1">
      <c r="B498" s="532" t="str">
        <f ca="1">IFERROR(OFFSET('4.1(2)新規再エネ導入予定（設備情報）'!$F$1,MATCH($C498,'4.1(2)新規再エネ導入予定（設備情報）'!$G:$G,0)-1,0),"")</f>
        <v/>
      </c>
      <c r="C498" s="533" t="str">
        <f ca="1">IFERROR(OFFSET('4.1(2)新規再エネ導入予定（設備情報）'!$G$7,MATCH(COUNTIF($B$1:B496,"発電方式"),'4.1(2)新規再エネ導入予定（設備情報）'!$AK$8:$AK$1000,0),0),"")</f>
        <v/>
      </c>
      <c r="D498" s="532" t="str">
        <f ca="1">IFERROR(OFFSET('4.1(2)新規再エネ導入予定（設備情報）'!$H$1,MATCH($C498,'4.1(2)新規再エネ導入予定（設備情報）'!$G:$G,0)-1,0),"")</f>
        <v/>
      </c>
      <c r="E498" s="534" t="str">
        <f ca="1">IFERROR(OFFSET('4.1(2)新規再エネ導入予定（設備情報）'!$I$1,MATCH($C498,'4.1(2)新規再エネ導入予定（設備情報）'!$G:$G,0)-1,0),"")</f>
        <v/>
      </c>
      <c r="F498" s="534" t="str">
        <f ca="1">IFERROR(OFFSET('4.1(2)新規再エネ導入予定（設備情報）'!$J$1,MATCH($C498,'4.1(2)新規再エネ導入予定（設備情報）'!$G:$G,0)-1,0),"")</f>
        <v/>
      </c>
      <c r="G498" s="533" t="str">
        <f ca="1">IFERROR(OFFSET('4.1(2)新規再エネ導入予定（設備情報）'!$L$1,MATCH($C498,'4.1(2)新規再エネ導入予定（設備情報）'!$G:$G,0)-1,0),"")</f>
        <v/>
      </c>
      <c r="H498" s="533" t="str">
        <f ca="1">IFERROR(OFFSET('4.1(2)新規再エネ導入予定（設備情報）'!$M$1,MATCH($C498,'4.1(2)新規再エネ導入予定（設備情報）'!$G:$G,0)-1,0),"")</f>
        <v/>
      </c>
      <c r="I498" s="535" t="str">
        <f ca="1">IFERROR(OFFSET('4.1(2)新規再エネ導入予定（設備情報）'!$P$1,MATCH($C498,'4.1(2)新規再エネ導入予定（設備情報）'!$G:$G,0)-1,0),"")</f>
        <v/>
      </c>
    </row>
    <row r="499" spans="2:9" ht="16.5" customHeight="1">
      <c r="B499" s="1386" t="s">
        <v>177</v>
      </c>
      <c r="C499" s="1388" t="s">
        <v>14</v>
      </c>
      <c r="D499" s="1390" t="s">
        <v>216</v>
      </c>
      <c r="E499" s="1392" t="s">
        <v>215</v>
      </c>
      <c r="F499" s="1393"/>
      <c r="G499" s="1394"/>
      <c r="H499" s="1392" t="s">
        <v>108</v>
      </c>
      <c r="I499" s="1394"/>
    </row>
    <row r="500" spans="2:9" ht="42.75" customHeight="1">
      <c r="B500" s="1387"/>
      <c r="C500" s="1389"/>
      <c r="D500" s="1391"/>
      <c r="E500" s="205" t="s">
        <v>287</v>
      </c>
      <c r="F500" s="206" t="s">
        <v>109</v>
      </c>
      <c r="G500" s="206" t="s">
        <v>110</v>
      </c>
      <c r="H500" s="206" t="s">
        <v>274</v>
      </c>
      <c r="I500" s="205" t="s">
        <v>241</v>
      </c>
    </row>
    <row r="501" spans="2:9" ht="46.5" customHeight="1">
      <c r="B501" s="533" t="str">
        <f ca="1">IFERROR(OFFSET('4.1(2)新規再エネ導入予定（設備情報）'!$O$1,MATCH($C498,'4.1(2)新規再エネ導入予定（設備情報）'!$G:$G,0)-1,0),"")</f>
        <v/>
      </c>
      <c r="C501" s="533" t="str">
        <f ca="1">IFERROR(OFFSET('4.1(2)新規再エネ導入予定（設備情報）'!$R$1,MATCH($C498,'4.1(2)新規再エネ導入予定（設備情報）'!$G:$G,0)-1,0),"")</f>
        <v/>
      </c>
      <c r="D501" s="533" t="str">
        <f ca="1">IFERROR(OFFSET('4.1(2)新規再エネ導入予定（設備情報）'!$S$1,MATCH($C498,'4.1(2)新規再エネ導入予定（設備情報）'!$G:$G,0)-1,0),"")</f>
        <v/>
      </c>
      <c r="E501" s="533" t="str">
        <f ca="1">IF($C498="","",IFERROR(OFFSET('4.1(2)新規再エネ導入予定(FS調査、系統接続検討状況)'!$L$1,MATCH($C498,'4.1(2)新規再エネ導入予定(FS調査、系統接続検討状況)'!$G:$G,0)-1,0),""))</f>
        <v/>
      </c>
      <c r="F501" s="533" t="str">
        <f ca="1">IF($C498="","",IFERROR(OFFSET('4.1(2)新規再エネ導入予定(FS調査、系統接続検討状況)'!$M$1,MATCH($C498,'4.1(2)新規再エネ導入予定(FS調査、系統接続検討状況)'!$G:$G,0)-1,0),""))</f>
        <v/>
      </c>
      <c r="G501" s="533" t="str">
        <f ca="1">IF($C498="","",IFERROR(OFFSET('4.1(2)新規再エネ導入予定(FS調査、系統接続検討状況)'!$N$1,MATCH($C498,'4.1(2)新規再エネ導入予定(FS調査、系統接続検討状況)'!$G:$G,0)-1,0),""))</f>
        <v/>
      </c>
      <c r="H501" s="533" t="str" cm="1">
        <f t="array" aca="1" ref="H501" ca="1">IFERROR(_xlfn.IFS(OR(I501="検討不要",I501="検討未実施",I501="(低圧)申込完了",I501="(低圧)申込準備開始",I501="(低圧)申込準備完了"),"－",COUNTIF(OFFSET('4.1(2)新規再エネ導入予定(FS調査、系統接続検討状況)'!$O$1,MATCH($C498,'4.1(2)新規再エネ導入予定(FS調査、系統接続検討状況)'!$G:$G,0)-1,0),"*単独*")=1,"単独",COUNTIF(OFFSET('4.1(2)新規再エネ導入予定(FS調査、系統接続検討状況)'!$O$1,MATCH($C498,'4.1(2)新規再エネ導入予定(FS調査、系統接続検討状況)'!$G:$G,0)-1,0),"*一括*")=1,"一括検討"),"")</f>
        <v/>
      </c>
      <c r="I501" s="536" t="str">
        <f ca="1">IFERROR(SUBSTITUTE(SUBSTITUTE(OFFSET('4.1(2)新規再エネ導入予定(FS調査、系統接続検討状況)'!$O$1,MATCH($C498,'4.1(2)新規再エネ導入予定(FS調査、系統接続検討状況)'!$G:$G,0)-1,0),"(一括)",""),"(単独)",""),"")</f>
        <v/>
      </c>
    </row>
    <row r="503" spans="2:9" ht="19">
      <c r="B503" s="198" t="s">
        <v>214</v>
      </c>
    </row>
    <row r="504" spans="2:9" ht="21">
      <c r="B504" s="207" t="str">
        <f ca="1">IFERROR(_xlfn.TEXTJOIN(" ",1,C496,B498,C498),"")</f>
        <v/>
      </c>
      <c r="C504" s="208"/>
      <c r="D504" s="208"/>
    </row>
    <row r="505" spans="2:9" ht="28.5" customHeight="1">
      <c r="B505" s="209" t="s">
        <v>213</v>
      </c>
      <c r="C505" s="209"/>
      <c r="D505" s="209" t="s">
        <v>212</v>
      </c>
      <c r="E505" s="209"/>
      <c r="F505" s="209" t="s">
        <v>226</v>
      </c>
      <c r="G505" s="209"/>
      <c r="H505" s="209"/>
      <c r="I505" s="292"/>
    </row>
    <row r="506" spans="2:9" ht="114.65" customHeight="1">
      <c r="B506" s="1395" t="s">
        <v>211</v>
      </c>
      <c r="C506" s="210" t="s">
        <v>210</v>
      </c>
      <c r="D506" s="1396" t="s">
        <v>209</v>
      </c>
      <c r="E506" s="1397"/>
      <c r="F506" s="1398"/>
      <c r="G506" s="1399"/>
      <c r="H506" s="1399"/>
      <c r="I506" s="1400"/>
    </row>
    <row r="507" spans="2:9" ht="114.65" customHeight="1">
      <c r="B507" s="1395"/>
      <c r="C507" s="211" t="s">
        <v>208</v>
      </c>
      <c r="D507" s="1396" t="s">
        <v>207</v>
      </c>
      <c r="E507" s="1397"/>
      <c r="F507" s="1398"/>
      <c r="G507" s="1399"/>
      <c r="H507" s="1399"/>
      <c r="I507" s="1400"/>
    </row>
    <row r="508" spans="2:9" ht="114.65" customHeight="1">
      <c r="B508" s="1401">
        <v>2</v>
      </c>
      <c r="C508" s="1401"/>
      <c r="D508" s="1396" t="s">
        <v>206</v>
      </c>
      <c r="E508" s="1397"/>
      <c r="F508" s="1398"/>
      <c r="G508" s="1399"/>
      <c r="H508" s="1399"/>
      <c r="I508" s="1400"/>
    </row>
    <row r="509" spans="2:9" ht="114.65" customHeight="1">
      <c r="B509" s="1402">
        <v>3</v>
      </c>
      <c r="C509" s="211" t="s">
        <v>205</v>
      </c>
      <c r="D509" s="1396" t="s">
        <v>204</v>
      </c>
      <c r="E509" s="1397"/>
      <c r="F509" s="1398"/>
      <c r="G509" s="1399"/>
      <c r="H509" s="1399"/>
      <c r="I509" s="1400"/>
    </row>
    <row r="510" spans="2:9" ht="114.65" customHeight="1">
      <c r="B510" s="1402"/>
      <c r="C510" s="211" t="s">
        <v>203</v>
      </c>
      <c r="D510" s="1396" t="s">
        <v>202</v>
      </c>
      <c r="E510" s="1397"/>
      <c r="F510" s="1398"/>
      <c r="G510" s="1399"/>
      <c r="H510" s="1399"/>
      <c r="I510" s="1400"/>
    </row>
    <row r="511" spans="2:9" ht="115" customHeight="1">
      <c r="B511" s="1401">
        <v>4</v>
      </c>
      <c r="C511" s="1401"/>
      <c r="D511" s="1396" t="s">
        <v>201</v>
      </c>
      <c r="E511" s="1397"/>
      <c r="F511" s="1398"/>
      <c r="G511" s="1399"/>
      <c r="H511" s="1399"/>
      <c r="I511" s="1400"/>
    </row>
    <row r="512" spans="2:9" ht="132" customHeight="1">
      <c r="B512" s="1401">
        <v>5</v>
      </c>
      <c r="C512" s="1401"/>
      <c r="D512" s="1396" t="s">
        <v>200</v>
      </c>
      <c r="E512" s="1397"/>
      <c r="F512" s="1398"/>
      <c r="G512" s="1399"/>
      <c r="H512" s="1399"/>
      <c r="I512" s="1400"/>
    </row>
    <row r="514" spans="1:10">
      <c r="A514" s="212"/>
      <c r="B514" s="212"/>
      <c r="C514" s="212"/>
      <c r="D514" s="212"/>
      <c r="E514" s="212"/>
      <c r="F514" s="212"/>
      <c r="G514" s="212"/>
      <c r="H514" s="212"/>
      <c r="I514" s="293"/>
      <c r="J514" s="212"/>
    </row>
    <row r="515" spans="1:10" ht="23.5">
      <c r="B515" s="200" t="s">
        <v>27</v>
      </c>
      <c r="C515" s="200" t="str">
        <f ca="1">IFERROR(OFFSET('4.1(2)新規再エネ導入予定（設備情報）'!$X$1,MATCH(COUNTIF($B$1:B515,"発電方式"),'4.1(2)新規再エネ導入予定（設備情報）'!$AK:$AK,0)-1,0),"")</f>
        <v/>
      </c>
      <c r="D515" s="201"/>
    </row>
    <row r="516" spans="1:10" ht="39.75" customHeight="1">
      <c r="B516" s="202" t="s">
        <v>8</v>
      </c>
      <c r="C516" s="202" t="s">
        <v>181</v>
      </c>
      <c r="D516" s="203" t="s">
        <v>180</v>
      </c>
      <c r="E516" s="202" t="s">
        <v>9</v>
      </c>
      <c r="F516" s="204" t="s">
        <v>10</v>
      </c>
      <c r="G516" s="203" t="s">
        <v>31</v>
      </c>
      <c r="H516" s="202" t="s">
        <v>13</v>
      </c>
      <c r="I516" s="204" t="s">
        <v>81</v>
      </c>
    </row>
    <row r="517" spans="1:10" ht="36" customHeight="1">
      <c r="B517" s="532" t="str">
        <f ca="1">IFERROR(OFFSET('4.1(2)新規再エネ導入予定（設備情報）'!$F$1,MATCH($C517,'4.1(2)新規再エネ導入予定（設備情報）'!$G:$G,0)-1,0),"")</f>
        <v/>
      </c>
      <c r="C517" s="533" t="str">
        <f ca="1">IFERROR(OFFSET('4.1(2)新規再エネ導入予定（設備情報）'!$G$7,MATCH(COUNTIF($B$1:B515,"発電方式"),'4.1(2)新規再エネ導入予定（設備情報）'!$AK$8:$AK$1000,0),0),"")</f>
        <v/>
      </c>
      <c r="D517" s="532" t="str">
        <f ca="1">IFERROR(OFFSET('4.1(2)新規再エネ導入予定（設備情報）'!$H$1,MATCH($C517,'4.1(2)新規再エネ導入予定（設備情報）'!$G:$G,0)-1,0),"")</f>
        <v/>
      </c>
      <c r="E517" s="534" t="str">
        <f ca="1">IFERROR(OFFSET('4.1(2)新規再エネ導入予定（設備情報）'!$I$1,MATCH($C517,'4.1(2)新規再エネ導入予定（設備情報）'!$G:$G,0)-1,0),"")</f>
        <v/>
      </c>
      <c r="F517" s="534" t="str">
        <f ca="1">IFERROR(OFFSET('4.1(2)新規再エネ導入予定（設備情報）'!$J$1,MATCH($C517,'4.1(2)新規再エネ導入予定（設備情報）'!$G:$G,0)-1,0),"")</f>
        <v/>
      </c>
      <c r="G517" s="533" t="str">
        <f ca="1">IFERROR(OFFSET('4.1(2)新規再エネ導入予定（設備情報）'!$L$1,MATCH($C517,'4.1(2)新規再エネ導入予定（設備情報）'!$G:$G,0)-1,0),"")</f>
        <v/>
      </c>
      <c r="H517" s="533" t="str">
        <f ca="1">IFERROR(OFFSET('4.1(2)新規再エネ導入予定（設備情報）'!$M$1,MATCH($C517,'4.1(2)新規再エネ導入予定（設備情報）'!$G:$G,0)-1,0),"")</f>
        <v/>
      </c>
      <c r="I517" s="535" t="str">
        <f ca="1">IFERROR(OFFSET('4.1(2)新規再エネ導入予定（設備情報）'!$P$1,MATCH($C517,'4.1(2)新規再エネ導入予定（設備情報）'!$G:$G,0)-1,0),"")</f>
        <v/>
      </c>
    </row>
    <row r="518" spans="1:10" ht="16.5" customHeight="1">
      <c r="B518" s="1386" t="s">
        <v>177</v>
      </c>
      <c r="C518" s="1388" t="s">
        <v>14</v>
      </c>
      <c r="D518" s="1390" t="s">
        <v>216</v>
      </c>
      <c r="E518" s="1392" t="s">
        <v>215</v>
      </c>
      <c r="F518" s="1393"/>
      <c r="G518" s="1394"/>
      <c r="H518" s="1392" t="s">
        <v>108</v>
      </c>
      <c r="I518" s="1394"/>
    </row>
    <row r="519" spans="1:10" ht="42.75" customHeight="1">
      <c r="B519" s="1387"/>
      <c r="C519" s="1389"/>
      <c r="D519" s="1391"/>
      <c r="E519" s="205" t="s">
        <v>287</v>
      </c>
      <c r="F519" s="206" t="s">
        <v>109</v>
      </c>
      <c r="G519" s="206" t="s">
        <v>110</v>
      </c>
      <c r="H519" s="206" t="s">
        <v>274</v>
      </c>
      <c r="I519" s="205" t="s">
        <v>241</v>
      </c>
    </row>
    <row r="520" spans="1:10" ht="46.5" customHeight="1">
      <c r="B520" s="533" t="str">
        <f ca="1">IFERROR(OFFSET('4.1(2)新規再エネ導入予定（設備情報）'!$O$1,MATCH($C517,'4.1(2)新規再エネ導入予定（設備情報）'!$G:$G,0)-1,0),"")</f>
        <v/>
      </c>
      <c r="C520" s="533" t="str">
        <f ca="1">IFERROR(OFFSET('4.1(2)新規再エネ導入予定（設備情報）'!$R$1,MATCH($C517,'4.1(2)新規再エネ導入予定（設備情報）'!$G:$G,0)-1,0),"")</f>
        <v/>
      </c>
      <c r="D520" s="533" t="str">
        <f ca="1">IFERROR(OFFSET('4.1(2)新規再エネ導入予定（設備情報）'!$S$1,MATCH($C517,'4.1(2)新規再エネ導入予定（設備情報）'!$G:$G,0)-1,0),"")</f>
        <v/>
      </c>
      <c r="E520" s="533" t="str">
        <f ca="1">IF($C517="","",IFERROR(OFFSET('4.1(2)新規再エネ導入予定(FS調査、系統接続検討状況)'!$L$1,MATCH($C517,'4.1(2)新規再エネ導入予定(FS調査、系統接続検討状況)'!$G:$G,0)-1,0),""))</f>
        <v/>
      </c>
      <c r="F520" s="533" t="str">
        <f ca="1">IF($C517="","",IFERROR(OFFSET('4.1(2)新規再エネ導入予定(FS調査、系統接続検討状況)'!$M$1,MATCH($C517,'4.1(2)新規再エネ導入予定(FS調査、系統接続検討状況)'!$G:$G,0)-1,0),""))</f>
        <v/>
      </c>
      <c r="G520" s="533" t="str">
        <f ca="1">IF($C517="","",IFERROR(OFFSET('4.1(2)新規再エネ導入予定(FS調査、系統接続検討状況)'!$N$1,MATCH($C517,'4.1(2)新規再エネ導入予定(FS調査、系統接続検討状況)'!$G:$G,0)-1,0),""))</f>
        <v/>
      </c>
      <c r="H520" s="533" t="str" cm="1">
        <f t="array" aca="1" ref="H520" ca="1">IFERROR(_xlfn.IFS(OR(I520="検討不要",I520="検討未実施",I520="(低圧)申込完了",I520="(低圧)申込準備開始",I520="(低圧)申込準備完了"),"－",COUNTIF(OFFSET('4.1(2)新規再エネ導入予定(FS調査、系統接続検討状況)'!$O$1,MATCH($C517,'4.1(2)新規再エネ導入予定(FS調査、系統接続検討状況)'!$G:$G,0)-1,0),"*単独*")=1,"単独",COUNTIF(OFFSET('4.1(2)新規再エネ導入予定(FS調査、系統接続検討状況)'!$O$1,MATCH($C517,'4.1(2)新規再エネ導入予定(FS調査、系統接続検討状況)'!$G:$G,0)-1,0),"*一括*")=1,"一括検討"),"")</f>
        <v/>
      </c>
      <c r="I520" s="536" t="str">
        <f ca="1">IFERROR(SUBSTITUTE(SUBSTITUTE(OFFSET('4.1(2)新規再エネ導入予定(FS調査、系統接続検討状況)'!$O$1,MATCH($C517,'4.1(2)新規再エネ導入予定(FS調査、系統接続検討状況)'!$G:$G,0)-1,0),"(一括)",""),"(単独)",""),"")</f>
        <v/>
      </c>
    </row>
    <row r="522" spans="1:10" ht="19">
      <c r="B522" s="198" t="s">
        <v>214</v>
      </c>
    </row>
    <row r="523" spans="1:10" ht="21">
      <c r="B523" s="207" t="str">
        <f ca="1">IFERROR(_xlfn.TEXTJOIN(" ",1,C515,B517,C517),"")</f>
        <v/>
      </c>
      <c r="C523" s="208"/>
      <c r="D523" s="208"/>
    </row>
    <row r="524" spans="1:10" ht="28.5" customHeight="1">
      <c r="B524" s="209" t="s">
        <v>213</v>
      </c>
      <c r="C524" s="209"/>
      <c r="D524" s="209" t="s">
        <v>212</v>
      </c>
      <c r="E524" s="209"/>
      <c r="F524" s="209" t="s">
        <v>226</v>
      </c>
      <c r="G524" s="209"/>
      <c r="H524" s="209"/>
      <c r="I524" s="292"/>
    </row>
    <row r="525" spans="1:10" ht="114.65" customHeight="1">
      <c r="B525" s="1395" t="s">
        <v>211</v>
      </c>
      <c r="C525" s="210" t="s">
        <v>210</v>
      </c>
      <c r="D525" s="1396" t="s">
        <v>209</v>
      </c>
      <c r="E525" s="1397"/>
      <c r="F525" s="1398"/>
      <c r="G525" s="1399"/>
      <c r="H525" s="1399"/>
      <c r="I525" s="1400"/>
    </row>
    <row r="526" spans="1:10" ht="114.65" customHeight="1">
      <c r="B526" s="1395"/>
      <c r="C526" s="211" t="s">
        <v>208</v>
      </c>
      <c r="D526" s="1396" t="s">
        <v>207</v>
      </c>
      <c r="E526" s="1397"/>
      <c r="F526" s="1398"/>
      <c r="G526" s="1399"/>
      <c r="H526" s="1399"/>
      <c r="I526" s="1400"/>
    </row>
    <row r="527" spans="1:10" ht="114.65" customHeight="1">
      <c r="B527" s="1401">
        <v>2</v>
      </c>
      <c r="C527" s="1401"/>
      <c r="D527" s="1396" t="s">
        <v>206</v>
      </c>
      <c r="E527" s="1397"/>
      <c r="F527" s="1398"/>
      <c r="G527" s="1399"/>
      <c r="H527" s="1399"/>
      <c r="I527" s="1400"/>
    </row>
    <row r="528" spans="1:10" ht="114.65" customHeight="1">
      <c r="B528" s="1402">
        <v>3</v>
      </c>
      <c r="C528" s="211" t="s">
        <v>205</v>
      </c>
      <c r="D528" s="1396" t="s">
        <v>204</v>
      </c>
      <c r="E528" s="1397"/>
      <c r="F528" s="1398"/>
      <c r="G528" s="1399"/>
      <c r="H528" s="1399"/>
      <c r="I528" s="1400"/>
    </row>
    <row r="529" spans="1:10" ht="114.65" customHeight="1">
      <c r="B529" s="1402"/>
      <c r="C529" s="211" t="s">
        <v>203</v>
      </c>
      <c r="D529" s="1396" t="s">
        <v>202</v>
      </c>
      <c r="E529" s="1397"/>
      <c r="F529" s="1398"/>
      <c r="G529" s="1399"/>
      <c r="H529" s="1399"/>
      <c r="I529" s="1400"/>
    </row>
    <row r="530" spans="1:10" ht="115" customHeight="1">
      <c r="B530" s="1401">
        <v>4</v>
      </c>
      <c r="C530" s="1401"/>
      <c r="D530" s="1396" t="s">
        <v>201</v>
      </c>
      <c r="E530" s="1397"/>
      <c r="F530" s="1398"/>
      <c r="G530" s="1399"/>
      <c r="H530" s="1399"/>
      <c r="I530" s="1400"/>
    </row>
    <row r="531" spans="1:10" ht="132" customHeight="1">
      <c r="B531" s="1401">
        <v>5</v>
      </c>
      <c r="C531" s="1401"/>
      <c r="D531" s="1396" t="s">
        <v>200</v>
      </c>
      <c r="E531" s="1397"/>
      <c r="F531" s="1398"/>
      <c r="G531" s="1399"/>
      <c r="H531" s="1399"/>
      <c r="I531" s="1400"/>
    </row>
    <row r="533" spans="1:10">
      <c r="A533" s="212"/>
      <c r="B533" s="212"/>
      <c r="C533" s="212"/>
      <c r="D533" s="212"/>
      <c r="E533" s="212"/>
      <c r="F533" s="212"/>
      <c r="G533" s="212"/>
      <c r="H533" s="212"/>
      <c r="I533" s="293"/>
      <c r="J533" s="212"/>
    </row>
    <row r="534" spans="1:10" ht="23.5">
      <c r="B534" s="200" t="s">
        <v>27</v>
      </c>
      <c r="C534" s="200" t="str">
        <f ca="1">IFERROR(OFFSET('4.1(2)新規再エネ導入予定（設備情報）'!$X$1,MATCH(COUNTIF($B$1:B534,"発電方式"),'4.1(2)新規再エネ導入予定（設備情報）'!$AK:$AK,0)-1,0),"")</f>
        <v/>
      </c>
      <c r="D534" s="201"/>
    </row>
    <row r="535" spans="1:10" ht="39.75" customHeight="1">
      <c r="B535" s="202" t="s">
        <v>8</v>
      </c>
      <c r="C535" s="202" t="s">
        <v>181</v>
      </c>
      <c r="D535" s="203" t="s">
        <v>180</v>
      </c>
      <c r="E535" s="202" t="s">
        <v>9</v>
      </c>
      <c r="F535" s="204" t="s">
        <v>10</v>
      </c>
      <c r="G535" s="203" t="s">
        <v>31</v>
      </c>
      <c r="H535" s="202" t="s">
        <v>13</v>
      </c>
      <c r="I535" s="204" t="s">
        <v>81</v>
      </c>
    </row>
    <row r="536" spans="1:10" ht="36" customHeight="1">
      <c r="B536" s="532" t="str">
        <f ca="1">IFERROR(OFFSET('4.1(2)新規再エネ導入予定（設備情報）'!$F$1,MATCH($C536,'4.1(2)新規再エネ導入予定（設備情報）'!$G:$G,0)-1,0),"")</f>
        <v/>
      </c>
      <c r="C536" s="533" t="str">
        <f ca="1">IFERROR(OFFSET('4.1(2)新規再エネ導入予定（設備情報）'!$G$7,MATCH(COUNTIF($B$1:B534,"発電方式"),'4.1(2)新規再エネ導入予定（設備情報）'!$AK$8:$AK$1000,0),0),"")</f>
        <v/>
      </c>
      <c r="D536" s="532" t="str">
        <f ca="1">IFERROR(OFFSET('4.1(2)新規再エネ導入予定（設備情報）'!$H$1,MATCH($C536,'4.1(2)新規再エネ導入予定（設備情報）'!$G:$G,0)-1,0),"")</f>
        <v/>
      </c>
      <c r="E536" s="534" t="str">
        <f ca="1">IFERROR(OFFSET('4.1(2)新規再エネ導入予定（設備情報）'!$I$1,MATCH($C536,'4.1(2)新規再エネ導入予定（設備情報）'!$G:$G,0)-1,0),"")</f>
        <v/>
      </c>
      <c r="F536" s="534" t="str">
        <f ca="1">IFERROR(OFFSET('4.1(2)新規再エネ導入予定（設備情報）'!$J$1,MATCH($C536,'4.1(2)新規再エネ導入予定（設備情報）'!$G:$G,0)-1,0),"")</f>
        <v/>
      </c>
      <c r="G536" s="533" t="str">
        <f ca="1">IFERROR(OFFSET('4.1(2)新規再エネ導入予定（設備情報）'!$L$1,MATCH($C536,'4.1(2)新規再エネ導入予定（設備情報）'!$G:$G,0)-1,0),"")</f>
        <v/>
      </c>
      <c r="H536" s="533" t="str">
        <f ca="1">IFERROR(OFFSET('4.1(2)新規再エネ導入予定（設備情報）'!$M$1,MATCH($C536,'4.1(2)新規再エネ導入予定（設備情報）'!$G:$G,0)-1,0),"")</f>
        <v/>
      </c>
      <c r="I536" s="535" t="str">
        <f ca="1">IFERROR(OFFSET('4.1(2)新規再エネ導入予定（設備情報）'!$P$1,MATCH($C536,'4.1(2)新規再エネ導入予定（設備情報）'!$G:$G,0)-1,0),"")</f>
        <v/>
      </c>
    </row>
    <row r="537" spans="1:10" ht="16.5" customHeight="1">
      <c r="B537" s="1386" t="s">
        <v>177</v>
      </c>
      <c r="C537" s="1388" t="s">
        <v>14</v>
      </c>
      <c r="D537" s="1390" t="s">
        <v>216</v>
      </c>
      <c r="E537" s="1392" t="s">
        <v>215</v>
      </c>
      <c r="F537" s="1393"/>
      <c r="G537" s="1394"/>
      <c r="H537" s="1392" t="s">
        <v>108</v>
      </c>
      <c r="I537" s="1394"/>
    </row>
    <row r="538" spans="1:10" ht="42.75" customHeight="1">
      <c r="B538" s="1387"/>
      <c r="C538" s="1389"/>
      <c r="D538" s="1391"/>
      <c r="E538" s="205" t="s">
        <v>287</v>
      </c>
      <c r="F538" s="206" t="s">
        <v>109</v>
      </c>
      <c r="G538" s="206" t="s">
        <v>110</v>
      </c>
      <c r="H538" s="206" t="s">
        <v>274</v>
      </c>
      <c r="I538" s="205" t="s">
        <v>241</v>
      </c>
    </row>
    <row r="539" spans="1:10" ht="46.5" customHeight="1">
      <c r="B539" s="533" t="str">
        <f ca="1">IFERROR(OFFSET('4.1(2)新規再エネ導入予定（設備情報）'!$O$1,MATCH($C536,'4.1(2)新規再エネ導入予定（設備情報）'!$G:$G,0)-1,0),"")</f>
        <v/>
      </c>
      <c r="C539" s="533" t="str">
        <f ca="1">IFERROR(OFFSET('4.1(2)新規再エネ導入予定（設備情報）'!$R$1,MATCH($C536,'4.1(2)新規再エネ導入予定（設備情報）'!$G:$G,0)-1,0),"")</f>
        <v/>
      </c>
      <c r="D539" s="533" t="str">
        <f ca="1">IFERROR(OFFSET('4.1(2)新規再エネ導入予定（設備情報）'!$S$1,MATCH($C536,'4.1(2)新規再エネ導入予定（設備情報）'!$G:$G,0)-1,0),"")</f>
        <v/>
      </c>
      <c r="E539" s="533" t="str">
        <f ca="1">IF($C536="","",IFERROR(OFFSET('4.1(2)新規再エネ導入予定(FS調査、系統接続検討状況)'!$L$1,MATCH($C536,'4.1(2)新規再エネ導入予定(FS調査、系統接続検討状況)'!$G:$G,0)-1,0),""))</f>
        <v/>
      </c>
      <c r="F539" s="533" t="str">
        <f ca="1">IF($C536="","",IFERROR(OFFSET('4.1(2)新規再エネ導入予定(FS調査、系統接続検討状況)'!$M$1,MATCH($C536,'4.1(2)新規再エネ導入予定(FS調査、系統接続検討状況)'!$G:$G,0)-1,0),""))</f>
        <v/>
      </c>
      <c r="G539" s="533" t="str">
        <f ca="1">IF($C536="","",IFERROR(OFFSET('4.1(2)新規再エネ導入予定(FS調査、系統接続検討状況)'!$N$1,MATCH($C536,'4.1(2)新規再エネ導入予定(FS調査、系統接続検討状況)'!$G:$G,0)-1,0),""))</f>
        <v/>
      </c>
      <c r="H539" s="533" t="str" cm="1">
        <f t="array" aca="1" ref="H539" ca="1">IFERROR(_xlfn.IFS(OR(I539="検討不要",I539="検討未実施",I539="(低圧)申込完了",I539="(低圧)申込準備開始",I539="(低圧)申込準備完了"),"－",COUNTIF(OFFSET('4.1(2)新規再エネ導入予定(FS調査、系統接続検討状況)'!$O$1,MATCH($C536,'4.1(2)新規再エネ導入予定(FS調査、系統接続検討状況)'!$G:$G,0)-1,0),"*単独*")=1,"単独",COUNTIF(OFFSET('4.1(2)新規再エネ導入予定(FS調査、系統接続検討状況)'!$O$1,MATCH($C536,'4.1(2)新規再エネ導入予定(FS調査、系統接続検討状況)'!$G:$G,0)-1,0),"*一括*")=1,"一括検討"),"")</f>
        <v/>
      </c>
      <c r="I539" s="536" t="str">
        <f ca="1">IFERROR(SUBSTITUTE(SUBSTITUTE(OFFSET('4.1(2)新規再エネ導入予定(FS調査、系統接続検討状況)'!$O$1,MATCH($C536,'4.1(2)新規再エネ導入予定(FS調査、系統接続検討状況)'!$G:$G,0)-1,0),"(一括)",""),"(単独)",""),"")</f>
        <v/>
      </c>
    </row>
    <row r="541" spans="1:10" ht="19">
      <c r="B541" s="198" t="s">
        <v>214</v>
      </c>
    </row>
    <row r="542" spans="1:10" ht="21">
      <c r="B542" s="207" t="str">
        <f ca="1">IFERROR(_xlfn.TEXTJOIN(" ",1,C534,B536,C536),"")</f>
        <v/>
      </c>
      <c r="C542" s="208"/>
      <c r="D542" s="208"/>
    </row>
    <row r="543" spans="1:10" ht="28.5" customHeight="1">
      <c r="B543" s="209" t="s">
        <v>213</v>
      </c>
      <c r="C543" s="209"/>
      <c r="D543" s="209" t="s">
        <v>212</v>
      </c>
      <c r="E543" s="209"/>
      <c r="F543" s="209" t="s">
        <v>226</v>
      </c>
      <c r="G543" s="209"/>
      <c r="H543" s="209"/>
      <c r="I543" s="292"/>
    </row>
    <row r="544" spans="1:10" ht="114.65" customHeight="1">
      <c r="B544" s="1395" t="s">
        <v>211</v>
      </c>
      <c r="C544" s="210" t="s">
        <v>210</v>
      </c>
      <c r="D544" s="1396" t="s">
        <v>209</v>
      </c>
      <c r="E544" s="1397"/>
      <c r="F544" s="1398"/>
      <c r="G544" s="1399"/>
      <c r="H544" s="1399"/>
      <c r="I544" s="1400"/>
    </row>
    <row r="545" spans="1:10" ht="114.65" customHeight="1">
      <c r="B545" s="1395"/>
      <c r="C545" s="211" t="s">
        <v>208</v>
      </c>
      <c r="D545" s="1396" t="s">
        <v>207</v>
      </c>
      <c r="E545" s="1397"/>
      <c r="F545" s="1398"/>
      <c r="G545" s="1399"/>
      <c r="H545" s="1399"/>
      <c r="I545" s="1400"/>
    </row>
    <row r="546" spans="1:10" ht="114.65" customHeight="1">
      <c r="B546" s="1401">
        <v>2</v>
      </c>
      <c r="C546" s="1401"/>
      <c r="D546" s="1396" t="s">
        <v>206</v>
      </c>
      <c r="E546" s="1397"/>
      <c r="F546" s="1398"/>
      <c r="G546" s="1399"/>
      <c r="H546" s="1399"/>
      <c r="I546" s="1400"/>
    </row>
    <row r="547" spans="1:10" ht="114.65" customHeight="1">
      <c r="B547" s="1402">
        <v>3</v>
      </c>
      <c r="C547" s="211" t="s">
        <v>205</v>
      </c>
      <c r="D547" s="1396" t="s">
        <v>204</v>
      </c>
      <c r="E547" s="1397"/>
      <c r="F547" s="1398"/>
      <c r="G547" s="1399"/>
      <c r="H547" s="1399"/>
      <c r="I547" s="1400"/>
    </row>
    <row r="548" spans="1:10" ht="114.65" customHeight="1">
      <c r="B548" s="1402"/>
      <c r="C548" s="211" t="s">
        <v>203</v>
      </c>
      <c r="D548" s="1396" t="s">
        <v>202</v>
      </c>
      <c r="E548" s="1397"/>
      <c r="F548" s="1398"/>
      <c r="G548" s="1399"/>
      <c r="H548" s="1399"/>
      <c r="I548" s="1400"/>
    </row>
    <row r="549" spans="1:10" ht="115" customHeight="1">
      <c r="B549" s="1401">
        <v>4</v>
      </c>
      <c r="C549" s="1401"/>
      <c r="D549" s="1396" t="s">
        <v>201</v>
      </c>
      <c r="E549" s="1397"/>
      <c r="F549" s="1398"/>
      <c r="G549" s="1399"/>
      <c r="H549" s="1399"/>
      <c r="I549" s="1400"/>
    </row>
    <row r="550" spans="1:10" ht="132" customHeight="1">
      <c r="B550" s="1401">
        <v>5</v>
      </c>
      <c r="C550" s="1401"/>
      <c r="D550" s="1396" t="s">
        <v>200</v>
      </c>
      <c r="E550" s="1397"/>
      <c r="F550" s="1398"/>
      <c r="G550" s="1399"/>
      <c r="H550" s="1399"/>
      <c r="I550" s="1400"/>
    </row>
    <row r="552" spans="1:10">
      <c r="A552" s="212"/>
      <c r="B552" s="212"/>
      <c r="C552" s="212"/>
      <c r="D552" s="212"/>
      <c r="E552" s="212"/>
      <c r="F552" s="212"/>
      <c r="G552" s="212"/>
      <c r="H552" s="212"/>
      <c r="I552" s="293"/>
      <c r="J552" s="212"/>
    </row>
    <row r="553" spans="1:10" ht="23.5">
      <c r="B553" s="200" t="s">
        <v>27</v>
      </c>
      <c r="C553" s="200" t="str">
        <f ca="1">IFERROR(OFFSET('4.1(2)新規再エネ導入予定（設備情報）'!$X$1,MATCH(COUNTIF($B$1:B553,"発電方式"),'4.1(2)新規再エネ導入予定（設備情報）'!$AK:$AK,0)-1,0),"")</f>
        <v/>
      </c>
      <c r="D553" s="201"/>
    </row>
    <row r="554" spans="1:10" ht="39.75" customHeight="1">
      <c r="B554" s="202" t="s">
        <v>8</v>
      </c>
      <c r="C554" s="202" t="s">
        <v>181</v>
      </c>
      <c r="D554" s="203" t="s">
        <v>180</v>
      </c>
      <c r="E554" s="202" t="s">
        <v>9</v>
      </c>
      <c r="F554" s="204" t="s">
        <v>10</v>
      </c>
      <c r="G554" s="203" t="s">
        <v>31</v>
      </c>
      <c r="H554" s="202" t="s">
        <v>13</v>
      </c>
      <c r="I554" s="204" t="s">
        <v>81</v>
      </c>
    </row>
    <row r="555" spans="1:10" ht="36" customHeight="1">
      <c r="B555" s="532" t="str">
        <f ca="1">IFERROR(OFFSET('4.1(2)新規再エネ導入予定（設備情報）'!$F$1,MATCH($C555,'4.1(2)新規再エネ導入予定（設備情報）'!$G:$G,0)-1,0),"")</f>
        <v/>
      </c>
      <c r="C555" s="533" t="str">
        <f ca="1">IFERROR(OFFSET('4.1(2)新規再エネ導入予定（設備情報）'!$G$7,MATCH(COUNTIF($B$1:B553,"発電方式"),'4.1(2)新規再エネ導入予定（設備情報）'!$AK$8:$AK$1000,0),0),"")</f>
        <v/>
      </c>
      <c r="D555" s="532" t="str">
        <f ca="1">IFERROR(OFFSET('4.1(2)新規再エネ導入予定（設備情報）'!$H$1,MATCH($C555,'4.1(2)新規再エネ導入予定（設備情報）'!$G:$G,0)-1,0),"")</f>
        <v/>
      </c>
      <c r="E555" s="534" t="str">
        <f ca="1">IFERROR(OFFSET('4.1(2)新規再エネ導入予定（設備情報）'!$I$1,MATCH($C555,'4.1(2)新規再エネ導入予定（設備情報）'!$G:$G,0)-1,0),"")</f>
        <v/>
      </c>
      <c r="F555" s="534" t="str">
        <f ca="1">IFERROR(OFFSET('4.1(2)新規再エネ導入予定（設備情報）'!$J$1,MATCH($C555,'4.1(2)新規再エネ導入予定（設備情報）'!$G:$G,0)-1,0),"")</f>
        <v/>
      </c>
      <c r="G555" s="533" t="str">
        <f ca="1">IFERROR(OFFSET('4.1(2)新規再エネ導入予定（設備情報）'!$L$1,MATCH($C555,'4.1(2)新規再エネ導入予定（設備情報）'!$G:$G,0)-1,0),"")</f>
        <v/>
      </c>
      <c r="H555" s="533" t="str">
        <f ca="1">IFERROR(OFFSET('4.1(2)新規再エネ導入予定（設備情報）'!$M$1,MATCH($C555,'4.1(2)新規再エネ導入予定（設備情報）'!$G:$G,0)-1,0),"")</f>
        <v/>
      </c>
      <c r="I555" s="535" t="str">
        <f ca="1">IFERROR(OFFSET('4.1(2)新規再エネ導入予定（設備情報）'!$P$1,MATCH($C555,'4.1(2)新規再エネ導入予定（設備情報）'!$G:$G,0)-1,0),"")</f>
        <v/>
      </c>
    </row>
    <row r="556" spans="1:10" ht="16.5" customHeight="1">
      <c r="B556" s="1386" t="s">
        <v>177</v>
      </c>
      <c r="C556" s="1388" t="s">
        <v>14</v>
      </c>
      <c r="D556" s="1390" t="s">
        <v>216</v>
      </c>
      <c r="E556" s="1392" t="s">
        <v>215</v>
      </c>
      <c r="F556" s="1393"/>
      <c r="G556" s="1394"/>
      <c r="H556" s="1392" t="s">
        <v>108</v>
      </c>
      <c r="I556" s="1394"/>
    </row>
    <row r="557" spans="1:10" ht="42.75" customHeight="1">
      <c r="B557" s="1387"/>
      <c r="C557" s="1389"/>
      <c r="D557" s="1391"/>
      <c r="E557" s="205" t="s">
        <v>287</v>
      </c>
      <c r="F557" s="206" t="s">
        <v>109</v>
      </c>
      <c r="G557" s="206" t="s">
        <v>110</v>
      </c>
      <c r="H557" s="206" t="s">
        <v>274</v>
      </c>
      <c r="I557" s="205" t="s">
        <v>241</v>
      </c>
    </row>
    <row r="558" spans="1:10" ht="46.5" customHeight="1">
      <c r="B558" s="533" t="str">
        <f ca="1">IFERROR(OFFSET('4.1(2)新規再エネ導入予定（設備情報）'!$O$1,MATCH($C555,'4.1(2)新規再エネ導入予定（設備情報）'!$G:$G,0)-1,0),"")</f>
        <v/>
      </c>
      <c r="C558" s="533" t="str">
        <f ca="1">IFERROR(OFFSET('4.1(2)新規再エネ導入予定（設備情報）'!$R$1,MATCH($C555,'4.1(2)新規再エネ導入予定（設備情報）'!$G:$G,0)-1,0),"")</f>
        <v/>
      </c>
      <c r="D558" s="533" t="str">
        <f ca="1">IFERROR(OFFSET('4.1(2)新規再エネ導入予定（設備情報）'!$S$1,MATCH($C555,'4.1(2)新規再エネ導入予定（設備情報）'!$G:$G,0)-1,0),"")</f>
        <v/>
      </c>
      <c r="E558" s="533" t="str">
        <f ca="1">IF($C555="","",IFERROR(OFFSET('4.1(2)新規再エネ導入予定(FS調査、系統接続検討状況)'!$L$1,MATCH($C555,'4.1(2)新規再エネ導入予定(FS調査、系統接続検討状況)'!$G:$G,0)-1,0),""))</f>
        <v/>
      </c>
      <c r="F558" s="533" t="str">
        <f ca="1">IF($C555="","",IFERROR(OFFSET('4.1(2)新規再エネ導入予定(FS調査、系統接続検討状況)'!$M$1,MATCH($C555,'4.1(2)新規再エネ導入予定(FS調査、系統接続検討状況)'!$G:$G,0)-1,0),""))</f>
        <v/>
      </c>
      <c r="G558" s="533" t="str">
        <f ca="1">IF($C555="","",IFERROR(OFFSET('4.1(2)新規再エネ導入予定(FS調査、系統接続検討状況)'!$N$1,MATCH($C555,'4.1(2)新規再エネ導入予定(FS調査、系統接続検討状況)'!$G:$G,0)-1,0),""))</f>
        <v/>
      </c>
      <c r="H558" s="533" t="str" cm="1">
        <f t="array" aca="1" ref="H558" ca="1">IFERROR(_xlfn.IFS(OR(I558="検討不要",I558="検討未実施",I558="(低圧)申込完了",I558="(低圧)申込準備開始",I558="(低圧)申込準備完了"),"－",COUNTIF(OFFSET('4.1(2)新規再エネ導入予定(FS調査、系統接続検討状況)'!$O$1,MATCH($C555,'4.1(2)新規再エネ導入予定(FS調査、系統接続検討状況)'!$G:$G,0)-1,0),"*単独*")=1,"単独",COUNTIF(OFFSET('4.1(2)新規再エネ導入予定(FS調査、系統接続検討状況)'!$O$1,MATCH($C555,'4.1(2)新規再エネ導入予定(FS調査、系統接続検討状況)'!$G:$G,0)-1,0),"*一括*")=1,"一括検討"),"")</f>
        <v/>
      </c>
      <c r="I558" s="536" t="str">
        <f ca="1">IFERROR(SUBSTITUTE(SUBSTITUTE(OFFSET('4.1(2)新規再エネ導入予定(FS調査、系統接続検討状況)'!$O$1,MATCH($C555,'4.1(2)新規再エネ導入予定(FS調査、系統接続検討状況)'!$G:$G,0)-1,0),"(一括)",""),"(単独)",""),"")</f>
        <v/>
      </c>
    </row>
    <row r="560" spans="1:10" ht="19">
      <c r="B560" s="198" t="s">
        <v>214</v>
      </c>
    </row>
    <row r="561" spans="2:9" ht="21">
      <c r="B561" s="207" t="str">
        <f ca="1">IFERROR(_xlfn.TEXTJOIN(" ",1,C553,B555,C555),"")</f>
        <v/>
      </c>
      <c r="C561" s="208"/>
      <c r="D561" s="208"/>
    </row>
    <row r="562" spans="2:9" ht="28.5" customHeight="1">
      <c r="B562" s="209" t="s">
        <v>213</v>
      </c>
      <c r="C562" s="209"/>
      <c r="D562" s="209" t="s">
        <v>212</v>
      </c>
      <c r="E562" s="209"/>
      <c r="F562" s="209" t="s">
        <v>226</v>
      </c>
      <c r="G562" s="209"/>
      <c r="H562" s="209"/>
      <c r="I562" s="292"/>
    </row>
    <row r="563" spans="2:9" ht="114.65" customHeight="1">
      <c r="B563" s="1395" t="s">
        <v>211</v>
      </c>
      <c r="C563" s="210" t="s">
        <v>210</v>
      </c>
      <c r="D563" s="1396" t="s">
        <v>209</v>
      </c>
      <c r="E563" s="1397"/>
      <c r="F563" s="1398"/>
      <c r="G563" s="1399"/>
      <c r="H563" s="1399"/>
      <c r="I563" s="1400"/>
    </row>
    <row r="564" spans="2:9" ht="114.65" customHeight="1">
      <c r="B564" s="1395"/>
      <c r="C564" s="211" t="s">
        <v>208</v>
      </c>
      <c r="D564" s="1396" t="s">
        <v>207</v>
      </c>
      <c r="E564" s="1397"/>
      <c r="F564" s="1398"/>
      <c r="G564" s="1399"/>
      <c r="H564" s="1399"/>
      <c r="I564" s="1400"/>
    </row>
    <row r="565" spans="2:9" ht="114.65" customHeight="1">
      <c r="B565" s="1401">
        <v>2</v>
      </c>
      <c r="C565" s="1401"/>
      <c r="D565" s="1396" t="s">
        <v>206</v>
      </c>
      <c r="E565" s="1397"/>
      <c r="F565" s="1398"/>
      <c r="G565" s="1399"/>
      <c r="H565" s="1399"/>
      <c r="I565" s="1400"/>
    </row>
    <row r="566" spans="2:9" ht="114.65" customHeight="1">
      <c r="B566" s="1402">
        <v>3</v>
      </c>
      <c r="C566" s="211" t="s">
        <v>205</v>
      </c>
      <c r="D566" s="1396" t="s">
        <v>204</v>
      </c>
      <c r="E566" s="1397"/>
      <c r="F566" s="1398"/>
      <c r="G566" s="1399"/>
      <c r="H566" s="1399"/>
      <c r="I566" s="1400"/>
    </row>
    <row r="567" spans="2:9" ht="114.65" customHeight="1">
      <c r="B567" s="1402"/>
      <c r="C567" s="211" t="s">
        <v>203</v>
      </c>
      <c r="D567" s="1396" t="s">
        <v>202</v>
      </c>
      <c r="E567" s="1397"/>
      <c r="F567" s="1398"/>
      <c r="G567" s="1399"/>
      <c r="H567" s="1399"/>
      <c r="I567" s="1400"/>
    </row>
    <row r="568" spans="2:9" ht="115" customHeight="1">
      <c r="B568" s="1401">
        <v>4</v>
      </c>
      <c r="C568" s="1401"/>
      <c r="D568" s="1396" t="s">
        <v>201</v>
      </c>
      <c r="E568" s="1397"/>
      <c r="F568" s="1398"/>
      <c r="G568" s="1399"/>
      <c r="H568" s="1399"/>
      <c r="I568" s="1400"/>
    </row>
    <row r="569" spans="2:9" ht="132" customHeight="1">
      <c r="B569" s="1401">
        <v>5</v>
      </c>
      <c r="C569" s="1401"/>
      <c r="D569" s="1396" t="s">
        <v>200</v>
      </c>
      <c r="E569" s="1397"/>
      <c r="F569" s="1398"/>
      <c r="G569" s="1399"/>
      <c r="H569" s="1399"/>
      <c r="I569" s="1400"/>
    </row>
  </sheetData>
  <sheetProtection formatCells="0" insertRows="0" deleteRows="0"/>
  <mergeCells count="720">
    <mergeCell ref="F56:I56"/>
    <mergeCell ref="D93:E93"/>
    <mergeCell ref="F93:I93"/>
    <mergeCell ref="D71:E71"/>
    <mergeCell ref="F71:I71"/>
    <mergeCell ref="D72:E72"/>
    <mergeCell ref="F72:I72"/>
    <mergeCell ref="D73:E73"/>
    <mergeCell ref="F73:I73"/>
    <mergeCell ref="B69:B70"/>
    <mergeCell ref="B71:C71"/>
    <mergeCell ref="B72:B73"/>
    <mergeCell ref="B74:C74"/>
    <mergeCell ref="D70:E70"/>
    <mergeCell ref="F70:I70"/>
    <mergeCell ref="B43:B44"/>
    <mergeCell ref="C43:C44"/>
    <mergeCell ref="D43:D44"/>
    <mergeCell ref="E43:G43"/>
    <mergeCell ref="H43:I43"/>
    <mergeCell ref="B50:B51"/>
    <mergeCell ref="B55:C55"/>
    <mergeCell ref="F51:I51"/>
    <mergeCell ref="D52:E52"/>
    <mergeCell ref="F52:I52"/>
    <mergeCell ref="H62:I62"/>
    <mergeCell ref="D53:E53"/>
    <mergeCell ref="F53:I53"/>
    <mergeCell ref="D54:E54"/>
    <mergeCell ref="F54:I54"/>
    <mergeCell ref="D55:E55"/>
    <mergeCell ref="F55:I55"/>
    <mergeCell ref="D56:E56"/>
    <mergeCell ref="B31:B32"/>
    <mergeCell ref="B33:C33"/>
    <mergeCell ref="B34:B35"/>
    <mergeCell ref="D31:E31"/>
    <mergeCell ref="F31:I31"/>
    <mergeCell ref="D32:E32"/>
    <mergeCell ref="F32:I32"/>
    <mergeCell ref="D33:E33"/>
    <mergeCell ref="F33:I33"/>
    <mergeCell ref="D34:E34"/>
    <mergeCell ref="F34:I34"/>
    <mergeCell ref="D35:E35"/>
    <mergeCell ref="F35:I35"/>
    <mergeCell ref="D36:E36"/>
    <mergeCell ref="D50:E50"/>
    <mergeCell ref="F50:I50"/>
    <mergeCell ref="B12:B13"/>
    <mergeCell ref="H5:I5"/>
    <mergeCell ref="C5:C6"/>
    <mergeCell ref="D5:D6"/>
    <mergeCell ref="E5:G5"/>
    <mergeCell ref="B5:B6"/>
    <mergeCell ref="B14:C14"/>
    <mergeCell ref="D12:E12"/>
    <mergeCell ref="D13:E13"/>
    <mergeCell ref="D14:E14"/>
    <mergeCell ref="F12:I12"/>
    <mergeCell ref="F13:I13"/>
    <mergeCell ref="F14:I14"/>
    <mergeCell ref="F36:I36"/>
    <mergeCell ref="D37:E37"/>
    <mergeCell ref="F37:I37"/>
    <mergeCell ref="B18:C18"/>
    <mergeCell ref="B15:B16"/>
    <mergeCell ref="B17:C17"/>
    <mergeCell ref="D15:E15"/>
    <mergeCell ref="D16:E16"/>
    <mergeCell ref="D17:E17"/>
    <mergeCell ref="D18:E18"/>
    <mergeCell ref="F15:I15"/>
    <mergeCell ref="F16:I16"/>
    <mergeCell ref="F17:I17"/>
    <mergeCell ref="F18:I18"/>
    <mergeCell ref="B24:B25"/>
    <mergeCell ref="C24:C25"/>
    <mergeCell ref="D24:D25"/>
    <mergeCell ref="E24:G24"/>
    <mergeCell ref="H24:I24"/>
    <mergeCell ref="B36:C36"/>
    <mergeCell ref="B37:C37"/>
    <mergeCell ref="H81:I81"/>
    <mergeCell ref="B88:B89"/>
    <mergeCell ref="B90:C90"/>
    <mergeCell ref="B91:B92"/>
    <mergeCell ref="D91:E91"/>
    <mergeCell ref="F91:I91"/>
    <mergeCell ref="D92:E92"/>
    <mergeCell ref="F92:I92"/>
    <mergeCell ref="D88:E88"/>
    <mergeCell ref="F88:I88"/>
    <mergeCell ref="B56:C56"/>
    <mergeCell ref="B52:C52"/>
    <mergeCell ref="B53:B54"/>
    <mergeCell ref="B62:B63"/>
    <mergeCell ref="C62:C63"/>
    <mergeCell ref="D62:D63"/>
    <mergeCell ref="E62:G62"/>
    <mergeCell ref="D51:E51"/>
    <mergeCell ref="D69:E69"/>
    <mergeCell ref="F69:I69"/>
    <mergeCell ref="D74:E74"/>
    <mergeCell ref="F74:I74"/>
    <mergeCell ref="B126:B127"/>
    <mergeCell ref="D126:E126"/>
    <mergeCell ref="F126:I126"/>
    <mergeCell ref="D127:E127"/>
    <mergeCell ref="F127:I127"/>
    <mergeCell ref="F89:I89"/>
    <mergeCell ref="D90:E90"/>
    <mergeCell ref="F90:I90"/>
    <mergeCell ref="D110:E110"/>
    <mergeCell ref="F110:I110"/>
    <mergeCell ref="D111:E111"/>
    <mergeCell ref="F111:I111"/>
    <mergeCell ref="D112:E112"/>
    <mergeCell ref="F112:I112"/>
    <mergeCell ref="D107:E107"/>
    <mergeCell ref="F107:I107"/>
    <mergeCell ref="D108:E108"/>
    <mergeCell ref="F108:I108"/>
    <mergeCell ref="D109:E109"/>
    <mergeCell ref="B93:C93"/>
    <mergeCell ref="B94:C94"/>
    <mergeCell ref="D94:E94"/>
    <mergeCell ref="F94:I94"/>
    <mergeCell ref="D113:E113"/>
    <mergeCell ref="B119:B120"/>
    <mergeCell ref="C119:C120"/>
    <mergeCell ref="D119:D120"/>
    <mergeCell ref="E119:G119"/>
    <mergeCell ref="B75:C75"/>
    <mergeCell ref="B81:B82"/>
    <mergeCell ref="C81:C82"/>
    <mergeCell ref="D81:D82"/>
    <mergeCell ref="E81:G81"/>
    <mergeCell ref="D75:E75"/>
    <mergeCell ref="F75:I75"/>
    <mergeCell ref="H119:I119"/>
    <mergeCell ref="F113:I113"/>
    <mergeCell ref="B110:B111"/>
    <mergeCell ref="B112:C112"/>
    <mergeCell ref="B107:B108"/>
    <mergeCell ref="B109:C109"/>
    <mergeCell ref="F129:I129"/>
    <mergeCell ref="D130:E130"/>
    <mergeCell ref="F130:I130"/>
    <mergeCell ref="B148:B149"/>
    <mergeCell ref="D148:E148"/>
    <mergeCell ref="F148:I148"/>
    <mergeCell ref="D149:E149"/>
    <mergeCell ref="F149:I149"/>
    <mergeCell ref="B131:C131"/>
    <mergeCell ref="D131:E131"/>
    <mergeCell ref="F131:I131"/>
    <mergeCell ref="B132:C132"/>
    <mergeCell ref="D132:E132"/>
    <mergeCell ref="F147:I147"/>
    <mergeCell ref="H138:I138"/>
    <mergeCell ref="E138:G138"/>
    <mergeCell ref="D138:D139"/>
    <mergeCell ref="C138:C139"/>
    <mergeCell ref="B138:B139"/>
    <mergeCell ref="B145:B146"/>
    <mergeCell ref="D145:E145"/>
    <mergeCell ref="F145:I145"/>
    <mergeCell ref="D146:E146"/>
    <mergeCell ref="F146:I146"/>
    <mergeCell ref="B157:B158"/>
    <mergeCell ref="C157:C158"/>
    <mergeCell ref="D157:D158"/>
    <mergeCell ref="E157:G157"/>
    <mergeCell ref="F109:I109"/>
    <mergeCell ref="D89:E89"/>
    <mergeCell ref="B113:C113"/>
    <mergeCell ref="B100:B101"/>
    <mergeCell ref="C100:C101"/>
    <mergeCell ref="D100:D101"/>
    <mergeCell ref="E100:G100"/>
    <mergeCell ref="H100:I100"/>
    <mergeCell ref="B150:C150"/>
    <mergeCell ref="D150:E150"/>
    <mergeCell ref="F150:I150"/>
    <mergeCell ref="B151:C151"/>
    <mergeCell ref="D151:E151"/>
    <mergeCell ref="F151:I151"/>
    <mergeCell ref="B128:C128"/>
    <mergeCell ref="D128:E128"/>
    <mergeCell ref="F128:I128"/>
    <mergeCell ref="B129:B130"/>
    <mergeCell ref="D129:E129"/>
    <mergeCell ref="F132:I132"/>
    <mergeCell ref="B147:C147"/>
    <mergeCell ref="D147:E147"/>
    <mergeCell ref="B186:B187"/>
    <mergeCell ref="D186:E186"/>
    <mergeCell ref="F186:I186"/>
    <mergeCell ref="D187:E187"/>
    <mergeCell ref="F187:I187"/>
    <mergeCell ref="B188:C188"/>
    <mergeCell ref="D188:E188"/>
    <mergeCell ref="F188:I188"/>
    <mergeCell ref="B176:B177"/>
    <mergeCell ref="C176:C177"/>
    <mergeCell ref="D176:D177"/>
    <mergeCell ref="E176:G176"/>
    <mergeCell ref="H176:I176"/>
    <mergeCell ref="B183:B184"/>
    <mergeCell ref="D183:E183"/>
    <mergeCell ref="F183:I183"/>
    <mergeCell ref="D184:E184"/>
    <mergeCell ref="F184:I184"/>
    <mergeCell ref="H157:I157"/>
    <mergeCell ref="B164:B165"/>
    <mergeCell ref="D164:E164"/>
    <mergeCell ref="F164:I164"/>
    <mergeCell ref="D165:E165"/>
    <mergeCell ref="F165:I165"/>
    <mergeCell ref="B185:C185"/>
    <mergeCell ref="D185:E185"/>
    <mergeCell ref="F185:I185"/>
    <mergeCell ref="B170:C170"/>
    <mergeCell ref="D170:E170"/>
    <mergeCell ref="F170:I170"/>
    <mergeCell ref="B189:C189"/>
    <mergeCell ref="D189:E189"/>
    <mergeCell ref="F189:I189"/>
    <mergeCell ref="B169:C169"/>
    <mergeCell ref="D169:E169"/>
    <mergeCell ref="F169:I169"/>
    <mergeCell ref="B166:C166"/>
    <mergeCell ref="D166:E166"/>
    <mergeCell ref="F166:I166"/>
    <mergeCell ref="B167:B168"/>
    <mergeCell ref="D167:E167"/>
    <mergeCell ref="F167:I167"/>
    <mergeCell ref="D168:E168"/>
    <mergeCell ref="F168:I168"/>
    <mergeCell ref="B195:B196"/>
    <mergeCell ref="C195:C196"/>
    <mergeCell ref="D195:D196"/>
    <mergeCell ref="E195:G195"/>
    <mergeCell ref="H195:I195"/>
    <mergeCell ref="B202:B203"/>
    <mergeCell ref="D202:E202"/>
    <mergeCell ref="F202:I202"/>
    <mergeCell ref="D203:E203"/>
    <mergeCell ref="F203:I203"/>
    <mergeCell ref="B204:C204"/>
    <mergeCell ref="D204:E204"/>
    <mergeCell ref="F204:I204"/>
    <mergeCell ref="B205:B206"/>
    <mergeCell ref="D205:E205"/>
    <mergeCell ref="F205:I205"/>
    <mergeCell ref="D206:E206"/>
    <mergeCell ref="F206:I206"/>
    <mergeCell ref="B207:C207"/>
    <mergeCell ref="D207:E207"/>
    <mergeCell ref="F207:I207"/>
    <mergeCell ref="B208:C208"/>
    <mergeCell ref="D208:E208"/>
    <mergeCell ref="F208:I208"/>
    <mergeCell ref="B214:B215"/>
    <mergeCell ref="C214:C215"/>
    <mergeCell ref="D214:D215"/>
    <mergeCell ref="E214:G214"/>
    <mergeCell ref="H214:I214"/>
    <mergeCell ref="B221:B222"/>
    <mergeCell ref="D221:E221"/>
    <mergeCell ref="F221:I221"/>
    <mergeCell ref="D222:E222"/>
    <mergeCell ref="F222:I222"/>
    <mergeCell ref="B223:C223"/>
    <mergeCell ref="D223:E223"/>
    <mergeCell ref="F223:I223"/>
    <mergeCell ref="B224:B225"/>
    <mergeCell ref="D224:E224"/>
    <mergeCell ref="F224:I224"/>
    <mergeCell ref="D225:E225"/>
    <mergeCell ref="F225:I225"/>
    <mergeCell ref="B226:C226"/>
    <mergeCell ref="D226:E226"/>
    <mergeCell ref="F226:I226"/>
    <mergeCell ref="B227:C227"/>
    <mergeCell ref="D227:E227"/>
    <mergeCell ref="F227:I227"/>
    <mergeCell ref="B233:B234"/>
    <mergeCell ref="C233:C234"/>
    <mergeCell ref="D233:D234"/>
    <mergeCell ref="E233:G233"/>
    <mergeCell ref="H233:I233"/>
    <mergeCell ref="B240:B241"/>
    <mergeCell ref="D240:E240"/>
    <mergeCell ref="F240:I240"/>
    <mergeCell ref="D241:E241"/>
    <mergeCell ref="F241:I241"/>
    <mergeCell ref="B242:C242"/>
    <mergeCell ref="D242:E242"/>
    <mergeCell ref="F242:I242"/>
    <mergeCell ref="B243:B244"/>
    <mergeCell ref="D243:E243"/>
    <mergeCell ref="F243:I243"/>
    <mergeCell ref="D244:E244"/>
    <mergeCell ref="F244:I244"/>
    <mergeCell ref="B245:C245"/>
    <mergeCell ref="D245:E245"/>
    <mergeCell ref="F245:I245"/>
    <mergeCell ref="B246:C246"/>
    <mergeCell ref="D246:E246"/>
    <mergeCell ref="F246:I246"/>
    <mergeCell ref="B252:B253"/>
    <mergeCell ref="C252:C253"/>
    <mergeCell ref="D252:D253"/>
    <mergeCell ref="E252:G252"/>
    <mergeCell ref="H252:I252"/>
    <mergeCell ref="B259:B260"/>
    <mergeCell ref="D259:E259"/>
    <mergeCell ref="F259:I259"/>
    <mergeCell ref="D260:E260"/>
    <mergeCell ref="F260:I260"/>
    <mergeCell ref="B261:C261"/>
    <mergeCell ref="D261:E261"/>
    <mergeCell ref="F261:I261"/>
    <mergeCell ref="B262:B263"/>
    <mergeCell ref="D262:E262"/>
    <mergeCell ref="F262:I262"/>
    <mergeCell ref="D263:E263"/>
    <mergeCell ref="F263:I263"/>
    <mergeCell ref="B264:C264"/>
    <mergeCell ref="D264:E264"/>
    <mergeCell ref="F264:I264"/>
    <mergeCell ref="B265:C265"/>
    <mergeCell ref="D265:E265"/>
    <mergeCell ref="F265:I265"/>
    <mergeCell ref="B271:B272"/>
    <mergeCell ref="C271:C272"/>
    <mergeCell ref="D271:D272"/>
    <mergeCell ref="E271:G271"/>
    <mergeCell ref="H271:I271"/>
    <mergeCell ref="B278:B279"/>
    <mergeCell ref="D278:E278"/>
    <mergeCell ref="F278:I278"/>
    <mergeCell ref="D279:E279"/>
    <mergeCell ref="F279:I279"/>
    <mergeCell ref="B280:C280"/>
    <mergeCell ref="D280:E280"/>
    <mergeCell ref="F280:I280"/>
    <mergeCell ref="B281:B282"/>
    <mergeCell ref="D281:E281"/>
    <mergeCell ref="F281:I281"/>
    <mergeCell ref="D282:E282"/>
    <mergeCell ref="F282:I282"/>
    <mergeCell ref="B283:C283"/>
    <mergeCell ref="D283:E283"/>
    <mergeCell ref="F283:I283"/>
    <mergeCell ref="B284:C284"/>
    <mergeCell ref="D284:E284"/>
    <mergeCell ref="F284:I284"/>
    <mergeCell ref="B290:B291"/>
    <mergeCell ref="C290:C291"/>
    <mergeCell ref="D290:D291"/>
    <mergeCell ref="E290:G290"/>
    <mergeCell ref="H290:I290"/>
    <mergeCell ref="B297:B298"/>
    <mergeCell ref="D297:E297"/>
    <mergeCell ref="F297:I297"/>
    <mergeCell ref="D298:E298"/>
    <mergeCell ref="F298:I298"/>
    <mergeCell ref="B299:C299"/>
    <mergeCell ref="D299:E299"/>
    <mergeCell ref="F299:I299"/>
    <mergeCell ref="B300:B301"/>
    <mergeCell ref="D300:E300"/>
    <mergeCell ref="F300:I300"/>
    <mergeCell ref="D301:E301"/>
    <mergeCell ref="F301:I301"/>
    <mergeCell ref="B302:C302"/>
    <mergeCell ref="D302:E302"/>
    <mergeCell ref="F302:I302"/>
    <mergeCell ref="B303:C303"/>
    <mergeCell ref="D303:E303"/>
    <mergeCell ref="F303:I303"/>
    <mergeCell ref="B309:B310"/>
    <mergeCell ref="C309:C310"/>
    <mergeCell ref="D309:D310"/>
    <mergeCell ref="E309:G309"/>
    <mergeCell ref="H309:I309"/>
    <mergeCell ref="B316:B317"/>
    <mergeCell ref="D316:E316"/>
    <mergeCell ref="F316:I316"/>
    <mergeCell ref="D317:E317"/>
    <mergeCell ref="F317:I317"/>
    <mergeCell ref="B318:C318"/>
    <mergeCell ref="D318:E318"/>
    <mergeCell ref="F318:I318"/>
    <mergeCell ref="B319:B320"/>
    <mergeCell ref="D319:E319"/>
    <mergeCell ref="F319:I319"/>
    <mergeCell ref="D320:E320"/>
    <mergeCell ref="F320:I320"/>
    <mergeCell ref="B321:C321"/>
    <mergeCell ref="D321:E321"/>
    <mergeCell ref="F321:I321"/>
    <mergeCell ref="B322:C322"/>
    <mergeCell ref="D322:E322"/>
    <mergeCell ref="F322:I322"/>
    <mergeCell ref="B328:B329"/>
    <mergeCell ref="C328:C329"/>
    <mergeCell ref="D328:D329"/>
    <mergeCell ref="E328:G328"/>
    <mergeCell ref="H328:I328"/>
    <mergeCell ref="B335:B336"/>
    <mergeCell ref="D335:E335"/>
    <mergeCell ref="F335:I335"/>
    <mergeCell ref="D336:E336"/>
    <mergeCell ref="F336:I336"/>
    <mergeCell ref="B337:C337"/>
    <mergeCell ref="D337:E337"/>
    <mergeCell ref="F337:I337"/>
    <mergeCell ref="B338:B339"/>
    <mergeCell ref="D338:E338"/>
    <mergeCell ref="F338:I338"/>
    <mergeCell ref="D339:E339"/>
    <mergeCell ref="F339:I339"/>
    <mergeCell ref="B340:C340"/>
    <mergeCell ref="D340:E340"/>
    <mergeCell ref="F340:I340"/>
    <mergeCell ref="B341:C341"/>
    <mergeCell ref="D341:E341"/>
    <mergeCell ref="F341:I341"/>
    <mergeCell ref="B347:B348"/>
    <mergeCell ref="C347:C348"/>
    <mergeCell ref="D347:D348"/>
    <mergeCell ref="E347:G347"/>
    <mergeCell ref="H347:I347"/>
    <mergeCell ref="B354:B355"/>
    <mergeCell ref="D354:E354"/>
    <mergeCell ref="F354:I354"/>
    <mergeCell ref="D355:E355"/>
    <mergeCell ref="F355:I355"/>
    <mergeCell ref="B356:C356"/>
    <mergeCell ref="D356:E356"/>
    <mergeCell ref="F356:I356"/>
    <mergeCell ref="B357:B358"/>
    <mergeCell ref="D357:E357"/>
    <mergeCell ref="F357:I357"/>
    <mergeCell ref="D358:E358"/>
    <mergeCell ref="F358:I358"/>
    <mergeCell ref="B359:C359"/>
    <mergeCell ref="D359:E359"/>
    <mergeCell ref="F359:I359"/>
    <mergeCell ref="B360:C360"/>
    <mergeCell ref="D360:E360"/>
    <mergeCell ref="F360:I360"/>
    <mergeCell ref="B366:B367"/>
    <mergeCell ref="C366:C367"/>
    <mergeCell ref="D366:D367"/>
    <mergeCell ref="E366:G366"/>
    <mergeCell ref="H366:I366"/>
    <mergeCell ref="B373:B374"/>
    <mergeCell ref="D373:E373"/>
    <mergeCell ref="F373:I373"/>
    <mergeCell ref="D374:E374"/>
    <mergeCell ref="F374:I374"/>
    <mergeCell ref="B375:C375"/>
    <mergeCell ref="D375:E375"/>
    <mergeCell ref="F375:I375"/>
    <mergeCell ref="B376:B377"/>
    <mergeCell ref="D376:E376"/>
    <mergeCell ref="F376:I376"/>
    <mergeCell ref="D377:E377"/>
    <mergeCell ref="F377:I377"/>
    <mergeCell ref="B378:C378"/>
    <mergeCell ref="D378:E378"/>
    <mergeCell ref="F378:I378"/>
    <mergeCell ref="B379:C379"/>
    <mergeCell ref="D379:E379"/>
    <mergeCell ref="F379:I379"/>
    <mergeCell ref="B385:B386"/>
    <mergeCell ref="C385:C386"/>
    <mergeCell ref="D385:D386"/>
    <mergeCell ref="E385:G385"/>
    <mergeCell ref="H385:I385"/>
    <mergeCell ref="B392:B393"/>
    <mergeCell ref="D392:E392"/>
    <mergeCell ref="F392:I392"/>
    <mergeCell ref="D393:E393"/>
    <mergeCell ref="F393:I393"/>
    <mergeCell ref="B398:C398"/>
    <mergeCell ref="D398:E398"/>
    <mergeCell ref="F398:I398"/>
    <mergeCell ref="B394:C394"/>
    <mergeCell ref="D394:E394"/>
    <mergeCell ref="F394:I394"/>
    <mergeCell ref="B395:B396"/>
    <mergeCell ref="D395:E395"/>
    <mergeCell ref="F395:I395"/>
    <mergeCell ref="D396:E396"/>
    <mergeCell ref="F396:I396"/>
    <mergeCell ref="B397:C397"/>
    <mergeCell ref="D397:E397"/>
    <mergeCell ref="F397:I397"/>
    <mergeCell ref="B413:C413"/>
    <mergeCell ref="D413:E413"/>
    <mergeCell ref="F413:I413"/>
    <mergeCell ref="B414:B415"/>
    <mergeCell ref="D414:E414"/>
    <mergeCell ref="F414:I414"/>
    <mergeCell ref="D415:E415"/>
    <mergeCell ref="F415:I415"/>
    <mergeCell ref="B416:C416"/>
    <mergeCell ref="D416:E416"/>
    <mergeCell ref="F416:I416"/>
    <mergeCell ref="B417:C417"/>
    <mergeCell ref="D417:E417"/>
    <mergeCell ref="F417:I417"/>
    <mergeCell ref="B423:B424"/>
    <mergeCell ref="C423:C424"/>
    <mergeCell ref="D423:D424"/>
    <mergeCell ref="E423:G423"/>
    <mergeCell ref="H423:I423"/>
    <mergeCell ref="B430:B431"/>
    <mergeCell ref="D430:E430"/>
    <mergeCell ref="F430:I430"/>
    <mergeCell ref="D431:E431"/>
    <mergeCell ref="F431:I431"/>
    <mergeCell ref="B436:C436"/>
    <mergeCell ref="D436:E436"/>
    <mergeCell ref="F436:I436"/>
    <mergeCell ref="D449:E449"/>
    <mergeCell ref="F449:I449"/>
    <mergeCell ref="B432:C432"/>
    <mergeCell ref="D432:E432"/>
    <mergeCell ref="F432:I432"/>
    <mergeCell ref="B433:B434"/>
    <mergeCell ref="D433:E433"/>
    <mergeCell ref="F433:I433"/>
    <mergeCell ref="D434:E434"/>
    <mergeCell ref="F434:I434"/>
    <mergeCell ref="B435:C435"/>
    <mergeCell ref="D435:E435"/>
    <mergeCell ref="F435:I435"/>
    <mergeCell ref="B442:B443"/>
    <mergeCell ref="C442:C443"/>
    <mergeCell ref="D442:D443"/>
    <mergeCell ref="E442:G442"/>
    <mergeCell ref="H442:I442"/>
    <mergeCell ref="B461:B462"/>
    <mergeCell ref="C461:C462"/>
    <mergeCell ref="D461:D462"/>
    <mergeCell ref="E461:G461"/>
    <mergeCell ref="H461:I461"/>
    <mergeCell ref="D450:E450"/>
    <mergeCell ref="F450:I450"/>
    <mergeCell ref="D451:E451"/>
    <mergeCell ref="F451:I451"/>
    <mergeCell ref="D452:E452"/>
    <mergeCell ref="F452:I452"/>
    <mergeCell ref="D453:E453"/>
    <mergeCell ref="F453:I453"/>
    <mergeCell ref="B449:B450"/>
    <mergeCell ref="B451:C451"/>
    <mergeCell ref="B452:B453"/>
    <mergeCell ref="B455:C455"/>
    <mergeCell ref="D455:E455"/>
    <mergeCell ref="F455:I455"/>
    <mergeCell ref="B454:C454"/>
    <mergeCell ref="D454:E454"/>
    <mergeCell ref="F454:I454"/>
    <mergeCell ref="D469:E469"/>
    <mergeCell ref="F469:I469"/>
    <mergeCell ref="D470:E470"/>
    <mergeCell ref="F470:I470"/>
    <mergeCell ref="D471:E471"/>
    <mergeCell ref="F471:I471"/>
    <mergeCell ref="D472:E472"/>
    <mergeCell ref="F472:I472"/>
    <mergeCell ref="B468:B469"/>
    <mergeCell ref="B470:C470"/>
    <mergeCell ref="B471:B472"/>
    <mergeCell ref="D468:E468"/>
    <mergeCell ref="F468:I468"/>
    <mergeCell ref="B473:C473"/>
    <mergeCell ref="D473:E473"/>
    <mergeCell ref="F473:I473"/>
    <mergeCell ref="D487:E487"/>
    <mergeCell ref="F487:I487"/>
    <mergeCell ref="B474:C474"/>
    <mergeCell ref="D474:E474"/>
    <mergeCell ref="F474:I474"/>
    <mergeCell ref="B480:B481"/>
    <mergeCell ref="C480:C481"/>
    <mergeCell ref="D480:D481"/>
    <mergeCell ref="E480:G480"/>
    <mergeCell ref="H480:I480"/>
    <mergeCell ref="D488:E488"/>
    <mergeCell ref="F488:I488"/>
    <mergeCell ref="D489:E489"/>
    <mergeCell ref="F489:I489"/>
    <mergeCell ref="D490:E490"/>
    <mergeCell ref="F490:I490"/>
    <mergeCell ref="D491:E491"/>
    <mergeCell ref="F491:I491"/>
    <mergeCell ref="B487:B488"/>
    <mergeCell ref="B489:C489"/>
    <mergeCell ref="B490:B491"/>
    <mergeCell ref="B492:C492"/>
    <mergeCell ref="D492:E492"/>
    <mergeCell ref="F492:I492"/>
    <mergeCell ref="D506:E506"/>
    <mergeCell ref="F506:I506"/>
    <mergeCell ref="B493:C493"/>
    <mergeCell ref="D493:E493"/>
    <mergeCell ref="F493:I493"/>
    <mergeCell ref="B499:B500"/>
    <mergeCell ref="C499:C500"/>
    <mergeCell ref="D499:D500"/>
    <mergeCell ref="E499:G499"/>
    <mergeCell ref="H499:I499"/>
    <mergeCell ref="D507:E507"/>
    <mergeCell ref="F507:I507"/>
    <mergeCell ref="D508:E508"/>
    <mergeCell ref="F508:I508"/>
    <mergeCell ref="D509:E509"/>
    <mergeCell ref="F509:I509"/>
    <mergeCell ref="D510:E510"/>
    <mergeCell ref="F510:I510"/>
    <mergeCell ref="B506:B507"/>
    <mergeCell ref="B508:C508"/>
    <mergeCell ref="B509:B510"/>
    <mergeCell ref="B511:C511"/>
    <mergeCell ref="D511:E511"/>
    <mergeCell ref="F511:I511"/>
    <mergeCell ref="D525:E525"/>
    <mergeCell ref="F525:I525"/>
    <mergeCell ref="B512:C512"/>
    <mergeCell ref="D512:E512"/>
    <mergeCell ref="F512:I512"/>
    <mergeCell ref="B518:B519"/>
    <mergeCell ref="C518:C519"/>
    <mergeCell ref="D518:D519"/>
    <mergeCell ref="E518:G518"/>
    <mergeCell ref="H518:I518"/>
    <mergeCell ref="D526:E526"/>
    <mergeCell ref="F526:I526"/>
    <mergeCell ref="D527:E527"/>
    <mergeCell ref="F527:I527"/>
    <mergeCell ref="D528:E528"/>
    <mergeCell ref="F528:I528"/>
    <mergeCell ref="D529:E529"/>
    <mergeCell ref="F529:I529"/>
    <mergeCell ref="B525:B526"/>
    <mergeCell ref="B527:C527"/>
    <mergeCell ref="B528:B529"/>
    <mergeCell ref="B530:C530"/>
    <mergeCell ref="D530:E530"/>
    <mergeCell ref="F530:I530"/>
    <mergeCell ref="D544:E544"/>
    <mergeCell ref="F544:I544"/>
    <mergeCell ref="B531:C531"/>
    <mergeCell ref="D531:E531"/>
    <mergeCell ref="F531:I531"/>
    <mergeCell ref="B537:B538"/>
    <mergeCell ref="C537:C538"/>
    <mergeCell ref="D537:D538"/>
    <mergeCell ref="E537:G537"/>
    <mergeCell ref="H537:I537"/>
    <mergeCell ref="D545:E545"/>
    <mergeCell ref="F545:I545"/>
    <mergeCell ref="D546:E546"/>
    <mergeCell ref="F546:I546"/>
    <mergeCell ref="D547:E547"/>
    <mergeCell ref="F547:I547"/>
    <mergeCell ref="D548:E548"/>
    <mergeCell ref="F548:I548"/>
    <mergeCell ref="B544:B545"/>
    <mergeCell ref="B546:C546"/>
    <mergeCell ref="B547:B548"/>
    <mergeCell ref="B549:C549"/>
    <mergeCell ref="D549:E549"/>
    <mergeCell ref="F549:I549"/>
    <mergeCell ref="D563:E563"/>
    <mergeCell ref="F563:I563"/>
    <mergeCell ref="B550:C550"/>
    <mergeCell ref="D550:E550"/>
    <mergeCell ref="F550:I550"/>
    <mergeCell ref="B556:B557"/>
    <mergeCell ref="C556:C557"/>
    <mergeCell ref="D556:D557"/>
    <mergeCell ref="E556:G556"/>
    <mergeCell ref="H556:I556"/>
    <mergeCell ref="B568:C568"/>
    <mergeCell ref="D568:E568"/>
    <mergeCell ref="F568:I568"/>
    <mergeCell ref="B569:C569"/>
    <mergeCell ref="D569:E569"/>
    <mergeCell ref="F569:I569"/>
    <mergeCell ref="D564:E564"/>
    <mergeCell ref="F564:I564"/>
    <mergeCell ref="D565:E565"/>
    <mergeCell ref="F565:I565"/>
    <mergeCell ref="D566:E566"/>
    <mergeCell ref="F566:I566"/>
    <mergeCell ref="D567:E567"/>
    <mergeCell ref="F567:I567"/>
    <mergeCell ref="B563:B564"/>
    <mergeCell ref="B565:C565"/>
    <mergeCell ref="B566:B567"/>
    <mergeCell ref="B404:B405"/>
    <mergeCell ref="C404:C405"/>
    <mergeCell ref="D404:D405"/>
    <mergeCell ref="E404:G404"/>
    <mergeCell ref="H404:I404"/>
    <mergeCell ref="B411:B412"/>
    <mergeCell ref="D411:E411"/>
    <mergeCell ref="F411:I411"/>
    <mergeCell ref="D412:E412"/>
    <mergeCell ref="F412:I412"/>
  </mergeCells>
  <phoneticPr fontId="1"/>
  <conditionalFormatting sqref="B4:I4 B7:I7">
    <cfRule type="notContainsBlanks" dxfId="2524" priority="109">
      <formula>LEN(TRIM(B4))&gt;0</formula>
    </cfRule>
  </conditionalFormatting>
  <conditionalFormatting sqref="B23:I23">
    <cfRule type="notContainsBlanks" dxfId="2523" priority="111">
      <formula>LEN(TRIM(B23))&gt;0</formula>
    </cfRule>
  </conditionalFormatting>
  <conditionalFormatting sqref="B26:I26">
    <cfRule type="notContainsBlanks" dxfId="2522" priority="57">
      <formula>LEN(TRIM(B26))&gt;0</formula>
    </cfRule>
  </conditionalFormatting>
  <conditionalFormatting sqref="B42:I42">
    <cfRule type="notContainsBlanks" dxfId="2521" priority="113">
      <formula>LEN(TRIM(B42))&gt;0</formula>
    </cfRule>
  </conditionalFormatting>
  <conditionalFormatting sqref="B45:I45">
    <cfRule type="notContainsBlanks" dxfId="2520" priority="55">
      <formula>LEN(TRIM(B45))&gt;0</formula>
    </cfRule>
  </conditionalFormatting>
  <conditionalFormatting sqref="B61:I61">
    <cfRule type="notContainsBlanks" dxfId="2519" priority="115">
      <formula>LEN(TRIM(B61))&gt;0</formula>
    </cfRule>
  </conditionalFormatting>
  <conditionalFormatting sqref="B64:I64">
    <cfRule type="notContainsBlanks" dxfId="2518" priority="53">
      <formula>LEN(TRIM(B64))&gt;0</formula>
    </cfRule>
  </conditionalFormatting>
  <conditionalFormatting sqref="B80:I80">
    <cfRule type="notContainsBlanks" dxfId="2517" priority="119">
      <formula>LEN(TRIM(B80))&gt;0</formula>
    </cfRule>
  </conditionalFormatting>
  <conditionalFormatting sqref="B83:I83">
    <cfRule type="notContainsBlanks" dxfId="2516" priority="51">
      <formula>LEN(TRIM(B83))&gt;0</formula>
    </cfRule>
  </conditionalFormatting>
  <conditionalFormatting sqref="B99:I99">
    <cfRule type="notContainsBlanks" dxfId="2515" priority="107">
      <formula>LEN(TRIM(B99))&gt;0</formula>
    </cfRule>
  </conditionalFormatting>
  <conditionalFormatting sqref="B102:I102">
    <cfRule type="notContainsBlanks" dxfId="2514" priority="49">
      <formula>LEN(TRIM(B102))&gt;0</formula>
    </cfRule>
  </conditionalFormatting>
  <conditionalFormatting sqref="B118:I118">
    <cfRule type="notContainsBlanks" dxfId="2513" priority="105">
      <formula>LEN(TRIM(B118))&gt;0</formula>
    </cfRule>
  </conditionalFormatting>
  <conditionalFormatting sqref="B121:I121">
    <cfRule type="notContainsBlanks" dxfId="2512" priority="47">
      <formula>LEN(TRIM(B121))&gt;0</formula>
    </cfRule>
  </conditionalFormatting>
  <conditionalFormatting sqref="B137:I137">
    <cfRule type="notContainsBlanks" dxfId="2511" priority="103">
      <formula>LEN(TRIM(B137))&gt;0</formula>
    </cfRule>
  </conditionalFormatting>
  <conditionalFormatting sqref="B140:I140">
    <cfRule type="notContainsBlanks" dxfId="2510" priority="45">
      <formula>LEN(TRIM(B140))&gt;0</formula>
    </cfRule>
  </conditionalFormatting>
  <conditionalFormatting sqref="B156:I156">
    <cfRule type="notContainsBlanks" dxfId="2509" priority="101">
      <formula>LEN(TRIM(B156))&gt;0</formula>
    </cfRule>
  </conditionalFormatting>
  <conditionalFormatting sqref="B159:I159">
    <cfRule type="notContainsBlanks" dxfId="2508" priority="43">
      <formula>LEN(TRIM(B159))&gt;0</formula>
    </cfRule>
  </conditionalFormatting>
  <conditionalFormatting sqref="B175:I175">
    <cfRule type="notContainsBlanks" dxfId="2507" priority="99">
      <formula>LEN(TRIM(B175))&gt;0</formula>
    </cfRule>
  </conditionalFormatting>
  <conditionalFormatting sqref="B178:I178">
    <cfRule type="notContainsBlanks" dxfId="2506" priority="41">
      <formula>LEN(TRIM(B178))&gt;0</formula>
    </cfRule>
  </conditionalFormatting>
  <conditionalFormatting sqref="B194:I194">
    <cfRule type="notContainsBlanks" dxfId="2505" priority="97">
      <formula>LEN(TRIM(B194))&gt;0</formula>
    </cfRule>
  </conditionalFormatting>
  <conditionalFormatting sqref="B197:I197">
    <cfRule type="notContainsBlanks" dxfId="2504" priority="39">
      <formula>LEN(TRIM(B197))&gt;0</formula>
    </cfRule>
  </conditionalFormatting>
  <conditionalFormatting sqref="B213:I213">
    <cfRule type="notContainsBlanks" dxfId="2503" priority="95">
      <formula>LEN(TRIM(B213))&gt;0</formula>
    </cfRule>
  </conditionalFormatting>
  <conditionalFormatting sqref="B216:I216">
    <cfRule type="notContainsBlanks" dxfId="2502" priority="37">
      <formula>LEN(TRIM(B216))&gt;0</formula>
    </cfRule>
  </conditionalFormatting>
  <conditionalFormatting sqref="B232:I232">
    <cfRule type="notContainsBlanks" dxfId="2501" priority="93">
      <formula>LEN(TRIM(B232))&gt;0</formula>
    </cfRule>
  </conditionalFormatting>
  <conditionalFormatting sqref="B235:I235">
    <cfRule type="notContainsBlanks" dxfId="2500" priority="35">
      <formula>LEN(TRIM(B235))&gt;0</formula>
    </cfRule>
  </conditionalFormatting>
  <conditionalFormatting sqref="B251:I251">
    <cfRule type="notContainsBlanks" dxfId="2499" priority="91">
      <formula>LEN(TRIM(B251))&gt;0</formula>
    </cfRule>
  </conditionalFormatting>
  <conditionalFormatting sqref="B254:I254">
    <cfRule type="notContainsBlanks" dxfId="2498" priority="33">
      <formula>LEN(TRIM(B254))&gt;0</formula>
    </cfRule>
  </conditionalFormatting>
  <conditionalFormatting sqref="B270:I270">
    <cfRule type="notContainsBlanks" dxfId="2497" priority="89">
      <formula>LEN(TRIM(B270))&gt;0</formula>
    </cfRule>
  </conditionalFormatting>
  <conditionalFormatting sqref="B273:I273">
    <cfRule type="notContainsBlanks" dxfId="2496" priority="31">
      <formula>LEN(TRIM(B273))&gt;0</formula>
    </cfRule>
  </conditionalFormatting>
  <conditionalFormatting sqref="B289:I289">
    <cfRule type="notContainsBlanks" dxfId="2495" priority="87">
      <formula>LEN(TRIM(B289))&gt;0</formula>
    </cfRule>
  </conditionalFormatting>
  <conditionalFormatting sqref="B292:I292">
    <cfRule type="notContainsBlanks" dxfId="2494" priority="29">
      <formula>LEN(TRIM(B292))&gt;0</formula>
    </cfRule>
  </conditionalFormatting>
  <conditionalFormatting sqref="B308:I308">
    <cfRule type="notContainsBlanks" dxfId="2493" priority="85">
      <formula>LEN(TRIM(B308))&gt;0</formula>
    </cfRule>
  </conditionalFormatting>
  <conditionalFormatting sqref="B311:I311">
    <cfRule type="notContainsBlanks" dxfId="2492" priority="27">
      <formula>LEN(TRIM(B311))&gt;0</formula>
    </cfRule>
  </conditionalFormatting>
  <conditionalFormatting sqref="B327:I327">
    <cfRule type="notContainsBlanks" dxfId="2491" priority="83">
      <formula>LEN(TRIM(B327))&gt;0</formula>
    </cfRule>
  </conditionalFormatting>
  <conditionalFormatting sqref="B330:I330">
    <cfRule type="notContainsBlanks" dxfId="2490" priority="25">
      <formula>LEN(TRIM(B330))&gt;0</formula>
    </cfRule>
  </conditionalFormatting>
  <conditionalFormatting sqref="B346:I346">
    <cfRule type="notContainsBlanks" dxfId="2489" priority="81">
      <formula>LEN(TRIM(B346))&gt;0</formula>
    </cfRule>
  </conditionalFormatting>
  <conditionalFormatting sqref="B349:I349">
    <cfRule type="notContainsBlanks" dxfId="2488" priority="23">
      <formula>LEN(TRIM(B349))&gt;0</formula>
    </cfRule>
  </conditionalFormatting>
  <conditionalFormatting sqref="B365:I365">
    <cfRule type="notContainsBlanks" dxfId="2487" priority="79">
      <formula>LEN(TRIM(B365))&gt;0</formula>
    </cfRule>
  </conditionalFormatting>
  <conditionalFormatting sqref="B368:I368">
    <cfRule type="notContainsBlanks" dxfId="2486" priority="21">
      <formula>LEN(TRIM(B368))&gt;0</formula>
    </cfRule>
  </conditionalFormatting>
  <conditionalFormatting sqref="B384:I384">
    <cfRule type="notContainsBlanks" dxfId="2485" priority="77">
      <formula>LEN(TRIM(B384))&gt;0</formula>
    </cfRule>
  </conditionalFormatting>
  <conditionalFormatting sqref="B387:I387">
    <cfRule type="notContainsBlanks" dxfId="2484" priority="19">
      <formula>LEN(TRIM(B387))&gt;0</formula>
    </cfRule>
  </conditionalFormatting>
  <conditionalFormatting sqref="B403:I403">
    <cfRule type="notContainsBlanks" dxfId="2483" priority="75">
      <formula>LEN(TRIM(B403))&gt;0</formula>
    </cfRule>
  </conditionalFormatting>
  <conditionalFormatting sqref="B406:I406">
    <cfRule type="notContainsBlanks" dxfId="2482" priority="17">
      <formula>LEN(TRIM(B406))&gt;0</formula>
    </cfRule>
  </conditionalFormatting>
  <conditionalFormatting sqref="B422:I422">
    <cfRule type="notContainsBlanks" dxfId="2481" priority="73">
      <formula>LEN(TRIM(B422))&gt;0</formula>
    </cfRule>
  </conditionalFormatting>
  <conditionalFormatting sqref="B425:I425">
    <cfRule type="notContainsBlanks" dxfId="2480" priority="15">
      <formula>LEN(TRIM(B425))&gt;0</formula>
    </cfRule>
  </conditionalFormatting>
  <conditionalFormatting sqref="B441:I441">
    <cfRule type="notContainsBlanks" dxfId="2479" priority="71">
      <formula>LEN(TRIM(B441))&gt;0</formula>
    </cfRule>
  </conditionalFormatting>
  <conditionalFormatting sqref="B444:I444">
    <cfRule type="notContainsBlanks" dxfId="2478" priority="13">
      <formula>LEN(TRIM(B444))&gt;0</formula>
    </cfRule>
  </conditionalFormatting>
  <conditionalFormatting sqref="B460:I460">
    <cfRule type="notContainsBlanks" dxfId="2477" priority="69">
      <formula>LEN(TRIM(B460))&gt;0</formula>
    </cfRule>
  </conditionalFormatting>
  <conditionalFormatting sqref="B463:I463">
    <cfRule type="notContainsBlanks" dxfId="2476" priority="11">
      <formula>LEN(TRIM(B463))&gt;0</formula>
    </cfRule>
  </conditionalFormatting>
  <conditionalFormatting sqref="B479:I479">
    <cfRule type="notContainsBlanks" dxfId="2475" priority="67">
      <formula>LEN(TRIM(B479))&gt;0</formula>
    </cfRule>
  </conditionalFormatting>
  <conditionalFormatting sqref="B482:I482">
    <cfRule type="notContainsBlanks" dxfId="2474" priority="9">
      <formula>LEN(TRIM(B482))&gt;0</formula>
    </cfRule>
  </conditionalFormatting>
  <conditionalFormatting sqref="B498:I498">
    <cfRule type="notContainsBlanks" dxfId="2473" priority="65">
      <formula>LEN(TRIM(B498))&gt;0</formula>
    </cfRule>
  </conditionalFormatting>
  <conditionalFormatting sqref="B501:I501">
    <cfRule type="notContainsBlanks" dxfId="2472" priority="7">
      <formula>LEN(TRIM(B501))&gt;0</formula>
    </cfRule>
  </conditionalFormatting>
  <conditionalFormatting sqref="B517:I517">
    <cfRule type="notContainsBlanks" dxfId="2471" priority="63">
      <formula>LEN(TRIM(B517))&gt;0</formula>
    </cfRule>
  </conditionalFormatting>
  <conditionalFormatting sqref="B520:I520">
    <cfRule type="notContainsBlanks" dxfId="2470" priority="5">
      <formula>LEN(TRIM(B520))&gt;0</formula>
    </cfRule>
  </conditionalFormatting>
  <conditionalFormatting sqref="B536:I536">
    <cfRule type="notContainsBlanks" dxfId="2469" priority="61">
      <formula>LEN(TRIM(B536))&gt;0</formula>
    </cfRule>
  </conditionalFormatting>
  <conditionalFormatting sqref="B539:I539">
    <cfRule type="notContainsBlanks" dxfId="2468" priority="3">
      <formula>LEN(TRIM(B539))&gt;0</formula>
    </cfRule>
  </conditionalFormatting>
  <conditionalFormatting sqref="B555:I555">
    <cfRule type="notContainsBlanks" dxfId="2467" priority="59">
      <formula>LEN(TRIM(B555))&gt;0</formula>
    </cfRule>
  </conditionalFormatting>
  <conditionalFormatting sqref="B558:I558">
    <cfRule type="notContainsBlanks" dxfId="2466" priority="1">
      <formula>LEN(TRIM(B558))&gt;0</formula>
    </cfRule>
  </conditionalFormatting>
  <conditionalFormatting sqref="F12">
    <cfRule type="expression" dxfId="2465" priority="471">
      <formula>$B10&lt;&gt;""</formula>
    </cfRule>
  </conditionalFormatting>
  <conditionalFormatting sqref="F13">
    <cfRule type="expression" dxfId="2464" priority="469">
      <formula>$B10&lt;&gt;""</formula>
    </cfRule>
  </conditionalFormatting>
  <conditionalFormatting sqref="F14">
    <cfRule type="expression" dxfId="2463" priority="468">
      <formula>$B10&lt;&gt;""</formula>
    </cfRule>
  </conditionalFormatting>
  <conditionalFormatting sqref="F15">
    <cfRule type="expression" dxfId="2462" priority="466">
      <formula>$B10&lt;&gt;""</formula>
    </cfRule>
  </conditionalFormatting>
  <conditionalFormatting sqref="F16">
    <cfRule type="expression" dxfId="2461" priority="479">
      <formula>$B10&lt;&gt;""</formula>
    </cfRule>
  </conditionalFormatting>
  <conditionalFormatting sqref="F17">
    <cfRule type="expression" dxfId="2460" priority="478">
      <formula>$B10&lt;&gt;""</formula>
    </cfRule>
  </conditionalFormatting>
  <conditionalFormatting sqref="F18">
    <cfRule type="expression" dxfId="2459" priority="472">
      <formula>$B10&lt;&gt;""</formula>
    </cfRule>
  </conditionalFormatting>
  <conditionalFormatting sqref="F31">
    <cfRule type="expression" dxfId="2458" priority="440">
      <formula>$B29&lt;&gt;""</formula>
    </cfRule>
  </conditionalFormatting>
  <conditionalFormatting sqref="F32">
    <cfRule type="expression" dxfId="2457" priority="439">
      <formula>$B29&lt;&gt;""</formula>
    </cfRule>
  </conditionalFormatting>
  <conditionalFormatting sqref="F33">
    <cfRule type="expression" dxfId="2456" priority="438">
      <formula>$B29&lt;&gt;""</formula>
    </cfRule>
  </conditionalFormatting>
  <conditionalFormatting sqref="F34">
    <cfRule type="expression" dxfId="2455" priority="437">
      <formula>$B29&lt;&gt;""</formula>
    </cfRule>
  </conditionalFormatting>
  <conditionalFormatting sqref="F35">
    <cfRule type="expression" dxfId="2454" priority="444">
      <formula>$B29&lt;&gt;""</formula>
    </cfRule>
  </conditionalFormatting>
  <conditionalFormatting sqref="F36">
    <cfRule type="expression" dxfId="2453" priority="443">
      <formula>$B29&lt;&gt;""</formula>
    </cfRule>
  </conditionalFormatting>
  <conditionalFormatting sqref="F37">
    <cfRule type="expression" dxfId="2452" priority="441">
      <formula>$B29&lt;&gt;""</formula>
    </cfRule>
  </conditionalFormatting>
  <conditionalFormatting sqref="F50">
    <cfRule type="expression" dxfId="2451" priority="431">
      <formula>$B48&lt;&gt;""</formula>
    </cfRule>
  </conditionalFormatting>
  <conditionalFormatting sqref="F51">
    <cfRule type="expression" dxfId="2450" priority="430">
      <formula>$B48&lt;&gt;""</formula>
    </cfRule>
  </conditionalFormatting>
  <conditionalFormatting sqref="F52">
    <cfRule type="expression" dxfId="2449" priority="429">
      <formula>$B48&lt;&gt;""</formula>
    </cfRule>
  </conditionalFormatting>
  <conditionalFormatting sqref="F53">
    <cfRule type="expression" dxfId="2448" priority="428">
      <formula>$B48&lt;&gt;""</formula>
    </cfRule>
  </conditionalFormatting>
  <conditionalFormatting sqref="F54">
    <cfRule type="expression" dxfId="2447" priority="435">
      <formula>$B48&lt;&gt;""</formula>
    </cfRule>
  </conditionalFormatting>
  <conditionalFormatting sqref="F55">
    <cfRule type="expression" dxfId="2446" priority="434">
      <formula>$B48&lt;&gt;""</formula>
    </cfRule>
  </conditionalFormatting>
  <conditionalFormatting sqref="F56">
    <cfRule type="expression" dxfId="2445" priority="432">
      <formula>$B48&lt;&gt;""</formula>
    </cfRule>
  </conditionalFormatting>
  <conditionalFormatting sqref="F69">
    <cfRule type="expression" dxfId="2444" priority="422">
      <formula>$B67&lt;&gt;""</formula>
    </cfRule>
  </conditionalFormatting>
  <conditionalFormatting sqref="F70">
    <cfRule type="expression" dxfId="2443" priority="421">
      <formula>$B67&lt;&gt;""</formula>
    </cfRule>
  </conditionalFormatting>
  <conditionalFormatting sqref="F71">
    <cfRule type="expression" dxfId="2442" priority="420">
      <formula>$B67&lt;&gt;""</formula>
    </cfRule>
  </conditionalFormatting>
  <conditionalFormatting sqref="F72">
    <cfRule type="expression" dxfId="2441" priority="419">
      <formula>$B67&lt;&gt;""</formula>
    </cfRule>
  </conditionalFormatting>
  <conditionalFormatting sqref="F73">
    <cfRule type="expression" dxfId="2440" priority="426">
      <formula>$B67&lt;&gt;""</formula>
    </cfRule>
  </conditionalFormatting>
  <conditionalFormatting sqref="F74">
    <cfRule type="expression" dxfId="2439" priority="425">
      <formula>$B67&lt;&gt;""</formula>
    </cfRule>
  </conditionalFormatting>
  <conditionalFormatting sqref="F75">
    <cfRule type="expression" dxfId="2438" priority="423">
      <formula>$B67&lt;&gt;""</formula>
    </cfRule>
  </conditionalFormatting>
  <conditionalFormatting sqref="F88">
    <cfRule type="expression" dxfId="2437" priority="413">
      <formula>$B86&lt;&gt;""</formula>
    </cfRule>
  </conditionalFormatting>
  <conditionalFormatting sqref="F89">
    <cfRule type="expression" dxfId="2436" priority="412">
      <formula>$B86&lt;&gt;""</formula>
    </cfRule>
  </conditionalFormatting>
  <conditionalFormatting sqref="F90">
    <cfRule type="expression" dxfId="2435" priority="411">
      <formula>$B86&lt;&gt;""</formula>
    </cfRule>
  </conditionalFormatting>
  <conditionalFormatting sqref="F91">
    <cfRule type="expression" dxfId="2434" priority="410">
      <formula>$B86&lt;&gt;""</formula>
    </cfRule>
  </conditionalFormatting>
  <conditionalFormatting sqref="F92">
    <cfRule type="expression" dxfId="2433" priority="417">
      <formula>$B86&lt;&gt;""</formula>
    </cfRule>
  </conditionalFormatting>
  <conditionalFormatting sqref="F93">
    <cfRule type="expression" dxfId="2432" priority="416">
      <formula>$B86&lt;&gt;""</formula>
    </cfRule>
  </conditionalFormatting>
  <conditionalFormatting sqref="F94">
    <cfRule type="expression" dxfId="2431" priority="414">
      <formula>$B86&lt;&gt;""</formula>
    </cfRule>
  </conditionalFormatting>
  <conditionalFormatting sqref="F107">
    <cfRule type="expression" dxfId="2430" priority="404">
      <formula>$B105&lt;&gt;""</formula>
    </cfRule>
  </conditionalFormatting>
  <conditionalFormatting sqref="F108">
    <cfRule type="expression" dxfId="2429" priority="403">
      <formula>$B105&lt;&gt;""</formula>
    </cfRule>
  </conditionalFormatting>
  <conditionalFormatting sqref="F109">
    <cfRule type="expression" dxfId="2428" priority="402">
      <formula>$B105&lt;&gt;""</formula>
    </cfRule>
  </conditionalFormatting>
  <conditionalFormatting sqref="F110">
    <cfRule type="expression" dxfId="2427" priority="401">
      <formula>$B105&lt;&gt;""</formula>
    </cfRule>
  </conditionalFormatting>
  <conditionalFormatting sqref="F111">
    <cfRule type="expression" dxfId="2426" priority="408">
      <formula>$B105&lt;&gt;""</formula>
    </cfRule>
  </conditionalFormatting>
  <conditionalFormatting sqref="F112">
    <cfRule type="expression" dxfId="2425" priority="407">
      <formula>$B105&lt;&gt;""</formula>
    </cfRule>
  </conditionalFormatting>
  <conditionalFormatting sqref="F113">
    <cfRule type="expression" dxfId="2424" priority="405">
      <formula>$B105&lt;&gt;""</formula>
    </cfRule>
  </conditionalFormatting>
  <conditionalFormatting sqref="F126">
    <cfRule type="expression" dxfId="2423" priority="395">
      <formula>$B124&lt;&gt;""</formula>
    </cfRule>
  </conditionalFormatting>
  <conditionalFormatting sqref="F127">
    <cfRule type="expression" dxfId="2422" priority="394">
      <formula>$B124&lt;&gt;""</formula>
    </cfRule>
  </conditionalFormatting>
  <conditionalFormatting sqref="F128">
    <cfRule type="expression" dxfId="2421" priority="393">
      <formula>$B124&lt;&gt;""</formula>
    </cfRule>
  </conditionalFormatting>
  <conditionalFormatting sqref="F129">
    <cfRule type="expression" dxfId="2420" priority="392">
      <formula>$B124&lt;&gt;""</formula>
    </cfRule>
  </conditionalFormatting>
  <conditionalFormatting sqref="F130">
    <cfRule type="expression" dxfId="2419" priority="399">
      <formula>$B124&lt;&gt;""</formula>
    </cfRule>
  </conditionalFormatting>
  <conditionalFormatting sqref="F131">
    <cfRule type="expression" dxfId="2418" priority="398">
      <formula>$B124&lt;&gt;""</formula>
    </cfRule>
  </conditionalFormatting>
  <conditionalFormatting sqref="F132">
    <cfRule type="expression" dxfId="2417" priority="396">
      <formula>$B124&lt;&gt;""</formula>
    </cfRule>
  </conditionalFormatting>
  <conditionalFormatting sqref="F145">
    <cfRule type="expression" dxfId="2416" priority="386">
      <formula>$B143&lt;&gt;""</formula>
    </cfRule>
  </conditionalFormatting>
  <conditionalFormatting sqref="F146">
    <cfRule type="expression" dxfId="2415" priority="385">
      <formula>$B143&lt;&gt;""</formula>
    </cfRule>
  </conditionalFormatting>
  <conditionalFormatting sqref="F147">
    <cfRule type="expression" dxfId="2414" priority="384">
      <formula>$B143&lt;&gt;""</formula>
    </cfRule>
  </conditionalFormatting>
  <conditionalFormatting sqref="F148">
    <cfRule type="expression" dxfId="2413" priority="383">
      <formula>$B143&lt;&gt;""</formula>
    </cfRule>
  </conditionalFormatting>
  <conditionalFormatting sqref="F149">
    <cfRule type="expression" dxfId="2412" priority="390">
      <formula>$B143&lt;&gt;""</formula>
    </cfRule>
  </conditionalFormatting>
  <conditionalFormatting sqref="F150">
    <cfRule type="expression" dxfId="2411" priority="389">
      <formula>$B143&lt;&gt;""</formula>
    </cfRule>
  </conditionalFormatting>
  <conditionalFormatting sqref="F151">
    <cfRule type="expression" dxfId="2410" priority="387">
      <formula>$B143&lt;&gt;""</formula>
    </cfRule>
  </conditionalFormatting>
  <conditionalFormatting sqref="F164">
    <cfRule type="expression" dxfId="2409" priority="377">
      <formula>$B162&lt;&gt;""</formula>
    </cfRule>
  </conditionalFormatting>
  <conditionalFormatting sqref="F165">
    <cfRule type="expression" dxfId="2408" priority="376">
      <formula>$B162&lt;&gt;""</formula>
    </cfRule>
  </conditionalFormatting>
  <conditionalFormatting sqref="F166">
    <cfRule type="expression" dxfId="2407" priority="375">
      <formula>$B162&lt;&gt;""</formula>
    </cfRule>
  </conditionalFormatting>
  <conditionalFormatting sqref="F167">
    <cfRule type="expression" dxfId="2406" priority="374">
      <formula>$B162&lt;&gt;""</formula>
    </cfRule>
  </conditionalFormatting>
  <conditionalFormatting sqref="F168">
    <cfRule type="expression" dxfId="2405" priority="381">
      <formula>$B162&lt;&gt;""</formula>
    </cfRule>
  </conditionalFormatting>
  <conditionalFormatting sqref="F169">
    <cfRule type="expression" dxfId="2404" priority="380">
      <formula>$B162&lt;&gt;""</formula>
    </cfRule>
  </conditionalFormatting>
  <conditionalFormatting sqref="F170">
    <cfRule type="expression" dxfId="2403" priority="378">
      <formula>$B162&lt;&gt;""</formula>
    </cfRule>
  </conditionalFormatting>
  <conditionalFormatting sqref="F183">
    <cfRule type="expression" dxfId="2402" priority="368">
      <formula>$B181&lt;&gt;""</formula>
    </cfRule>
  </conditionalFormatting>
  <conditionalFormatting sqref="F184">
    <cfRule type="expression" dxfId="2401" priority="367">
      <formula>$B181&lt;&gt;""</formula>
    </cfRule>
  </conditionalFormatting>
  <conditionalFormatting sqref="F185">
    <cfRule type="expression" dxfId="2400" priority="366">
      <formula>$B181&lt;&gt;""</formula>
    </cfRule>
  </conditionalFormatting>
  <conditionalFormatting sqref="F186">
    <cfRule type="expression" dxfId="2399" priority="365">
      <formula>$B181&lt;&gt;""</formula>
    </cfRule>
  </conditionalFormatting>
  <conditionalFormatting sqref="F187">
    <cfRule type="expression" dxfId="2398" priority="372">
      <formula>$B181&lt;&gt;""</formula>
    </cfRule>
  </conditionalFormatting>
  <conditionalFormatting sqref="F188">
    <cfRule type="expression" dxfId="2397" priority="371">
      <formula>$B181&lt;&gt;""</formula>
    </cfRule>
  </conditionalFormatting>
  <conditionalFormatting sqref="F189">
    <cfRule type="expression" dxfId="2396" priority="369">
      <formula>$B181&lt;&gt;""</formula>
    </cfRule>
  </conditionalFormatting>
  <conditionalFormatting sqref="F202">
    <cfRule type="expression" dxfId="2395" priority="359">
      <formula>$B200&lt;&gt;""</formula>
    </cfRule>
  </conditionalFormatting>
  <conditionalFormatting sqref="F203">
    <cfRule type="expression" dxfId="2394" priority="358">
      <formula>$B200&lt;&gt;""</formula>
    </cfRule>
  </conditionalFormatting>
  <conditionalFormatting sqref="F204">
    <cfRule type="expression" dxfId="2393" priority="357">
      <formula>$B200&lt;&gt;""</formula>
    </cfRule>
  </conditionalFormatting>
  <conditionalFormatting sqref="F205">
    <cfRule type="expression" dxfId="2392" priority="356">
      <formula>$B200&lt;&gt;""</formula>
    </cfRule>
  </conditionalFormatting>
  <conditionalFormatting sqref="F206">
    <cfRule type="expression" dxfId="2391" priority="363">
      <formula>$B200&lt;&gt;""</formula>
    </cfRule>
  </conditionalFormatting>
  <conditionalFormatting sqref="F207">
    <cfRule type="expression" dxfId="2390" priority="362">
      <formula>$B200&lt;&gt;""</formula>
    </cfRule>
  </conditionalFormatting>
  <conditionalFormatting sqref="F208">
    <cfRule type="expression" dxfId="2389" priority="360">
      <formula>$B200&lt;&gt;""</formula>
    </cfRule>
  </conditionalFormatting>
  <conditionalFormatting sqref="F221">
    <cfRule type="expression" dxfId="2388" priority="350">
      <formula>$B219&lt;&gt;""</formula>
    </cfRule>
  </conditionalFormatting>
  <conditionalFormatting sqref="F222">
    <cfRule type="expression" dxfId="2387" priority="349">
      <formula>$B219&lt;&gt;""</formula>
    </cfRule>
  </conditionalFormatting>
  <conditionalFormatting sqref="F223">
    <cfRule type="expression" dxfId="2386" priority="348">
      <formula>$B219&lt;&gt;""</formula>
    </cfRule>
  </conditionalFormatting>
  <conditionalFormatting sqref="F224">
    <cfRule type="expression" dxfId="2385" priority="347">
      <formula>$B219&lt;&gt;""</formula>
    </cfRule>
  </conditionalFormatting>
  <conditionalFormatting sqref="F225">
    <cfRule type="expression" dxfId="2384" priority="354">
      <formula>$B219&lt;&gt;""</formula>
    </cfRule>
  </conditionalFormatting>
  <conditionalFormatting sqref="F226">
    <cfRule type="expression" dxfId="2383" priority="353">
      <formula>$B219&lt;&gt;""</formula>
    </cfRule>
  </conditionalFormatting>
  <conditionalFormatting sqref="F227">
    <cfRule type="expression" dxfId="2382" priority="351">
      <formula>$B219&lt;&gt;""</formula>
    </cfRule>
  </conditionalFormatting>
  <conditionalFormatting sqref="F240">
    <cfRule type="expression" dxfId="2381" priority="341">
      <formula>$B238&lt;&gt;""</formula>
    </cfRule>
  </conditionalFormatting>
  <conditionalFormatting sqref="F241">
    <cfRule type="expression" dxfId="2380" priority="340">
      <formula>$B238&lt;&gt;""</formula>
    </cfRule>
  </conditionalFormatting>
  <conditionalFormatting sqref="F242">
    <cfRule type="expression" dxfId="2379" priority="339">
      <formula>$B238&lt;&gt;""</formula>
    </cfRule>
  </conditionalFormatting>
  <conditionalFormatting sqref="F243">
    <cfRule type="expression" dxfId="2378" priority="338">
      <formula>$B238&lt;&gt;""</formula>
    </cfRule>
  </conditionalFormatting>
  <conditionalFormatting sqref="F244">
    <cfRule type="expression" dxfId="2377" priority="345">
      <formula>$B238&lt;&gt;""</formula>
    </cfRule>
  </conditionalFormatting>
  <conditionalFormatting sqref="F245">
    <cfRule type="expression" dxfId="2376" priority="344">
      <formula>$B238&lt;&gt;""</formula>
    </cfRule>
  </conditionalFormatting>
  <conditionalFormatting sqref="F246">
    <cfRule type="expression" dxfId="2375" priority="342">
      <formula>$B238&lt;&gt;""</formula>
    </cfRule>
  </conditionalFormatting>
  <conditionalFormatting sqref="F259">
    <cfRule type="expression" dxfId="2374" priority="332">
      <formula>$B257&lt;&gt;""</formula>
    </cfRule>
  </conditionalFormatting>
  <conditionalFormatting sqref="F260">
    <cfRule type="expression" dxfId="2373" priority="331">
      <formula>$B257&lt;&gt;""</formula>
    </cfRule>
  </conditionalFormatting>
  <conditionalFormatting sqref="F261">
    <cfRule type="expression" dxfId="2372" priority="330">
      <formula>$B257&lt;&gt;""</formula>
    </cfRule>
  </conditionalFormatting>
  <conditionalFormatting sqref="F262">
    <cfRule type="expression" dxfId="2371" priority="329">
      <formula>$B257&lt;&gt;""</formula>
    </cfRule>
  </conditionalFormatting>
  <conditionalFormatting sqref="F263">
    <cfRule type="expression" dxfId="2370" priority="336">
      <formula>$B257&lt;&gt;""</formula>
    </cfRule>
  </conditionalFormatting>
  <conditionalFormatting sqref="F264">
    <cfRule type="expression" dxfId="2369" priority="335">
      <formula>$B257&lt;&gt;""</formula>
    </cfRule>
  </conditionalFormatting>
  <conditionalFormatting sqref="F265">
    <cfRule type="expression" dxfId="2368" priority="333">
      <formula>$B257&lt;&gt;""</formula>
    </cfRule>
  </conditionalFormatting>
  <conditionalFormatting sqref="F278">
    <cfRule type="expression" dxfId="2367" priority="323">
      <formula>$B276&lt;&gt;""</formula>
    </cfRule>
  </conditionalFormatting>
  <conditionalFormatting sqref="F279">
    <cfRule type="expression" dxfId="2366" priority="322">
      <formula>$B276&lt;&gt;""</formula>
    </cfRule>
  </conditionalFormatting>
  <conditionalFormatting sqref="F280">
    <cfRule type="expression" dxfId="2365" priority="321">
      <formula>$B276&lt;&gt;""</formula>
    </cfRule>
  </conditionalFormatting>
  <conditionalFormatting sqref="F281">
    <cfRule type="expression" dxfId="2364" priority="320">
      <formula>$B276&lt;&gt;""</formula>
    </cfRule>
  </conditionalFormatting>
  <conditionalFormatting sqref="F282">
    <cfRule type="expression" dxfId="2363" priority="327">
      <formula>$B276&lt;&gt;""</formula>
    </cfRule>
  </conditionalFormatting>
  <conditionalFormatting sqref="F283">
    <cfRule type="expression" dxfId="2362" priority="326">
      <formula>$B276&lt;&gt;""</formula>
    </cfRule>
  </conditionalFormatting>
  <conditionalFormatting sqref="F284">
    <cfRule type="expression" dxfId="2361" priority="324">
      <formula>$B276&lt;&gt;""</formula>
    </cfRule>
  </conditionalFormatting>
  <conditionalFormatting sqref="F297">
    <cfRule type="expression" dxfId="2360" priority="314">
      <formula>$B295&lt;&gt;""</formula>
    </cfRule>
  </conditionalFormatting>
  <conditionalFormatting sqref="F298">
    <cfRule type="expression" dxfId="2359" priority="313">
      <formula>$B295&lt;&gt;""</formula>
    </cfRule>
  </conditionalFormatting>
  <conditionalFormatting sqref="F299">
    <cfRule type="expression" dxfId="2358" priority="312">
      <formula>$B295&lt;&gt;""</formula>
    </cfRule>
  </conditionalFormatting>
  <conditionalFormatting sqref="F300">
    <cfRule type="expression" dxfId="2357" priority="311">
      <formula>$B295&lt;&gt;""</formula>
    </cfRule>
  </conditionalFormatting>
  <conditionalFormatting sqref="F301">
    <cfRule type="expression" dxfId="2356" priority="318">
      <formula>$B295&lt;&gt;""</formula>
    </cfRule>
  </conditionalFormatting>
  <conditionalFormatting sqref="F302">
    <cfRule type="expression" dxfId="2355" priority="317">
      <formula>$B295&lt;&gt;""</formula>
    </cfRule>
  </conditionalFormatting>
  <conditionalFormatting sqref="F303">
    <cfRule type="expression" dxfId="2354" priority="315">
      <formula>$B295&lt;&gt;""</formula>
    </cfRule>
  </conditionalFormatting>
  <conditionalFormatting sqref="F316">
    <cfRule type="expression" dxfId="2353" priority="305">
      <formula>$B314&lt;&gt;""</formula>
    </cfRule>
  </conditionalFormatting>
  <conditionalFormatting sqref="F317">
    <cfRule type="expression" dxfId="2352" priority="304">
      <formula>$B314&lt;&gt;""</formula>
    </cfRule>
  </conditionalFormatting>
  <conditionalFormatting sqref="F318">
    <cfRule type="expression" dxfId="2351" priority="303">
      <formula>$B314&lt;&gt;""</formula>
    </cfRule>
  </conditionalFormatting>
  <conditionalFormatting sqref="F319">
    <cfRule type="expression" dxfId="2350" priority="302">
      <formula>$B314&lt;&gt;""</formula>
    </cfRule>
  </conditionalFormatting>
  <conditionalFormatting sqref="F320">
    <cfRule type="expression" dxfId="2349" priority="309">
      <formula>$B314&lt;&gt;""</formula>
    </cfRule>
  </conditionalFormatting>
  <conditionalFormatting sqref="F321">
    <cfRule type="expression" dxfId="2348" priority="308">
      <formula>$B314&lt;&gt;""</formula>
    </cfRule>
  </conditionalFormatting>
  <conditionalFormatting sqref="F322">
    <cfRule type="expression" dxfId="2347" priority="306">
      <formula>$B314&lt;&gt;""</formula>
    </cfRule>
  </conditionalFormatting>
  <conditionalFormatting sqref="F335">
    <cfRule type="expression" dxfId="2346" priority="296">
      <formula>$B333&lt;&gt;""</formula>
    </cfRule>
  </conditionalFormatting>
  <conditionalFormatting sqref="F336">
    <cfRule type="expression" dxfId="2345" priority="295">
      <formula>$B333&lt;&gt;""</formula>
    </cfRule>
  </conditionalFormatting>
  <conditionalFormatting sqref="F337">
    <cfRule type="expression" dxfId="2344" priority="294">
      <formula>$B333&lt;&gt;""</formula>
    </cfRule>
  </conditionalFormatting>
  <conditionalFormatting sqref="F338">
    <cfRule type="expression" dxfId="2343" priority="293">
      <formula>$B333&lt;&gt;""</formula>
    </cfRule>
  </conditionalFormatting>
  <conditionalFormatting sqref="F339">
    <cfRule type="expression" dxfId="2342" priority="300">
      <formula>$B333&lt;&gt;""</formula>
    </cfRule>
  </conditionalFormatting>
  <conditionalFormatting sqref="F340">
    <cfRule type="expression" dxfId="2341" priority="299">
      <formula>$B333&lt;&gt;""</formula>
    </cfRule>
  </conditionalFormatting>
  <conditionalFormatting sqref="F341">
    <cfRule type="expression" dxfId="2340" priority="297">
      <formula>$B333&lt;&gt;""</formula>
    </cfRule>
  </conditionalFormatting>
  <conditionalFormatting sqref="F354">
    <cfRule type="expression" dxfId="2339" priority="287">
      <formula>$B352&lt;&gt;""</formula>
    </cfRule>
  </conditionalFormatting>
  <conditionalFormatting sqref="F355">
    <cfRule type="expression" dxfId="2338" priority="286">
      <formula>$B352&lt;&gt;""</formula>
    </cfRule>
  </conditionalFormatting>
  <conditionalFormatting sqref="F356">
    <cfRule type="expression" dxfId="2337" priority="285">
      <formula>$B352&lt;&gt;""</formula>
    </cfRule>
  </conditionalFormatting>
  <conditionalFormatting sqref="F357">
    <cfRule type="expression" dxfId="2336" priority="284">
      <formula>$B352&lt;&gt;""</formula>
    </cfRule>
  </conditionalFormatting>
  <conditionalFormatting sqref="F358">
    <cfRule type="expression" dxfId="2335" priority="291">
      <formula>$B352&lt;&gt;""</formula>
    </cfRule>
  </conditionalFormatting>
  <conditionalFormatting sqref="F359">
    <cfRule type="expression" dxfId="2334" priority="290">
      <formula>$B352&lt;&gt;""</formula>
    </cfRule>
  </conditionalFormatting>
  <conditionalFormatting sqref="F360">
    <cfRule type="expression" dxfId="2333" priority="288">
      <formula>$B352&lt;&gt;""</formula>
    </cfRule>
  </conditionalFormatting>
  <conditionalFormatting sqref="F373">
    <cfRule type="expression" dxfId="2332" priority="278">
      <formula>$B371&lt;&gt;""</formula>
    </cfRule>
  </conditionalFormatting>
  <conditionalFormatting sqref="F374">
    <cfRule type="expression" dxfId="2331" priority="277">
      <formula>$B371&lt;&gt;""</formula>
    </cfRule>
  </conditionalFormatting>
  <conditionalFormatting sqref="F375">
    <cfRule type="expression" dxfId="2330" priority="276">
      <formula>$B371&lt;&gt;""</formula>
    </cfRule>
  </conditionalFormatting>
  <conditionalFormatting sqref="F376">
    <cfRule type="expression" dxfId="2329" priority="275">
      <formula>$B371&lt;&gt;""</formula>
    </cfRule>
  </conditionalFormatting>
  <conditionalFormatting sqref="F377">
    <cfRule type="expression" dxfId="2328" priority="282">
      <formula>$B371&lt;&gt;""</formula>
    </cfRule>
  </conditionalFormatting>
  <conditionalFormatting sqref="F378">
    <cfRule type="expression" dxfId="2327" priority="281">
      <formula>$B371&lt;&gt;""</formula>
    </cfRule>
  </conditionalFormatting>
  <conditionalFormatting sqref="F379">
    <cfRule type="expression" dxfId="2326" priority="279">
      <formula>$B371&lt;&gt;""</formula>
    </cfRule>
  </conditionalFormatting>
  <conditionalFormatting sqref="F392">
    <cfRule type="expression" dxfId="2325" priority="269">
      <formula>$B390&lt;&gt;""</formula>
    </cfRule>
  </conditionalFormatting>
  <conditionalFormatting sqref="F393">
    <cfRule type="expression" dxfId="2324" priority="268">
      <formula>$B390&lt;&gt;""</formula>
    </cfRule>
  </conditionalFormatting>
  <conditionalFormatting sqref="F394">
    <cfRule type="expression" dxfId="2323" priority="267">
      <formula>$B390&lt;&gt;""</formula>
    </cfRule>
  </conditionalFormatting>
  <conditionalFormatting sqref="F395">
    <cfRule type="expression" dxfId="2322" priority="266">
      <formula>$B390&lt;&gt;""</formula>
    </cfRule>
  </conditionalFormatting>
  <conditionalFormatting sqref="F396">
    <cfRule type="expression" dxfId="2321" priority="273">
      <formula>$B390&lt;&gt;""</formula>
    </cfRule>
  </conditionalFormatting>
  <conditionalFormatting sqref="F397">
    <cfRule type="expression" dxfId="2320" priority="272">
      <formula>$B390&lt;&gt;""</formula>
    </cfRule>
  </conditionalFormatting>
  <conditionalFormatting sqref="F398">
    <cfRule type="expression" dxfId="2319" priority="270">
      <formula>$B390&lt;&gt;""</formula>
    </cfRule>
  </conditionalFormatting>
  <conditionalFormatting sqref="F411">
    <cfRule type="expression" dxfId="2318" priority="260">
      <formula>$B409&lt;&gt;""</formula>
    </cfRule>
  </conditionalFormatting>
  <conditionalFormatting sqref="F412">
    <cfRule type="expression" dxfId="2317" priority="259">
      <formula>$B409&lt;&gt;""</formula>
    </cfRule>
  </conditionalFormatting>
  <conditionalFormatting sqref="F413">
    <cfRule type="expression" dxfId="2316" priority="258">
      <formula>$B409&lt;&gt;""</formula>
    </cfRule>
  </conditionalFormatting>
  <conditionalFormatting sqref="F414">
    <cfRule type="expression" dxfId="2315" priority="257">
      <formula>$B409&lt;&gt;""</formula>
    </cfRule>
  </conditionalFormatting>
  <conditionalFormatting sqref="F415">
    <cfRule type="expression" dxfId="2314" priority="264">
      <formula>$B409&lt;&gt;""</formula>
    </cfRule>
  </conditionalFormatting>
  <conditionalFormatting sqref="F416">
    <cfRule type="expression" dxfId="2313" priority="263">
      <formula>$B409&lt;&gt;""</formula>
    </cfRule>
  </conditionalFormatting>
  <conditionalFormatting sqref="F417">
    <cfRule type="expression" dxfId="2312" priority="261">
      <formula>$B409&lt;&gt;""</formula>
    </cfRule>
  </conditionalFormatting>
  <conditionalFormatting sqref="F430">
    <cfRule type="expression" dxfId="2311" priority="251">
      <formula>$B428&lt;&gt;""</formula>
    </cfRule>
  </conditionalFormatting>
  <conditionalFormatting sqref="F431">
    <cfRule type="expression" dxfId="2310" priority="250">
      <formula>$B428&lt;&gt;""</formula>
    </cfRule>
  </conditionalFormatting>
  <conditionalFormatting sqref="F432">
    <cfRule type="expression" dxfId="2309" priority="249">
      <formula>$B428&lt;&gt;""</formula>
    </cfRule>
  </conditionalFormatting>
  <conditionalFormatting sqref="F433">
    <cfRule type="expression" dxfId="2308" priority="248">
      <formula>$B428&lt;&gt;""</formula>
    </cfRule>
  </conditionalFormatting>
  <conditionalFormatting sqref="F434">
    <cfRule type="expression" dxfId="2307" priority="255">
      <formula>$B428&lt;&gt;""</formula>
    </cfRule>
  </conditionalFormatting>
  <conditionalFormatting sqref="F435">
    <cfRule type="expression" dxfId="2306" priority="254">
      <formula>$B428&lt;&gt;""</formula>
    </cfRule>
  </conditionalFormatting>
  <conditionalFormatting sqref="F436">
    <cfRule type="expression" dxfId="2305" priority="252">
      <formula>$B428&lt;&gt;""</formula>
    </cfRule>
  </conditionalFormatting>
  <conditionalFormatting sqref="F449">
    <cfRule type="expression" dxfId="2304" priority="242">
      <formula>$B447&lt;&gt;""</formula>
    </cfRule>
  </conditionalFormatting>
  <conditionalFormatting sqref="F450">
    <cfRule type="expression" dxfId="2303" priority="241">
      <formula>$B447&lt;&gt;""</formula>
    </cfRule>
  </conditionalFormatting>
  <conditionalFormatting sqref="F451">
    <cfRule type="expression" dxfId="2302" priority="240">
      <formula>$B447&lt;&gt;""</formula>
    </cfRule>
  </conditionalFormatting>
  <conditionalFormatting sqref="F452">
    <cfRule type="expression" dxfId="2301" priority="239">
      <formula>$B447&lt;&gt;""</formula>
    </cfRule>
  </conditionalFormatting>
  <conditionalFormatting sqref="F453">
    <cfRule type="expression" dxfId="2300" priority="246">
      <formula>$B447&lt;&gt;""</formula>
    </cfRule>
  </conditionalFormatting>
  <conditionalFormatting sqref="F454">
    <cfRule type="expression" dxfId="2299" priority="245">
      <formula>$B447&lt;&gt;""</formula>
    </cfRule>
  </conditionalFormatting>
  <conditionalFormatting sqref="F455">
    <cfRule type="expression" dxfId="2298" priority="243">
      <formula>$B447&lt;&gt;""</formula>
    </cfRule>
  </conditionalFormatting>
  <conditionalFormatting sqref="F468">
    <cfRule type="expression" dxfId="2297" priority="233">
      <formula>$B466&lt;&gt;""</formula>
    </cfRule>
  </conditionalFormatting>
  <conditionalFormatting sqref="F469">
    <cfRule type="expression" dxfId="2296" priority="232">
      <formula>$B466&lt;&gt;""</formula>
    </cfRule>
  </conditionalFormatting>
  <conditionalFormatting sqref="F470">
    <cfRule type="expression" dxfId="2295" priority="231">
      <formula>$B466&lt;&gt;""</formula>
    </cfRule>
  </conditionalFormatting>
  <conditionalFormatting sqref="F471">
    <cfRule type="expression" dxfId="2294" priority="230">
      <formula>$B466&lt;&gt;""</formula>
    </cfRule>
  </conditionalFormatting>
  <conditionalFormatting sqref="F472">
    <cfRule type="expression" dxfId="2293" priority="237">
      <formula>$B466&lt;&gt;""</formula>
    </cfRule>
  </conditionalFormatting>
  <conditionalFormatting sqref="F473">
    <cfRule type="expression" dxfId="2292" priority="236">
      <formula>$B466&lt;&gt;""</formula>
    </cfRule>
  </conditionalFormatting>
  <conditionalFormatting sqref="F474">
    <cfRule type="expression" dxfId="2291" priority="234">
      <formula>$B466&lt;&gt;""</formula>
    </cfRule>
  </conditionalFormatting>
  <conditionalFormatting sqref="F487">
    <cfRule type="expression" dxfId="2290" priority="224">
      <formula>$B485&lt;&gt;""</formula>
    </cfRule>
  </conditionalFormatting>
  <conditionalFormatting sqref="F488">
    <cfRule type="expression" dxfId="2289" priority="223">
      <formula>$B485&lt;&gt;""</formula>
    </cfRule>
  </conditionalFormatting>
  <conditionalFormatting sqref="F489">
    <cfRule type="expression" dxfId="2288" priority="222">
      <formula>$B485&lt;&gt;""</formula>
    </cfRule>
  </conditionalFormatting>
  <conditionalFormatting sqref="F490">
    <cfRule type="expression" dxfId="2287" priority="221">
      <formula>$B485&lt;&gt;""</formula>
    </cfRule>
  </conditionalFormatting>
  <conditionalFormatting sqref="F491">
    <cfRule type="expression" dxfId="2286" priority="228">
      <formula>$B485&lt;&gt;""</formula>
    </cfRule>
  </conditionalFormatting>
  <conditionalFormatting sqref="F492">
    <cfRule type="expression" dxfId="2285" priority="227">
      <formula>$B485&lt;&gt;""</formula>
    </cfRule>
  </conditionalFormatting>
  <conditionalFormatting sqref="F493">
    <cfRule type="expression" dxfId="2284" priority="225">
      <formula>$B485&lt;&gt;""</formula>
    </cfRule>
  </conditionalFormatting>
  <conditionalFormatting sqref="F506">
    <cfRule type="expression" dxfId="2283" priority="215">
      <formula>$B504&lt;&gt;""</formula>
    </cfRule>
  </conditionalFormatting>
  <conditionalFormatting sqref="F507">
    <cfRule type="expression" dxfId="2282" priority="214">
      <formula>$B504&lt;&gt;""</formula>
    </cfRule>
  </conditionalFormatting>
  <conditionalFormatting sqref="F508">
    <cfRule type="expression" dxfId="2281" priority="213">
      <formula>$B504&lt;&gt;""</formula>
    </cfRule>
  </conditionalFormatting>
  <conditionalFormatting sqref="F509">
    <cfRule type="expression" dxfId="2280" priority="212">
      <formula>$B504&lt;&gt;""</formula>
    </cfRule>
  </conditionalFormatting>
  <conditionalFormatting sqref="F510">
    <cfRule type="expression" dxfId="2279" priority="219">
      <formula>$B504&lt;&gt;""</formula>
    </cfRule>
  </conditionalFormatting>
  <conditionalFormatting sqref="F511">
    <cfRule type="expression" dxfId="2278" priority="218">
      <formula>$B504&lt;&gt;""</formula>
    </cfRule>
  </conditionalFormatting>
  <conditionalFormatting sqref="F512">
    <cfRule type="expression" dxfId="2277" priority="216">
      <formula>$B504&lt;&gt;""</formula>
    </cfRule>
  </conditionalFormatting>
  <conditionalFormatting sqref="F525">
    <cfRule type="expression" dxfId="2276" priority="206">
      <formula>$B523&lt;&gt;""</formula>
    </cfRule>
  </conditionalFormatting>
  <conditionalFormatting sqref="F526">
    <cfRule type="expression" dxfId="2275" priority="205">
      <formula>$B523&lt;&gt;""</formula>
    </cfRule>
  </conditionalFormatting>
  <conditionalFormatting sqref="F527">
    <cfRule type="expression" dxfId="2274" priority="204">
      <formula>$B523&lt;&gt;""</formula>
    </cfRule>
  </conditionalFormatting>
  <conditionalFormatting sqref="F528">
    <cfRule type="expression" dxfId="2273" priority="203">
      <formula>$B523&lt;&gt;""</formula>
    </cfRule>
  </conditionalFormatting>
  <conditionalFormatting sqref="F529">
    <cfRule type="expression" dxfId="2272" priority="210">
      <formula>$B523&lt;&gt;""</formula>
    </cfRule>
  </conditionalFormatting>
  <conditionalFormatting sqref="F530">
    <cfRule type="expression" dxfId="2271" priority="209">
      <formula>$B523&lt;&gt;""</formula>
    </cfRule>
  </conditionalFormatting>
  <conditionalFormatting sqref="F531">
    <cfRule type="expression" dxfId="2270" priority="207">
      <formula>$B523&lt;&gt;""</formula>
    </cfRule>
  </conditionalFormatting>
  <conditionalFormatting sqref="F544">
    <cfRule type="expression" dxfId="2269" priority="197">
      <formula>$B542&lt;&gt;""</formula>
    </cfRule>
  </conditionalFormatting>
  <conditionalFormatting sqref="F545">
    <cfRule type="expression" dxfId="2268" priority="196">
      <formula>$B542&lt;&gt;""</formula>
    </cfRule>
  </conditionalFormatting>
  <conditionalFormatting sqref="F546">
    <cfRule type="expression" dxfId="2267" priority="195">
      <formula>$B542&lt;&gt;""</formula>
    </cfRule>
  </conditionalFormatting>
  <conditionalFormatting sqref="F547">
    <cfRule type="expression" dxfId="2266" priority="194">
      <formula>$B542&lt;&gt;""</formula>
    </cfRule>
  </conditionalFormatting>
  <conditionalFormatting sqref="F548">
    <cfRule type="expression" dxfId="2265" priority="201">
      <formula>$B542&lt;&gt;""</formula>
    </cfRule>
  </conditionalFormatting>
  <conditionalFormatting sqref="F549">
    <cfRule type="expression" dxfId="2264" priority="200">
      <formula>$B542&lt;&gt;""</formula>
    </cfRule>
  </conditionalFormatting>
  <conditionalFormatting sqref="F550">
    <cfRule type="expression" dxfId="2263" priority="198">
      <formula>$B542&lt;&gt;""</formula>
    </cfRule>
  </conditionalFormatting>
  <conditionalFormatting sqref="F563">
    <cfRule type="expression" dxfId="2262" priority="188">
      <formula>$B561&lt;&gt;""</formula>
    </cfRule>
  </conditionalFormatting>
  <conditionalFormatting sqref="F564">
    <cfRule type="expression" dxfId="2261" priority="187">
      <formula>$B561&lt;&gt;""</formula>
    </cfRule>
  </conditionalFormatting>
  <conditionalFormatting sqref="F565">
    <cfRule type="expression" dxfId="2260" priority="186">
      <formula>$B561&lt;&gt;""</formula>
    </cfRule>
  </conditionalFormatting>
  <conditionalFormatting sqref="F566">
    <cfRule type="expression" dxfId="2259" priority="185">
      <formula>$B561&lt;&gt;""</formula>
    </cfRule>
  </conditionalFormatting>
  <conditionalFormatting sqref="F567">
    <cfRule type="expression" dxfId="2258" priority="192">
      <formula>$B561&lt;&gt;""</formula>
    </cfRule>
  </conditionalFormatting>
  <conditionalFormatting sqref="F568">
    <cfRule type="expression" dxfId="2257" priority="191">
      <formula>$B561&lt;&gt;""</formula>
    </cfRule>
  </conditionalFormatting>
  <conditionalFormatting sqref="F569">
    <cfRule type="expression" dxfId="2256" priority="189">
      <formula>$B561&lt;&gt;""</formula>
    </cfRule>
  </conditionalFormatting>
  <conditionalFormatting sqref="F12:I18">
    <cfRule type="notContainsBlanks" dxfId="2255" priority="461">
      <formula>LEN(TRIM(F12))&gt;0</formula>
    </cfRule>
  </conditionalFormatting>
  <conditionalFormatting sqref="F31:I37">
    <cfRule type="notContainsBlanks" dxfId="2254" priority="436">
      <formula>LEN(TRIM(F31))&gt;0</formula>
    </cfRule>
  </conditionalFormatting>
  <conditionalFormatting sqref="F50:I56">
    <cfRule type="notContainsBlanks" dxfId="2253" priority="427">
      <formula>LEN(TRIM(F50))&gt;0</formula>
    </cfRule>
  </conditionalFormatting>
  <conditionalFormatting sqref="F69:I75">
    <cfRule type="notContainsBlanks" dxfId="2252" priority="418">
      <formula>LEN(TRIM(F69))&gt;0</formula>
    </cfRule>
  </conditionalFormatting>
  <conditionalFormatting sqref="F88:I94">
    <cfRule type="notContainsBlanks" dxfId="2251" priority="409">
      <formula>LEN(TRIM(F88))&gt;0</formula>
    </cfRule>
  </conditionalFormatting>
  <conditionalFormatting sqref="F107:I113">
    <cfRule type="notContainsBlanks" dxfId="2250" priority="400">
      <formula>LEN(TRIM(F107))&gt;0</formula>
    </cfRule>
  </conditionalFormatting>
  <conditionalFormatting sqref="F126:I132">
    <cfRule type="notContainsBlanks" dxfId="2249" priority="391">
      <formula>LEN(TRIM(F126))&gt;0</formula>
    </cfRule>
  </conditionalFormatting>
  <conditionalFormatting sqref="F145:I151">
    <cfRule type="notContainsBlanks" dxfId="2248" priority="382">
      <formula>LEN(TRIM(F145))&gt;0</formula>
    </cfRule>
  </conditionalFormatting>
  <conditionalFormatting sqref="F164:I170">
    <cfRule type="notContainsBlanks" dxfId="2247" priority="373">
      <formula>LEN(TRIM(F164))&gt;0</formula>
    </cfRule>
  </conditionalFormatting>
  <conditionalFormatting sqref="F183:I189">
    <cfRule type="notContainsBlanks" dxfId="2246" priority="364">
      <formula>LEN(TRIM(F183))&gt;0</formula>
    </cfRule>
  </conditionalFormatting>
  <conditionalFormatting sqref="F202:I208">
    <cfRule type="notContainsBlanks" dxfId="2245" priority="355">
      <formula>LEN(TRIM(F202))&gt;0</formula>
    </cfRule>
  </conditionalFormatting>
  <conditionalFormatting sqref="F221:I227">
    <cfRule type="notContainsBlanks" dxfId="2244" priority="346">
      <formula>LEN(TRIM(F221))&gt;0</formula>
    </cfRule>
  </conditionalFormatting>
  <conditionalFormatting sqref="F240:I246">
    <cfRule type="notContainsBlanks" dxfId="2243" priority="337">
      <formula>LEN(TRIM(F240))&gt;0</formula>
    </cfRule>
  </conditionalFormatting>
  <conditionalFormatting sqref="F259:I265">
    <cfRule type="notContainsBlanks" dxfId="2242" priority="328">
      <formula>LEN(TRIM(F259))&gt;0</formula>
    </cfRule>
  </conditionalFormatting>
  <conditionalFormatting sqref="F278:I284">
    <cfRule type="notContainsBlanks" dxfId="2241" priority="319">
      <formula>LEN(TRIM(F278))&gt;0</formula>
    </cfRule>
  </conditionalFormatting>
  <conditionalFormatting sqref="F297:I303">
    <cfRule type="notContainsBlanks" dxfId="2240" priority="310">
      <formula>LEN(TRIM(F297))&gt;0</formula>
    </cfRule>
  </conditionalFormatting>
  <conditionalFormatting sqref="F316:I322">
    <cfRule type="notContainsBlanks" dxfId="2239" priority="301">
      <formula>LEN(TRIM(F316))&gt;0</formula>
    </cfRule>
  </conditionalFormatting>
  <conditionalFormatting sqref="F335:I341">
    <cfRule type="notContainsBlanks" dxfId="2238" priority="292">
      <formula>LEN(TRIM(F335))&gt;0</formula>
    </cfRule>
  </conditionalFormatting>
  <conditionalFormatting sqref="F354:I360">
    <cfRule type="notContainsBlanks" dxfId="2237" priority="283">
      <formula>LEN(TRIM(F354))&gt;0</formula>
    </cfRule>
  </conditionalFormatting>
  <conditionalFormatting sqref="F373:I379">
    <cfRule type="notContainsBlanks" dxfId="2236" priority="274">
      <formula>LEN(TRIM(F373))&gt;0</formula>
    </cfRule>
  </conditionalFormatting>
  <conditionalFormatting sqref="F392:I398">
    <cfRule type="notContainsBlanks" dxfId="2235" priority="265">
      <formula>LEN(TRIM(F392))&gt;0</formula>
    </cfRule>
  </conditionalFormatting>
  <conditionalFormatting sqref="F411:I417">
    <cfRule type="notContainsBlanks" dxfId="2234" priority="256">
      <formula>LEN(TRIM(F411))&gt;0</formula>
    </cfRule>
  </conditionalFormatting>
  <conditionalFormatting sqref="F430:I436">
    <cfRule type="notContainsBlanks" dxfId="2233" priority="247">
      <formula>LEN(TRIM(F430))&gt;0</formula>
    </cfRule>
  </conditionalFormatting>
  <conditionalFormatting sqref="F449:I455">
    <cfRule type="notContainsBlanks" dxfId="2232" priority="238">
      <formula>LEN(TRIM(F449))&gt;0</formula>
    </cfRule>
  </conditionalFormatting>
  <conditionalFormatting sqref="F468:I474">
    <cfRule type="notContainsBlanks" dxfId="2231" priority="229">
      <formula>LEN(TRIM(F468))&gt;0</formula>
    </cfRule>
  </conditionalFormatting>
  <conditionalFormatting sqref="F487:I493">
    <cfRule type="notContainsBlanks" dxfId="2230" priority="220">
      <formula>LEN(TRIM(F487))&gt;0</formula>
    </cfRule>
  </conditionalFormatting>
  <conditionalFormatting sqref="F506:I512">
    <cfRule type="notContainsBlanks" dxfId="2229" priority="211">
      <formula>LEN(TRIM(F506))&gt;0</formula>
    </cfRule>
  </conditionalFormatting>
  <conditionalFormatting sqref="F525:I531">
    <cfRule type="notContainsBlanks" dxfId="2228" priority="202">
      <formula>LEN(TRIM(F525))&gt;0</formula>
    </cfRule>
  </conditionalFormatting>
  <conditionalFormatting sqref="F544:I550">
    <cfRule type="notContainsBlanks" dxfId="2227" priority="193">
      <formula>LEN(TRIM(F544))&gt;0</formula>
    </cfRule>
  </conditionalFormatting>
  <conditionalFormatting sqref="F563:I569">
    <cfRule type="notContainsBlanks" dxfId="2226" priority="184">
      <formula>LEN(TRIM(F563))&gt;0</formula>
    </cfRule>
  </conditionalFormatting>
  <conditionalFormatting sqref="H7">
    <cfRule type="cellIs" dxfId="2225" priority="110" operator="equal">
      <formula>"－"</formula>
    </cfRule>
  </conditionalFormatting>
  <conditionalFormatting sqref="H26">
    <cfRule type="cellIs" dxfId="2224" priority="58" operator="equal">
      <formula>"－"</formula>
    </cfRule>
  </conditionalFormatting>
  <conditionalFormatting sqref="H45">
    <cfRule type="cellIs" dxfId="2223" priority="56" operator="equal">
      <formula>"－"</formula>
    </cfRule>
  </conditionalFormatting>
  <conditionalFormatting sqref="H64">
    <cfRule type="cellIs" dxfId="2222" priority="54" operator="equal">
      <formula>"－"</formula>
    </cfRule>
  </conditionalFormatting>
  <conditionalFormatting sqref="H83">
    <cfRule type="cellIs" dxfId="2221" priority="52" operator="equal">
      <formula>"－"</formula>
    </cfRule>
  </conditionalFormatting>
  <conditionalFormatting sqref="H102">
    <cfRule type="cellIs" dxfId="2220" priority="50" operator="equal">
      <formula>"－"</formula>
    </cfRule>
  </conditionalFormatting>
  <conditionalFormatting sqref="H121">
    <cfRule type="cellIs" dxfId="2219" priority="48" operator="equal">
      <formula>"－"</formula>
    </cfRule>
  </conditionalFormatting>
  <conditionalFormatting sqref="H140">
    <cfRule type="cellIs" dxfId="2218" priority="46" operator="equal">
      <formula>"－"</formula>
    </cfRule>
  </conditionalFormatting>
  <conditionalFormatting sqref="H159">
    <cfRule type="cellIs" dxfId="2217" priority="44" operator="equal">
      <formula>"－"</formula>
    </cfRule>
  </conditionalFormatting>
  <conditionalFormatting sqref="H178">
    <cfRule type="cellIs" dxfId="2216" priority="42" operator="equal">
      <formula>"－"</formula>
    </cfRule>
  </conditionalFormatting>
  <conditionalFormatting sqref="H197">
    <cfRule type="cellIs" dxfId="2215" priority="40" operator="equal">
      <formula>"－"</formula>
    </cfRule>
  </conditionalFormatting>
  <conditionalFormatting sqref="H216">
    <cfRule type="cellIs" dxfId="2214" priority="38" operator="equal">
      <formula>"－"</formula>
    </cfRule>
  </conditionalFormatting>
  <conditionalFormatting sqref="H235">
    <cfRule type="cellIs" dxfId="2213" priority="36" operator="equal">
      <formula>"－"</formula>
    </cfRule>
  </conditionalFormatting>
  <conditionalFormatting sqref="H254">
    <cfRule type="cellIs" dxfId="2212" priority="34" operator="equal">
      <formula>"－"</formula>
    </cfRule>
  </conditionalFormatting>
  <conditionalFormatting sqref="H273">
    <cfRule type="cellIs" dxfId="2211" priority="32" operator="equal">
      <formula>"－"</formula>
    </cfRule>
  </conditionalFormatting>
  <conditionalFormatting sqref="H292">
    <cfRule type="cellIs" dxfId="2210" priority="30" operator="equal">
      <formula>"－"</formula>
    </cfRule>
  </conditionalFormatting>
  <conditionalFormatting sqref="H311">
    <cfRule type="cellIs" dxfId="2209" priority="28" operator="equal">
      <formula>"－"</formula>
    </cfRule>
  </conditionalFormatting>
  <conditionalFormatting sqref="H330">
    <cfRule type="cellIs" dxfId="2208" priority="26" operator="equal">
      <formula>"－"</formula>
    </cfRule>
  </conditionalFormatting>
  <conditionalFormatting sqref="H349">
    <cfRule type="cellIs" dxfId="2207" priority="24" operator="equal">
      <formula>"－"</formula>
    </cfRule>
  </conditionalFormatting>
  <conditionalFormatting sqref="H368">
    <cfRule type="cellIs" dxfId="2206" priority="22" operator="equal">
      <formula>"－"</formula>
    </cfRule>
  </conditionalFormatting>
  <conditionalFormatting sqref="H387">
    <cfRule type="cellIs" dxfId="2205" priority="20" operator="equal">
      <formula>"－"</formula>
    </cfRule>
  </conditionalFormatting>
  <conditionalFormatting sqref="H406">
    <cfRule type="cellIs" dxfId="2204" priority="18" operator="equal">
      <formula>"－"</formula>
    </cfRule>
  </conditionalFormatting>
  <conditionalFormatting sqref="H425">
    <cfRule type="cellIs" dxfId="2203" priority="16" operator="equal">
      <formula>"－"</formula>
    </cfRule>
  </conditionalFormatting>
  <conditionalFormatting sqref="H444">
    <cfRule type="cellIs" dxfId="2202" priority="14" operator="equal">
      <formula>"－"</formula>
    </cfRule>
  </conditionalFormatting>
  <conditionalFormatting sqref="H463">
    <cfRule type="cellIs" dxfId="2201" priority="12" operator="equal">
      <formula>"－"</formula>
    </cfRule>
  </conditionalFormatting>
  <conditionalFormatting sqref="H482">
    <cfRule type="cellIs" dxfId="2200" priority="10" operator="equal">
      <formula>"－"</formula>
    </cfRule>
  </conditionalFormatting>
  <conditionalFormatting sqref="H501">
    <cfRule type="cellIs" dxfId="2199" priority="8" operator="equal">
      <formula>"－"</formula>
    </cfRule>
  </conditionalFormatting>
  <conditionalFormatting sqref="H520">
    <cfRule type="cellIs" dxfId="2198" priority="6" operator="equal">
      <formula>"－"</formula>
    </cfRule>
  </conditionalFormatting>
  <conditionalFormatting sqref="H539">
    <cfRule type="cellIs" dxfId="2197" priority="4" operator="equal">
      <formula>"－"</formula>
    </cfRule>
  </conditionalFormatting>
  <conditionalFormatting sqref="H558">
    <cfRule type="cellIs" dxfId="2196" priority="2" operator="equal">
      <formula>"－"</formula>
    </cfRule>
  </conditionalFormatting>
  <pageMargins left="0.7" right="0.7" top="0.75" bottom="0.75" header="0.3" footer="0.3"/>
  <pageSetup paperSize="9" scale="10"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056A7-0C20-48FD-84DA-F74A82E504D5}">
  <sheetPr codeName="Sheet17">
    <tabColor theme="7" tint="0.79998168889431442"/>
    <pageSetUpPr autoPageBreaks="0" fitToPage="1"/>
  </sheetPr>
  <dimension ref="A1:V51"/>
  <sheetViews>
    <sheetView showGridLines="0" zoomScale="70" zoomScaleNormal="70" zoomScaleSheetLayoutView="90" workbookViewId="0"/>
  </sheetViews>
  <sheetFormatPr defaultColWidth="9" defaultRowHeight="18"/>
  <cols>
    <col min="1" max="2" width="2.58203125" style="13" customWidth="1"/>
    <col min="3" max="3" width="9.5" style="13" customWidth="1"/>
    <col min="4" max="4" width="20.83203125" style="13" customWidth="1"/>
    <col min="5" max="5" width="27.5" style="13" customWidth="1"/>
    <col min="6" max="6" width="12" style="229" customWidth="1"/>
    <col min="7" max="7" width="28.75" style="13" customWidth="1"/>
    <col min="8" max="10" width="18.33203125" style="13" customWidth="1"/>
    <col min="11" max="12" width="11.75" style="13" customWidth="1"/>
    <col min="13" max="13" width="28.75" style="13" customWidth="1"/>
    <col min="14" max="14" width="18.33203125" style="13" customWidth="1"/>
    <col min="15" max="15" width="4.58203125" style="13" customWidth="1"/>
    <col min="16" max="16" width="9" customWidth="1"/>
    <col min="17" max="17" width="9" hidden="1" customWidth="1"/>
    <col min="18" max="20" width="18.33203125" hidden="1" customWidth="1"/>
    <col min="21" max="21" width="18" hidden="1" customWidth="1"/>
    <col min="22" max="22" width="0" hidden="1" customWidth="1"/>
  </cols>
  <sheetData>
    <row r="1" spans="1:21">
      <c r="A1" s="44" t="s">
        <v>347</v>
      </c>
      <c r="C1"/>
    </row>
    <row r="2" spans="1:21" ht="48" customHeight="1">
      <c r="B2" s="1351" t="s">
        <v>346</v>
      </c>
      <c r="C2" s="1351"/>
      <c r="D2" s="1351"/>
      <c r="E2" s="1351"/>
      <c r="F2" s="1351"/>
      <c r="G2" s="1351"/>
      <c r="H2" s="1351"/>
      <c r="I2" s="1351"/>
      <c r="J2" s="1351"/>
      <c r="K2" s="1351"/>
      <c r="L2" s="1351"/>
      <c r="M2" s="1351"/>
    </row>
    <row r="3" spans="1:21" ht="17.25" customHeight="1">
      <c r="C3" s="231"/>
      <c r="D3" s="231"/>
      <c r="E3" s="231"/>
      <c r="F3" s="233"/>
      <c r="G3" s="231"/>
      <c r="H3" s="231"/>
      <c r="I3" s="231"/>
      <c r="J3" s="231"/>
      <c r="K3" s="231"/>
      <c r="L3" s="231"/>
      <c r="M3" s="231"/>
      <c r="N3" s="231"/>
    </row>
    <row r="4" spans="1:21" ht="17.25" customHeight="1">
      <c r="C4" s="231"/>
      <c r="D4" s="231"/>
      <c r="E4" s="231"/>
      <c r="F4" s="233"/>
      <c r="G4" s="231"/>
      <c r="H4" s="231"/>
      <c r="I4" s="231"/>
      <c r="J4" s="231"/>
      <c r="K4" s="231"/>
      <c r="L4" s="231"/>
      <c r="M4" s="231"/>
      <c r="N4" s="231"/>
    </row>
    <row r="5" spans="1:21" ht="17.25" customHeight="1">
      <c r="C5" s="230"/>
      <c r="D5" s="230"/>
      <c r="E5" s="230"/>
      <c r="F5" s="233"/>
      <c r="G5" s="230"/>
      <c r="H5" s="230"/>
      <c r="I5" s="230"/>
      <c r="J5" s="230"/>
      <c r="K5" s="230"/>
      <c r="L5" s="230"/>
      <c r="M5" s="230"/>
    </row>
    <row r="6" spans="1:21" ht="14.25" customHeight="1">
      <c r="C6" s="234"/>
      <c r="D6" s="15"/>
      <c r="E6" s="15"/>
      <c r="F6" s="236"/>
      <c r="G6" s="15"/>
      <c r="H6" s="15"/>
      <c r="I6" s="15"/>
      <c r="J6" s="15"/>
      <c r="K6" s="15"/>
      <c r="L6" s="15"/>
      <c r="M6" s="15"/>
      <c r="N6" s="30"/>
      <c r="Q6" s="1" t="s">
        <v>314</v>
      </c>
    </row>
    <row r="7" spans="1:21" ht="24.75" customHeight="1">
      <c r="C7" s="237" t="s">
        <v>7</v>
      </c>
      <c r="G7"/>
      <c r="K7"/>
      <c r="N7" s="19"/>
      <c r="U7">
        <f ca="1">PRODUCT(U16,U30,V43,Q51)</f>
        <v>1</v>
      </c>
    </row>
    <row r="8" spans="1:21" ht="48.75" customHeight="1">
      <c r="C8" s="16"/>
      <c r="D8" s="344" t="s">
        <v>11</v>
      </c>
      <c r="E8" s="238" t="s">
        <v>8</v>
      </c>
      <c r="F8" s="238" t="s">
        <v>12</v>
      </c>
      <c r="G8" s="238" t="s">
        <v>9</v>
      </c>
      <c r="H8" s="319" t="s">
        <v>13</v>
      </c>
      <c r="I8" s="319" t="s">
        <v>81</v>
      </c>
      <c r="J8" s="319" t="s">
        <v>140</v>
      </c>
      <c r="K8" s="238" t="s">
        <v>14</v>
      </c>
      <c r="L8" s="319" t="s">
        <v>97</v>
      </c>
      <c r="M8" s="319" t="s">
        <v>98</v>
      </c>
      <c r="N8" s="19"/>
      <c r="Q8" s="175" t="s">
        <v>305</v>
      </c>
      <c r="R8" s="424" t="s">
        <v>13</v>
      </c>
      <c r="S8" s="319" t="s">
        <v>81</v>
      </c>
      <c r="T8" s="319" t="s">
        <v>140</v>
      </c>
      <c r="U8" s="319" t="s">
        <v>419</v>
      </c>
    </row>
    <row r="9" spans="1:21" s="11" customFormat="1" ht="18.75" hidden="1" customHeight="1">
      <c r="A9" s="21"/>
      <c r="B9" s="21"/>
      <c r="C9" s="36"/>
      <c r="D9" s="479"/>
      <c r="E9" s="537"/>
      <c r="F9" s="513"/>
      <c r="G9" s="537"/>
      <c r="H9" s="481"/>
      <c r="I9" s="481"/>
      <c r="J9" s="481"/>
      <c r="K9" s="537"/>
      <c r="L9" s="538"/>
      <c r="M9" s="538"/>
      <c r="N9" s="24"/>
      <c r="O9" s="21"/>
      <c r="Q9" s="277">
        <f>ROW()-9</f>
        <v>0</v>
      </c>
      <c r="R9" s="425"/>
      <c r="S9" s="320"/>
      <c r="T9" s="320"/>
      <c r="U9" s="255"/>
    </row>
    <row r="10" spans="1:21" s="11" customFormat="1">
      <c r="A10" s="21"/>
      <c r="B10" s="21"/>
      <c r="C10" s="36"/>
      <c r="D10" s="509"/>
      <c r="E10" s="509"/>
      <c r="F10" s="514"/>
      <c r="G10" s="509"/>
      <c r="H10" s="539"/>
      <c r="I10" s="539"/>
      <c r="J10" s="539"/>
      <c r="K10" s="509"/>
      <c r="L10" s="540"/>
      <c r="M10" s="540"/>
      <c r="N10" s="24"/>
      <c r="O10" s="21"/>
      <c r="Q10" s="277">
        <f t="shared" ref="Q10:Q30" si="0">ROW()-9</f>
        <v>1</v>
      </c>
      <c r="R10" s="425"/>
      <c r="S10" s="320"/>
      <c r="T10" s="320"/>
      <c r="U10" s="320"/>
    </row>
    <row r="11" spans="1:21" s="11" customFormat="1">
      <c r="A11" s="21"/>
      <c r="B11" s="21"/>
      <c r="C11" s="36"/>
      <c r="D11" s="509"/>
      <c r="E11" s="509"/>
      <c r="F11" s="514"/>
      <c r="G11" s="509"/>
      <c r="H11" s="539"/>
      <c r="I11" s="539"/>
      <c r="J11" s="539"/>
      <c r="K11" s="509"/>
      <c r="L11" s="540"/>
      <c r="M11" s="540"/>
      <c r="N11" s="24"/>
      <c r="O11" s="21"/>
      <c r="Q11" s="277">
        <f t="shared" si="0"/>
        <v>2</v>
      </c>
      <c r="R11" s="425"/>
      <c r="S11" s="320"/>
      <c r="T11" s="320"/>
      <c r="U11" s="320"/>
    </row>
    <row r="12" spans="1:21" s="11" customFormat="1">
      <c r="A12" s="21"/>
      <c r="B12" s="21"/>
      <c r="C12" s="36"/>
      <c r="D12" s="509"/>
      <c r="E12" s="509"/>
      <c r="F12" s="514"/>
      <c r="G12" s="509"/>
      <c r="H12" s="539"/>
      <c r="I12" s="539"/>
      <c r="J12" s="539"/>
      <c r="K12" s="509"/>
      <c r="L12" s="540"/>
      <c r="M12" s="540"/>
      <c r="N12" s="24"/>
      <c r="O12" s="21"/>
      <c r="Q12" s="277">
        <f t="shared" si="0"/>
        <v>3</v>
      </c>
      <c r="R12" s="425"/>
      <c r="S12" s="320"/>
      <c r="T12" s="320"/>
      <c r="U12" s="320"/>
    </row>
    <row r="13" spans="1:21" s="11" customFormat="1">
      <c r="A13" s="21"/>
      <c r="B13" s="21"/>
      <c r="C13" s="36"/>
      <c r="D13" s="509"/>
      <c r="E13" s="509"/>
      <c r="F13" s="514"/>
      <c r="G13" s="509"/>
      <c r="H13" s="539"/>
      <c r="I13" s="539"/>
      <c r="J13" s="539"/>
      <c r="K13" s="509"/>
      <c r="L13" s="540"/>
      <c r="M13" s="540"/>
      <c r="N13" s="24"/>
      <c r="O13" s="21"/>
      <c r="Q13" s="277">
        <f t="shared" si="0"/>
        <v>4</v>
      </c>
      <c r="R13" s="425"/>
      <c r="S13" s="320"/>
      <c r="T13" s="320"/>
      <c r="U13" s="320"/>
    </row>
    <row r="14" spans="1:21" s="11" customFormat="1">
      <c r="A14" s="21"/>
      <c r="B14" s="21"/>
      <c r="C14" s="36"/>
      <c r="D14" s="509"/>
      <c r="E14" s="509"/>
      <c r="F14" s="514"/>
      <c r="G14" s="509"/>
      <c r="H14" s="539"/>
      <c r="I14" s="539"/>
      <c r="J14" s="539"/>
      <c r="K14" s="509"/>
      <c r="L14" s="540"/>
      <c r="M14" s="540"/>
      <c r="N14" s="24"/>
      <c r="O14" s="21"/>
      <c r="Q14" s="277">
        <f t="shared" si="0"/>
        <v>5</v>
      </c>
      <c r="R14" s="425"/>
      <c r="S14" s="320"/>
      <c r="T14" s="320"/>
      <c r="U14" s="320"/>
    </row>
    <row r="15" spans="1:21" s="11" customFormat="1">
      <c r="A15" s="21"/>
      <c r="B15" s="21"/>
      <c r="C15" s="36"/>
      <c r="D15" s="541"/>
      <c r="E15" s="541"/>
      <c r="F15" s="542"/>
      <c r="G15" s="541"/>
      <c r="H15" s="539"/>
      <c r="I15" s="539"/>
      <c r="J15" s="543"/>
      <c r="K15" s="541"/>
      <c r="L15" s="544"/>
      <c r="M15" s="544"/>
      <c r="N15" s="24"/>
      <c r="O15" s="21"/>
      <c r="Q15" s="277">
        <f t="shared" si="0"/>
        <v>6</v>
      </c>
      <c r="R15" s="425"/>
      <c r="S15" s="320"/>
      <c r="T15" s="320"/>
      <c r="U15" s="320"/>
    </row>
    <row r="16" spans="1:21">
      <c r="C16" s="32"/>
      <c r="D16" s="281" t="s">
        <v>26</v>
      </c>
      <c r="E16" s="274"/>
      <c r="F16" s="242"/>
      <c r="G16" s="274"/>
      <c r="H16" s="426">
        <f ca="1">SUM(OFFSET(H$9,0,0,ROW()-ROW(H$9),1))</f>
        <v>0</v>
      </c>
      <c r="I16" s="426">
        <f ca="1">SUM(OFFSET(I$9,0,0,ROW()-ROW(I$9),1))</f>
        <v>0</v>
      </c>
      <c r="J16" s="426">
        <f ca="1">SUM(OFFSET(J$9,0,0,ROW()-ROW(J$9),1))</f>
        <v>0</v>
      </c>
      <c r="K16" s="240"/>
      <c r="L16" s="240"/>
      <c r="M16" s="240"/>
      <c r="N16" s="343"/>
      <c r="Q16" s="277">
        <f t="shared" si="0"/>
        <v>7</v>
      </c>
      <c r="R16" s="255">
        <f ca="1">SUM(OFFSET(H$9,0,0,ROW()-ROW(H$9),1))</f>
        <v>0</v>
      </c>
      <c r="S16" s="255">
        <f t="shared" ref="S16:T16" ca="1" si="1">SUM(OFFSET(I$9,0,0,ROW()-ROW(I$9),1))</f>
        <v>0</v>
      </c>
      <c r="T16" s="255">
        <f t="shared" ca="1" si="1"/>
        <v>0</v>
      </c>
      <c r="U16" s="175" cm="1">
        <f t="array" aca="1" ref="U16" ca="1">IF(SUMPRODUCT(N(H16:J16&lt;&gt;R16:T16))=0,1,0)</f>
        <v>1</v>
      </c>
    </row>
    <row r="17" spans="1:21" ht="15" customHeight="1">
      <c r="C17" s="46"/>
      <c r="D17" s="34"/>
      <c r="E17" s="34"/>
      <c r="F17" s="244"/>
      <c r="G17" s="26"/>
      <c r="H17" s="34"/>
      <c r="I17" s="34"/>
      <c r="J17" s="34"/>
      <c r="K17" s="26"/>
      <c r="L17" s="26"/>
      <c r="M17" s="26"/>
      <c r="N17" s="27"/>
      <c r="Q17" s="277">
        <f t="shared" si="0"/>
        <v>8</v>
      </c>
      <c r="R17" s="425"/>
      <c r="S17" s="320"/>
      <c r="T17" s="320"/>
      <c r="U17" s="320"/>
    </row>
    <row r="18" spans="1:21">
      <c r="D18" s="31"/>
      <c r="E18" s="31"/>
      <c r="F18" s="247"/>
      <c r="H18" s="31"/>
      <c r="I18" s="31"/>
      <c r="J18" s="31"/>
      <c r="Q18" s="277">
        <f t="shared" si="0"/>
        <v>9</v>
      </c>
      <c r="R18" s="425"/>
      <c r="S18" s="320"/>
      <c r="T18" s="320"/>
      <c r="U18" s="320"/>
    </row>
    <row r="19" spans="1:21">
      <c r="D19" s="31"/>
      <c r="E19" s="31"/>
      <c r="F19" s="247"/>
      <c r="H19" s="31"/>
      <c r="I19" s="31"/>
      <c r="J19" s="31"/>
      <c r="Q19" s="277">
        <f t="shared" si="0"/>
        <v>10</v>
      </c>
      <c r="R19" s="425"/>
      <c r="S19" s="320"/>
      <c r="T19" s="320"/>
      <c r="U19" s="320"/>
    </row>
    <row r="20" spans="1:21" ht="14.25" customHeight="1">
      <c r="C20" s="234"/>
      <c r="D20" s="15"/>
      <c r="E20" s="15"/>
      <c r="F20" s="236"/>
      <c r="G20" s="15"/>
      <c r="H20" s="15"/>
      <c r="I20" s="15"/>
      <c r="J20" s="15"/>
      <c r="K20" s="15"/>
      <c r="L20" s="15"/>
      <c r="M20" s="15"/>
      <c r="N20" s="30"/>
      <c r="Q20" s="277">
        <f t="shared" si="0"/>
        <v>11</v>
      </c>
      <c r="R20" s="425"/>
      <c r="S20" s="320"/>
      <c r="T20" s="320"/>
      <c r="U20" s="320"/>
    </row>
    <row r="21" spans="1:21" ht="24.75" customHeight="1">
      <c r="C21" s="237" t="s">
        <v>133</v>
      </c>
      <c r="G21"/>
      <c r="K21"/>
      <c r="N21" s="19"/>
      <c r="Q21" s="277">
        <f t="shared" si="0"/>
        <v>12</v>
      </c>
      <c r="R21" s="425"/>
      <c r="S21" s="320"/>
      <c r="T21" s="320"/>
      <c r="U21" s="320"/>
    </row>
    <row r="22" spans="1:21" ht="48.75" customHeight="1">
      <c r="C22" s="16"/>
      <c r="D22" s="344" t="s">
        <v>102</v>
      </c>
      <c r="E22" s="238" t="s">
        <v>8</v>
      </c>
      <c r="F22" s="238" t="s">
        <v>12</v>
      </c>
      <c r="G22" s="238" t="s">
        <v>9</v>
      </c>
      <c r="H22" s="319" t="s">
        <v>13</v>
      </c>
      <c r="I22" s="319" t="s">
        <v>81</v>
      </c>
      <c r="J22" s="319" t="s">
        <v>140</v>
      </c>
      <c r="K22" s="238" t="s">
        <v>14</v>
      </c>
      <c r="L22" s="319" t="s">
        <v>97</v>
      </c>
      <c r="M22" s="319" t="s">
        <v>98</v>
      </c>
      <c r="N22" s="19"/>
      <c r="Q22" s="277">
        <f t="shared" si="0"/>
        <v>13</v>
      </c>
      <c r="R22" s="425"/>
      <c r="S22" s="320"/>
      <c r="T22" s="320"/>
      <c r="U22" s="320"/>
    </row>
    <row r="23" spans="1:21" s="11" customFormat="1" ht="18.75" hidden="1" customHeight="1">
      <c r="A23" s="21"/>
      <c r="B23" s="21"/>
      <c r="C23" s="36"/>
      <c r="D23" s="479"/>
      <c r="E23" s="537"/>
      <c r="F23" s="513"/>
      <c r="G23" s="537"/>
      <c r="H23" s="481"/>
      <c r="I23" s="481"/>
      <c r="J23" s="481"/>
      <c r="K23" s="537"/>
      <c r="L23" s="538"/>
      <c r="M23" s="538"/>
      <c r="N23" s="24"/>
      <c r="O23" s="21"/>
      <c r="Q23" s="277">
        <f t="shared" si="0"/>
        <v>14</v>
      </c>
      <c r="R23" s="425"/>
      <c r="S23" s="320"/>
      <c r="T23" s="320"/>
      <c r="U23" s="320"/>
    </row>
    <row r="24" spans="1:21" s="11" customFormat="1">
      <c r="A24" s="21"/>
      <c r="B24" s="21"/>
      <c r="C24" s="36"/>
      <c r="D24" s="509"/>
      <c r="E24" s="509"/>
      <c r="F24" s="514"/>
      <c r="G24" s="509"/>
      <c r="H24" s="539"/>
      <c r="I24" s="539"/>
      <c r="J24" s="539"/>
      <c r="K24" s="509"/>
      <c r="L24" s="540"/>
      <c r="M24" s="540"/>
      <c r="N24" s="24"/>
      <c r="O24" s="21"/>
      <c r="Q24" s="277">
        <f t="shared" si="0"/>
        <v>15</v>
      </c>
      <c r="R24" s="425"/>
      <c r="S24" s="320"/>
      <c r="T24" s="320"/>
      <c r="U24" s="320"/>
    </row>
    <row r="25" spans="1:21" s="11" customFormat="1">
      <c r="A25" s="21"/>
      <c r="B25" s="21"/>
      <c r="C25" s="36"/>
      <c r="D25" s="509"/>
      <c r="E25" s="509"/>
      <c r="F25" s="514"/>
      <c r="G25" s="509"/>
      <c r="H25" s="539"/>
      <c r="I25" s="539"/>
      <c r="J25" s="539"/>
      <c r="K25" s="509"/>
      <c r="L25" s="540"/>
      <c r="M25" s="540"/>
      <c r="N25" s="24"/>
      <c r="O25" s="21"/>
      <c r="Q25" s="277">
        <f t="shared" si="0"/>
        <v>16</v>
      </c>
      <c r="R25" s="425"/>
      <c r="S25" s="320"/>
      <c r="T25" s="320"/>
      <c r="U25" s="320"/>
    </row>
    <row r="26" spans="1:21" s="11" customFormat="1">
      <c r="A26" s="21"/>
      <c r="B26" s="21"/>
      <c r="C26" s="36"/>
      <c r="D26" s="509"/>
      <c r="E26" s="509"/>
      <c r="F26" s="514"/>
      <c r="G26" s="509"/>
      <c r="H26" s="539"/>
      <c r="I26" s="539"/>
      <c r="J26" s="539"/>
      <c r="K26" s="509"/>
      <c r="L26" s="540"/>
      <c r="M26" s="540"/>
      <c r="N26" s="24"/>
      <c r="O26" s="21"/>
      <c r="Q26" s="277">
        <f t="shared" si="0"/>
        <v>17</v>
      </c>
      <c r="R26" s="425"/>
      <c r="S26" s="320"/>
      <c r="T26" s="320"/>
      <c r="U26" s="320"/>
    </row>
    <row r="27" spans="1:21" s="11" customFormat="1">
      <c r="A27" s="21"/>
      <c r="B27" s="21"/>
      <c r="C27" s="36"/>
      <c r="D27" s="509"/>
      <c r="E27" s="509"/>
      <c r="F27" s="514"/>
      <c r="G27" s="509"/>
      <c r="H27" s="539"/>
      <c r="I27" s="539"/>
      <c r="J27" s="539"/>
      <c r="K27" s="509"/>
      <c r="L27" s="540"/>
      <c r="M27" s="540"/>
      <c r="N27" s="24"/>
      <c r="O27" s="21"/>
      <c r="Q27" s="277">
        <f t="shared" si="0"/>
        <v>18</v>
      </c>
      <c r="R27" s="425"/>
      <c r="S27" s="320"/>
      <c r="T27" s="320"/>
      <c r="U27" s="320"/>
    </row>
    <row r="28" spans="1:21" s="11" customFormat="1">
      <c r="A28" s="21"/>
      <c r="B28" s="21"/>
      <c r="C28" s="36"/>
      <c r="D28" s="509"/>
      <c r="E28" s="509"/>
      <c r="F28" s="514"/>
      <c r="G28" s="509"/>
      <c r="H28" s="539"/>
      <c r="I28" s="539"/>
      <c r="J28" s="539"/>
      <c r="K28" s="509"/>
      <c r="L28" s="540"/>
      <c r="M28" s="540"/>
      <c r="N28" s="24"/>
      <c r="O28" s="21"/>
      <c r="Q28" s="277">
        <f t="shared" si="0"/>
        <v>19</v>
      </c>
      <c r="R28" s="425"/>
      <c r="S28" s="320"/>
      <c r="T28" s="320"/>
      <c r="U28" s="320"/>
    </row>
    <row r="29" spans="1:21" s="11" customFormat="1">
      <c r="A29" s="21"/>
      <c r="B29" s="21"/>
      <c r="C29" s="36"/>
      <c r="D29" s="541"/>
      <c r="E29" s="541"/>
      <c r="F29" s="542"/>
      <c r="G29" s="541"/>
      <c r="H29" s="539"/>
      <c r="I29" s="539"/>
      <c r="J29" s="543"/>
      <c r="K29" s="541"/>
      <c r="L29" s="544"/>
      <c r="M29" s="544"/>
      <c r="N29" s="24"/>
      <c r="O29" s="21"/>
      <c r="Q29" s="277">
        <f t="shared" si="0"/>
        <v>20</v>
      </c>
      <c r="R29" s="425"/>
      <c r="S29" s="320"/>
      <c r="T29" s="320"/>
      <c r="U29" s="320"/>
    </row>
    <row r="30" spans="1:21">
      <c r="C30" s="32"/>
      <c r="D30" s="281" t="s">
        <v>26</v>
      </c>
      <c r="E30" s="274"/>
      <c r="F30" s="242"/>
      <c r="G30" s="274"/>
      <c r="H30" s="426">
        <f ca="1">SUM(OFFSET(H$23,0,0,ROW()-ROW(H$23),1))</f>
        <v>0</v>
      </c>
      <c r="I30" s="426">
        <f ca="1">SUM(OFFSET(I$23,0,0,ROW()-ROW(I$23),1))</f>
        <v>0</v>
      </c>
      <c r="J30" s="426">
        <f ca="1">SUM(OFFSET(J$23,0,0,ROW()-ROW(J$23),1))</f>
        <v>0</v>
      </c>
      <c r="K30" s="240"/>
      <c r="L30" s="240"/>
      <c r="M30" s="240"/>
      <c r="N30" s="343"/>
      <c r="Q30" s="277">
        <f t="shared" si="0"/>
        <v>21</v>
      </c>
      <c r="R30" s="255">
        <f ca="1">SUM(OFFSET(H$23,0,0,ROW()-ROW(H$23),1))</f>
        <v>0</v>
      </c>
      <c r="S30" s="255">
        <f t="shared" ref="S30:T30" ca="1" si="2">SUM(OFFSET(I$23,0,0,ROW()-ROW(I$23),1))</f>
        <v>0</v>
      </c>
      <c r="T30" s="255">
        <f t="shared" ca="1" si="2"/>
        <v>0</v>
      </c>
      <c r="U30" s="175" cm="1">
        <f t="array" aca="1" ref="U30" ca="1">IF(SUMPRODUCT(N(H30:J30&lt;&gt;R30:T30))=0,1,0)</f>
        <v>1</v>
      </c>
    </row>
    <row r="31" spans="1:21" ht="15" customHeight="1">
      <c r="C31" s="46"/>
      <c r="D31" s="34"/>
      <c r="E31" s="34"/>
      <c r="F31" s="244"/>
      <c r="G31" s="26"/>
      <c r="H31" s="34"/>
      <c r="I31" s="34"/>
      <c r="J31" s="34"/>
      <c r="K31" s="26"/>
      <c r="L31" s="26"/>
      <c r="M31" s="26"/>
      <c r="N31" s="27"/>
    </row>
    <row r="32" spans="1:21">
      <c r="D32" s="31"/>
      <c r="E32" s="31"/>
      <c r="F32" s="247"/>
      <c r="H32" s="31"/>
      <c r="I32" s="31"/>
      <c r="J32" s="31"/>
    </row>
    <row r="33" spans="1:22">
      <c r="D33" s="31"/>
      <c r="E33" s="31"/>
      <c r="F33" s="247"/>
      <c r="H33" s="31"/>
      <c r="I33" s="31"/>
      <c r="J33" s="31"/>
    </row>
    <row r="34" spans="1:22" ht="14.25" customHeight="1">
      <c r="C34" s="234"/>
      <c r="D34" s="15"/>
      <c r="E34" s="15"/>
      <c r="F34" s="236"/>
      <c r="G34" s="15"/>
      <c r="H34" s="15"/>
      <c r="I34" s="15"/>
      <c r="J34" s="15"/>
      <c r="K34" s="15"/>
      <c r="L34" s="15"/>
      <c r="M34" s="15"/>
      <c r="N34" s="15"/>
      <c r="O34" s="30"/>
    </row>
    <row r="35" spans="1:22" ht="24.75" customHeight="1">
      <c r="C35" s="237" t="s">
        <v>92</v>
      </c>
      <c r="G35"/>
      <c r="K35"/>
      <c r="O35" s="19"/>
    </row>
    <row r="36" spans="1:22" ht="61.5" customHeight="1">
      <c r="C36" s="16"/>
      <c r="D36" s="344" t="s">
        <v>102</v>
      </c>
      <c r="E36" s="238" t="s">
        <v>8</v>
      </c>
      <c r="F36" s="238" t="s">
        <v>12</v>
      </c>
      <c r="G36" s="238" t="s">
        <v>9</v>
      </c>
      <c r="H36" s="319" t="s">
        <v>106</v>
      </c>
      <c r="I36" s="319" t="s">
        <v>107</v>
      </c>
      <c r="J36" s="319" t="s">
        <v>141</v>
      </c>
      <c r="K36" s="238" t="s">
        <v>14</v>
      </c>
      <c r="L36" s="319" t="s">
        <v>97</v>
      </c>
      <c r="M36" s="319" t="s">
        <v>104</v>
      </c>
      <c r="N36" s="319" t="s">
        <v>105</v>
      </c>
      <c r="O36" s="19"/>
      <c r="Q36" s="175" t="s">
        <v>305</v>
      </c>
      <c r="R36" s="319" t="s">
        <v>107</v>
      </c>
      <c r="S36" s="319" t="s">
        <v>141</v>
      </c>
      <c r="T36" s="319" t="s">
        <v>104</v>
      </c>
      <c r="U36" s="319" t="s">
        <v>105</v>
      </c>
      <c r="V36" s="319" t="s">
        <v>419</v>
      </c>
    </row>
    <row r="37" spans="1:22" s="11" customFormat="1" ht="18.75" hidden="1" customHeight="1">
      <c r="A37" s="21"/>
      <c r="B37" s="21"/>
      <c r="C37" s="36"/>
      <c r="D37" s="339"/>
      <c r="E37" s="537"/>
      <c r="F37" s="513"/>
      <c r="G37" s="537"/>
      <c r="H37" s="680"/>
      <c r="I37" s="909"/>
      <c r="J37" s="537"/>
      <c r="K37" s="481"/>
      <c r="L37" s="481"/>
      <c r="M37" s="545"/>
      <c r="N37" s="545"/>
      <c r="O37" s="24"/>
      <c r="P37" s="21"/>
      <c r="Q37" s="23">
        <f t="shared" ref="Q37:Q43" si="3">ROW()-ROW(Q$36)</f>
        <v>1</v>
      </c>
      <c r="R37" s="23"/>
      <c r="S37" s="23"/>
      <c r="T37" s="23"/>
      <c r="U37" s="23"/>
      <c r="V37" s="21"/>
    </row>
    <row r="38" spans="1:22" s="11" customFormat="1">
      <c r="A38" s="21"/>
      <c r="B38" s="21"/>
      <c r="C38" s="36"/>
      <c r="D38" s="59" t="s">
        <v>103</v>
      </c>
      <c r="E38" s="509"/>
      <c r="F38" s="514"/>
      <c r="G38" s="509"/>
      <c r="H38" s="550"/>
      <c r="I38" s="910"/>
      <c r="J38" s="546"/>
      <c r="K38" s="539"/>
      <c r="L38" s="539"/>
      <c r="M38" s="539"/>
      <c r="N38" s="539"/>
      <c r="O38" s="24"/>
      <c r="P38" s="21"/>
      <c r="Q38" s="23">
        <f t="shared" si="3"/>
        <v>2</v>
      </c>
      <c r="R38" s="425"/>
      <c r="S38" s="425"/>
      <c r="T38" s="425"/>
      <c r="U38" s="320"/>
      <c r="V38" s="320"/>
    </row>
    <row r="39" spans="1:22" s="11" customFormat="1">
      <c r="A39" s="21"/>
      <c r="B39" s="21"/>
      <c r="C39" s="36"/>
      <c r="D39" s="59" t="s">
        <v>103</v>
      </c>
      <c r="E39" s="509"/>
      <c r="F39" s="514"/>
      <c r="G39" s="509"/>
      <c r="H39" s="550"/>
      <c r="I39" s="910"/>
      <c r="J39" s="546"/>
      <c r="K39" s="539"/>
      <c r="L39" s="539"/>
      <c r="M39" s="539"/>
      <c r="N39" s="539"/>
      <c r="O39" s="24"/>
      <c r="P39" s="21"/>
      <c r="Q39" s="23">
        <f t="shared" si="3"/>
        <v>3</v>
      </c>
      <c r="R39" s="425"/>
      <c r="S39" s="425"/>
      <c r="T39" s="425"/>
      <c r="U39" s="320"/>
      <c r="V39" s="320"/>
    </row>
    <row r="40" spans="1:22" s="11" customFormat="1">
      <c r="A40" s="21"/>
      <c r="B40" s="21"/>
      <c r="C40" s="36"/>
      <c r="D40" s="59" t="s">
        <v>103</v>
      </c>
      <c r="E40" s="509"/>
      <c r="F40" s="514"/>
      <c r="G40" s="509"/>
      <c r="H40" s="550"/>
      <c r="I40" s="910"/>
      <c r="J40" s="546"/>
      <c r="K40" s="539"/>
      <c r="L40" s="539"/>
      <c r="M40" s="539"/>
      <c r="N40" s="539"/>
      <c r="O40" s="24"/>
      <c r="P40" s="21"/>
      <c r="Q40" s="23">
        <f t="shared" si="3"/>
        <v>4</v>
      </c>
      <c r="R40" s="425"/>
      <c r="S40" s="425"/>
      <c r="T40" s="425"/>
      <c r="U40" s="320"/>
      <c r="V40" s="320"/>
    </row>
    <row r="41" spans="1:22" s="11" customFormat="1">
      <c r="A41" s="21"/>
      <c r="B41" s="21"/>
      <c r="C41" s="36"/>
      <c r="D41" s="59" t="s">
        <v>103</v>
      </c>
      <c r="E41" s="509"/>
      <c r="F41" s="514"/>
      <c r="G41" s="509"/>
      <c r="H41" s="550"/>
      <c r="I41" s="910"/>
      <c r="J41" s="546"/>
      <c r="K41" s="539"/>
      <c r="L41" s="539"/>
      <c r="M41" s="539"/>
      <c r="N41" s="539"/>
      <c r="O41" s="24"/>
      <c r="P41" s="21"/>
      <c r="Q41" s="23">
        <f t="shared" si="3"/>
        <v>5</v>
      </c>
      <c r="R41" s="425"/>
      <c r="S41" s="425"/>
      <c r="T41" s="425"/>
      <c r="U41" s="320"/>
      <c r="V41" s="320"/>
    </row>
    <row r="42" spans="1:22" s="11" customFormat="1">
      <c r="A42" s="21"/>
      <c r="B42" s="21"/>
      <c r="C42" s="36"/>
      <c r="D42" s="59" t="s">
        <v>103</v>
      </c>
      <c r="E42" s="509"/>
      <c r="F42" s="514"/>
      <c r="G42" s="509"/>
      <c r="H42" s="550"/>
      <c r="I42" s="910"/>
      <c r="J42" s="546"/>
      <c r="K42" s="539"/>
      <c r="L42" s="539"/>
      <c r="M42" s="539"/>
      <c r="N42" s="539"/>
      <c r="O42" s="24"/>
      <c r="P42" s="21"/>
      <c r="Q42" s="23">
        <f t="shared" si="3"/>
        <v>6</v>
      </c>
      <c r="R42" s="425"/>
      <c r="S42" s="425"/>
      <c r="T42" s="425"/>
      <c r="U42" s="320"/>
      <c r="V42" s="320"/>
    </row>
    <row r="43" spans="1:22">
      <c r="C43" s="32"/>
      <c r="D43" s="281" t="s">
        <v>26</v>
      </c>
      <c r="E43" s="274"/>
      <c r="F43" s="242"/>
      <c r="G43" s="274"/>
      <c r="H43" s="274"/>
      <c r="I43" s="911">
        <f ca="1">SUM(OFFSET(I$37,0,0,ROW()-ROW(I$37),1))</f>
        <v>0</v>
      </c>
      <c r="J43" s="547">
        <f ca="1">SUM(OFFSET(J$37,0,0,ROW()-ROW(J$37),1))</f>
        <v>0</v>
      </c>
      <c r="K43" s="240"/>
      <c r="L43" s="240"/>
      <c r="M43" s="547">
        <f ca="1">SUM(OFFSET(M$37,0,0,ROW()-ROW(M$37),1))</f>
        <v>0</v>
      </c>
      <c r="N43" s="548">
        <f ca="1">SUM(OFFSET(N$37,0,0,ROW()-ROW(N$37),1))</f>
        <v>0</v>
      </c>
      <c r="O43" s="343"/>
      <c r="P43" s="13"/>
      <c r="Q43" s="23">
        <f t="shared" si="3"/>
        <v>7</v>
      </c>
      <c r="R43" s="407">
        <f ca="1">SUM(OFFSET(I$37,0,0,ROW()-ROW(I$37),1))</f>
        <v>0</v>
      </c>
      <c r="S43" s="407">
        <f ca="1">SUM(OFFSET(J$37,0,0,ROW()-ROW(J$37),1))</f>
        <v>0</v>
      </c>
      <c r="T43" s="407">
        <f ca="1">SUM(OFFSET(M$37,0,0,ROW()-ROW(M$37),1))</f>
        <v>0</v>
      </c>
      <c r="U43" s="407">
        <f ca="1">SUM(OFFSET(N$37,0,0,ROW()-ROW(N$37),1))</f>
        <v>0</v>
      </c>
      <c r="V43" s="407" cm="1">
        <f t="array" aca="1" ref="V43" ca="1">IF(SUMPRODUCT(N(I43:J43&lt;&gt;R43:S43))+SUMPRODUCT(N(M43:N43&lt;&gt;T43:U43))=0,1,0)</f>
        <v>1</v>
      </c>
    </row>
    <row r="44" spans="1:22" ht="15" customHeight="1">
      <c r="C44" s="46"/>
      <c r="D44" s="34"/>
      <c r="E44" s="34"/>
      <c r="F44" s="244"/>
      <c r="G44" s="26"/>
      <c r="H44" s="34"/>
      <c r="I44" s="34"/>
      <c r="J44" s="34"/>
      <c r="K44" s="26"/>
      <c r="L44" s="26"/>
      <c r="M44" s="26"/>
      <c r="N44" s="345"/>
      <c r="O44" s="27"/>
      <c r="P44" s="13"/>
      <c r="Q44" s="13"/>
      <c r="R44" s="13"/>
      <c r="S44" s="13"/>
      <c r="T44" s="13"/>
      <c r="U44" s="13"/>
      <c r="V44" s="13"/>
    </row>
    <row r="45" spans="1:22" ht="15" customHeight="1">
      <c r="D45" s="31"/>
      <c r="E45" s="31"/>
      <c r="F45" s="247"/>
      <c r="H45" s="31"/>
      <c r="I45" s="31"/>
      <c r="J45" s="31"/>
      <c r="P45" s="13"/>
      <c r="Q45" s="13"/>
      <c r="R45" s="13"/>
      <c r="S45" s="13"/>
      <c r="T45" s="13"/>
      <c r="U45" s="13"/>
      <c r="V45" s="13"/>
    </row>
    <row r="46" spans="1:22">
      <c r="P46" s="13"/>
      <c r="Q46" s="13"/>
      <c r="R46" s="13"/>
      <c r="S46" s="13"/>
      <c r="T46" s="13"/>
      <c r="U46" s="13"/>
      <c r="V46" s="13"/>
    </row>
    <row r="47" spans="1:22">
      <c r="C47" s="14"/>
      <c r="D47" s="15"/>
      <c r="E47" s="15"/>
      <c r="F47" s="236"/>
      <c r="G47" s="15"/>
      <c r="H47" s="15"/>
      <c r="I47" s="30"/>
      <c r="J47" s="16"/>
      <c r="O47"/>
    </row>
    <row r="48" spans="1:22" ht="21">
      <c r="C48" s="254" t="s">
        <v>142</v>
      </c>
      <c r="E48"/>
      <c r="F48" s="2"/>
      <c r="G48"/>
      <c r="H48"/>
      <c r="I48" s="19"/>
      <c r="J48" s="16"/>
      <c r="O48"/>
      <c r="Q48" s="175" t="s">
        <v>419</v>
      </c>
    </row>
    <row r="49" spans="3:17" ht="25" customHeight="1">
      <c r="C49" s="16"/>
      <c r="D49" s="1403" t="s">
        <v>138</v>
      </c>
      <c r="E49" s="1404"/>
      <c r="F49" s="1404"/>
      <c r="G49" s="1405"/>
      <c r="H49" s="549">
        <f ca="1">SUM(I16,I30,I43)</f>
        <v>0</v>
      </c>
      <c r="I49" s="19"/>
      <c r="J49" s="16"/>
      <c r="O49"/>
      <c r="Q49" s="408">
        <f ca="1">SUM(I16,I30,I43)</f>
        <v>0</v>
      </c>
    </row>
    <row r="50" spans="3:17" ht="25" customHeight="1">
      <c r="C50" s="16"/>
      <c r="D50" s="1403" t="s">
        <v>139</v>
      </c>
      <c r="E50" s="1404"/>
      <c r="F50" s="1404"/>
      <c r="G50" s="1405"/>
      <c r="H50" s="549">
        <f ca="1">SUM(J16,J30,J43)</f>
        <v>0</v>
      </c>
      <c r="I50" s="19"/>
      <c r="J50" s="16"/>
      <c r="O50"/>
      <c r="Q50" s="408">
        <f ca="1">SUM(J16,J30,J43)</f>
        <v>0</v>
      </c>
    </row>
    <row r="51" spans="3:17">
      <c r="C51" s="46"/>
      <c r="D51" s="26"/>
      <c r="E51" s="26"/>
      <c r="F51" s="246"/>
      <c r="G51" s="26"/>
      <c r="H51" s="26"/>
      <c r="I51" s="27"/>
      <c r="J51" s="16"/>
      <c r="O51"/>
      <c r="Q51" cm="1">
        <f t="array" aca="1" ref="Q51" ca="1">IF(SUMPRODUCT(N(H49:H50&lt;&gt;Q49:Q50))=0,1,0)</f>
        <v>1</v>
      </c>
    </row>
  </sheetData>
  <sheetProtection algorithmName="SHA-512" hashValue="cpwy8/eirweV6/3NrDETP7qpwpkIyQ1WTc9qUXt1upCh+HpgAIxc/Olns38DvGMIAkKS7bhzZQ4EvovNO2fRRA==" saltValue="PTQb4evByKltgogsIqymMw==" spinCount="100000" sheet="1" formatCells="0" insertRows="0" deleteRows="0"/>
  <mergeCells count="3">
    <mergeCell ref="B2:M2"/>
    <mergeCell ref="D49:G49"/>
    <mergeCell ref="D50:G50"/>
  </mergeCells>
  <phoneticPr fontId="1"/>
  <conditionalFormatting sqref="D8:M16">
    <cfRule type="expression" dxfId="2195" priority="14">
      <formula>$Q8=""</formula>
    </cfRule>
  </conditionalFormatting>
  <conditionalFormatting sqref="D23:M29">
    <cfRule type="notContainsBlanks" dxfId="2194" priority="8">
      <formula>LEN(TRIM(D23))&gt;0</formula>
    </cfRule>
  </conditionalFormatting>
  <conditionalFormatting sqref="D23:M30">
    <cfRule type="expression" dxfId="2193" priority="9">
      <formula>$Q23=""</formula>
    </cfRule>
  </conditionalFormatting>
  <conditionalFormatting sqref="D36:N43">
    <cfRule type="expression" dxfId="2192" priority="2">
      <formula>$Q36=""</formula>
    </cfRule>
  </conditionalFormatting>
  <conditionalFormatting sqref="E37:N42 D9:M15">
    <cfRule type="notContainsBlanks" dxfId="2191" priority="12">
      <formula>LEN(TRIM(D9))&gt;0</formula>
    </cfRule>
  </conditionalFormatting>
  <conditionalFormatting sqref="H49:H50">
    <cfRule type="expression" dxfId="2190" priority="1">
      <formula>$H49&lt;&gt;$Q49</formula>
    </cfRule>
    <cfRule type="cellIs" dxfId="2189" priority="5" operator="notEqual">
      <formula>0</formula>
    </cfRule>
  </conditionalFormatting>
  <conditionalFormatting sqref="H16:J16">
    <cfRule type="expression" dxfId="2188" priority="16">
      <formula>H$16&lt;&gt;R$16</formula>
    </cfRule>
    <cfRule type="cellIs" dxfId="2187" priority="28" operator="equal">
      <formula>0</formula>
    </cfRule>
  </conditionalFormatting>
  <conditionalFormatting sqref="H30:J30">
    <cfRule type="expression" dxfId="2186" priority="10">
      <formula>H$30&lt;&gt;R$30</formula>
    </cfRule>
    <cfRule type="cellIs" dxfId="2185" priority="11" operator="equal">
      <formula>0</formula>
    </cfRule>
  </conditionalFormatting>
  <conditionalFormatting sqref="I43:J43 M43:N43">
    <cfRule type="cellIs" dxfId="2184" priority="6" operator="notEqual">
      <formula>0</formula>
    </cfRule>
  </conditionalFormatting>
  <conditionalFormatting sqref="I43:J43">
    <cfRule type="expression" dxfId="2183" priority="4">
      <formula>I$43&lt;&gt;R$43</formula>
    </cfRule>
  </conditionalFormatting>
  <conditionalFormatting sqref="M43:N43">
    <cfRule type="expression" dxfId="2182" priority="3">
      <formula>M$43&lt;&gt;T$43</formula>
    </cfRule>
  </conditionalFormatting>
  <dataValidations count="4">
    <dataValidation type="decimal" operator="greaterThanOrEqual" allowBlank="1" showInputMessage="1" showErrorMessage="1" error="数値で入力してください" sqref="K37:L37 H23:J29 H9:J15" xr:uid="{75579E5C-94E1-4602-8B14-0FA9BE44679F}">
      <formula1>0</formula1>
    </dataValidation>
    <dataValidation type="list" allowBlank="1" showInputMessage="1" showErrorMessage="1" sqref="D24:D29" xr:uid="{E13C97E3-F992-4B4F-8BBC-31FEC0AC34FE}">
      <formula1>"小水力発電,風力発電,地熱発電,木質バイオマス発電,バイオマス発電,バイオガス発電,波力発電,潮力発電"</formula1>
    </dataValidation>
    <dataValidation type="decimal" operator="greaterThan" allowBlank="1" showInputMessage="1" showErrorMessage="1" error="数値で入力してください" sqref="M38:M42 N37:N42 I37:J42" xr:uid="{7FE18B13-B695-4A61-A282-D4DA9A6BDBF3}">
      <formula1>0</formula1>
    </dataValidation>
    <dataValidation type="decimal" operator="greaterThanOrEqual" allowBlank="1" showErrorMessage="1" error="数値で入力してください" sqref="H38:H42" xr:uid="{52A17112-0051-444E-83F6-8DDE06DEB916}">
      <formula1>0</formula1>
    </dataValidation>
  </dataValidations>
  <pageMargins left="0.7" right="0.7" top="0.75" bottom="0.75" header="0.3" footer="0.3"/>
  <pageSetup paperSize="8" scale="47" orientation="portrait"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7A94-7324-456D-A2C0-BCE91F70C356}">
  <sheetPr codeName="Sheet20">
    <tabColor theme="7" tint="0.79998168889431442"/>
    <pageSetUpPr autoPageBreaks="0" fitToPage="1"/>
  </sheetPr>
  <dimension ref="A1:S36"/>
  <sheetViews>
    <sheetView showGridLines="0" zoomScale="85" zoomScaleNormal="85" zoomScaleSheetLayoutView="90" workbookViewId="0"/>
  </sheetViews>
  <sheetFormatPr defaultColWidth="9" defaultRowHeight="18"/>
  <cols>
    <col min="1" max="1" width="1.58203125" style="47" customWidth="1"/>
    <col min="2" max="2" width="1.75" style="47" customWidth="1"/>
    <col min="3" max="3" width="7.83203125" style="47" customWidth="1"/>
    <col min="4" max="4" width="21.5" style="47" customWidth="1"/>
    <col min="5" max="5" width="6.58203125" style="47" customWidth="1"/>
    <col min="6" max="6" width="28.25" style="47" customWidth="1"/>
    <col min="7" max="7" width="6.58203125" style="47" customWidth="1"/>
    <col min="8" max="8" width="27.83203125" style="47" customWidth="1"/>
    <col min="9" max="9" width="4.08203125" style="47" customWidth="1"/>
    <col min="10" max="10" width="13.33203125" style="47" customWidth="1"/>
    <col min="11" max="11" width="9" style="47"/>
    <col min="12" max="12" width="1.75" style="47" hidden="1" customWidth="1"/>
    <col min="13" max="13" width="7.83203125" style="47" hidden="1" customWidth="1"/>
    <col min="14" max="14" width="21.5" style="47" hidden="1" customWidth="1"/>
    <col min="15" max="15" width="6.58203125" style="47" hidden="1" customWidth="1"/>
    <col min="16" max="16" width="28.25" style="47" hidden="1" customWidth="1"/>
    <col min="17" max="17" width="6.58203125" style="47" hidden="1" customWidth="1"/>
    <col min="18" max="18" width="27.83203125" style="47" hidden="1" customWidth="1"/>
    <col min="19" max="19" width="4.08203125" style="47" hidden="1" customWidth="1"/>
  </cols>
  <sheetData>
    <row r="1" spans="1:19" ht="21" customHeight="1">
      <c r="A1" s="133" t="s">
        <v>348</v>
      </c>
      <c r="B1"/>
      <c r="C1" s="132"/>
      <c r="D1" s="132"/>
      <c r="E1" s="132"/>
      <c r="F1" s="132"/>
      <c r="G1" s="132"/>
      <c r="H1" s="132"/>
      <c r="I1" s="132"/>
      <c r="J1" s="90"/>
      <c r="K1"/>
      <c r="L1"/>
      <c r="M1" s="132"/>
      <c r="N1" s="132"/>
      <c r="O1" s="132"/>
      <c r="P1" s="132"/>
      <c r="Q1" s="132"/>
      <c r="R1" s="132"/>
      <c r="S1" s="132"/>
    </row>
    <row r="2" spans="1:19">
      <c r="B2" s="133" t="s">
        <v>52</v>
      </c>
      <c r="J2" s="90"/>
      <c r="K2"/>
      <c r="L2" s="133"/>
    </row>
    <row r="3" spans="1:19" ht="62.25" customHeight="1">
      <c r="B3" s="1420" t="s">
        <v>80</v>
      </c>
      <c r="C3" s="1420"/>
      <c r="D3" s="1420"/>
      <c r="E3" s="1420"/>
      <c r="F3" s="1420"/>
      <c r="G3" s="1420"/>
      <c r="H3" s="1420"/>
      <c r="I3" s="1420"/>
      <c r="J3" s="90"/>
      <c r="K3"/>
      <c r="L3" s="55" t="s">
        <v>314</v>
      </c>
      <c r="M3" s="367"/>
      <c r="N3" s="367"/>
      <c r="O3" s="367"/>
      <c r="P3" s="367"/>
      <c r="Q3" s="367"/>
      <c r="R3" s="367" cm="1">
        <f t="array" aca="1" ref="R3" ca="1">IF(SUMPRODUCT(N(B4:I18&lt;&gt;L4:S18))=0,1,0)</f>
        <v>1</v>
      </c>
      <c r="S3" s="367"/>
    </row>
    <row r="4" spans="1:19">
      <c r="B4" s="134" t="s">
        <v>64</v>
      </c>
      <c r="I4" s="135"/>
      <c r="L4" s="134" t="s">
        <v>456</v>
      </c>
      <c r="S4" s="135"/>
    </row>
    <row r="5" spans="1:19" ht="35.25" customHeight="1">
      <c r="B5" s="91"/>
      <c r="C5" s="1413" t="s">
        <v>172</v>
      </c>
      <c r="D5" s="1414"/>
      <c r="F5" s="136" t="s">
        <v>173</v>
      </c>
      <c r="H5" s="136" t="s">
        <v>174</v>
      </c>
      <c r="I5" s="135"/>
      <c r="L5" s="91"/>
      <c r="M5" s="1413" t="s">
        <v>457</v>
      </c>
      <c r="N5" s="1414"/>
      <c r="P5" s="136" t="s">
        <v>458</v>
      </c>
      <c r="R5" s="136" t="s">
        <v>459</v>
      </c>
      <c r="S5" s="135"/>
    </row>
    <row r="6" spans="1:19">
      <c r="B6" s="91"/>
      <c r="C6" s="1422">
        <f ca="1">IFERROR($F$6+$H$6,0)</f>
        <v>0</v>
      </c>
      <c r="D6" s="1423"/>
      <c r="F6" s="368">
        <f ca="1">IF(F7=0,0,IFERROR(F7/$C$7,0))</f>
        <v>0</v>
      </c>
      <c r="H6" s="368">
        <f ca="1">IF(F7=0,0,IFERROR(H7/$C$7,0))</f>
        <v>0</v>
      </c>
      <c r="I6" s="135"/>
      <c r="L6" s="91"/>
      <c r="M6" s="1415">
        <f ca="1">IFERROR($F$6+$H$6,0)</f>
        <v>0</v>
      </c>
      <c r="N6" s="1416"/>
      <c r="P6" s="137">
        <f ca="1">IF(P7=0,0,IFERROR(P7/$C$7,0))</f>
        <v>0</v>
      </c>
      <c r="R6" s="137">
        <f ca="1">IF(P7=0,0,IFERROR(R7/$C$7,0))</f>
        <v>0</v>
      </c>
      <c r="S6" s="135"/>
    </row>
    <row r="7" spans="1:19" ht="30" customHeight="1">
      <c r="B7" s="91"/>
      <c r="C7" s="1424">
        <f>'4.2民生電力需要量'!$K49</f>
        <v>0</v>
      </c>
      <c r="D7" s="1424"/>
      <c r="E7" s="138" t="s">
        <v>65</v>
      </c>
      <c r="F7" s="369">
        <f ca="1">SUM('4.2電力供給状況(民生部門)'!$G$66:$N$66)</f>
        <v>0</v>
      </c>
      <c r="G7" s="138" t="s">
        <v>66</v>
      </c>
      <c r="H7" s="369">
        <f ca="1">'4.2電力削減量'!$G$66</f>
        <v>0</v>
      </c>
      <c r="I7" s="135"/>
      <c r="L7" s="91"/>
      <c r="M7" s="1417">
        <f>'4.2民生電力需要量'!$K49</f>
        <v>0</v>
      </c>
      <c r="N7" s="1417"/>
      <c r="O7" s="138" t="s">
        <v>460</v>
      </c>
      <c r="P7" s="139">
        <f ca="1">SUM('4.2電力供給状況(民生部門)'!$G$66:$N$66)</f>
        <v>0</v>
      </c>
      <c r="Q7" s="138" t="s">
        <v>461</v>
      </c>
      <c r="R7" s="139">
        <f ca="1">'4.2電力削減量'!$G$66</f>
        <v>0</v>
      </c>
      <c r="S7" s="135"/>
    </row>
    <row r="8" spans="1:19">
      <c r="B8" s="91"/>
      <c r="C8" s="1418" t="s">
        <v>149</v>
      </c>
      <c r="D8" s="1419"/>
      <c r="F8" s="140" t="s">
        <v>148</v>
      </c>
      <c r="G8" s="141"/>
      <c r="H8" s="140" t="s">
        <v>147</v>
      </c>
      <c r="I8" s="135"/>
      <c r="L8" s="91"/>
      <c r="M8" s="1418" t="s">
        <v>462</v>
      </c>
      <c r="N8" s="1419"/>
      <c r="P8" s="140" t="s">
        <v>463</v>
      </c>
      <c r="Q8" s="141"/>
      <c r="R8" s="140" t="s">
        <v>464</v>
      </c>
      <c r="S8" s="135"/>
    </row>
    <row r="9" spans="1:19" ht="34.5" customHeight="1">
      <c r="B9" s="91"/>
      <c r="C9" s="1407" t="s">
        <v>154</v>
      </c>
      <c r="D9" s="1408"/>
      <c r="F9" s="142" t="s">
        <v>146</v>
      </c>
      <c r="G9" s="141"/>
      <c r="H9" s="143" t="s">
        <v>155</v>
      </c>
      <c r="I9" s="135"/>
      <c r="L9" s="91"/>
      <c r="M9" s="1407" t="s">
        <v>465</v>
      </c>
      <c r="N9" s="1408"/>
      <c r="P9" s="142" t="s">
        <v>466</v>
      </c>
      <c r="Q9" s="141"/>
      <c r="R9" s="143" t="s">
        <v>467</v>
      </c>
      <c r="S9" s="135"/>
    </row>
    <row r="10" spans="1:19" ht="28.5" customHeight="1">
      <c r="B10" s="91"/>
      <c r="I10" s="135"/>
      <c r="L10" s="91"/>
      <c r="M10" s="1409"/>
      <c r="N10" s="1409"/>
      <c r="O10" s="1409"/>
      <c r="P10" s="1409"/>
      <c r="Q10" s="1409"/>
      <c r="R10" s="1409"/>
      <c r="S10" s="135"/>
    </row>
    <row r="11" spans="1:19" ht="28.5" customHeight="1">
      <c r="B11" s="91"/>
      <c r="C11" s="144" t="s">
        <v>145</v>
      </c>
      <c r="D11" s="145"/>
      <c r="E11" s="146"/>
      <c r="F11" s="146"/>
      <c r="G11" s="145"/>
      <c r="H11" s="146"/>
      <c r="I11" s="135"/>
      <c r="L11" s="91"/>
      <c r="M11" s="144" t="s">
        <v>468</v>
      </c>
      <c r="N11" s="145"/>
      <c r="O11" s="146"/>
      <c r="P11" s="146"/>
      <c r="Q11" s="145"/>
      <c r="R11" s="146"/>
      <c r="S11" s="135"/>
    </row>
    <row r="12" spans="1:19" ht="37.5" customHeight="1">
      <c r="B12" s="91"/>
      <c r="C12" s="1410" t="s">
        <v>158</v>
      </c>
      <c r="D12" s="1410"/>
      <c r="F12" s="147" t="s">
        <v>542</v>
      </c>
      <c r="H12" s="148" t="s">
        <v>150</v>
      </c>
      <c r="I12" s="135"/>
      <c r="L12" s="91"/>
      <c r="M12" s="1410" t="s">
        <v>469</v>
      </c>
      <c r="N12" s="1410"/>
      <c r="P12" s="147" t="s">
        <v>542</v>
      </c>
      <c r="R12" s="148" t="s">
        <v>470</v>
      </c>
      <c r="S12" s="135"/>
    </row>
    <row r="13" spans="1:19" ht="28.5" customHeight="1" thickBot="1">
      <c r="B13" s="91"/>
      <c r="C13" s="1425">
        <f>'4.2対象地域の民生需要家数等'!$H$15</f>
        <v>0</v>
      </c>
      <c r="D13" s="1425"/>
      <c r="F13" s="370">
        <f ca="1">'4.1(2)新規再エネ導入予定（設備情報）'!J178</f>
        <v>0</v>
      </c>
      <c r="H13" s="371">
        <f ca="1">'4.2電力供給状況(民生部門)'!$D$72</f>
        <v>0</v>
      </c>
      <c r="I13" s="135"/>
      <c r="L13" s="91"/>
      <c r="M13" s="1411">
        <f>'4.2対象地域の民生需要家数等'!$H$15</f>
        <v>0</v>
      </c>
      <c r="N13" s="1411"/>
      <c r="P13" s="149">
        <f ca="1">'4.1(2)新規再エネ導入予定（設備情報）'!J178</f>
        <v>0</v>
      </c>
      <c r="R13" s="150">
        <f ca="1">'4.2電力供給状況(民生部門)'!$D$72</f>
        <v>0</v>
      </c>
      <c r="S13" s="135"/>
    </row>
    <row r="14" spans="1:19" ht="36.5" thickTop="1">
      <c r="B14" s="91"/>
      <c r="C14" s="1412" t="s">
        <v>157</v>
      </c>
      <c r="D14" s="1412"/>
      <c r="F14" s="147" t="s">
        <v>543</v>
      </c>
      <c r="H14" s="148" t="s">
        <v>153</v>
      </c>
      <c r="I14" s="135"/>
      <c r="L14" s="91"/>
      <c r="M14" s="1412" t="s">
        <v>471</v>
      </c>
      <c r="N14" s="1412"/>
      <c r="P14" s="147" t="s">
        <v>543</v>
      </c>
      <c r="R14" s="148" t="s">
        <v>472</v>
      </c>
      <c r="S14" s="135"/>
    </row>
    <row r="15" spans="1:19" ht="28.5" customHeight="1">
      <c r="B15" s="91"/>
      <c r="C15" s="1421" t="str">
        <f>'4.2対象地域の民生需要家数等'!$G$15</f>
        <v/>
      </c>
      <c r="D15" s="1421"/>
      <c r="F15" s="370">
        <f ca="1">'4.1(3)活用可能な既存の再エネ発電設備'!$H$50</f>
        <v>0</v>
      </c>
      <c r="H15" s="370">
        <f ca="1">SUM('4.2電力供給状況(民生部門)'!$H$66,'4.2電力供給状況(民生部門)'!$J$66,'4.2電力供給状況(民生部門)'!$L$66)</f>
        <v>0</v>
      </c>
      <c r="I15" s="135"/>
      <c r="L15" s="91"/>
      <c r="M15" s="1406" t="str">
        <f>'4.2対象地域の民生需要家数等'!$G$15</f>
        <v/>
      </c>
      <c r="N15" s="1406"/>
      <c r="P15" s="149">
        <f ca="1">'4.1(3)活用可能な既存の再エネ発電設備'!$H$50</f>
        <v>0</v>
      </c>
      <c r="R15" s="149">
        <f ca="1">SUM('4.2電力供給状況(民生部門)'!$H$66,'4.2電力供給状況(民生部門)'!$J$66,'4.2電力供給状況(民生部門)'!$L$66)</f>
        <v>0</v>
      </c>
      <c r="S15" s="135"/>
    </row>
    <row r="16" spans="1:19" ht="36">
      <c r="B16" s="91"/>
      <c r="F16" s="151" t="s">
        <v>156</v>
      </c>
      <c r="H16" s="148" t="s">
        <v>152</v>
      </c>
      <c r="I16" s="135"/>
      <c r="L16" s="91"/>
      <c r="P16" s="151" t="s">
        <v>473</v>
      </c>
      <c r="R16" s="148" t="s">
        <v>474</v>
      </c>
      <c r="S16" s="135"/>
    </row>
    <row r="17" spans="2:19" ht="28.5" customHeight="1" thickBot="1">
      <c r="B17" s="91"/>
      <c r="F17" s="371">
        <f ca="1">$F$13+$F$15</f>
        <v>0</v>
      </c>
      <c r="H17" s="371">
        <f ca="1">'4.2電力供給状況(民生部門)'!$M$66</f>
        <v>0</v>
      </c>
      <c r="I17" s="135"/>
      <c r="L17" s="91"/>
      <c r="P17" s="150">
        <f ca="1">$F$13+$F$15</f>
        <v>0</v>
      </c>
      <c r="R17" s="150">
        <f ca="1">'4.2電力供給状況(民生部門)'!$M$66</f>
        <v>0</v>
      </c>
      <c r="S17" s="135"/>
    </row>
    <row r="18" spans="2:19" ht="11.15" customHeight="1" thickTop="1">
      <c r="B18" s="152"/>
      <c r="C18" s="55"/>
      <c r="D18" s="55"/>
      <c r="E18" s="55"/>
      <c r="F18" s="55"/>
      <c r="G18" s="55"/>
      <c r="H18" s="55"/>
      <c r="I18" s="153"/>
      <c r="L18" s="152"/>
      <c r="M18" s="55"/>
      <c r="N18" s="55"/>
      <c r="O18" s="55"/>
      <c r="P18" s="55"/>
      <c r="Q18" s="55"/>
      <c r="R18" s="55"/>
      <c r="S18" s="153"/>
    </row>
    <row r="19" spans="2:19" ht="28.5" customHeight="1">
      <c r="B19" s="85"/>
      <c r="C19" s="154"/>
      <c r="D19" s="154"/>
      <c r="E19" s="85"/>
      <c r="F19" s="85"/>
      <c r="G19" s="85"/>
      <c r="H19" s="85"/>
      <c r="I19" s="85"/>
      <c r="L19" s="85"/>
      <c r="M19" s="154"/>
      <c r="N19" s="154"/>
      <c r="O19" s="85"/>
      <c r="P19" s="85"/>
      <c r="Q19" s="85"/>
      <c r="R19" s="85"/>
      <c r="S19" s="85"/>
    </row>
    <row r="22" spans="2:19">
      <c r="D22" s="155"/>
      <c r="E22" s="155"/>
      <c r="F22" s="155"/>
      <c r="N22" s="155"/>
      <c r="O22" s="155"/>
      <c r="P22" s="155"/>
    </row>
    <row r="23" spans="2:19">
      <c r="D23" s="155"/>
      <c r="E23" s="155"/>
      <c r="F23" s="155"/>
      <c r="N23" s="155"/>
      <c r="O23" s="155"/>
      <c r="P23" s="155"/>
    </row>
    <row r="24" spans="2:19">
      <c r="D24" s="155"/>
      <c r="E24" s="155"/>
      <c r="F24" s="155"/>
      <c r="N24" s="155"/>
      <c r="O24" s="155"/>
      <c r="P24" s="155"/>
    </row>
    <row r="25" spans="2:19">
      <c r="D25" s="155"/>
      <c r="E25" s="155"/>
      <c r="F25" s="155"/>
      <c r="N25" s="155"/>
      <c r="O25" s="155"/>
      <c r="P25" s="155"/>
    </row>
    <row r="26" spans="2:19">
      <c r="D26" s="155"/>
      <c r="E26" s="155"/>
      <c r="F26" s="155"/>
      <c r="N26" s="155"/>
      <c r="O26" s="155"/>
      <c r="P26" s="155"/>
    </row>
    <row r="27" spans="2:19">
      <c r="D27" s="155"/>
      <c r="E27" s="155"/>
      <c r="F27" s="155"/>
      <c r="N27" s="155"/>
      <c r="O27" s="155"/>
      <c r="P27" s="155"/>
    </row>
    <row r="28" spans="2:19">
      <c r="D28" s="155"/>
      <c r="E28" s="155"/>
      <c r="F28" s="155"/>
      <c r="N28" s="155"/>
      <c r="O28" s="155"/>
      <c r="P28" s="155"/>
    </row>
    <row r="29" spans="2:19">
      <c r="D29" s="155"/>
      <c r="E29" s="155"/>
      <c r="F29" s="155"/>
      <c r="N29" s="155"/>
      <c r="O29" s="155"/>
      <c r="P29" s="155"/>
    </row>
    <row r="30" spans="2:19">
      <c r="D30" s="155"/>
      <c r="E30" s="155"/>
      <c r="F30" s="155"/>
      <c r="N30" s="155"/>
      <c r="O30" s="155"/>
      <c r="P30" s="155"/>
    </row>
    <row r="31" spans="2:19">
      <c r="D31" s="155"/>
      <c r="E31" s="155"/>
      <c r="F31" s="155"/>
      <c r="N31" s="155"/>
      <c r="O31" s="155"/>
      <c r="P31" s="155"/>
    </row>
    <row r="32" spans="2:19">
      <c r="D32" s="155"/>
      <c r="E32" s="155"/>
      <c r="F32" s="155"/>
      <c r="N32" s="155"/>
      <c r="O32" s="155"/>
      <c r="P32" s="155"/>
    </row>
    <row r="33" spans="4:16" s="47" customFormat="1" ht="13">
      <c r="D33" s="155"/>
      <c r="E33" s="155"/>
      <c r="F33" s="155"/>
      <c r="N33" s="155"/>
      <c r="O33" s="155"/>
      <c r="P33" s="155"/>
    </row>
    <row r="34" spans="4:16" s="47" customFormat="1" ht="13">
      <c r="D34" s="155"/>
      <c r="E34" s="155"/>
      <c r="F34" s="155"/>
      <c r="N34" s="155"/>
      <c r="O34" s="155"/>
      <c r="P34" s="155"/>
    </row>
    <row r="35" spans="4:16" s="47" customFormat="1" ht="13">
      <c r="D35" s="155"/>
      <c r="E35" s="155"/>
      <c r="F35" s="155"/>
      <c r="N35" s="155"/>
      <c r="O35" s="155"/>
      <c r="P35" s="155"/>
    </row>
    <row r="36" spans="4:16" s="47" customFormat="1" ht="13">
      <c r="D36" s="155"/>
      <c r="E36" s="155"/>
      <c r="F36" s="155"/>
      <c r="N36" s="155"/>
      <c r="O36" s="155"/>
      <c r="P36" s="155"/>
    </row>
  </sheetData>
  <sheetProtection algorithmName="SHA-512" hashValue="17F7a9shdFa/HZnSi6KKvquFzEoOCklrVpXmqYbo3qDX60He0M7DR1uJFGOvBpRJaS8mn4mVvisyczvPrkIxQg==" saltValue="EmmRuTzCmWLgATtifaDphg==" spinCount="100000" sheet="1" formatCells="0"/>
  <mergeCells count="20">
    <mergeCell ref="C15:D15"/>
    <mergeCell ref="C5:D5"/>
    <mergeCell ref="C6:D6"/>
    <mergeCell ref="C7:D7"/>
    <mergeCell ref="C9:D9"/>
    <mergeCell ref="C8:D8"/>
    <mergeCell ref="C12:D12"/>
    <mergeCell ref="C13:D13"/>
    <mergeCell ref="C14:D14"/>
    <mergeCell ref="M5:N5"/>
    <mergeCell ref="M6:N6"/>
    <mergeCell ref="M7:N7"/>
    <mergeCell ref="M8:N8"/>
    <mergeCell ref="B3:I3"/>
    <mergeCell ref="M15:N15"/>
    <mergeCell ref="M9:N9"/>
    <mergeCell ref="M10:R10"/>
    <mergeCell ref="M12:N12"/>
    <mergeCell ref="M13:N13"/>
    <mergeCell ref="M14:N14"/>
  </mergeCells>
  <phoneticPr fontId="1"/>
  <conditionalFormatting sqref="B4:I18">
    <cfRule type="expression" dxfId="2181" priority="1">
      <formula>B4&lt;&gt;L4</formula>
    </cfRule>
  </conditionalFormatting>
  <conditionalFormatting sqref="C6:D7 F6:F7 H6:H7">
    <cfRule type="cellIs" dxfId="2180" priority="15" operator="equal">
      <formula>0</formula>
    </cfRule>
  </conditionalFormatting>
  <conditionalFormatting sqref="C13:D13 C15:D15">
    <cfRule type="containsBlanks" dxfId="2179" priority="29">
      <formula>LEN(TRIM(C13))=0</formula>
    </cfRule>
  </conditionalFormatting>
  <conditionalFormatting sqref="C13:D13">
    <cfRule type="cellIs" dxfId="2178" priority="14" operator="equal">
      <formula>0</formula>
    </cfRule>
  </conditionalFormatting>
  <conditionalFormatting sqref="C15:D15">
    <cfRule type="cellIs" dxfId="2177" priority="25" operator="equal">
      <formula>0</formula>
    </cfRule>
  </conditionalFormatting>
  <conditionalFormatting sqref="F13">
    <cfRule type="cellIs" dxfId="2176" priority="24" operator="equal">
      <formula>0</formula>
    </cfRule>
  </conditionalFormatting>
  <conditionalFormatting sqref="F15 F17">
    <cfRule type="cellIs" dxfId="2175" priority="23" operator="equal">
      <formula>0</formula>
    </cfRule>
  </conditionalFormatting>
  <conditionalFormatting sqref="H13">
    <cfRule type="cellIs" dxfId="2174" priority="22" operator="equal">
      <formula>0</formula>
    </cfRule>
  </conditionalFormatting>
  <conditionalFormatting sqref="H15">
    <cfRule type="cellIs" dxfId="2173" priority="21" operator="equal">
      <formula>0</formula>
    </cfRule>
  </conditionalFormatting>
  <conditionalFormatting sqref="H17">
    <cfRule type="cellIs" dxfId="2172" priority="20" operator="equal">
      <formula>0</formula>
    </cfRule>
  </conditionalFormatting>
  <pageMargins left="0.7" right="0.7" top="0.75" bottom="0.75" header="0.3" footer="0.3"/>
  <pageSetup paperSize="8" scale="83"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AF16-7563-47B9-B856-CBF0D74F50E5}">
  <sheetPr codeName="Sheet2">
    <tabColor rgb="FFFFFF00"/>
    <pageSetUpPr fitToPage="1"/>
  </sheetPr>
  <dimension ref="B1:G118"/>
  <sheetViews>
    <sheetView showGridLines="0" tabSelected="1" zoomScale="55" zoomScaleNormal="55" workbookViewId="0">
      <selection activeCell="E8" sqref="E8"/>
    </sheetView>
  </sheetViews>
  <sheetFormatPr defaultRowHeight="18"/>
  <cols>
    <col min="1" max="1" width="2.83203125" customWidth="1"/>
    <col min="3" max="3" width="14.58203125" customWidth="1"/>
    <col min="4" max="4" width="6" style="2" customWidth="1"/>
    <col min="5" max="5" width="50.25" customWidth="1"/>
    <col min="6" max="6" width="21.83203125" customWidth="1"/>
    <col min="7" max="7" width="86.33203125" customWidth="1"/>
  </cols>
  <sheetData>
    <row r="1" spans="2:7" ht="18.5" thickBot="1"/>
    <row r="2" spans="2:7">
      <c r="B2" s="1253" t="s">
        <v>514</v>
      </c>
      <c r="C2" s="1254"/>
      <c r="D2" s="448"/>
      <c r="E2" s="449"/>
      <c r="F2" s="449"/>
      <c r="G2" s="450"/>
    </row>
    <row r="3" spans="2:7" ht="18.5" thickBot="1">
      <c r="B3" s="1255"/>
      <c r="C3" s="1256"/>
      <c r="G3" s="451"/>
    </row>
    <row r="4" spans="2:7">
      <c r="B4" s="452"/>
      <c r="G4" s="451"/>
    </row>
    <row r="5" spans="2:7" ht="27" customHeight="1">
      <c r="B5" s="452"/>
      <c r="C5" s="688" t="s">
        <v>517</v>
      </c>
      <c r="D5"/>
      <c r="G5" s="451"/>
    </row>
    <row r="6" spans="2:7" ht="27" customHeight="1">
      <c r="B6" s="452"/>
      <c r="C6" s="689"/>
      <c r="D6" s="687" t="s">
        <v>515</v>
      </c>
      <c r="G6" s="451"/>
    </row>
    <row r="7" spans="2:7" ht="27" customHeight="1">
      <c r="B7" s="452"/>
      <c r="C7" s="690"/>
      <c r="D7" s="687" t="s">
        <v>516</v>
      </c>
      <c r="G7" s="451"/>
    </row>
    <row r="8" spans="2:7">
      <c r="B8" s="452"/>
      <c r="G8" s="451"/>
    </row>
    <row r="9" spans="2:7" ht="18.5" thickBot="1">
      <c r="B9" s="454"/>
      <c r="C9" s="455"/>
      <c r="D9" s="456"/>
      <c r="E9" s="455"/>
      <c r="F9" s="455"/>
      <c r="G9" s="457"/>
    </row>
    <row r="10" spans="2:7" ht="18.5" thickBot="1"/>
    <row r="11" spans="2:7" ht="18.75" customHeight="1">
      <c r="B11" s="1253" t="s">
        <v>510</v>
      </c>
      <c r="C11" s="1257"/>
      <c r="D11" s="1254"/>
      <c r="E11" s="449"/>
      <c r="F11" s="449"/>
      <c r="G11" s="450"/>
    </row>
    <row r="12" spans="2:7" ht="19.5" customHeight="1" thickBot="1">
      <c r="B12" s="1255"/>
      <c r="C12" s="1258"/>
      <c r="D12" s="1256"/>
      <c r="G12" s="451"/>
    </row>
    <row r="13" spans="2:7" ht="19.5" customHeight="1">
      <c r="B13" s="684"/>
      <c r="C13" s="685"/>
      <c r="D13" s="685"/>
      <c r="G13" s="451"/>
    </row>
    <row r="14" spans="2:7" ht="26.5">
      <c r="B14" s="681" t="s">
        <v>519</v>
      </c>
      <c r="G14" s="451"/>
    </row>
    <row r="15" spans="2:7">
      <c r="B15" s="452"/>
      <c r="G15" s="451"/>
    </row>
    <row r="16" spans="2:7" ht="26.5">
      <c r="B16" s="682" t="s">
        <v>512</v>
      </c>
      <c r="G16" s="451"/>
    </row>
    <row r="17" spans="2:7">
      <c r="B17" s="452"/>
      <c r="G17" s="451"/>
    </row>
    <row r="18" spans="2:7">
      <c r="B18" s="452"/>
      <c r="G18" s="451"/>
    </row>
    <row r="19" spans="2:7">
      <c r="B19" s="452"/>
      <c r="G19" s="451"/>
    </row>
    <row r="20" spans="2:7">
      <c r="B20" s="452"/>
      <c r="G20" s="451"/>
    </row>
    <row r="21" spans="2:7">
      <c r="B21" s="452"/>
      <c r="G21" s="451"/>
    </row>
    <row r="22" spans="2:7">
      <c r="B22" s="452"/>
      <c r="G22" s="451"/>
    </row>
    <row r="23" spans="2:7">
      <c r="B23" s="452"/>
      <c r="G23" s="451"/>
    </row>
    <row r="24" spans="2:7">
      <c r="B24" s="452"/>
      <c r="G24" s="451"/>
    </row>
    <row r="25" spans="2:7">
      <c r="B25" s="452"/>
      <c r="G25" s="451"/>
    </row>
    <row r="26" spans="2:7" ht="26.5">
      <c r="B26" s="682" t="s">
        <v>511</v>
      </c>
      <c r="F26" s="683"/>
      <c r="G26" s="451"/>
    </row>
    <row r="27" spans="2:7">
      <c r="B27" s="452"/>
      <c r="G27" s="451"/>
    </row>
    <row r="28" spans="2:7">
      <c r="B28" s="452"/>
      <c r="G28" s="451"/>
    </row>
    <row r="29" spans="2:7">
      <c r="B29" s="452"/>
      <c r="G29" s="451"/>
    </row>
    <row r="30" spans="2:7">
      <c r="B30" s="452"/>
      <c r="G30" s="451"/>
    </row>
    <row r="31" spans="2:7">
      <c r="B31" s="452"/>
      <c r="G31" s="451"/>
    </row>
    <row r="32" spans="2:7">
      <c r="B32" s="452"/>
      <c r="G32" s="451"/>
    </row>
    <row r="33" spans="2:7">
      <c r="B33" s="452"/>
      <c r="G33" s="451"/>
    </row>
    <row r="34" spans="2:7">
      <c r="B34" s="452"/>
      <c r="G34" s="451"/>
    </row>
    <row r="35" spans="2:7">
      <c r="B35" s="452"/>
      <c r="G35" s="451"/>
    </row>
    <row r="36" spans="2:7">
      <c r="B36" s="452"/>
      <c r="G36" s="451"/>
    </row>
    <row r="37" spans="2:7">
      <c r="B37" s="452"/>
      <c r="G37" s="451"/>
    </row>
    <row r="38" spans="2:7">
      <c r="B38" s="452"/>
      <c r="G38" s="451"/>
    </row>
    <row r="39" spans="2:7">
      <c r="B39" s="452"/>
      <c r="G39" s="451"/>
    </row>
    <row r="40" spans="2:7">
      <c r="B40" s="452"/>
      <c r="G40" s="451"/>
    </row>
    <row r="41" spans="2:7">
      <c r="B41" s="452"/>
      <c r="G41" s="451"/>
    </row>
    <row r="42" spans="2:7">
      <c r="B42" s="452"/>
      <c r="G42" s="451"/>
    </row>
    <row r="43" spans="2:7">
      <c r="B43" s="452"/>
      <c r="G43" s="451"/>
    </row>
    <row r="44" spans="2:7">
      <c r="B44" s="452"/>
      <c r="G44" s="451"/>
    </row>
    <row r="45" spans="2:7">
      <c r="B45" s="452"/>
      <c r="G45" s="451"/>
    </row>
    <row r="46" spans="2:7">
      <c r="B46" s="452"/>
      <c r="G46" s="451"/>
    </row>
    <row r="47" spans="2:7">
      <c r="B47" s="452"/>
      <c r="G47" s="451"/>
    </row>
    <row r="48" spans="2:7">
      <c r="B48" s="452"/>
      <c r="G48" s="451"/>
    </row>
    <row r="49" spans="2:7" ht="26.5">
      <c r="B49" s="682" t="s">
        <v>513</v>
      </c>
      <c r="G49" s="451"/>
    </row>
    <row r="50" spans="2:7">
      <c r="B50" s="452"/>
      <c r="G50" s="451"/>
    </row>
    <row r="51" spans="2:7">
      <c r="B51" s="452"/>
      <c r="G51" s="451"/>
    </row>
    <row r="52" spans="2:7">
      <c r="B52" s="452"/>
      <c r="G52" s="451"/>
    </row>
    <row r="53" spans="2:7">
      <c r="B53" s="452"/>
      <c r="G53" s="451"/>
    </row>
    <row r="54" spans="2:7">
      <c r="B54" s="452"/>
      <c r="G54" s="451"/>
    </row>
    <row r="55" spans="2:7">
      <c r="B55" s="452"/>
      <c r="G55" s="451"/>
    </row>
    <row r="56" spans="2:7">
      <c r="B56" s="452"/>
      <c r="G56" s="451"/>
    </row>
    <row r="57" spans="2:7">
      <c r="B57" s="452"/>
      <c r="G57" s="451"/>
    </row>
    <row r="58" spans="2:7">
      <c r="B58" s="452"/>
      <c r="G58" s="451"/>
    </row>
    <row r="59" spans="2:7">
      <c r="B59" s="452"/>
      <c r="G59" s="451"/>
    </row>
    <row r="60" spans="2:7">
      <c r="B60" s="452"/>
      <c r="G60" s="451"/>
    </row>
    <row r="61" spans="2:7">
      <c r="B61" s="452"/>
      <c r="G61" s="451"/>
    </row>
    <row r="62" spans="2:7">
      <c r="B62" s="452"/>
      <c r="G62" s="451"/>
    </row>
    <row r="63" spans="2:7">
      <c r="B63" s="452"/>
      <c r="G63" s="451"/>
    </row>
    <row r="64" spans="2:7">
      <c r="B64" s="452"/>
      <c r="G64" s="451"/>
    </row>
    <row r="65" spans="2:7">
      <c r="B65" s="452"/>
      <c r="G65" s="451"/>
    </row>
    <row r="66" spans="2:7">
      <c r="B66" s="452"/>
      <c r="G66" s="451"/>
    </row>
    <row r="67" spans="2:7">
      <c r="B67" s="452"/>
      <c r="G67" s="451"/>
    </row>
    <row r="68" spans="2:7">
      <c r="B68" s="452"/>
      <c r="G68" s="451"/>
    </row>
    <row r="69" spans="2:7">
      <c r="B69" s="452"/>
      <c r="G69" s="451"/>
    </row>
    <row r="70" spans="2:7">
      <c r="B70" s="452"/>
      <c r="G70" s="451"/>
    </row>
    <row r="71" spans="2:7">
      <c r="B71" s="452"/>
      <c r="G71" s="451"/>
    </row>
    <row r="72" spans="2:7" ht="26.5">
      <c r="B72" s="686" t="s">
        <v>521</v>
      </c>
      <c r="G72" s="451"/>
    </row>
    <row r="73" spans="2:7" ht="26.5">
      <c r="B73" s="686" t="s">
        <v>522</v>
      </c>
      <c r="G73" s="451"/>
    </row>
    <row r="74" spans="2:7">
      <c r="B74" s="452"/>
      <c r="G74" s="451"/>
    </row>
    <row r="75" spans="2:7">
      <c r="B75" s="452"/>
      <c r="G75" s="451"/>
    </row>
    <row r="76" spans="2:7">
      <c r="B76" s="452"/>
      <c r="G76" s="451"/>
    </row>
    <row r="77" spans="2:7">
      <c r="B77" s="452"/>
      <c r="G77" s="451"/>
    </row>
    <row r="78" spans="2:7">
      <c r="B78" s="452"/>
      <c r="G78" s="451"/>
    </row>
    <row r="79" spans="2:7">
      <c r="B79" s="452"/>
      <c r="G79" s="451"/>
    </row>
    <row r="80" spans="2:7">
      <c r="B80" s="452"/>
      <c r="G80" s="451"/>
    </row>
    <row r="81" spans="2:7">
      <c r="B81" s="452"/>
      <c r="G81" s="451"/>
    </row>
    <row r="82" spans="2:7">
      <c r="B82" s="452"/>
      <c r="G82" s="451"/>
    </row>
    <row r="83" spans="2:7" ht="18.5" thickBot="1">
      <c r="B83" s="454"/>
      <c r="C83" s="455"/>
      <c r="D83" s="456"/>
      <c r="E83" s="455"/>
      <c r="F83" s="455"/>
      <c r="G83" s="457"/>
    </row>
    <row r="84" spans="2:7" ht="18.5" thickBot="1"/>
    <row r="85" spans="2:7">
      <c r="B85" s="1253" t="s">
        <v>501</v>
      </c>
      <c r="C85" s="1254"/>
      <c r="D85" s="448"/>
      <c r="E85" s="449"/>
      <c r="F85" s="449"/>
      <c r="G85" s="450"/>
    </row>
    <row r="86" spans="2:7" ht="18.5" thickBot="1">
      <c r="B86" s="1255"/>
      <c r="C86" s="1256"/>
      <c r="G86" s="451"/>
    </row>
    <row r="87" spans="2:7">
      <c r="B87" s="452"/>
      <c r="G87" s="451"/>
    </row>
    <row r="88" spans="2:7">
      <c r="B88" s="452"/>
      <c r="C88" t="s">
        <v>6334</v>
      </c>
      <c r="G88" s="451"/>
    </row>
    <row r="89" spans="2:7">
      <c r="B89" s="452"/>
      <c r="G89" s="451"/>
    </row>
    <row r="90" spans="2:7">
      <c r="B90" s="452"/>
      <c r="G90" s="451"/>
    </row>
    <row r="91" spans="2:7">
      <c r="B91" s="452"/>
      <c r="G91" s="451"/>
    </row>
    <row r="92" spans="2:7" ht="22.5">
      <c r="B92" s="452"/>
      <c r="G92" s="453" t="s">
        <v>502</v>
      </c>
    </row>
    <row r="93" spans="2:7" ht="22.5">
      <c r="B93" s="452"/>
      <c r="G93" s="453" t="s">
        <v>503</v>
      </c>
    </row>
    <row r="94" spans="2:7" ht="22.5">
      <c r="B94" s="452"/>
      <c r="G94" s="453" t="s">
        <v>504</v>
      </c>
    </row>
    <row r="95" spans="2:7">
      <c r="B95" s="452"/>
      <c r="G95" s="451"/>
    </row>
    <row r="96" spans="2:7">
      <c r="B96" s="452"/>
      <c r="G96" s="451"/>
    </row>
    <row r="97" spans="2:7">
      <c r="B97" s="452"/>
      <c r="G97" s="451"/>
    </row>
    <row r="98" spans="2:7">
      <c r="B98" s="452"/>
      <c r="G98" s="451"/>
    </row>
    <row r="99" spans="2:7">
      <c r="B99" s="452"/>
      <c r="G99" s="451"/>
    </row>
    <row r="100" spans="2:7">
      <c r="B100" s="452"/>
      <c r="G100" s="451"/>
    </row>
    <row r="101" spans="2:7">
      <c r="B101" s="452"/>
      <c r="G101" s="451"/>
    </row>
    <row r="102" spans="2:7">
      <c r="B102" s="452"/>
      <c r="G102" s="451"/>
    </row>
    <row r="103" spans="2:7">
      <c r="B103" s="452"/>
      <c r="G103" s="451"/>
    </row>
    <row r="104" spans="2:7">
      <c r="B104" s="452"/>
      <c r="G104" s="451"/>
    </row>
    <row r="105" spans="2:7">
      <c r="B105" s="452"/>
      <c r="C105" t="s">
        <v>6335</v>
      </c>
      <c r="G105" s="451"/>
    </row>
    <row r="106" spans="2:7" ht="22.5">
      <c r="B106" s="452"/>
      <c r="G106" s="1251" t="s">
        <v>6337</v>
      </c>
    </row>
    <row r="107" spans="2:7" ht="22.5">
      <c r="B107" s="452"/>
      <c r="G107" s="453" t="s">
        <v>6336</v>
      </c>
    </row>
    <row r="108" spans="2:7" ht="22.5">
      <c r="B108" s="452"/>
      <c r="G108" s="453" t="s">
        <v>6338</v>
      </c>
    </row>
    <row r="109" spans="2:7" ht="22.5">
      <c r="B109" s="452"/>
      <c r="G109" s="453" t="s">
        <v>6339</v>
      </c>
    </row>
    <row r="110" spans="2:7" ht="22.5">
      <c r="B110" s="452"/>
      <c r="G110" s="1252" t="s">
        <v>6340</v>
      </c>
    </row>
    <row r="111" spans="2:7" ht="22.5">
      <c r="B111" s="452"/>
      <c r="G111" s="1252" t="s">
        <v>6342</v>
      </c>
    </row>
    <row r="112" spans="2:7" ht="22.5">
      <c r="B112" s="452"/>
      <c r="G112" s="1252" t="s">
        <v>6341</v>
      </c>
    </row>
    <row r="113" spans="2:7">
      <c r="B113" s="452"/>
      <c r="G113" s="451"/>
    </row>
    <row r="114" spans="2:7">
      <c r="B114" s="452"/>
      <c r="G114" s="451"/>
    </row>
    <row r="115" spans="2:7">
      <c r="B115" s="452"/>
      <c r="G115" s="451"/>
    </row>
    <row r="116" spans="2:7">
      <c r="B116" s="452"/>
      <c r="G116" s="451"/>
    </row>
    <row r="117" spans="2:7">
      <c r="B117" s="452"/>
      <c r="G117" s="451"/>
    </row>
    <row r="118" spans="2:7" ht="18.5" thickBot="1">
      <c r="B118" s="454"/>
      <c r="C118" s="455"/>
      <c r="D118" s="456"/>
      <c r="E118" s="455"/>
      <c r="F118" s="455"/>
      <c r="G118" s="457"/>
    </row>
  </sheetData>
  <mergeCells count="3">
    <mergeCell ref="B85:C86"/>
    <mergeCell ref="B11:D12"/>
    <mergeCell ref="B2:C3"/>
  </mergeCells>
  <phoneticPr fontId="1"/>
  <pageMargins left="0.7" right="0.7" top="0.75" bottom="0.75" header="0.3" footer="0.3"/>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EEC60-0A22-447C-9B07-375F53B66C9F}">
  <sheetPr codeName="Sheet16">
    <tabColor theme="7" tint="0.79998168889431442"/>
    <pageSetUpPr autoPageBreaks="0" fitToPage="1"/>
  </sheetPr>
  <dimension ref="A1:N55"/>
  <sheetViews>
    <sheetView showGridLines="0" zoomScale="70" zoomScaleNormal="70" zoomScaleSheetLayoutView="90" workbookViewId="0"/>
  </sheetViews>
  <sheetFormatPr defaultColWidth="9" defaultRowHeight="18"/>
  <cols>
    <col min="1" max="1" width="3.08203125" style="11" customWidth="1"/>
    <col min="2" max="2" width="0.83203125" style="11" customWidth="1"/>
    <col min="3" max="3" width="9.58203125" style="11" customWidth="1"/>
    <col min="4" max="4" width="9" style="11" customWidth="1"/>
    <col min="5" max="5" width="20.25" style="11" customWidth="1"/>
    <col min="6" max="8" width="19.08203125" style="11" customWidth="1"/>
    <col min="9" max="9" width="0.83203125" style="11" customWidth="1"/>
    <col min="10" max="10" width="2.58203125" style="11" customWidth="1"/>
    <col min="11" max="12" width="9" style="11"/>
    <col min="13" max="13" width="19.75" style="11" hidden="1" customWidth="1"/>
    <col min="14" max="14" width="9" style="11" hidden="1" customWidth="1"/>
    <col min="15" max="16384" width="9" style="11"/>
  </cols>
  <sheetData>
    <row r="1" spans="1:14">
      <c r="A1" s="156" t="s">
        <v>349</v>
      </c>
      <c r="C1" s="21"/>
      <c r="D1" s="858"/>
      <c r="E1" s="156"/>
      <c r="F1" s="858"/>
      <c r="G1" s="858"/>
    </row>
    <row r="2" spans="1:14" ht="21" customHeight="1">
      <c r="A2" s="21" t="s">
        <v>2</v>
      </c>
      <c r="B2" s="21"/>
      <c r="C2" s="21"/>
      <c r="D2" s="21"/>
      <c r="E2" s="21"/>
      <c r="F2" s="21"/>
      <c r="G2" s="21"/>
      <c r="H2" s="21"/>
      <c r="I2" s="21"/>
    </row>
    <row r="3" spans="1:14" ht="21" customHeight="1">
      <c r="A3" s="21"/>
      <c r="B3" s="21"/>
      <c r="C3" s="21"/>
      <c r="D3" s="21"/>
      <c r="E3" s="21"/>
      <c r="F3" s="21"/>
      <c r="G3" s="21"/>
      <c r="H3" s="21"/>
      <c r="I3" s="21"/>
      <c r="J3" s="21"/>
      <c r="K3" s="21"/>
    </row>
    <row r="4" spans="1:14">
      <c r="A4" s="21"/>
      <c r="B4" s="21"/>
      <c r="C4" s="21"/>
      <c r="D4" s="21"/>
      <c r="E4" s="21"/>
      <c r="F4" s="21"/>
      <c r="G4" s="21"/>
    </row>
    <row r="5" spans="1:14">
      <c r="A5" s="21"/>
      <c r="B5" s="21"/>
      <c r="C5" s="21"/>
      <c r="D5" s="21"/>
      <c r="E5" s="21"/>
      <c r="F5" s="21"/>
      <c r="G5" s="21"/>
      <c r="H5" s="21"/>
      <c r="I5" s="21"/>
    </row>
    <row r="6" spans="1:14">
      <c r="B6" s="859" t="s">
        <v>304</v>
      </c>
      <c r="C6" s="21"/>
      <c r="D6" s="21"/>
      <c r="E6" s="21"/>
      <c r="F6" s="21"/>
      <c r="G6" s="21"/>
    </row>
    <row r="7" spans="1:14" ht="16.5" customHeight="1">
      <c r="C7" s="859"/>
      <c r="D7" s="859"/>
      <c r="E7" s="859"/>
      <c r="F7" s="859"/>
      <c r="G7" s="859"/>
      <c r="H7" s="859"/>
      <c r="I7" s="859"/>
    </row>
    <row r="8" spans="1:14" ht="15.75" customHeight="1">
      <c r="B8" s="860"/>
      <c r="C8" s="861"/>
      <c r="D8" s="862"/>
      <c r="E8" s="861"/>
      <c r="F8" s="862"/>
      <c r="G8" s="862"/>
      <c r="H8" s="862"/>
      <c r="I8" s="850"/>
    </row>
    <row r="9" spans="1:14" ht="45" customHeight="1">
      <c r="B9" s="22"/>
      <c r="C9" s="1427"/>
      <c r="D9" s="1428"/>
      <c r="E9" s="1429"/>
      <c r="F9" s="856" t="s">
        <v>6</v>
      </c>
      <c r="G9" s="857" t="s">
        <v>3</v>
      </c>
      <c r="H9" s="857" t="s">
        <v>4</v>
      </c>
      <c r="I9" s="98"/>
      <c r="M9" s="158" t="s">
        <v>314</v>
      </c>
      <c r="N9" s="11" cm="1">
        <f t="array" ref="N9">IF(SUMPRODUCT(N(G10:G15&lt;&gt;N10:N15))=0,1,0)</f>
        <v>1</v>
      </c>
    </row>
    <row r="10" spans="1:14" ht="39" customHeight="1">
      <c r="B10" s="22"/>
      <c r="C10" s="1430" t="s">
        <v>171</v>
      </c>
      <c r="D10" s="1431"/>
      <c r="E10" s="1432"/>
      <c r="F10" s="69"/>
      <c r="G10" s="161" t="str">
        <f>IFERROR(F10/H10,"")</f>
        <v/>
      </c>
      <c r="H10" s="70"/>
      <c r="I10" s="98"/>
      <c r="M10" s="435" t="s">
        <v>455</v>
      </c>
      <c r="N10" s="366" t="str">
        <f>IFERROR(F10/H10,"")</f>
        <v/>
      </c>
    </row>
    <row r="11" spans="1:14" ht="38.25" customHeight="1">
      <c r="B11" s="22"/>
      <c r="C11" s="1433" t="s">
        <v>5</v>
      </c>
      <c r="D11" s="1436" t="s">
        <v>167</v>
      </c>
      <c r="E11" s="1437"/>
      <c r="F11" s="69"/>
      <c r="G11" s="161" t="str">
        <f t="shared" ref="G11:G15" si="0">IFERROR(F11/H11,"")</f>
        <v/>
      </c>
      <c r="H11" s="70"/>
      <c r="I11" s="98"/>
      <c r="M11" s="435" t="s">
        <v>167</v>
      </c>
      <c r="N11" s="366" t="str">
        <f t="shared" ref="N11:N15" si="1">IFERROR(F11/H11,"")</f>
        <v/>
      </c>
    </row>
    <row r="12" spans="1:14" ht="38.25" customHeight="1">
      <c r="B12" s="22"/>
      <c r="C12" s="1434"/>
      <c r="D12" s="1436" t="s">
        <v>169</v>
      </c>
      <c r="E12" s="1437"/>
      <c r="F12" s="69"/>
      <c r="G12" s="161" t="str">
        <f t="shared" si="0"/>
        <v/>
      </c>
      <c r="H12" s="70"/>
      <c r="I12" s="98"/>
      <c r="M12" s="435" t="s">
        <v>169</v>
      </c>
      <c r="N12" s="366" t="str">
        <f t="shared" si="1"/>
        <v/>
      </c>
    </row>
    <row r="13" spans="1:14" ht="38.25" customHeight="1">
      <c r="B13" s="22"/>
      <c r="C13" s="1434"/>
      <c r="D13" s="1436" t="s">
        <v>168</v>
      </c>
      <c r="E13" s="1437"/>
      <c r="F13" s="69"/>
      <c r="G13" s="161" t="str">
        <f t="shared" si="0"/>
        <v/>
      </c>
      <c r="H13" s="70"/>
      <c r="I13" s="98"/>
      <c r="M13" s="435" t="s">
        <v>168</v>
      </c>
      <c r="N13" s="366" t="str">
        <f t="shared" si="1"/>
        <v/>
      </c>
    </row>
    <row r="14" spans="1:14" ht="38.25" customHeight="1">
      <c r="B14" s="22"/>
      <c r="C14" s="1435"/>
      <c r="D14" s="1436" t="s">
        <v>170</v>
      </c>
      <c r="E14" s="1437"/>
      <c r="F14" s="69"/>
      <c r="G14" s="161" t="str">
        <f t="shared" si="0"/>
        <v/>
      </c>
      <c r="H14" s="70"/>
      <c r="I14" s="98"/>
      <c r="M14" s="435" t="s">
        <v>170</v>
      </c>
      <c r="N14" s="366" t="str">
        <f t="shared" si="1"/>
        <v/>
      </c>
    </row>
    <row r="15" spans="1:14" ht="39" customHeight="1">
      <c r="B15" s="22"/>
      <c r="C15" s="1426" t="s">
        <v>234</v>
      </c>
      <c r="D15" s="1426"/>
      <c r="E15" s="1426"/>
      <c r="F15" s="69"/>
      <c r="G15" s="161" t="str">
        <f t="shared" si="0"/>
        <v/>
      </c>
      <c r="H15" s="70"/>
      <c r="I15" s="98"/>
      <c r="M15" s="435" t="s">
        <v>234</v>
      </c>
      <c r="N15" s="366" t="str">
        <f t="shared" si="1"/>
        <v/>
      </c>
    </row>
    <row r="16" spans="1:14" ht="16.5" customHeight="1">
      <c r="B16" s="863"/>
      <c r="C16" s="864"/>
      <c r="D16" s="864"/>
      <c r="E16" s="864"/>
      <c r="F16" s="864"/>
      <c r="G16" s="864"/>
      <c r="H16" s="864"/>
      <c r="I16" s="851"/>
    </row>
    <row r="17" ht="34.5" customHeight="1"/>
    <row r="19" ht="36.75" customHeight="1"/>
    <row r="20" ht="42" customHeight="1"/>
    <row r="21" ht="45" customHeight="1"/>
    <row r="22" ht="45" customHeight="1"/>
    <row r="23" ht="45" customHeight="1"/>
    <row r="24" ht="43.5" customHeight="1"/>
    <row r="25" ht="18.75" customHeight="1"/>
    <row r="27" ht="18.75" customHeight="1"/>
    <row r="28" ht="31.5" customHeight="1"/>
    <row r="29" ht="31.5" customHeight="1"/>
    <row r="30" ht="31.5" customHeight="1"/>
    <row r="32" ht="40.5" customHeight="1"/>
    <row r="37" ht="41.25" customHeight="1"/>
    <row r="38" ht="25.5" customHeight="1"/>
    <row r="39" ht="35.15" customHeight="1"/>
    <row r="40" ht="6.65"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6.65" customHeight="1"/>
    <row r="55" ht="65.25" customHeight="1"/>
  </sheetData>
  <sheetProtection algorithmName="SHA-512" hashValue="oU20yC0o2RdiTVD/Z8qhhp2fSWP9mUZrv2CEY2nnNOJisWMf8mEkYzp0Xu7Blxd2zZGKg4xImw+jFdhIqnY5bA==" saltValue="IpxqbJJuya7TVA3bpDnDFQ==" spinCount="100000" sheet="1" formatCells="0" insertRows="0" deleteRows="0"/>
  <mergeCells count="8">
    <mergeCell ref="C15:E15"/>
    <mergeCell ref="C9:E9"/>
    <mergeCell ref="C10:E10"/>
    <mergeCell ref="C11:C14"/>
    <mergeCell ref="D11:E11"/>
    <mergeCell ref="D12:E12"/>
    <mergeCell ref="D13:E13"/>
    <mergeCell ref="D14:E14"/>
  </mergeCells>
  <phoneticPr fontId="1"/>
  <conditionalFormatting sqref="D10 F10:F15 H10:H15 D15">
    <cfRule type="notContainsBlanks" dxfId="2171" priority="16" stopIfTrue="1">
      <formula>LEN(TRIM(D10))&gt;0</formula>
    </cfRule>
    <cfRule type="containsBlanks" dxfId="2170" priority="17">
      <formula>LEN(TRIM(D10))=0</formula>
    </cfRule>
    <cfRule type="cellIs" dxfId="2169" priority="18" operator="greaterThan">
      <formula>0</formula>
    </cfRule>
  </conditionalFormatting>
  <conditionalFormatting sqref="G10:G15">
    <cfRule type="expression" dxfId="2168" priority="1">
      <formula>$G10&lt;&gt;$N10</formula>
    </cfRule>
    <cfRule type="cellIs" dxfId="2167" priority="28" operator="equal">
      <formula>""</formula>
    </cfRule>
  </conditionalFormatting>
  <dataValidations count="1">
    <dataValidation type="decimal" operator="greaterThanOrEqual" allowBlank="1" showInputMessage="1" showErrorMessage="1" error="数値で入力してください" sqref="H10:H15 D15 F10:F15 D10" xr:uid="{627B6914-DF0F-4007-882D-225CE3647523}">
      <formula1>0</formula1>
    </dataValidation>
  </dataValidations>
  <pageMargins left="0.7" right="0.7" top="0.75" bottom="0.75" header="0.3" footer="0.3"/>
  <pageSetup paperSize="8" scale="47" orientation="landscape"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F418-9CCB-49D5-98A6-01D0E7B6923C}">
  <sheetPr codeName="Sheet22">
    <tabColor theme="7" tint="0.79998168889431442"/>
    <pageSetUpPr autoPageBreaks="0" fitToPage="1"/>
  </sheetPr>
  <dimension ref="A1:Y175"/>
  <sheetViews>
    <sheetView showGridLines="0" zoomScaleNormal="100" zoomScaleSheetLayoutView="90" workbookViewId="0"/>
  </sheetViews>
  <sheetFormatPr defaultColWidth="9" defaultRowHeight="18"/>
  <cols>
    <col min="1" max="2" width="2.33203125" customWidth="1"/>
    <col min="3" max="3" width="0.83203125" style="13" customWidth="1"/>
    <col min="4" max="4" width="5.75" style="13" customWidth="1"/>
    <col min="5" max="5" width="24.33203125" style="13" customWidth="1"/>
    <col min="6" max="6" width="19.33203125" style="13" customWidth="1"/>
    <col min="7" max="7" width="11.58203125" style="13" customWidth="1"/>
    <col min="8" max="8" width="18.33203125" style="13" customWidth="1"/>
    <col min="9" max="12" width="15.83203125" style="229" customWidth="1"/>
    <col min="13" max="13" width="21.75" style="13" customWidth="1"/>
    <col min="14" max="14" width="0.83203125" style="13" customWidth="1"/>
    <col min="15" max="15" width="10.83203125" style="13" customWidth="1"/>
    <col min="16" max="16" width="5.75" hidden="1" customWidth="1"/>
    <col min="17" max="17" width="24.33203125" hidden="1" customWidth="1"/>
    <col min="18" max="18" width="19.33203125" hidden="1" customWidth="1"/>
    <col min="19" max="19" width="11.58203125" hidden="1" customWidth="1"/>
    <col min="20" max="20" width="18.33203125" hidden="1" customWidth="1"/>
    <col min="21" max="24" width="15.83203125" hidden="1" customWidth="1"/>
    <col min="25" max="25" width="21.75" hidden="1" customWidth="1"/>
  </cols>
  <sheetData>
    <row r="1" spans="1:25" ht="18.75" customHeight="1">
      <c r="A1" s="44" t="s">
        <v>348</v>
      </c>
      <c r="D1" s="226"/>
      <c r="E1" s="49"/>
      <c r="F1" s="49"/>
      <c r="G1" s="49"/>
      <c r="H1" s="49"/>
      <c r="I1" s="346"/>
      <c r="J1" s="346"/>
      <c r="K1" s="346"/>
      <c r="L1" s="346"/>
    </row>
    <row r="2" spans="1:25">
      <c r="A2" s="13" t="s">
        <v>350</v>
      </c>
      <c r="D2" s="44"/>
    </row>
    <row r="3" spans="1:25">
      <c r="A3" s="13"/>
    </row>
    <row r="5" spans="1:25">
      <c r="C5" s="13" t="s">
        <v>53</v>
      </c>
      <c r="P5" t="s">
        <v>419</v>
      </c>
    </row>
    <row r="6" spans="1:25" ht="15" customHeight="1">
      <c r="C6" s="347"/>
      <c r="D6" s="348"/>
      <c r="E6" s="348"/>
      <c r="F6" s="348"/>
      <c r="G6" s="348"/>
      <c r="H6" s="348"/>
      <c r="I6" s="349"/>
      <c r="J6" s="349"/>
      <c r="K6" s="349"/>
      <c r="L6" s="349"/>
      <c r="M6" s="348"/>
      <c r="N6" s="350"/>
      <c r="P6" cm="1">
        <f t="array" aca="1" ref="P6" ca="1">IF(SUMPRODUCT(N(H9:M18&lt;&gt;T9:Y18))=0,1,0)</f>
        <v>1</v>
      </c>
    </row>
    <row r="7" spans="1:25" ht="21.75" customHeight="1">
      <c r="C7" s="351"/>
      <c r="D7" s="1442" t="s">
        <v>0</v>
      </c>
      <c r="E7" s="1443" t="s">
        <v>54</v>
      </c>
      <c r="F7" s="1287" t="s">
        <v>238</v>
      </c>
      <c r="G7" s="1287" t="s">
        <v>12</v>
      </c>
      <c r="H7" s="1445" t="s">
        <v>55</v>
      </c>
      <c r="I7" s="1441" t="s">
        <v>56</v>
      </c>
      <c r="J7" s="1441"/>
      <c r="K7" s="1441"/>
      <c r="L7" s="1441"/>
      <c r="M7" s="1287" t="s">
        <v>554</v>
      </c>
      <c r="N7" s="352"/>
      <c r="P7" s="1442" t="s">
        <v>0</v>
      </c>
      <c r="Q7" s="1443" t="s">
        <v>54</v>
      </c>
      <c r="R7" s="1287" t="s">
        <v>238</v>
      </c>
      <c r="S7" s="1287" t="s">
        <v>12</v>
      </c>
      <c r="T7" s="1445" t="s">
        <v>55</v>
      </c>
      <c r="U7" s="1291" t="s">
        <v>56</v>
      </c>
      <c r="V7" s="1292"/>
      <c r="W7" s="1292"/>
      <c r="X7" s="1293"/>
      <c r="Y7" s="1287" t="s">
        <v>57</v>
      </c>
    </row>
    <row r="8" spans="1:25" ht="27" customHeight="1">
      <c r="C8" s="351"/>
      <c r="D8" s="1442"/>
      <c r="E8" s="1444"/>
      <c r="F8" s="1288"/>
      <c r="G8" s="1288"/>
      <c r="H8" s="1445"/>
      <c r="I8" s="362" t="s">
        <v>32</v>
      </c>
      <c r="J8" s="363" t="s">
        <v>33</v>
      </c>
      <c r="K8" s="364" t="s">
        <v>34</v>
      </c>
      <c r="L8" s="363" t="s">
        <v>35</v>
      </c>
      <c r="M8" s="1288"/>
      <c r="N8" s="353"/>
      <c r="O8" s="252"/>
      <c r="P8" s="1442"/>
      <c r="Q8" s="1444"/>
      <c r="R8" s="1288"/>
      <c r="S8" s="1288"/>
      <c r="T8" s="1445"/>
      <c r="U8" s="362" t="s">
        <v>32</v>
      </c>
      <c r="V8" s="363" t="s">
        <v>33</v>
      </c>
      <c r="W8" s="364" t="s">
        <v>34</v>
      </c>
      <c r="X8" s="363" t="s">
        <v>35</v>
      </c>
      <c r="Y8" s="1288"/>
    </row>
    <row r="9" spans="1:25" s="11" customFormat="1" ht="33" customHeight="1">
      <c r="C9" s="865"/>
      <c r="D9" s="842" t="s">
        <v>58</v>
      </c>
      <c r="E9" s="866" t="s">
        <v>59</v>
      </c>
      <c r="F9" s="867" t="s">
        <v>15</v>
      </c>
      <c r="G9" s="38"/>
      <c r="H9" s="381" t="str">
        <f>IF(SUMIF('4.2民生電力需要量'!$D:$D,$E$9&amp;"("&amp;'4.2実質ゼロ(サマリ)'!$F9&amp;")",'4.2民生電力需要量'!$K:$K)=0,"",SUMIF('4.2民生電力需要量'!$D:$D,$E$9&amp;"("&amp;'4.2実質ゼロ(サマリ)'!$F9&amp;")",'4.2民生電力需要量'!$K:$K))</f>
        <v/>
      </c>
      <c r="I9" s="382" t="str">
        <f>IF(SUMIF('4.2電力供給状況(民生部門)'!$U:$U,$E9&amp;"("&amp;'4.2実質ゼロ(サマリ)'!$F9&amp;")",'4.2電力供給状況(民生部門)'!AE:AE)=0,"",SUMIF('4.2電力供給状況(民生部門)'!$U:$U,$E9&amp;"("&amp;'4.2実質ゼロ(サマリ)'!$F9&amp;")",'4.2電力供給状況(民生部門)'!AE:AE))</f>
        <v/>
      </c>
      <c r="J9" s="382" t="str">
        <f>IF(SUMIF('4.2電力供給状況(民生部門)'!$U:$U,$E9&amp;"("&amp;'4.2実質ゼロ(サマリ)'!$F9&amp;")",'4.2電力供給状況(民生部門)'!AF:AF)=0,"",SUMIF('4.2電力供給状況(民生部門)'!$U:$U,$E9&amp;"("&amp;'4.2実質ゼロ(サマリ)'!$F9&amp;")",'4.2電力供給状況(民生部門)'!AF:AF))</f>
        <v/>
      </c>
      <c r="K9" s="382" t="str">
        <f>IF(SUMIF('4.2電力供給状況(民生部門)'!$U:$U,$E9&amp;"("&amp;'4.2実質ゼロ(サマリ)'!$F9&amp;")",'4.2電力供給状況(民生部門)'!AG:AG)=0,"",SUMIF('4.2電力供給状況(民生部門)'!$U:$U,$E9&amp;"("&amp;'4.2実質ゼロ(サマリ)'!$F9&amp;")",'4.2電力供給状況(民生部門)'!AG:AG))</f>
        <v/>
      </c>
      <c r="L9" s="382" t="str">
        <f>IF(SUMIF('4.2電力供給状況(民生部門)'!$U:$U,$E9&amp;"("&amp;'4.2実質ゼロ(サマリ)'!$F9&amp;")",'4.2電力供給状況(民生部門)'!AH:AH)=0,"",SUMIF('4.2電力供給状況(民生部門)'!$U:$U,$E9&amp;"("&amp;'4.2実質ゼロ(サマリ)'!$F9&amp;")",'4.2電力供給状況(民生部門)'!AH:AH))</f>
        <v/>
      </c>
      <c r="M9" s="381" t="str">
        <f>IFERROR(IF(SUMIF('4.2電力削減量'!$C:$C,'4.2実質ゼロ(サマリ)'!$E$9&amp;"("&amp;'4.2実質ゼロ(サマリ)'!$F9&amp;")",'4.2電力削減量'!$N:$N)=0,"",SUMIF('4.2電力削減量'!$C:$C,'4.2実質ゼロ(サマリ)'!$E$9&amp;"("&amp;'4.2実質ゼロ(サマリ)'!$F9&amp;")",'4.2電力削減量'!$N:$N)),"")</f>
        <v/>
      </c>
      <c r="N9" s="868"/>
      <c r="O9" s="869"/>
      <c r="P9" s="842" t="s">
        <v>58</v>
      </c>
      <c r="Q9" s="866" t="s">
        <v>59</v>
      </c>
      <c r="R9" s="867" t="s">
        <v>15</v>
      </c>
      <c r="S9" s="38"/>
      <c r="T9" s="381" t="str">
        <f>IF(SUMIF('4.2民生電力需要量'!$D:$D,$E$9&amp;"("&amp;'4.2実質ゼロ(サマリ)'!$F9&amp;")",'4.2民生電力需要量'!$K:$K)=0,"",SUMIF('4.2民生電力需要量'!$D:$D,$E$9&amp;"("&amp;'4.2実質ゼロ(サマリ)'!$F9&amp;")",'4.2民生電力需要量'!$K:$K))</f>
        <v/>
      </c>
      <c r="U9" s="382" t="str">
        <f>IF(SUMIF('4.2電力供給状況(民生部門)'!$U:$U,$E9&amp;"("&amp;'4.2実質ゼロ(サマリ)'!$F9&amp;")",'4.2電力供給状況(民生部門)'!AE:AE)=0,"",SUMIF('4.2電力供給状況(民生部門)'!$U:$U,$E9&amp;"("&amp;'4.2実質ゼロ(サマリ)'!$F9&amp;")",'4.2電力供給状況(民生部門)'!AE:AE))</f>
        <v/>
      </c>
      <c r="V9" s="382" t="str">
        <f>IF(SUMIF('4.2電力供給状況(民生部門)'!$U:$U,$E9&amp;"("&amp;'4.2実質ゼロ(サマリ)'!$F9&amp;")",'4.2電力供給状況(民生部門)'!AF:AF)=0,"",SUMIF('4.2電力供給状況(民生部門)'!$U:$U,$E9&amp;"("&amp;'4.2実質ゼロ(サマリ)'!$F9&amp;")",'4.2電力供給状況(民生部門)'!AF:AF))</f>
        <v/>
      </c>
      <c r="W9" s="382" t="str">
        <f>IF(SUMIF('4.2電力供給状況(民生部門)'!$U:$U,$E9&amp;"("&amp;'4.2実質ゼロ(サマリ)'!$F9&amp;")",'4.2電力供給状況(民生部門)'!AG:AG)=0,"",SUMIF('4.2電力供給状況(民生部門)'!$U:$U,$E9&amp;"("&amp;'4.2実質ゼロ(サマリ)'!$F9&amp;")",'4.2電力供給状況(民生部門)'!AG:AG))</f>
        <v/>
      </c>
      <c r="X9" s="382" t="str">
        <f>IF(SUMIF('4.2電力供給状況(民生部門)'!$U:$U,$E9&amp;"("&amp;'4.2実質ゼロ(サマリ)'!$F9&amp;")",'4.2電力供給状況(民生部門)'!AH:AH)=0,"",SUMIF('4.2電力供給状況(民生部門)'!$U:$U,$E9&amp;"("&amp;'4.2実質ゼロ(サマリ)'!$F9&amp;")",'4.2電力供給状況(民生部門)'!AH:AH))</f>
        <v/>
      </c>
      <c r="Y9" s="381" t="str">
        <f>IFERROR(IF(SUMIF('4.2電力削減量'!$C:$C,'4.2実質ゼロ(サマリ)'!$E$9&amp;"("&amp;'4.2実質ゼロ(サマリ)'!$F9&amp;")",'4.2電力削減量'!$N:$N)=0,"",SUMIF('4.2電力削減量'!$C:$C,'4.2実質ゼロ(サマリ)'!$E$9&amp;"("&amp;'4.2実質ゼロ(サマリ)'!$F9&amp;")",'4.2電力削減量'!$N:$N)),"")</f>
        <v/>
      </c>
    </row>
    <row r="10" spans="1:25" s="11" customFormat="1" ht="33" customHeight="1">
      <c r="C10" s="865"/>
      <c r="D10" s="843"/>
      <c r="E10" s="870"/>
      <c r="F10" s="871" t="s">
        <v>25</v>
      </c>
      <c r="G10" s="39"/>
      <c r="H10" s="381" t="str">
        <f>IF(SUMIF('4.2民生電力需要量'!$D:$D,$E$9&amp;"("&amp;'4.2実質ゼロ(サマリ)'!$F10&amp;")",'4.2民生電力需要量'!$K:$K)=0,"",SUMIF('4.2民生電力需要量'!$D:$D,$E$9&amp;"("&amp;'4.2実質ゼロ(サマリ)'!$F10&amp;")",'4.2民生電力需要量'!$K:$K))</f>
        <v/>
      </c>
      <c r="I10" s="382" t="str">
        <f>IF(SUMIF('4.2電力供給状況(民生部門)'!$U:$U,$E9&amp;"("&amp;'4.2実質ゼロ(サマリ)'!$F10&amp;")",'4.2電力供給状況(民生部門)'!AE:AE)=0,"",SUMIF('4.2電力供給状況(民生部門)'!$U:$U,$E9&amp;"("&amp;'4.2実質ゼロ(サマリ)'!$F10&amp;")",'4.2電力供給状況(民生部門)'!AE:AE))</f>
        <v/>
      </c>
      <c r="J10" s="382" t="str">
        <f>IF(SUMIF('4.2電力供給状況(民生部門)'!$U:$U,$E9&amp;"("&amp;'4.2実質ゼロ(サマリ)'!$F10&amp;")",'4.2電力供給状況(民生部門)'!AF:AF)=0,"",SUMIF('4.2電力供給状況(民生部門)'!$U:$U,$E9&amp;"("&amp;'4.2実質ゼロ(サマリ)'!$F10&amp;")",'4.2電力供給状況(民生部門)'!AF:AF))</f>
        <v/>
      </c>
      <c r="K10" s="382" t="str">
        <f>IF(SUMIF('4.2電力供給状況(民生部門)'!$U:$U,$E9&amp;"("&amp;'4.2実質ゼロ(サマリ)'!$F10&amp;")",'4.2電力供給状況(民生部門)'!AG:AG)=0,"",SUMIF('4.2電力供給状況(民生部門)'!$U:$U,$E9&amp;"("&amp;'4.2実質ゼロ(サマリ)'!$F10&amp;")",'4.2電力供給状況(民生部門)'!AG:AG))</f>
        <v/>
      </c>
      <c r="L10" s="382" t="str">
        <f>IF(SUMIF('4.2電力供給状況(民生部門)'!$U:$U,$E9&amp;"("&amp;'4.2実質ゼロ(サマリ)'!$F10&amp;")",'4.2電力供給状況(民生部門)'!AH:AH)=0,"",SUMIF('4.2電力供給状況(民生部門)'!$U:$U,$E9&amp;"("&amp;'4.2実質ゼロ(サマリ)'!$F10&amp;")",'4.2電力供給状況(民生部門)'!AH:AH))</f>
        <v/>
      </c>
      <c r="M10" s="381" t="str">
        <f>IFERROR(IF(SUMIF('4.2電力削減量'!$C:$C,'4.2実質ゼロ(サマリ)'!$E$9&amp;"("&amp;'4.2実質ゼロ(サマリ)'!$F10&amp;")",'4.2電力削減量'!$N:$N)=0,"",SUMIF('4.2電力削減量'!$C:$C,'4.2実質ゼロ(サマリ)'!$E$9&amp;"("&amp;'4.2実質ゼロ(サマリ)'!$F10&amp;")",'4.2電力削減量'!$N:$N)),"")</f>
        <v/>
      </c>
      <c r="N10" s="868"/>
      <c r="O10" s="869"/>
      <c r="P10" s="843"/>
      <c r="Q10" s="870"/>
      <c r="R10" s="871" t="s">
        <v>25</v>
      </c>
      <c r="S10" s="39"/>
      <c r="T10" s="381" t="str">
        <f>IF(SUMIF('4.2民生電力需要量'!$D:$D,$E$9&amp;"("&amp;'4.2実質ゼロ(サマリ)'!$F10&amp;")",'4.2民生電力需要量'!$K:$K)=0,"",SUMIF('4.2民生電力需要量'!$D:$D,$E$9&amp;"("&amp;'4.2実質ゼロ(サマリ)'!$F10&amp;")",'4.2民生電力需要量'!$K:$K))</f>
        <v/>
      </c>
      <c r="U10" s="382" t="str">
        <f>IF(SUMIF('4.2電力供給状況(民生部門)'!$U:$U,$E9&amp;"("&amp;'4.2実質ゼロ(サマリ)'!$F10&amp;")",'4.2電力供給状況(民生部門)'!AE:AE)=0,"",SUMIF('4.2電力供給状況(民生部門)'!$U:$U,$E9&amp;"("&amp;'4.2実質ゼロ(サマリ)'!$F10&amp;")",'4.2電力供給状況(民生部門)'!AE:AE))</f>
        <v/>
      </c>
      <c r="V10" s="382" t="str">
        <f>IF(SUMIF('4.2電力供給状況(民生部門)'!$U:$U,$E9&amp;"("&amp;'4.2実質ゼロ(サマリ)'!$F10&amp;")",'4.2電力供給状況(民生部門)'!AF:AF)=0,"",SUMIF('4.2電力供給状況(民生部門)'!$U:$U,$E9&amp;"("&amp;'4.2実質ゼロ(サマリ)'!$F10&amp;")",'4.2電力供給状況(民生部門)'!AF:AF))</f>
        <v/>
      </c>
      <c r="W10" s="382" t="str">
        <f>IF(SUMIF('4.2電力供給状況(民生部門)'!$U:$U,$E9&amp;"("&amp;'4.2実質ゼロ(サマリ)'!$F10&amp;")",'4.2電力供給状況(民生部門)'!AG:AG)=0,"",SUMIF('4.2電力供給状況(民生部門)'!$U:$U,$E9&amp;"("&amp;'4.2実質ゼロ(サマリ)'!$F10&amp;")",'4.2電力供給状況(民生部門)'!AG:AG))</f>
        <v/>
      </c>
      <c r="X10" s="382" t="str">
        <f>IF(SUMIF('4.2電力供給状況(民生部門)'!$U:$U,$E9&amp;"("&amp;'4.2実質ゼロ(サマリ)'!$F10&amp;")",'4.2電力供給状況(民生部門)'!AH:AH)=0,"",SUMIF('4.2電力供給状況(民生部門)'!$U:$U,$E9&amp;"("&amp;'4.2実質ゼロ(サマリ)'!$F10&amp;")",'4.2電力供給状況(民生部門)'!AH:AH))</f>
        <v/>
      </c>
      <c r="Y10" s="381" t="str">
        <f>IFERROR(IF(SUMIF('4.2電力削減量'!$C:$C,'4.2実質ゼロ(サマリ)'!$E$9&amp;"("&amp;'4.2実質ゼロ(サマリ)'!$F10&amp;")",'4.2電力削減量'!$N:$N)=0,"",SUMIF('4.2電力削減量'!$C:$C,'4.2実質ゼロ(サマリ)'!$E$9&amp;"("&amp;'4.2実質ゼロ(サマリ)'!$F10&amp;")",'4.2電力削減量'!$N:$N)),"")</f>
        <v/>
      </c>
    </row>
    <row r="11" spans="1:25" s="11" customFormat="1" ht="33" customHeight="1">
      <c r="C11" s="865"/>
      <c r="D11" s="842" t="s">
        <v>60</v>
      </c>
      <c r="E11" s="866" t="s">
        <v>61</v>
      </c>
      <c r="F11" s="872" t="s">
        <v>17</v>
      </c>
      <c r="G11" s="39"/>
      <c r="H11" s="381" t="str">
        <f>IF(SUMIF('4.2民生電力需要量'!$D:$D,$E$11&amp;"("&amp;'4.2実質ゼロ(サマリ)'!$F11&amp;")",'4.2民生電力需要量'!$K:$K)=0,"",SUMIF('4.2民生電力需要量'!$D:$D,$E$11&amp;"("&amp;'4.2実質ゼロ(サマリ)'!$F11&amp;")",'4.2民生電力需要量'!$K:$K))</f>
        <v/>
      </c>
      <c r="I11" s="382" t="str">
        <f>IF(SUMIF('4.2電力供給状況(民生部門)'!$U:$U,$E11&amp;"("&amp;'4.2実質ゼロ(サマリ)'!$F11&amp;")",'4.2電力供給状況(民生部門)'!AE:AE)=0,"",SUMIF('4.2電力供給状況(民生部門)'!$U:$U,$E11&amp;"("&amp;'4.2実質ゼロ(サマリ)'!$F11&amp;")",'4.2電力供給状況(民生部門)'!AE:AE))</f>
        <v/>
      </c>
      <c r="J11" s="382" t="str">
        <f>IF(SUMIF('4.2電力供給状況(民生部門)'!$U:$U,$E11&amp;"("&amp;'4.2実質ゼロ(サマリ)'!$F11&amp;")",'4.2電力供給状況(民生部門)'!AF:AF)=0,"",SUMIF('4.2電力供給状況(民生部門)'!$U:$U,$E11&amp;"("&amp;'4.2実質ゼロ(サマリ)'!$F11&amp;")",'4.2電力供給状況(民生部門)'!AF:AF))</f>
        <v/>
      </c>
      <c r="K11" s="382" t="str">
        <f>IF(SUMIF('4.2電力供給状況(民生部門)'!$U:$U,$E11&amp;"("&amp;'4.2実質ゼロ(サマリ)'!$F11&amp;")",'4.2電力供給状況(民生部門)'!AG:AG)=0,"",SUMIF('4.2電力供給状況(民生部門)'!$U:$U,$E11&amp;"("&amp;'4.2実質ゼロ(サマリ)'!$F11&amp;")",'4.2電力供給状況(民生部門)'!AG:AG))</f>
        <v/>
      </c>
      <c r="L11" s="382" t="str">
        <f>IF(SUMIF('4.2電力供給状況(民生部門)'!$U:$U,$E11&amp;"("&amp;'4.2実質ゼロ(サマリ)'!$F11&amp;")",'4.2電力供給状況(民生部門)'!AH:AH)=0,"",SUMIF('4.2電力供給状況(民生部門)'!$U:$U,$E11&amp;"("&amp;'4.2実質ゼロ(サマリ)'!$F11&amp;")",'4.2電力供給状況(民生部門)'!AH:AH))</f>
        <v/>
      </c>
      <c r="M11" s="381" t="str">
        <f>IFERROR(IF(SUMIF('4.2電力削減量'!$C:$C,'4.2実質ゼロ(サマリ)'!$E$11&amp;"("&amp;'4.2実質ゼロ(サマリ)'!$F11&amp;")",'4.2電力削減量'!$N:$N)=0,"",SUMIF('4.2電力削減量'!$C:$C,'4.2実質ゼロ(サマリ)'!$E$11&amp;"("&amp;'4.2実質ゼロ(サマリ)'!$F11&amp;")",'4.2電力削減量'!$N:$N)),"")</f>
        <v/>
      </c>
      <c r="N11" s="868"/>
      <c r="O11" s="869"/>
      <c r="P11" s="842" t="s">
        <v>60</v>
      </c>
      <c r="Q11" s="866" t="s">
        <v>61</v>
      </c>
      <c r="R11" s="872" t="s">
        <v>17</v>
      </c>
      <c r="S11" s="39"/>
      <c r="T11" s="381" t="str">
        <f>IF(SUMIF('4.2民生電力需要量'!$D:$D,$E$11&amp;"("&amp;'4.2実質ゼロ(サマリ)'!$F11&amp;")",'4.2民生電力需要量'!$K:$K)=0,"",SUMIF('4.2民生電力需要量'!$D:$D,$E$11&amp;"("&amp;'4.2実質ゼロ(サマリ)'!$F11&amp;")",'4.2民生電力需要量'!$K:$K))</f>
        <v/>
      </c>
      <c r="U11" s="382" t="str">
        <f>IF(SUMIF('4.2電力供給状況(民生部門)'!$U:$U,$E11&amp;"("&amp;'4.2実質ゼロ(サマリ)'!$F11&amp;")",'4.2電力供給状況(民生部門)'!AE:AE)=0,"",SUMIF('4.2電力供給状況(民生部門)'!$U:$U,$E11&amp;"("&amp;'4.2実質ゼロ(サマリ)'!$F11&amp;")",'4.2電力供給状況(民生部門)'!AE:AE))</f>
        <v/>
      </c>
      <c r="V11" s="382" t="str">
        <f>IF(SUMIF('4.2電力供給状況(民生部門)'!$U:$U,$E11&amp;"("&amp;'4.2実質ゼロ(サマリ)'!$F11&amp;")",'4.2電力供給状況(民生部門)'!AF:AF)=0,"",SUMIF('4.2電力供給状況(民生部門)'!$U:$U,$E11&amp;"("&amp;'4.2実質ゼロ(サマリ)'!$F11&amp;")",'4.2電力供給状況(民生部門)'!AF:AF))</f>
        <v/>
      </c>
      <c r="W11" s="382" t="str">
        <f>IF(SUMIF('4.2電力供給状況(民生部門)'!$U:$U,$E11&amp;"("&amp;'4.2実質ゼロ(サマリ)'!$F11&amp;")",'4.2電力供給状況(民生部門)'!AG:AG)=0,"",SUMIF('4.2電力供給状況(民生部門)'!$U:$U,$E11&amp;"("&amp;'4.2実質ゼロ(サマリ)'!$F11&amp;")",'4.2電力供給状況(民生部門)'!AG:AG))</f>
        <v/>
      </c>
      <c r="X11" s="382" t="str">
        <f>IF(SUMIF('4.2電力供給状況(民生部門)'!$U:$U,$E11&amp;"("&amp;'4.2実質ゼロ(サマリ)'!$F11&amp;")",'4.2電力供給状況(民生部門)'!AH:AH)=0,"",SUMIF('4.2電力供給状況(民生部門)'!$U:$U,$E11&amp;"("&amp;'4.2実質ゼロ(サマリ)'!$F11&amp;")",'4.2電力供給状況(民生部門)'!AH:AH))</f>
        <v/>
      </c>
      <c r="Y11" s="381" t="str">
        <f>IFERROR(IF(SUMIF('4.2電力削減量'!$C:$C,'4.2実質ゼロ(サマリ)'!$E$11&amp;"("&amp;'4.2実質ゼロ(サマリ)'!$F11&amp;")",'4.2電力削減量'!$N:$N)=0,"",SUMIF('4.2電力削減量'!$C:$C,'4.2実質ゼロ(サマリ)'!$E$11&amp;"("&amp;'4.2実質ゼロ(サマリ)'!$F11&amp;")",'4.2電力削減量'!$N:$N)),"")</f>
        <v/>
      </c>
    </row>
    <row r="12" spans="1:25" s="11" customFormat="1" ht="33" customHeight="1">
      <c r="C12" s="865"/>
      <c r="D12" s="843"/>
      <c r="E12" s="870"/>
      <c r="F12" s="871" t="s">
        <v>18</v>
      </c>
      <c r="G12" s="39"/>
      <c r="H12" s="381" t="str">
        <f>IF(SUMIF('4.2民生電力需要量'!$D:$D,$E$11&amp;"("&amp;'4.2実質ゼロ(サマリ)'!$F12&amp;")",'4.2民生電力需要量'!$K:$K)=0,"",SUMIF('4.2民生電力需要量'!$D:$D,$E$11&amp;"("&amp;'4.2実質ゼロ(サマリ)'!$F12&amp;")",'4.2民生電力需要量'!$K:$K))</f>
        <v/>
      </c>
      <c r="I12" s="382" t="str">
        <f>IF(SUMIF('4.2電力供給状況(民生部門)'!$U:$U,$E11&amp;"("&amp;'4.2実質ゼロ(サマリ)'!$F12&amp;")",'4.2電力供給状況(民生部門)'!AE:AE)=0,"",SUMIF('4.2電力供給状況(民生部門)'!$U:$U,$E11&amp;"("&amp;'4.2実質ゼロ(サマリ)'!$F12&amp;")",'4.2電力供給状況(民生部門)'!AE:AE))</f>
        <v/>
      </c>
      <c r="J12" s="382" t="str">
        <f>IF(SUMIF('4.2電力供給状況(民生部門)'!$U:$U,$E11&amp;"("&amp;'4.2実質ゼロ(サマリ)'!$F12&amp;")",'4.2電力供給状況(民生部門)'!AF:AF)=0,"",SUMIF('4.2電力供給状況(民生部門)'!$U:$U,$E11&amp;"("&amp;'4.2実質ゼロ(サマリ)'!$F12&amp;")",'4.2電力供給状況(民生部門)'!AF:AF))</f>
        <v/>
      </c>
      <c r="K12" s="382" t="str">
        <f>IF(SUMIF('4.2電力供給状況(民生部門)'!$U:$U,$E11&amp;"("&amp;'4.2実質ゼロ(サマリ)'!$F12&amp;")",'4.2電力供給状況(民生部門)'!AG:AG)=0,"",SUMIF('4.2電力供給状況(民生部門)'!$U:$U,$E11&amp;"("&amp;'4.2実質ゼロ(サマリ)'!$F12&amp;")",'4.2電力供給状況(民生部門)'!AG:AG))</f>
        <v/>
      </c>
      <c r="L12" s="382" t="str">
        <f>IF(SUMIF('4.2電力供給状況(民生部門)'!$U:$U,$E11&amp;"("&amp;'4.2実質ゼロ(サマリ)'!$F12&amp;")",'4.2電力供給状況(民生部門)'!AH:AH)=0,"",SUMIF('4.2電力供給状況(民生部門)'!$U:$U,$E11&amp;"("&amp;'4.2実質ゼロ(サマリ)'!$F12&amp;")",'4.2電力供給状況(民生部門)'!AH:AH))</f>
        <v/>
      </c>
      <c r="M12" s="381" t="str">
        <f>IFERROR(IF(SUMIF('4.2電力削減量'!$C:$C,'4.2実質ゼロ(サマリ)'!$E$11&amp;"("&amp;'4.2実質ゼロ(サマリ)'!$F12&amp;")",'4.2電力削減量'!$N:$N)=0,"",SUMIF('4.2電力削減量'!$C:$C,'4.2実質ゼロ(サマリ)'!$E$11&amp;"("&amp;'4.2実質ゼロ(サマリ)'!$F12&amp;")",'4.2電力削減量'!$N:$N)),"")</f>
        <v/>
      </c>
      <c r="N12" s="868"/>
      <c r="O12" s="869"/>
      <c r="P12" s="843"/>
      <c r="Q12" s="870"/>
      <c r="R12" s="871" t="s">
        <v>18</v>
      </c>
      <c r="S12" s="39"/>
      <c r="T12" s="381" t="str">
        <f>IF(SUMIF('4.2民生電力需要量'!$D:$D,$E$11&amp;"("&amp;'4.2実質ゼロ(サマリ)'!$F12&amp;")",'4.2民生電力需要量'!$K:$K)=0,"",SUMIF('4.2民生電力需要量'!$D:$D,$E$11&amp;"("&amp;'4.2実質ゼロ(サマリ)'!$F12&amp;")",'4.2民生電力需要量'!$K:$K))</f>
        <v/>
      </c>
      <c r="U12" s="382" t="str">
        <f>IF(SUMIF('4.2電力供給状況(民生部門)'!$U:$U,$E11&amp;"("&amp;'4.2実質ゼロ(サマリ)'!$F12&amp;")",'4.2電力供給状況(民生部門)'!AE:AE)=0,"",SUMIF('4.2電力供給状況(民生部門)'!$U:$U,$E11&amp;"("&amp;'4.2実質ゼロ(サマリ)'!$F12&amp;")",'4.2電力供給状況(民生部門)'!AE:AE))</f>
        <v/>
      </c>
      <c r="V12" s="382" t="str">
        <f>IF(SUMIF('4.2電力供給状況(民生部門)'!$U:$U,$E11&amp;"("&amp;'4.2実質ゼロ(サマリ)'!$F12&amp;")",'4.2電力供給状況(民生部門)'!AF:AF)=0,"",SUMIF('4.2電力供給状況(民生部門)'!$U:$U,$E11&amp;"("&amp;'4.2実質ゼロ(サマリ)'!$F12&amp;")",'4.2電力供給状況(民生部門)'!AF:AF))</f>
        <v/>
      </c>
      <c r="W12" s="382" t="str">
        <f>IF(SUMIF('4.2電力供給状況(民生部門)'!$U:$U,$E11&amp;"("&amp;'4.2実質ゼロ(サマリ)'!$F12&amp;")",'4.2電力供給状況(民生部門)'!AG:AG)=0,"",SUMIF('4.2電力供給状況(民生部門)'!$U:$U,$E11&amp;"("&amp;'4.2実質ゼロ(サマリ)'!$F12&amp;")",'4.2電力供給状況(民生部門)'!AG:AG))</f>
        <v/>
      </c>
      <c r="X12" s="382" t="str">
        <f>IF(SUMIF('4.2電力供給状況(民生部門)'!$U:$U,$E11&amp;"("&amp;'4.2実質ゼロ(サマリ)'!$F12&amp;")",'4.2電力供給状況(民生部門)'!AH:AH)=0,"",SUMIF('4.2電力供給状況(民生部門)'!$U:$U,$E11&amp;"("&amp;'4.2実質ゼロ(サマリ)'!$F12&amp;")",'4.2電力供給状況(民生部門)'!AH:AH))</f>
        <v/>
      </c>
      <c r="Y12" s="381" t="str">
        <f>IFERROR(IF(SUMIF('4.2電力削減量'!$C:$C,'4.2実質ゼロ(サマリ)'!$E$11&amp;"("&amp;'4.2実質ゼロ(サマリ)'!$F12&amp;")",'4.2電力削減量'!$N:$N)=0,"",SUMIF('4.2電力削減量'!$C:$C,'4.2実質ゼロ(サマリ)'!$E$11&amp;"("&amp;'4.2実質ゼロ(サマリ)'!$F12&amp;")",'4.2電力削減量'!$N:$N)),"")</f>
        <v/>
      </c>
    </row>
    <row r="13" spans="1:25" s="11" customFormat="1" ht="33" customHeight="1">
      <c r="C13" s="865"/>
      <c r="D13" s="873" t="s">
        <v>62</v>
      </c>
      <c r="E13" s="870"/>
      <c r="F13" s="872" t="s">
        <v>19</v>
      </c>
      <c r="G13" s="39"/>
      <c r="H13" s="381" t="str">
        <f>IF(SUMIF('4.2民生電力需要量'!$D:$D,$E$11&amp;"("&amp;'4.2実質ゼロ(サマリ)'!$F13&amp;")",'4.2民生電力需要量'!$K:$K)=0,"",SUMIF('4.2民生電力需要量'!$D:$D,$E$11&amp;"("&amp;'4.2実質ゼロ(サマリ)'!$F13&amp;")",'4.2民生電力需要量'!$K:$K))</f>
        <v/>
      </c>
      <c r="I13" s="382" t="str">
        <f>IF(SUMIF('4.2電力供給状況(民生部門)'!$U:$U,$E11&amp;"("&amp;'4.2実質ゼロ(サマリ)'!$F13&amp;")",'4.2電力供給状況(民生部門)'!AE:AE)=0,"",SUMIF('4.2電力供給状況(民生部門)'!$U:$U,$E11&amp;"("&amp;'4.2実質ゼロ(サマリ)'!$F13&amp;")",'4.2電力供給状況(民生部門)'!AE:AE))</f>
        <v/>
      </c>
      <c r="J13" s="382" t="str">
        <f>IF(SUMIF('4.2電力供給状況(民生部門)'!$U:$U,$E11&amp;"("&amp;'4.2実質ゼロ(サマリ)'!$F13&amp;")",'4.2電力供給状況(民生部門)'!AF:AF)=0,"",SUMIF('4.2電力供給状況(民生部門)'!$U:$U,$E11&amp;"("&amp;'4.2実質ゼロ(サマリ)'!$F13&amp;")",'4.2電力供給状況(民生部門)'!AF:AF))</f>
        <v/>
      </c>
      <c r="K13" s="382" t="str">
        <f>IF(SUMIF('4.2電力供給状況(民生部門)'!$U:$U,$E11&amp;"("&amp;'4.2実質ゼロ(サマリ)'!$F13&amp;")",'4.2電力供給状況(民生部門)'!AG:AG)=0,"",SUMIF('4.2電力供給状況(民生部門)'!$U:$U,$E11&amp;"("&amp;'4.2実質ゼロ(サマリ)'!$F13&amp;")",'4.2電力供給状況(民生部門)'!AG:AG))</f>
        <v/>
      </c>
      <c r="L13" s="382" t="str">
        <f>IF(SUMIF('4.2電力供給状況(民生部門)'!$U:$U,$E11&amp;"("&amp;'4.2実質ゼロ(サマリ)'!$F13&amp;")",'4.2電力供給状況(民生部門)'!AH:AH)=0,"",SUMIF('4.2電力供給状況(民生部門)'!$U:$U,$E11&amp;"("&amp;'4.2実質ゼロ(サマリ)'!$F13&amp;")",'4.2電力供給状況(民生部門)'!AH:AH))</f>
        <v/>
      </c>
      <c r="M13" s="381" t="str">
        <f>IFERROR(IF(SUMIF('4.2電力削減量'!$C:$C,'4.2実質ゼロ(サマリ)'!$E$11&amp;"("&amp;'4.2実質ゼロ(サマリ)'!$F13&amp;")",'4.2電力削減量'!$N:$N)=0,"",SUMIF('4.2電力削減量'!$C:$C,'4.2実質ゼロ(サマリ)'!$E$11&amp;"("&amp;'4.2実質ゼロ(サマリ)'!$F13&amp;")",'4.2電力削減量'!$N:$N)),"")</f>
        <v/>
      </c>
      <c r="N13" s="868"/>
      <c r="O13" s="869"/>
      <c r="P13" s="873" t="s">
        <v>62</v>
      </c>
      <c r="Q13" s="870"/>
      <c r="R13" s="872" t="s">
        <v>19</v>
      </c>
      <c r="S13" s="39"/>
      <c r="T13" s="381" t="str">
        <f>IF(SUMIF('4.2民生電力需要量'!$D:$D,$E$11&amp;"("&amp;'4.2実質ゼロ(サマリ)'!$F13&amp;")",'4.2民生電力需要量'!$K:$K)=0,"",SUMIF('4.2民生電力需要量'!$D:$D,$E$11&amp;"("&amp;'4.2実質ゼロ(サマリ)'!$F13&amp;")",'4.2民生電力需要量'!$K:$K))</f>
        <v/>
      </c>
      <c r="U13" s="382" t="str">
        <f>IF(SUMIF('4.2電力供給状況(民生部門)'!$U:$U,$E11&amp;"("&amp;'4.2実質ゼロ(サマリ)'!$F13&amp;")",'4.2電力供給状況(民生部門)'!AE:AE)=0,"",SUMIF('4.2電力供給状況(民生部門)'!$U:$U,$E11&amp;"("&amp;'4.2実質ゼロ(サマリ)'!$F13&amp;")",'4.2電力供給状況(民生部門)'!AE:AE))</f>
        <v/>
      </c>
      <c r="V13" s="382" t="str">
        <f>IF(SUMIF('4.2電力供給状況(民生部門)'!$U:$U,$E11&amp;"("&amp;'4.2実質ゼロ(サマリ)'!$F13&amp;")",'4.2電力供給状況(民生部門)'!AF:AF)=0,"",SUMIF('4.2電力供給状況(民生部門)'!$U:$U,$E11&amp;"("&amp;'4.2実質ゼロ(サマリ)'!$F13&amp;")",'4.2電力供給状況(民生部門)'!AF:AF))</f>
        <v/>
      </c>
      <c r="W13" s="382" t="str">
        <f>IF(SUMIF('4.2電力供給状況(民生部門)'!$U:$U,$E11&amp;"("&amp;'4.2実質ゼロ(サマリ)'!$F13&amp;")",'4.2電力供給状況(民生部門)'!AG:AG)=0,"",SUMIF('4.2電力供給状況(民生部門)'!$U:$U,$E11&amp;"("&amp;'4.2実質ゼロ(サマリ)'!$F13&amp;")",'4.2電力供給状況(民生部門)'!AG:AG))</f>
        <v/>
      </c>
      <c r="X13" s="382" t="str">
        <f>IF(SUMIF('4.2電力供給状況(民生部門)'!$U:$U,$E11&amp;"("&amp;'4.2実質ゼロ(サマリ)'!$F13&amp;")",'4.2電力供給状況(民生部門)'!AH:AH)=0,"",SUMIF('4.2電力供給状況(民生部門)'!$U:$U,$E11&amp;"("&amp;'4.2実質ゼロ(サマリ)'!$F13&amp;")",'4.2電力供給状況(民生部門)'!AH:AH))</f>
        <v/>
      </c>
      <c r="Y13" s="381" t="str">
        <f>IFERROR(IF(SUMIF('4.2電力削減量'!$C:$C,'4.2実質ゼロ(サマリ)'!$E$11&amp;"("&amp;'4.2実質ゼロ(サマリ)'!$F13&amp;")",'4.2電力削減量'!$N:$N)=0,"",SUMIF('4.2電力削減量'!$C:$C,'4.2実質ゼロ(サマリ)'!$E$11&amp;"("&amp;'4.2実質ゼロ(サマリ)'!$F13&amp;")",'4.2電力削減量'!$N:$N)),"")</f>
        <v/>
      </c>
    </row>
    <row r="14" spans="1:25" s="11" customFormat="1" ht="33" customHeight="1">
      <c r="C14" s="865"/>
      <c r="D14" s="874"/>
      <c r="E14" s="875"/>
      <c r="F14" s="867" t="s">
        <v>25</v>
      </c>
      <c r="G14" s="38"/>
      <c r="H14" s="381" t="str">
        <f>IF(SUMIF('4.2民生電力需要量'!$D:$D,$E$11&amp;"("&amp;'4.2実質ゼロ(サマリ)'!$F14&amp;")",'4.2民生電力需要量'!$K:$K)=0,"",SUMIF('4.2民生電力需要量'!$D:$D,$E$11&amp;"("&amp;'4.2実質ゼロ(サマリ)'!$F14&amp;")",'4.2民生電力需要量'!$K:$K))</f>
        <v/>
      </c>
      <c r="I14" s="382" t="str">
        <f>IF(SUMIF('4.2電力供給状況(民生部門)'!$U:$U,$E11&amp;"("&amp;'4.2実質ゼロ(サマリ)'!$F14&amp;")",'4.2電力供給状況(民生部門)'!AE:AE)=0,"",SUMIF('4.2電力供給状況(民生部門)'!$U:$U,$E11&amp;"("&amp;'4.2実質ゼロ(サマリ)'!$F14&amp;")",'4.2電力供給状況(民生部門)'!AE:AE))</f>
        <v/>
      </c>
      <c r="J14" s="382" t="str">
        <f>IF(SUMIF('4.2電力供給状況(民生部門)'!$U:$U,$E11&amp;"("&amp;'4.2実質ゼロ(サマリ)'!$F14&amp;")",'4.2電力供給状況(民生部門)'!AF:AF)=0,"",SUMIF('4.2電力供給状況(民生部門)'!$U:$U,$E11&amp;"("&amp;'4.2実質ゼロ(サマリ)'!$F14&amp;")",'4.2電力供給状況(民生部門)'!AF:AF))</f>
        <v/>
      </c>
      <c r="K14" s="382" t="str">
        <f>IF(SUMIF('4.2電力供給状況(民生部門)'!$U:$U,$E11&amp;"("&amp;'4.2実質ゼロ(サマリ)'!$F14&amp;")",'4.2電力供給状況(民生部門)'!AG:AG)=0,"",SUMIF('4.2電力供給状況(民生部門)'!$U:$U,$E11&amp;"("&amp;'4.2実質ゼロ(サマリ)'!$F14&amp;")",'4.2電力供給状況(民生部門)'!AG:AG))</f>
        <v/>
      </c>
      <c r="L14" s="382" t="str">
        <f>IF(SUMIF('4.2電力供給状況(民生部門)'!$U:$U,$E11&amp;"("&amp;'4.2実質ゼロ(サマリ)'!$F14&amp;")",'4.2電力供給状況(民生部門)'!AH:AH)=0,"",SUMIF('4.2電力供給状況(民生部門)'!$U:$U,$E11&amp;"("&amp;'4.2実質ゼロ(サマリ)'!$F14&amp;")",'4.2電力供給状況(民生部門)'!AH:AH))</f>
        <v/>
      </c>
      <c r="M14" s="381" t="str">
        <f>IFERROR(IF(SUMIF('4.2電力削減量'!$C:$C,'4.2実質ゼロ(サマリ)'!$E$11&amp;"("&amp;'4.2実質ゼロ(サマリ)'!$F14&amp;")",'4.2電力削減量'!$N:$N)=0,"",SUMIF('4.2電力削減量'!$C:$C,'4.2実質ゼロ(サマリ)'!$E$11&amp;"("&amp;'4.2実質ゼロ(サマリ)'!$F14&amp;")",'4.2電力削減量'!$N:$N)),"")</f>
        <v/>
      </c>
      <c r="N14" s="868"/>
      <c r="O14" s="869"/>
      <c r="P14" s="874"/>
      <c r="Q14" s="875"/>
      <c r="R14" s="867" t="s">
        <v>25</v>
      </c>
      <c r="S14" s="38"/>
      <c r="T14" s="381" t="str">
        <f>IF(SUMIF('4.2民生電力需要量'!$D:$D,$E$11&amp;"("&amp;'4.2実質ゼロ(サマリ)'!$F14&amp;")",'4.2民生電力需要量'!$K:$K)=0,"",SUMIF('4.2民生電力需要量'!$D:$D,$E$11&amp;"("&amp;'4.2実質ゼロ(サマリ)'!$F14&amp;")",'4.2民生電力需要量'!$K:$K))</f>
        <v/>
      </c>
      <c r="U14" s="382" t="str">
        <f>IF(SUMIF('4.2電力供給状況(民生部門)'!$U:$U,$E11&amp;"("&amp;'4.2実質ゼロ(サマリ)'!$F14&amp;")",'4.2電力供給状況(民生部門)'!AE:AE)=0,"",SUMIF('4.2電力供給状況(民生部門)'!$U:$U,$E11&amp;"("&amp;'4.2実質ゼロ(サマリ)'!$F14&amp;")",'4.2電力供給状況(民生部門)'!AE:AE))</f>
        <v/>
      </c>
      <c r="V14" s="382" t="str">
        <f>IF(SUMIF('4.2電力供給状況(民生部門)'!$U:$U,$E11&amp;"("&amp;'4.2実質ゼロ(サマリ)'!$F14&amp;")",'4.2電力供給状況(民生部門)'!AF:AF)=0,"",SUMIF('4.2電力供給状況(民生部門)'!$U:$U,$E11&amp;"("&amp;'4.2実質ゼロ(サマリ)'!$F14&amp;")",'4.2電力供給状況(民生部門)'!AF:AF))</f>
        <v/>
      </c>
      <c r="W14" s="382" t="str">
        <f>IF(SUMIF('4.2電力供給状況(民生部門)'!$U:$U,$E11&amp;"("&amp;'4.2実質ゼロ(サマリ)'!$F14&amp;")",'4.2電力供給状況(民生部門)'!AG:AG)=0,"",SUMIF('4.2電力供給状況(民生部門)'!$U:$U,$E11&amp;"("&amp;'4.2実質ゼロ(サマリ)'!$F14&amp;")",'4.2電力供給状況(民生部門)'!AG:AG))</f>
        <v/>
      </c>
      <c r="X14" s="382" t="str">
        <f>IF(SUMIF('4.2電力供給状況(民生部門)'!$U:$U,$E11&amp;"("&amp;'4.2実質ゼロ(サマリ)'!$F14&amp;")",'4.2電力供給状況(民生部門)'!AH:AH)=0,"",SUMIF('4.2電力供給状況(民生部門)'!$U:$U,$E11&amp;"("&amp;'4.2実質ゼロ(サマリ)'!$F14&amp;")",'4.2電力供給状況(民生部門)'!AH:AH))</f>
        <v/>
      </c>
      <c r="Y14" s="381" t="str">
        <f>IFERROR(IF(SUMIF('4.2電力削減量'!$C:$C,'4.2実質ゼロ(サマリ)'!$E$11&amp;"("&amp;'4.2実質ゼロ(サマリ)'!$F14&amp;")",'4.2電力削減量'!$N:$N)=0,"",SUMIF('4.2電力削減量'!$C:$C,'4.2実質ゼロ(サマリ)'!$E$11&amp;"("&amp;'4.2実質ゼロ(サマリ)'!$F14&amp;")",'4.2電力削減量'!$N:$N)),"")</f>
        <v/>
      </c>
    </row>
    <row r="15" spans="1:25" s="11" customFormat="1" ht="33" customHeight="1">
      <c r="C15" s="865"/>
      <c r="D15" s="843" t="s">
        <v>62</v>
      </c>
      <c r="E15" s="876" t="s">
        <v>63</v>
      </c>
      <c r="F15" s="867" t="s">
        <v>20</v>
      </c>
      <c r="G15" s="42"/>
      <c r="H15" s="383" t="str">
        <f>IF(SUMIF('4.2民生電力需要量'!$D:$D,$E$15&amp;"("&amp;'4.2実質ゼロ(サマリ)'!$F15&amp;")",'4.2民生電力需要量'!$K:$K)=0,"",SUMIF('4.2民生電力需要量'!$D:$D,$E$15&amp;"("&amp;'4.2実質ゼロ(サマリ)'!$F15&amp;")",'4.2民生電力需要量'!$K:$K))</f>
        <v/>
      </c>
      <c r="I15" s="382" t="str">
        <f>IF(SUMIF('4.2電力供給状況(民生部門)'!$U:$U,$E15&amp;"("&amp;'4.2実質ゼロ(サマリ)'!$F15&amp;")",'4.2電力供給状況(民生部門)'!AE:AE)=0,"",SUMIF('4.2電力供給状況(民生部門)'!$U:$U,$E15&amp;"("&amp;'4.2実質ゼロ(サマリ)'!$F15&amp;")",'4.2電力供給状況(民生部門)'!AE:AE))</f>
        <v/>
      </c>
      <c r="J15" s="382" t="str">
        <f>IF(SUMIF('4.2電力供給状況(民生部門)'!$U:$U,$E15&amp;"("&amp;'4.2実質ゼロ(サマリ)'!$F15&amp;")",'4.2電力供給状況(民生部門)'!AF:AF)=0,"",SUMIF('4.2電力供給状況(民生部門)'!$U:$U,$E15&amp;"("&amp;'4.2実質ゼロ(サマリ)'!$F15&amp;")",'4.2電力供給状況(民生部門)'!AF:AF))</f>
        <v/>
      </c>
      <c r="K15" s="382" t="str">
        <f>IF(SUMIF('4.2電力供給状況(民生部門)'!$U:$U,$E15&amp;"("&amp;'4.2実質ゼロ(サマリ)'!$F15&amp;")",'4.2電力供給状況(民生部門)'!AG:AG)=0,"",SUMIF('4.2電力供給状況(民生部門)'!$U:$U,$E15&amp;"("&amp;'4.2実質ゼロ(サマリ)'!$F15&amp;")",'4.2電力供給状況(民生部門)'!AG:AG))</f>
        <v/>
      </c>
      <c r="L15" s="382" t="str">
        <f>IF(SUMIF('4.2電力供給状況(民生部門)'!$U:$U,$E15&amp;"("&amp;'4.2実質ゼロ(サマリ)'!$F15&amp;")",'4.2電力供給状況(民生部門)'!AH:AH)=0,"",SUMIF('4.2電力供給状況(民生部門)'!$U:$U,$E15&amp;"("&amp;'4.2実質ゼロ(サマリ)'!$F15&amp;")",'4.2電力供給状況(民生部門)'!AH:AH))</f>
        <v/>
      </c>
      <c r="M15" s="383" t="str">
        <f>IFERROR(IF(SUMIF('4.2電力削減量'!$C:$C,'4.2実質ゼロ(サマリ)'!$E$15&amp;"("&amp;'4.2実質ゼロ(サマリ)'!$F15&amp;")",'4.2電力削減量'!$N:$N)=0,"",SUMIF('4.2電力削減量'!$C:$C,'4.2実質ゼロ(サマリ)'!$E$15&amp;"("&amp;'4.2実質ゼロ(サマリ)'!$F15&amp;")",'4.2電力削減量'!$N:$N)),"")</f>
        <v/>
      </c>
      <c r="N15" s="868"/>
      <c r="O15" s="869"/>
      <c r="P15" s="843" t="s">
        <v>62</v>
      </c>
      <c r="Q15" s="876" t="s">
        <v>63</v>
      </c>
      <c r="R15" s="867" t="s">
        <v>20</v>
      </c>
      <c r="S15" s="42"/>
      <c r="T15" s="383" t="str">
        <f>IF(SUMIF('4.2民生電力需要量'!$D:$D,$E$15&amp;"("&amp;'4.2実質ゼロ(サマリ)'!$F15&amp;")",'4.2民生電力需要量'!$K:$K)=0,"",SUMIF('4.2民生電力需要量'!$D:$D,$E$15&amp;"("&amp;'4.2実質ゼロ(サマリ)'!$F15&amp;")",'4.2民生電力需要量'!$K:$K))</f>
        <v/>
      </c>
      <c r="U15" s="382" t="str">
        <f>IF(SUMIF('4.2電力供給状況(民生部門)'!$U:$U,$E15&amp;"("&amp;'4.2実質ゼロ(サマリ)'!$F15&amp;")",'4.2電力供給状況(民生部門)'!AE:AE)=0,"",SUMIF('4.2電力供給状況(民生部門)'!$U:$U,$E15&amp;"("&amp;'4.2実質ゼロ(サマリ)'!$F15&amp;")",'4.2電力供給状況(民生部門)'!AE:AE))</f>
        <v/>
      </c>
      <c r="V15" s="382" t="str">
        <f>IF(SUMIF('4.2電力供給状況(民生部門)'!$U:$U,$E15&amp;"("&amp;'4.2実質ゼロ(サマリ)'!$F15&amp;")",'4.2電力供給状況(民生部門)'!AF:AF)=0,"",SUMIF('4.2電力供給状況(民生部門)'!$U:$U,$E15&amp;"("&amp;'4.2実質ゼロ(サマリ)'!$F15&amp;")",'4.2電力供給状況(民生部門)'!AF:AF))</f>
        <v/>
      </c>
      <c r="W15" s="382" t="str">
        <f>IF(SUMIF('4.2電力供給状況(民生部門)'!$U:$U,$E15&amp;"("&amp;'4.2実質ゼロ(サマリ)'!$F15&amp;")",'4.2電力供給状況(民生部門)'!AG:AG)=0,"",SUMIF('4.2電力供給状況(民生部門)'!$U:$U,$E15&amp;"("&amp;'4.2実質ゼロ(サマリ)'!$F15&amp;")",'4.2電力供給状況(民生部門)'!AG:AG))</f>
        <v/>
      </c>
      <c r="X15" s="382" t="str">
        <f>IF(SUMIF('4.2電力供給状況(民生部門)'!$U:$U,$E15&amp;"("&amp;'4.2実質ゼロ(サマリ)'!$F15&amp;")",'4.2電力供給状況(民生部門)'!AH:AH)=0,"",SUMIF('4.2電力供給状況(民生部門)'!$U:$U,$E15&amp;"("&amp;'4.2実質ゼロ(サマリ)'!$F15&amp;")",'4.2電力供給状況(民生部門)'!AH:AH))</f>
        <v/>
      </c>
      <c r="Y15" s="383" t="str">
        <f>IFERROR(IF(SUMIF('4.2電力削減量'!$C:$C,'4.2実質ゼロ(サマリ)'!$E$15&amp;"("&amp;'4.2実質ゼロ(サマリ)'!$F15&amp;")",'4.2電力削減量'!$N:$N)=0,"",SUMIF('4.2電力削減量'!$C:$C,'4.2実質ゼロ(サマリ)'!$E$15&amp;"("&amp;'4.2実質ゼロ(サマリ)'!$F15&amp;")",'4.2電力削減量'!$N:$N)),"")</f>
        <v/>
      </c>
    </row>
    <row r="16" spans="1:25" s="11" customFormat="1" ht="33" customHeight="1">
      <c r="C16" s="865"/>
      <c r="D16" s="844"/>
      <c r="E16" s="875"/>
      <c r="F16" s="872" t="s">
        <v>25</v>
      </c>
      <c r="G16" s="38"/>
      <c r="H16" s="381" t="str">
        <f>IF(SUMIF('4.2民生電力需要量'!$D:$D,$E$15&amp;"("&amp;'4.2実質ゼロ(サマリ)'!$F16&amp;")",'4.2民生電力需要量'!$K:$K)=0,"",SUMIF('4.2民生電力需要量'!$D:$D,$E$15&amp;"("&amp;'4.2実質ゼロ(サマリ)'!$F16&amp;")",'4.2民生電力需要量'!$K:$K))</f>
        <v/>
      </c>
      <c r="I16" s="382" t="str">
        <f ca="1">IF(SUMIF('4.2電力供給状況(民生部門)'!$U:$U,$E15&amp;"("&amp;'4.2実質ゼロ(サマリ)'!$F16&amp;")",'4.2電力供給状況(民生部門)'!AE:AE)=0,"",SUMIF('4.2電力供給状況(民生部門)'!$U:$U,$E15&amp;"("&amp;'4.2実質ゼロ(サマリ)'!$F16&amp;")",'4.2電力供給状況(民生部門)'!AE:AE))</f>
        <v/>
      </c>
      <c r="J16" s="382" t="str">
        <f ca="1">IF(SUMIF('4.2電力供給状況(民生部門)'!$U:$U,$E15&amp;"("&amp;'4.2実質ゼロ(サマリ)'!$F16&amp;")",'4.2電力供給状況(民生部門)'!AF:AF)=0,"",SUMIF('4.2電力供給状況(民生部門)'!$U:$U,$E15&amp;"("&amp;'4.2実質ゼロ(サマリ)'!$F16&amp;")",'4.2電力供給状況(民生部門)'!AF:AF))</f>
        <v/>
      </c>
      <c r="K16" s="382" t="str">
        <f ca="1">IF(SUMIF('4.2電力供給状況(民生部門)'!$U:$U,$E15&amp;"("&amp;'4.2実質ゼロ(サマリ)'!$F16&amp;")",'4.2電力供給状況(民生部門)'!AG:AG)=0,"",SUMIF('4.2電力供給状況(民生部門)'!$U:$U,$E15&amp;"("&amp;'4.2実質ゼロ(サマリ)'!$F16&amp;")",'4.2電力供給状況(民生部門)'!AG:AG))</f>
        <v/>
      </c>
      <c r="L16" s="382" t="str">
        <f ca="1">IF(SUMIF('4.2電力供給状況(民生部門)'!$U:$U,$E15&amp;"("&amp;'4.2実質ゼロ(サマリ)'!$F16&amp;")",'4.2電力供給状況(民生部門)'!AH:AH)=0,"",SUMIF('4.2電力供給状況(民生部門)'!$U:$U,$E15&amp;"("&amp;'4.2実質ゼロ(サマリ)'!$F16&amp;")",'4.2電力供給状況(民生部門)'!AH:AH))</f>
        <v/>
      </c>
      <c r="M16" s="383" t="str">
        <f ca="1">IFERROR(IF(SUMIF('4.2電力削減量'!$C:$C,'4.2実質ゼロ(サマリ)'!$E$15&amp;"("&amp;'4.2実質ゼロ(サマリ)'!$F16&amp;")",'4.2電力削減量'!$N:$N)=0,"",SUMIF('4.2電力削減量'!$C:$C,'4.2実質ゼロ(サマリ)'!$E$15&amp;"("&amp;'4.2実質ゼロ(サマリ)'!$F16&amp;")",'4.2電力削減量'!$N:$N)),"")</f>
        <v/>
      </c>
      <c r="N16" s="868"/>
      <c r="O16" s="869"/>
      <c r="P16" s="844"/>
      <c r="Q16" s="875"/>
      <c r="R16" s="872" t="s">
        <v>25</v>
      </c>
      <c r="S16" s="38"/>
      <c r="T16" s="381" t="str">
        <f>IF(SUMIF('4.2民生電力需要量'!$D:$D,$E$15&amp;"("&amp;'4.2実質ゼロ(サマリ)'!$F16&amp;")",'4.2民生電力需要量'!$K:$K)=0,"",SUMIF('4.2民生電力需要量'!$D:$D,$E$15&amp;"("&amp;'4.2実質ゼロ(サマリ)'!$F16&amp;")",'4.2民生電力需要量'!$K:$K))</f>
        <v/>
      </c>
      <c r="U16" s="382" t="str">
        <f ca="1">IF(SUMIF('4.2電力供給状況(民生部門)'!$U:$U,$E15&amp;"("&amp;'4.2実質ゼロ(サマリ)'!$F16&amp;")",'4.2電力供給状況(民生部門)'!AE:AE)=0,"",SUMIF('4.2電力供給状況(民生部門)'!$U:$U,$E15&amp;"("&amp;'4.2実質ゼロ(サマリ)'!$F16&amp;")",'4.2電力供給状況(民生部門)'!AE:AE))</f>
        <v/>
      </c>
      <c r="V16" s="382" t="str">
        <f ca="1">IF(SUMIF('4.2電力供給状況(民生部門)'!$U:$U,$E15&amp;"("&amp;'4.2実質ゼロ(サマリ)'!$F16&amp;")",'4.2電力供給状況(民生部門)'!AF:AF)=0,"",SUMIF('4.2電力供給状況(民生部門)'!$U:$U,$E15&amp;"("&amp;'4.2実質ゼロ(サマリ)'!$F16&amp;")",'4.2電力供給状況(民生部門)'!AF:AF))</f>
        <v/>
      </c>
      <c r="W16" s="382" t="str">
        <f ca="1">IF(SUMIF('4.2電力供給状況(民生部門)'!$U:$U,$E15&amp;"("&amp;'4.2実質ゼロ(サマリ)'!$F16&amp;")",'4.2電力供給状況(民生部門)'!AG:AG)=0,"",SUMIF('4.2電力供給状況(民生部門)'!$U:$U,$E15&amp;"("&amp;'4.2実質ゼロ(サマリ)'!$F16&amp;")",'4.2電力供給状況(民生部門)'!AG:AG))</f>
        <v/>
      </c>
      <c r="X16" s="382" t="str">
        <f ca="1">IF(SUMIF('4.2電力供給状況(民生部門)'!$U:$U,$E15&amp;"("&amp;'4.2実質ゼロ(サマリ)'!$F16&amp;")",'4.2電力供給状況(民生部門)'!AH:AH)=0,"",SUMIF('4.2電力供給状況(民生部門)'!$U:$U,$E15&amp;"("&amp;'4.2実質ゼロ(サマリ)'!$F16&amp;")",'4.2電力供給状況(民生部門)'!AH:AH))</f>
        <v/>
      </c>
      <c r="Y16" s="383" t="str">
        <f ca="1">IFERROR(IF(SUMIF('4.2電力削減量'!$C:$C,'4.2実質ゼロ(サマリ)'!$E$15&amp;"("&amp;'4.2実質ゼロ(サマリ)'!$F16&amp;")",'4.2電力削減量'!$N:$N)=0,"",SUMIF('4.2電力削減量'!$C:$C,'4.2実質ゼロ(サマリ)'!$E$15&amp;"("&amp;'4.2実質ゼロ(サマリ)'!$F16&amp;")",'4.2電力削減量'!$N:$N)),"")</f>
        <v/>
      </c>
    </row>
    <row r="17" spans="3:25" s="11" customFormat="1" ht="33" customHeight="1">
      <c r="C17" s="877"/>
      <c r="D17" s="1438" t="s">
        <v>233</v>
      </c>
      <c r="E17" s="1439"/>
      <c r="F17" s="1440"/>
      <c r="G17" s="384"/>
      <c r="H17" s="385" t="str">
        <f t="shared" ref="H17:M17" si="0">IF(SUM(H9:H16)=0,"",SUM(H9:H16))</f>
        <v/>
      </c>
      <c r="I17" s="385" t="str">
        <f t="shared" ca="1" si="0"/>
        <v/>
      </c>
      <c r="J17" s="385" t="str">
        <f t="shared" ca="1" si="0"/>
        <v/>
      </c>
      <c r="K17" s="385" t="str">
        <f t="shared" ca="1" si="0"/>
        <v/>
      </c>
      <c r="L17" s="386" t="str">
        <f t="shared" ca="1" si="0"/>
        <v/>
      </c>
      <c r="M17" s="386" t="str">
        <f t="shared" ca="1" si="0"/>
        <v/>
      </c>
      <c r="N17" s="868"/>
      <c r="O17" s="869"/>
      <c r="P17" s="1438" t="s">
        <v>233</v>
      </c>
      <c r="Q17" s="1439"/>
      <c r="R17" s="1440"/>
      <c r="S17" s="384"/>
      <c r="T17" s="385" t="str">
        <f t="shared" ref="T17:Y17" si="1">IF(SUM(H9:H16)=0,"",SUM(H9:H16))</f>
        <v/>
      </c>
      <c r="U17" s="385" t="str">
        <f t="shared" ca="1" si="1"/>
        <v/>
      </c>
      <c r="V17" s="385" t="str">
        <f t="shared" ca="1" si="1"/>
        <v/>
      </c>
      <c r="W17" s="385" t="str">
        <f t="shared" ca="1" si="1"/>
        <v/>
      </c>
      <c r="X17" s="386" t="str">
        <f t="shared" ca="1" si="1"/>
        <v/>
      </c>
      <c r="Y17" s="386" t="str">
        <f t="shared" ca="1" si="1"/>
        <v/>
      </c>
    </row>
    <row r="18" spans="3:25" s="11" customFormat="1" ht="33" customHeight="1">
      <c r="C18" s="877"/>
      <c r="D18" s="1438" t="s">
        <v>232</v>
      </c>
      <c r="E18" s="1439"/>
      <c r="F18" s="1440"/>
      <c r="G18" s="384"/>
      <c r="H18" s="387" t="str">
        <f ca="1">IFERROR(SUM(I17:M17)/H17,"")</f>
        <v/>
      </c>
      <c r="I18" s="388" t="str">
        <f ca="1">IFERROR(I17/$H$17,"")</f>
        <v/>
      </c>
      <c r="J18" s="388" t="str">
        <f t="shared" ref="J18:L18" ca="1" si="2">IFERROR(J17/$H$17,"")</f>
        <v/>
      </c>
      <c r="K18" s="388" t="str">
        <f t="shared" ca="1" si="2"/>
        <v/>
      </c>
      <c r="L18" s="389" t="str">
        <f t="shared" ca="1" si="2"/>
        <v/>
      </c>
      <c r="M18" s="389" t="str">
        <f ca="1">IFERROR(M17/$H$17,"")</f>
        <v/>
      </c>
      <c r="N18" s="868"/>
      <c r="O18" s="869"/>
      <c r="P18" s="1438" t="s">
        <v>232</v>
      </c>
      <c r="Q18" s="1439"/>
      <c r="R18" s="1440"/>
      <c r="S18" s="384"/>
      <c r="T18" s="387" t="str">
        <f ca="1">IFERROR(SUM(I17:M17)/H17,"")</f>
        <v/>
      </c>
      <c r="U18" s="388" t="str">
        <f ca="1">IFERROR(I17/$H$17,"")</f>
        <v/>
      </c>
      <c r="V18" s="388" t="str">
        <f ca="1">IFERROR(J17/$H$17,"")</f>
        <v/>
      </c>
      <c r="W18" s="388" t="str">
        <f ca="1">IFERROR(K17/$H$17,"")</f>
        <v/>
      </c>
      <c r="X18" s="389" t="str">
        <f ca="1">IFERROR(L17/$H$17,"")</f>
        <v/>
      </c>
      <c r="Y18" s="389" t="str">
        <f ca="1">IFERROR(M17/$H$17,"")</f>
        <v/>
      </c>
    </row>
    <row r="19" spans="3:25" ht="15" customHeight="1">
      <c r="C19" s="354"/>
      <c r="D19" s="355"/>
      <c r="E19" s="356"/>
      <c r="F19" s="357"/>
      <c r="G19" s="357"/>
      <c r="H19" s="358"/>
      <c r="I19" s="357"/>
      <c r="J19" s="357"/>
      <c r="K19" s="357"/>
      <c r="L19" s="357"/>
      <c r="M19" s="359"/>
      <c r="N19" s="360"/>
    </row>
    <row r="20" spans="3:25">
      <c r="D20" s="361"/>
      <c r="F20" s="44"/>
    </row>
    <row r="21" spans="3:25" ht="30.75" customHeight="1">
      <c r="F21" s="44"/>
    </row>
    <row r="22" spans="3:25" ht="30.75" customHeight="1">
      <c r="F22" s="44"/>
    </row>
    <row r="161" spans="6:7">
      <c r="F161" s="229"/>
      <c r="G161" s="229"/>
    </row>
    <row r="162" spans="6:7">
      <c r="F162" s="229"/>
      <c r="G162" s="229"/>
    </row>
    <row r="163" spans="6:7">
      <c r="F163" s="229"/>
      <c r="G163" s="229"/>
    </row>
    <row r="164" spans="6:7">
      <c r="F164" s="229"/>
      <c r="G164" s="229"/>
    </row>
    <row r="165" spans="6:7">
      <c r="F165" s="229"/>
      <c r="G165" s="229"/>
    </row>
    <row r="166" spans="6:7">
      <c r="F166" s="229"/>
      <c r="G166" s="229"/>
    </row>
    <row r="167" spans="6:7">
      <c r="F167" s="229"/>
      <c r="G167" s="229"/>
    </row>
    <row r="168" spans="6:7">
      <c r="F168" s="229"/>
      <c r="G168" s="229"/>
    </row>
    <row r="169" spans="6:7">
      <c r="F169" s="229"/>
      <c r="G169" s="229"/>
    </row>
    <row r="170" spans="6:7">
      <c r="F170" s="229"/>
      <c r="G170" s="229"/>
    </row>
    <row r="171" spans="6:7">
      <c r="F171" s="229"/>
      <c r="G171" s="229"/>
    </row>
    <row r="172" spans="6:7">
      <c r="F172" s="229"/>
      <c r="G172" s="229"/>
    </row>
    <row r="173" spans="6:7">
      <c r="F173" s="229"/>
      <c r="G173" s="229"/>
    </row>
    <row r="174" spans="6:7">
      <c r="F174" s="229"/>
      <c r="G174" s="229"/>
    </row>
    <row r="175" spans="6:7">
      <c r="F175" s="229"/>
      <c r="G175" s="229"/>
    </row>
  </sheetData>
  <sheetProtection algorithmName="SHA-512" hashValue="PGsiRDM8HbY1z+BF9raMATMmUbzBjZ31u4rd+yF3+ie2QEHFbnQi4US71POqfdoePMqtHLRSEpxE9e1mLJFKUA==" saltValue="niMw0hehUG2j+ZY1bTSabQ==" spinCount="100000" sheet="1" formatCells="0" insertRows="0" deleteRows="0"/>
  <mergeCells count="18">
    <mergeCell ref="U7:X7"/>
    <mergeCell ref="Y7:Y8"/>
    <mergeCell ref="P17:R17"/>
    <mergeCell ref="P18:R18"/>
    <mergeCell ref="P7:P8"/>
    <mergeCell ref="Q7:Q8"/>
    <mergeCell ref="R7:R8"/>
    <mergeCell ref="S7:S8"/>
    <mergeCell ref="T7:T8"/>
    <mergeCell ref="D18:F18"/>
    <mergeCell ref="M7:M8"/>
    <mergeCell ref="I7:L7"/>
    <mergeCell ref="D17:F17"/>
    <mergeCell ref="D7:D8"/>
    <mergeCell ref="E7:E8"/>
    <mergeCell ref="F7:F8"/>
    <mergeCell ref="G7:G8"/>
    <mergeCell ref="H7:H8"/>
  </mergeCells>
  <phoneticPr fontId="1"/>
  <conditionalFormatting sqref="G9:G16">
    <cfRule type="containsBlanks" dxfId="2166" priority="5">
      <formula>LEN(TRIM(G9))=0</formula>
    </cfRule>
  </conditionalFormatting>
  <conditionalFormatting sqref="H9:M18">
    <cfRule type="expression" dxfId="2165" priority="1">
      <formula>H9&lt;&gt;T9</formula>
    </cfRule>
    <cfRule type="containsBlanks" dxfId="2164" priority="4">
      <formula>LEN(TRIM(H9))=0</formula>
    </cfRule>
  </conditionalFormatting>
  <pageMargins left="0.7" right="0.7" top="0.75" bottom="0.75" header="0.3" footer="0.3"/>
  <pageSetup paperSize="8" scale="79" orientation="landscape"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823F-4981-4241-9B74-092950A78AE1}">
  <sheetPr codeName="Sheet25">
    <tabColor theme="7" tint="0.79998168889431442"/>
    <pageSetUpPr autoPageBreaks="0" fitToPage="1"/>
  </sheetPr>
  <dimension ref="A1:AA59"/>
  <sheetViews>
    <sheetView showGridLines="0" zoomScaleNormal="100" zoomScaleSheetLayoutView="84" workbookViewId="0"/>
  </sheetViews>
  <sheetFormatPr defaultColWidth="9" defaultRowHeight="18"/>
  <cols>
    <col min="1" max="1" width="2.5" style="228" customWidth="1"/>
    <col min="2" max="2" width="0.83203125" style="228" customWidth="1"/>
    <col min="3" max="3" width="4.5" style="228" bestFit="1" customWidth="1"/>
    <col min="4" max="4" width="5.25" style="228" customWidth="1"/>
    <col min="5" max="5" width="28.5" style="322" customWidth="1"/>
    <col min="6" max="6" width="10.83203125" style="228" customWidth="1"/>
    <col min="7" max="7" width="10.33203125" style="228" customWidth="1"/>
    <col min="8" max="8" width="15.25" style="322" customWidth="1"/>
    <col min="9" max="9" width="13.33203125" style="228" customWidth="1"/>
    <col min="10" max="10" width="13.33203125" style="227" customWidth="1"/>
    <col min="11" max="11" width="15.25" style="228" customWidth="1"/>
    <col min="12" max="12" width="9.08203125" style="228" customWidth="1"/>
    <col min="13" max="13" width="15.25" style="552" customWidth="1"/>
    <col min="14" max="14" width="0.83203125" style="228" customWidth="1"/>
    <col min="15" max="15" width="3" style="228" customWidth="1"/>
    <col min="16" max="16" width="2.75" style="553" customWidth="1"/>
    <col min="17" max="24" width="14.5" style="553" hidden="1" customWidth="1"/>
    <col min="25" max="27" width="14.5" style="88" hidden="1" customWidth="1"/>
    <col min="28" max="16384" width="9" style="88"/>
  </cols>
  <sheetData>
    <row r="1" spans="1:27">
      <c r="A1" s="551" t="s">
        <v>351</v>
      </c>
    </row>
    <row r="2" spans="1:27">
      <c r="A2" s="554" t="s">
        <v>357</v>
      </c>
      <c r="B2" s="555"/>
      <c r="C2" s="555"/>
      <c r="D2" s="555"/>
      <c r="E2" s="555"/>
      <c r="F2" s="555"/>
      <c r="G2" s="555"/>
      <c r="H2" s="555"/>
      <c r="I2" s="555"/>
      <c r="J2" s="556"/>
      <c r="K2" s="555"/>
      <c r="L2" s="555"/>
      <c r="M2" s="556"/>
      <c r="Q2" s="557" t="s">
        <v>314</v>
      </c>
      <c r="T2" s="553" t="s">
        <v>475</v>
      </c>
      <c r="U2" s="553" cm="1">
        <f t="array" ref="U2">IFERROR(_xlfn._xlws.FILTER(1,1),"")</f>
        <v>1</v>
      </c>
    </row>
    <row r="3" spans="1:27">
      <c r="A3" s="554" t="s">
        <v>498</v>
      </c>
      <c r="B3" s="555"/>
      <c r="C3" s="555"/>
      <c r="D3" s="555"/>
      <c r="E3" s="555"/>
      <c r="F3" s="555"/>
      <c r="G3" s="555"/>
      <c r="H3" s="555"/>
      <c r="I3" s="555"/>
      <c r="J3" s="556"/>
      <c r="K3" s="555"/>
      <c r="L3" s="555"/>
      <c r="M3" s="556"/>
      <c r="Q3" s="266" t="s">
        <v>221</v>
      </c>
      <c r="R3" s="266">
        <f ca="1">COUNTA(OFFSET($E$9,0,0,MATCH("民生・業務その他(オフィスビル)",$D:$D,0)-MATCH("民生・家庭(戸建住宅)",$D:$D,0)))</f>
        <v>0</v>
      </c>
      <c r="T3" s="266" t="s">
        <v>221</v>
      </c>
      <c r="U3" s="266">
        <f ca="1">COUNTIF($Y$9:$Y$49,"*?*")</f>
        <v>0</v>
      </c>
    </row>
    <row r="4" spans="1:27">
      <c r="A4" s="554"/>
      <c r="B4" s="555"/>
      <c r="C4" s="555"/>
      <c r="D4" s="555"/>
      <c r="E4" s="555"/>
      <c r="F4" s="555"/>
      <c r="G4" s="555"/>
      <c r="H4" s="555"/>
      <c r="I4" s="555"/>
      <c r="J4" s="556"/>
      <c r="K4" s="555"/>
      <c r="L4" s="555"/>
      <c r="M4" s="556"/>
      <c r="Q4" s="266" t="s">
        <v>222</v>
      </c>
      <c r="R4" s="266">
        <f ca="1">COUNTA(OFFSET($E$19,0,0,MATCH("公共(公共施設)",$D:$D,0)-MATCH("民生・業務その他(オフィスビル)",$D:$D,0)))</f>
        <v>0</v>
      </c>
      <c r="T4" s="266" t="s">
        <v>61</v>
      </c>
      <c r="U4" s="266">
        <f ca="1">COUNTIF($Z$9:$Z$49,"*?*")</f>
        <v>0</v>
      </c>
    </row>
    <row r="5" spans="1:27" ht="24" customHeight="1">
      <c r="B5" s="322"/>
      <c r="C5" s="322"/>
      <c r="D5" s="322"/>
      <c r="F5" s="322"/>
      <c r="G5" s="322"/>
      <c r="I5" s="322"/>
      <c r="J5" s="552"/>
      <c r="K5" s="322"/>
      <c r="L5" s="322"/>
      <c r="Q5" s="266" t="s">
        <v>223</v>
      </c>
      <c r="R5" s="266">
        <f ca="1">COUNTA(OFFSET($E$39,0,0,MATCH("合計",$D:$D,0)-MATCH("公共(公共施設)",$D:$D,0)))</f>
        <v>0</v>
      </c>
      <c r="T5" s="266" t="s">
        <v>63</v>
      </c>
      <c r="U5" s="266">
        <f ca="1">COUNTIF($AA$9:$AA$49,"*?*")</f>
        <v>0</v>
      </c>
    </row>
    <row r="6" spans="1:27" ht="16.5" customHeight="1">
      <c r="N6" s="322"/>
    </row>
    <row r="7" spans="1:27" ht="7" customHeight="1">
      <c r="B7" s="558"/>
      <c r="C7" s="235"/>
      <c r="D7" s="235"/>
      <c r="E7" s="559"/>
      <c r="F7" s="235"/>
      <c r="G7" s="235"/>
      <c r="H7" s="559"/>
      <c r="I7" s="235"/>
      <c r="J7" s="560"/>
      <c r="K7" s="235"/>
      <c r="L7" s="235"/>
      <c r="M7" s="561"/>
      <c r="N7" s="562"/>
    </row>
    <row r="8" spans="1:27" ht="53.25" customHeight="1">
      <c r="B8" s="563"/>
      <c r="C8" s="564" t="s">
        <v>0</v>
      </c>
      <c r="D8" s="564" t="s">
        <v>29</v>
      </c>
      <c r="E8" s="565" t="s">
        <v>30</v>
      </c>
      <c r="F8" s="564" t="s">
        <v>44</v>
      </c>
      <c r="G8" s="564" t="s">
        <v>31</v>
      </c>
      <c r="H8" s="566" t="s">
        <v>45</v>
      </c>
      <c r="I8" s="566" t="s">
        <v>46</v>
      </c>
      <c r="J8" s="566" t="s">
        <v>227</v>
      </c>
      <c r="K8" s="838" t="s">
        <v>84</v>
      </c>
      <c r="L8" s="946" t="s">
        <v>612</v>
      </c>
      <c r="M8" s="565" t="s">
        <v>159</v>
      </c>
      <c r="N8" s="567"/>
      <c r="Q8" s="568" t="s">
        <v>29</v>
      </c>
      <c r="R8" s="568" t="s">
        <v>305</v>
      </c>
      <c r="S8" s="568" t="s">
        <v>441</v>
      </c>
      <c r="T8" s="568" t="s">
        <v>185</v>
      </c>
      <c r="U8" s="568" t="s">
        <v>221</v>
      </c>
      <c r="V8" s="568" t="s">
        <v>444</v>
      </c>
      <c r="W8" s="568" t="s">
        <v>63</v>
      </c>
      <c r="X8" s="568" t="s">
        <v>374</v>
      </c>
      <c r="Y8" s="569" t="s">
        <v>488</v>
      </c>
      <c r="Z8" s="569" t="s">
        <v>489</v>
      </c>
      <c r="AA8" s="569" t="s">
        <v>490</v>
      </c>
    </row>
    <row r="9" spans="1:27">
      <c r="B9" s="563"/>
      <c r="C9" s="374">
        <v>1</v>
      </c>
      <c r="D9" s="570" t="s">
        <v>37</v>
      </c>
      <c r="E9" s="617"/>
      <c r="F9" s="618"/>
      <c r="G9" s="619"/>
      <c r="H9" s="620"/>
      <c r="I9" s="621"/>
      <c r="J9" s="622"/>
      <c r="K9" s="299" t="str">
        <f>IF(AND(COUNTBLANK($I9:$I14)=3,COUNTA($I9:$I14)=0),0,IF(SUM($I9:$I14)=0,"",SUM($I9:$I14)))</f>
        <v/>
      </c>
      <c r="L9" s="619"/>
      <c r="M9" s="709" t="str">
        <f t="shared" ref="M9:M10" ca="1" si="0">X9</f>
        <v/>
      </c>
      <c r="N9" s="567"/>
      <c r="Q9" s="571" t="s">
        <v>221</v>
      </c>
      <c r="R9" s="571">
        <f>ROW()-ROW($R$8)</f>
        <v>1</v>
      </c>
      <c r="S9" s="572" t="str">
        <f>IF(T9&lt;&gt;"//",COUNTA($T$9:$T9)-COUNTIF($T$9:$T9,"//"),"")</f>
        <v/>
      </c>
      <c r="T9" s="571" t="str">
        <f t="shared" ref="T9:T32" si="1">IF(E9="","//",E9)</f>
        <v>//</v>
      </c>
      <c r="U9" s="572" t="str">
        <f ca="1">_xlfn.IFNA(IF(OFFSET($Q$1,MATCH($R9,$S:$S,0)-1,0)&lt;&gt;U$8,"",IF(COUNTIF('4.2需要家合意形成状況(住宅)'!$D:$D,OFFSET($T$1,MATCH($R9,$S:$S,0)-1,0))=0,OFFSET($T$1,MATCH($R9,$S:$S,0)-1,0),"")),"")</f>
        <v/>
      </c>
      <c r="V9" s="572" t="str">
        <f ca="1">_xlfn.IFNA(IF(OFFSET($Q$1,MATCH($R9,$S:$S,0)-1,0)&lt;&gt;V$8,"",IF(COUNTIF('4.2需要家合意形成状況(民生・業務その他)'!$D:$D,OFFSET($T$1,MATCH($R9,$S:$S,0)-1,0))=0,OFFSET($T$1,MATCH($R9,$S:$S,0)-1,0),"")),"")</f>
        <v/>
      </c>
      <c r="W9" s="572" t="str">
        <f ca="1">_xlfn.IFNA(IF(OFFSET($Q$1,MATCH($R9,$S:$S,0)-1,0)&lt;&gt;W$8,"",IF(COUNTIF('4.2需要家合意形成状況(公共)'!$D:$D,OFFSET($T$1,MATCH($R9,$S:$S,0)-1,0))=0,OFFSET($T$1,MATCH($R9,$S:$S,0)-1,0),"")),"")</f>
        <v/>
      </c>
      <c r="X9" s="572" t="str" cm="1">
        <f t="array" aca="1" ref="X9" ca="1">_xlfn.IFNA(_xlfn.IFS($Q9="住宅",OFFSET('4.2需要家合意形成状況(住宅)'!$F$1,MATCH('4.2民生電力需要量'!$T9,'4.2需要家合意形成状況(住宅)'!$D:$D,0)+2,0),$Q9="業務その他",OFFSET('4.2需要家合意形成状況(民生・業務その他)'!$F$1,MATCH('4.2民生電力需要量'!$T9,'4.2需要家合意形成状況(民生・業務その他)'!$D:$D,0)+2,0),$Q9="公共",OFFSET('4.2需要家合意形成状況(公共)'!$F$1,MATCH('4.2民生電力需要量'!$T9,'4.2需要家合意形成状況(公共)'!$D:$D,0)+3,0)),"")</f>
        <v/>
      </c>
      <c r="Y9" s="408" t="str" cm="1">
        <f t="array" aca="1" ref="Y9" ca="1">IFERROR(_xlfn._xlws.FILTER(U$9:U$49,U$9:U$49&lt;&gt;""),"")</f>
        <v/>
      </c>
      <c r="Z9" s="408" t="str" cm="1">
        <f t="array" aca="1" ref="Z9" ca="1">IFERROR(_xlfn._xlws.FILTER(V$9:V$49,V$9:V$49&lt;&gt;""),"")</f>
        <v/>
      </c>
      <c r="AA9" s="408" t="str" cm="1">
        <f t="array" aca="1" ref="AA9" ca="1">IFERROR(_xlfn._xlws.FILTER(W$9:W$49,W$9:W$49&lt;&gt;""),"")</f>
        <v/>
      </c>
    </row>
    <row r="10" spans="1:27" s="429" customFormat="1" hidden="1">
      <c r="A10" s="427"/>
      <c r="B10" s="573"/>
      <c r="C10" s="574"/>
      <c r="D10" s="575"/>
      <c r="E10" s="602"/>
      <c r="F10" s="603"/>
      <c r="G10" s="603"/>
      <c r="H10" s="604"/>
      <c r="I10" s="605"/>
      <c r="J10" s="606"/>
      <c r="K10" s="576"/>
      <c r="L10" s="603"/>
      <c r="M10" s="623" t="str">
        <f t="shared" ca="1" si="0"/>
        <v/>
      </c>
      <c r="N10" s="577"/>
      <c r="O10" s="427"/>
      <c r="P10" s="578"/>
      <c r="Q10" s="579" t="s">
        <v>442</v>
      </c>
      <c r="R10" s="579">
        <f t="shared" ref="R10:R49" si="2">ROW()-ROW($R$8)</f>
        <v>2</v>
      </c>
      <c r="S10" s="580" t="str">
        <f>IF(T10&lt;&gt;"//",COUNTA($T$9:$T10)-COUNTIF($T$9:$T10,"//"),"")</f>
        <v/>
      </c>
      <c r="T10" s="579" t="str">
        <f t="shared" si="1"/>
        <v>//</v>
      </c>
      <c r="U10" s="580" t="str">
        <f ca="1">_xlfn.IFNA(IF(OFFSET($Q$1,MATCH($R10,$S:$S,0)-1,0)&lt;&gt;U$8,"",IF(COUNTIF('4.2需要家合意形成状況(住宅)'!$D:$D,OFFSET($T$1,MATCH($R10,$S:$S,0)-1,0))=0,OFFSET($T$1,MATCH($R10,$S:$S,0)-1,0),"")),"")</f>
        <v/>
      </c>
      <c r="V10" s="579" t="str">
        <f ca="1">_xlfn.IFNA(IF(OFFSET($Q$1,MATCH($R10,$S:$S,0)-1,0)&lt;&gt;V$8,"",IF(COUNTIF('4.2需要家合意形成状況(民生・業務その他)'!$D:$D,OFFSET($T$1,MATCH($R10,$S:$S,0)-1,0))=0,OFFSET($T$1,MATCH($R10,$S:$S,0)-1,0),"")),"")</f>
        <v/>
      </c>
      <c r="W10" s="579" t="str">
        <f ca="1">_xlfn.IFNA(IF(OFFSET($Q$1,MATCH($R10,$S:$S,0)-1,0)&lt;&gt;W$8,"",IF(COUNTIF('4.2需要家合意形成状況(公共)'!$D:$D,OFFSET($T$1,MATCH($R10,$S:$S,0)-1,0))=0,OFFSET($T$1,MATCH($R10,$S:$S,0)-1,0),"")),"")</f>
        <v/>
      </c>
      <c r="X10" s="580" t="str" cm="1">
        <f t="array" aca="1" ref="X10" ca="1">_xlfn.IFNA(_xlfn.IFS($Q10="住宅",OFFSET('4.2需要家合意形成状況(住宅)'!$F$1,MATCH('4.2民生電力需要量'!$T10,'4.2需要家合意形成状況(住宅)'!$D:$D,0)+2,0),$Q10="業務その他",OFFSET('4.2需要家合意形成状況(民生・業務その他)'!$F$1,MATCH('4.2民生電力需要量'!$T10,'4.2需要家合意形成状況(民生・業務その他)'!$D:$D,0)+2,0),$Q10="公共",OFFSET('4.2需要家合意形成状況(公共)'!$F$1,MATCH('4.2民生電力需要量'!$T10,'4.2需要家合意形成状況(公共)'!$D:$D,0)+3,0)),"")</f>
        <v/>
      </c>
      <c r="Y10" s="213"/>
      <c r="Z10" s="213"/>
      <c r="AA10" s="213"/>
    </row>
    <row r="11" spans="1:27" s="429" customFormat="1">
      <c r="A11" s="427"/>
      <c r="B11" s="573"/>
      <c r="C11" s="574" t="s">
        <v>580</v>
      </c>
      <c r="D11" s="575"/>
      <c r="E11" s="607"/>
      <c r="F11" s="608"/>
      <c r="G11" s="608"/>
      <c r="H11" s="609"/>
      <c r="I11" s="610"/>
      <c r="J11" s="611"/>
      <c r="K11" s="576"/>
      <c r="L11" s="608"/>
      <c r="M11" s="623" t="str">
        <f t="shared" ref="M11" ca="1" si="3">X11</f>
        <v/>
      </c>
      <c r="N11" s="577"/>
      <c r="O11" s="427"/>
      <c r="P11" s="578"/>
      <c r="Q11" s="579" t="s">
        <v>442</v>
      </c>
      <c r="R11" s="579">
        <f t="shared" si="2"/>
        <v>3</v>
      </c>
      <c r="S11" s="580" t="str">
        <f>IF(T11&lt;&gt;"//",COUNTA($T$9:$T11)-COUNTIF($T$9:$T11,"//"),"")</f>
        <v/>
      </c>
      <c r="T11" s="579" t="str">
        <f t="shared" si="1"/>
        <v>//</v>
      </c>
      <c r="U11" s="580" t="str">
        <f ca="1">_xlfn.IFNA(IF(OFFSET($Q$1,MATCH($R11,$S:$S,0)-1,0)&lt;&gt;U$8,"",IF(COUNTIF('4.2需要家合意形成状況(住宅)'!$D:$D,OFFSET($T$1,MATCH($R11,$S:$S,0)-1,0))=0,OFFSET($T$1,MATCH($R11,$S:$S,0)-1,0),"")),"")</f>
        <v/>
      </c>
      <c r="V11" s="579" t="str">
        <f ca="1">_xlfn.IFNA(IF(OFFSET($Q$1,MATCH($R11,$S:$S,0)-1,0)&lt;&gt;V$8,"",IF(COUNTIF('4.2需要家合意形成状況(民生・業務その他)'!$D:$D,OFFSET($T$1,MATCH($R11,$S:$S,0)-1,0))=0,OFFSET($T$1,MATCH($R11,$S:$S,0)-1,0),"")),"")</f>
        <v/>
      </c>
      <c r="W11" s="579" t="str">
        <f ca="1">_xlfn.IFNA(IF(OFFSET($Q$1,MATCH($R11,$S:$S,0)-1,0)&lt;&gt;W$8,"",IF(COUNTIF('4.2需要家合意形成状況(公共)'!$D:$D,OFFSET($T$1,MATCH($R11,$S:$S,0)-1,0))=0,OFFSET($T$1,MATCH($R11,$S:$S,0)-1,0),"")),"")</f>
        <v/>
      </c>
      <c r="X11" s="580" t="str" cm="1">
        <f t="array" aca="1" ref="X11" ca="1">_xlfn.IFNA(_xlfn.IFS($Q11="住宅",OFFSET('4.2需要家合意形成状況(住宅)'!$F$1,MATCH('4.2民生電力需要量'!$T11,'4.2需要家合意形成状況(住宅)'!$D:$D,0)+2,0),$Q11="業務その他",OFFSET('4.2需要家合意形成状況(民生・業務その他)'!$F$1,MATCH('4.2民生電力需要量'!$T11,'4.2需要家合意形成状況(民生・業務その他)'!$D:$D,0)+2,0),$Q11="公共",OFFSET('4.2需要家合意形成状況(公共)'!$F$1,MATCH('4.2民生電力需要量'!$T11,'4.2需要家合意形成状況(公共)'!$D:$D,0)+3,0)),"")</f>
        <v/>
      </c>
      <c r="Y11" s="213"/>
      <c r="Z11" s="213"/>
      <c r="AA11" s="213"/>
    </row>
    <row r="12" spans="1:27" s="429" customFormat="1">
      <c r="A12" s="427"/>
      <c r="B12" s="573"/>
      <c r="C12" s="574"/>
      <c r="D12" s="575"/>
      <c r="E12" s="607"/>
      <c r="F12" s="608"/>
      <c r="G12" s="608"/>
      <c r="H12" s="609"/>
      <c r="I12" s="610"/>
      <c r="J12" s="611"/>
      <c r="K12" s="576"/>
      <c r="L12" s="608"/>
      <c r="M12" s="623" t="str">
        <f t="shared" ref="M12:M48" ca="1" si="4">X12</f>
        <v/>
      </c>
      <c r="N12" s="577"/>
      <c r="O12" s="427"/>
      <c r="P12" s="578"/>
      <c r="Q12" s="579" t="s">
        <v>442</v>
      </c>
      <c r="R12" s="579">
        <f t="shared" si="2"/>
        <v>4</v>
      </c>
      <c r="S12" s="580" t="str">
        <f>IF(T12&lt;&gt;"//",COUNTA($T$9:$T12)-COUNTIF($T$9:$T12,"//"),"")</f>
        <v/>
      </c>
      <c r="T12" s="579" t="str">
        <f t="shared" si="1"/>
        <v>//</v>
      </c>
      <c r="U12" s="580" t="str">
        <f ca="1">_xlfn.IFNA(IF(OFFSET($Q$1,MATCH($R12,$S:$S,0)-1,0)&lt;&gt;U$8,"",IF(COUNTIF('4.2需要家合意形成状況(住宅)'!$D:$D,OFFSET($T$1,MATCH($R12,$S:$S,0)-1,0))=0,OFFSET($T$1,MATCH($R12,$S:$S,0)-1,0),"")),"")</f>
        <v/>
      </c>
      <c r="V12" s="579" t="str">
        <f ca="1">_xlfn.IFNA(IF(OFFSET($Q$1,MATCH($R12,$S:$S,0)-1,0)&lt;&gt;V$8,"",IF(COUNTIF('4.2需要家合意形成状況(民生・業務その他)'!$D:$D,OFFSET($T$1,MATCH($R12,$S:$S,0)-1,0))=0,OFFSET($T$1,MATCH($R12,$S:$S,0)-1,0),"")),"")</f>
        <v/>
      </c>
      <c r="W12" s="579" t="str">
        <f ca="1">_xlfn.IFNA(IF(OFFSET($Q$1,MATCH($R12,$S:$S,0)-1,0)&lt;&gt;W$8,"",IF(COUNTIF('4.2需要家合意形成状況(公共)'!$D:$D,OFFSET($T$1,MATCH($R12,$S:$S,0)-1,0))=0,OFFSET($T$1,MATCH($R12,$S:$S,0)-1,0),"")),"")</f>
        <v/>
      </c>
      <c r="X12" s="580" t="str" cm="1">
        <f t="array" aca="1" ref="X12" ca="1">_xlfn.IFNA(_xlfn.IFS($Q12="住宅",OFFSET('4.2需要家合意形成状況(住宅)'!$F$1,MATCH('4.2民生電力需要量'!$T12,'4.2需要家合意形成状況(住宅)'!$D:$D,0)+2,0),$Q12="業務その他",OFFSET('4.2需要家合意形成状況(民生・業務その他)'!$F$1,MATCH('4.2民生電力需要量'!$T12,'4.2需要家合意形成状況(民生・業務その他)'!$D:$D,0)+2,0),$Q12="公共",OFFSET('4.2需要家合意形成状況(公共)'!$F$1,MATCH('4.2民生電力需要量'!$T12,'4.2需要家合意形成状況(公共)'!$D:$D,0)+3,0)),"")</f>
        <v/>
      </c>
      <c r="Y12" s="213"/>
      <c r="Z12" s="213"/>
      <c r="AA12" s="213"/>
    </row>
    <row r="13" spans="1:27" s="429" customFormat="1">
      <c r="A13" s="427"/>
      <c r="B13" s="573"/>
      <c r="C13" s="574"/>
      <c r="D13" s="575"/>
      <c r="E13" s="607"/>
      <c r="F13" s="608"/>
      <c r="G13" s="608"/>
      <c r="H13" s="609"/>
      <c r="I13" s="610"/>
      <c r="J13" s="611"/>
      <c r="K13" s="576"/>
      <c r="L13" s="608"/>
      <c r="M13" s="623" t="str">
        <f t="shared" ca="1" si="4"/>
        <v/>
      </c>
      <c r="N13" s="577"/>
      <c r="O13" s="427"/>
      <c r="P13" s="578"/>
      <c r="Q13" s="579" t="s">
        <v>442</v>
      </c>
      <c r="R13" s="579">
        <f t="shared" si="2"/>
        <v>5</v>
      </c>
      <c r="S13" s="580" t="str">
        <f>IF(T13&lt;&gt;"//",COUNTA($T$9:$T13)-COUNTIF($T$9:$T13,"//"),"")</f>
        <v/>
      </c>
      <c r="T13" s="579" t="str">
        <f t="shared" si="1"/>
        <v>//</v>
      </c>
      <c r="U13" s="580" t="str">
        <f ca="1">_xlfn.IFNA(IF(OFFSET($Q$1,MATCH($R13,$S:$S,0)-1,0)&lt;&gt;U$8,"",IF(COUNTIF('4.2需要家合意形成状況(住宅)'!$D:$D,OFFSET($T$1,MATCH($R13,$S:$S,0)-1,0))=0,OFFSET($T$1,MATCH($R13,$S:$S,0)-1,0),"")),"")</f>
        <v/>
      </c>
      <c r="V13" s="579" t="str">
        <f ca="1">_xlfn.IFNA(IF(OFFSET($Q$1,MATCH($R13,$S:$S,0)-1,0)&lt;&gt;V$8,"",IF(COUNTIF('4.2需要家合意形成状況(民生・業務その他)'!$D:$D,OFFSET($T$1,MATCH($R13,$S:$S,0)-1,0))=0,OFFSET($T$1,MATCH($R13,$S:$S,0)-1,0),"")),"")</f>
        <v/>
      </c>
      <c r="W13" s="579" t="str">
        <f ca="1">_xlfn.IFNA(IF(OFFSET($Q$1,MATCH($R13,$S:$S,0)-1,0)&lt;&gt;W$8,"",IF(COUNTIF('4.2需要家合意形成状況(公共)'!$D:$D,OFFSET($T$1,MATCH($R13,$S:$S,0)-1,0))=0,OFFSET($T$1,MATCH($R13,$S:$S,0)-1,0),"")),"")</f>
        <v/>
      </c>
      <c r="X13" s="580" t="str" cm="1">
        <f t="array" aca="1" ref="X13" ca="1">_xlfn.IFNA(_xlfn.IFS($Q13="住宅",OFFSET('4.2需要家合意形成状況(住宅)'!$F$1,MATCH('4.2民生電力需要量'!$T13,'4.2需要家合意形成状況(住宅)'!$D:$D,0)+2,0),$Q13="業務その他",OFFSET('4.2需要家合意形成状況(民生・業務その他)'!$F$1,MATCH('4.2民生電力需要量'!$T13,'4.2需要家合意形成状況(民生・業務その他)'!$D:$D,0)+2,0),$Q13="公共",OFFSET('4.2需要家合意形成状況(公共)'!$F$1,MATCH('4.2民生電力需要量'!$T13,'4.2需要家合意形成状況(公共)'!$D:$D,0)+3,0)),"")</f>
        <v/>
      </c>
      <c r="Y13" s="213"/>
      <c r="Z13" s="213"/>
      <c r="AA13" s="213"/>
    </row>
    <row r="14" spans="1:27">
      <c r="B14" s="563"/>
      <c r="C14" s="581">
        <v>2</v>
      </c>
      <c r="D14" s="570" t="s">
        <v>38</v>
      </c>
      <c r="E14" s="617"/>
      <c r="F14" s="618"/>
      <c r="G14" s="619"/>
      <c r="H14" s="620"/>
      <c r="I14" s="621"/>
      <c r="J14" s="622"/>
      <c r="K14" s="299" t="str">
        <f>IF(AND(COUNTBLANK($I14:$I19)=3,COUNTA($I14:$I19)=0),0,IF(SUM($I14:$I19)=0,"",SUM($I14:$I19)))</f>
        <v/>
      </c>
      <c r="L14" s="619"/>
      <c r="M14" s="624"/>
      <c r="N14" s="567"/>
      <c r="Q14" s="571" t="s">
        <v>442</v>
      </c>
      <c r="R14" s="571">
        <f t="shared" si="2"/>
        <v>6</v>
      </c>
      <c r="S14" s="571" t="str">
        <f>IF(T14&lt;&gt;"//",COUNTA($T$9:$T14)-COUNTIF($T$9:$T14,"//"),"")</f>
        <v/>
      </c>
      <c r="T14" s="571" t="str">
        <f t="shared" si="1"/>
        <v>//</v>
      </c>
      <c r="U14" s="572" t="str">
        <f ca="1">_xlfn.IFNA(IF(OFFSET($Q$1,MATCH($R14,$S:$S,0)-1,0)&lt;&gt;U$8,"",IF(COUNTIF('4.2需要家合意形成状況(住宅)'!$D:$D,OFFSET($T$1,MATCH($R14,$S:$S,0)-1,0))=0,OFFSET($T$1,MATCH($R14,$S:$S,0)-1,0),"")),"")</f>
        <v/>
      </c>
      <c r="V14" s="571" t="str">
        <f ca="1">_xlfn.IFNA(IF(OFFSET($Q$1,MATCH($R14,$S:$S,0)-1,0)&lt;&gt;V$8,"",IF(COUNTIF('4.2需要家合意形成状況(民生・業務その他)'!$D:$D,OFFSET($T$1,MATCH($R14,$S:$S,0)-1,0))=0,OFFSET($T$1,MATCH($R14,$S:$S,0)-1,0),"")),"")</f>
        <v/>
      </c>
      <c r="W14" s="571" t="str">
        <f ca="1">_xlfn.IFNA(IF(OFFSET($Q$1,MATCH($R14,$S:$S,0)-1,0)&lt;&gt;W$8,"",IF(COUNTIF('4.2需要家合意形成状況(公共)'!$D:$D,OFFSET($T$1,MATCH($R14,$S:$S,0)-1,0))=0,OFFSET($T$1,MATCH($R14,$S:$S,0)-1,0),"")),"")</f>
        <v/>
      </c>
      <c r="X14" s="571" t="str" cm="1">
        <f t="array" aca="1" ref="X14" ca="1">_xlfn.IFNA(_xlfn.IFS($Q14="住宅",OFFSET('4.2需要家合意形成状況(住宅)'!$F$1,MATCH('4.2民生電力需要量'!$T14,'4.2需要家合意形成状況(住宅)'!$D:$D,0)+2,0),$Q14="業務その他",OFFSET('4.2需要家合意形成状況(民生・業務その他)'!$F$1,MATCH('4.2民生電力需要量'!$T14,'4.2需要家合意形成状況(民生・業務その他)'!$D:$D,0)+2,0),$Q14="公共",OFFSET('4.2需要家合意形成状況(公共)'!$F$1,MATCH('4.2民生電力需要量'!$T14,'4.2需要家合意形成状況(公共)'!$D:$D,0)+3,0)),"")</f>
        <v/>
      </c>
      <c r="Y14" s="408"/>
      <c r="Z14" s="408"/>
      <c r="AA14" s="408"/>
    </row>
    <row r="15" spans="1:27" s="429" customFormat="1" hidden="1">
      <c r="A15" s="427"/>
      <c r="B15" s="573"/>
      <c r="C15" s="574"/>
      <c r="D15" s="575"/>
      <c r="E15" s="602"/>
      <c r="F15" s="603"/>
      <c r="G15" s="603"/>
      <c r="H15" s="604"/>
      <c r="I15" s="605"/>
      <c r="J15" s="606"/>
      <c r="K15" s="576"/>
      <c r="L15" s="603"/>
      <c r="M15" s="623" t="str">
        <f t="shared" ca="1" si="4"/>
        <v/>
      </c>
      <c r="N15" s="577"/>
      <c r="O15" s="427"/>
      <c r="P15" s="578"/>
      <c r="Q15" s="579" t="s">
        <v>442</v>
      </c>
      <c r="R15" s="579">
        <f t="shared" si="2"/>
        <v>7</v>
      </c>
      <c r="S15" s="579" t="str">
        <f>IF(T15&lt;&gt;"//",COUNTA($T$9:$T15)-COUNTIF($T$9:$T15,"//"),"")</f>
        <v/>
      </c>
      <c r="T15" s="579" t="str">
        <f t="shared" si="1"/>
        <v>//</v>
      </c>
      <c r="U15" s="580" t="str">
        <f ca="1">_xlfn.IFNA(IF(OFFSET($Q$1,MATCH($R15,$S:$S,0)-1,0)&lt;&gt;U$8,"",IF(COUNTIF('4.2需要家合意形成状況(住宅)'!$D:$D,OFFSET($T$1,MATCH($R15,$S:$S,0)-1,0))=0,OFFSET($T$1,MATCH($R15,$S:$S,0)-1,0),"")),"")</f>
        <v/>
      </c>
      <c r="V15" s="579" t="str">
        <f ca="1">_xlfn.IFNA(IF(OFFSET($Q$1,MATCH($R15,$S:$S,0)-1,0)&lt;&gt;V$8,"",IF(COUNTIF('4.2需要家合意形成状況(民生・業務その他)'!$D:$D,OFFSET($T$1,MATCH($R15,$S:$S,0)-1,0))=0,OFFSET($T$1,MATCH($R15,$S:$S,0)-1,0),"")),"")</f>
        <v/>
      </c>
      <c r="W15" s="579" t="str">
        <f ca="1">_xlfn.IFNA(IF(OFFSET($Q$1,MATCH($R15,$S:$S,0)-1,0)&lt;&gt;W$8,"",IF(COUNTIF('4.2需要家合意形成状況(公共)'!$D:$D,OFFSET($T$1,MATCH($R15,$S:$S,0)-1,0))=0,OFFSET($T$1,MATCH($R15,$S:$S,0)-1,0),"")),"")</f>
        <v/>
      </c>
      <c r="X15" s="579" t="str" cm="1">
        <f t="array" aca="1" ref="X15" ca="1">_xlfn.IFNA(_xlfn.IFS($Q15="住宅",OFFSET('4.2需要家合意形成状況(住宅)'!$F$1,MATCH('4.2民生電力需要量'!$T15,'4.2需要家合意形成状況(住宅)'!$D:$D,0)+2,0),$Q15="業務その他",OFFSET('4.2需要家合意形成状況(民生・業務その他)'!$F$1,MATCH('4.2民生電力需要量'!$T15,'4.2需要家合意形成状況(民生・業務その他)'!$D:$D,0)+2,0),$Q15="公共",OFFSET('4.2需要家合意形成状況(公共)'!$F$1,MATCH('4.2民生電力需要量'!$T15,'4.2需要家合意形成状況(公共)'!$D:$D,0)+3,0)),"")</f>
        <v/>
      </c>
      <c r="Y15" s="213"/>
      <c r="Z15" s="213"/>
      <c r="AA15" s="213"/>
    </row>
    <row r="16" spans="1:27" s="429" customFormat="1">
      <c r="A16" s="427"/>
      <c r="B16" s="573"/>
      <c r="C16" s="574" t="s">
        <v>581</v>
      </c>
      <c r="D16" s="575"/>
      <c r="E16" s="607"/>
      <c r="F16" s="608"/>
      <c r="G16" s="608"/>
      <c r="H16" s="609"/>
      <c r="I16" s="610"/>
      <c r="J16" s="611"/>
      <c r="K16" s="576"/>
      <c r="L16" s="608"/>
      <c r="M16" s="623" t="str">
        <f t="shared" ref="M16" ca="1" si="5">X16</f>
        <v/>
      </c>
      <c r="N16" s="577"/>
      <c r="O16" s="427"/>
      <c r="P16" s="578"/>
      <c r="Q16" s="579" t="s">
        <v>442</v>
      </c>
      <c r="R16" s="579">
        <f t="shared" si="2"/>
        <v>8</v>
      </c>
      <c r="S16" s="579" t="str">
        <f>IF(T16&lt;&gt;"//",COUNTA($T$9:$T16)-COUNTIF($T$9:$T16,"//"),"")</f>
        <v/>
      </c>
      <c r="T16" s="579" t="str">
        <f t="shared" si="1"/>
        <v>//</v>
      </c>
      <c r="U16" s="580" t="str">
        <f ca="1">_xlfn.IFNA(IF(OFFSET($Q$1,MATCH($R16,$S:$S,0)-1,0)&lt;&gt;U$8,"",IF(COUNTIF('4.2需要家合意形成状況(住宅)'!$D:$D,OFFSET($T$1,MATCH($R16,$S:$S,0)-1,0))=0,OFFSET($T$1,MATCH($R16,$S:$S,0)-1,0),"")),"")</f>
        <v/>
      </c>
      <c r="V16" s="579" t="str">
        <f ca="1">_xlfn.IFNA(IF(OFFSET($Q$1,MATCH($R16,$S:$S,0)-1,0)&lt;&gt;V$8,"",IF(COUNTIF('4.2需要家合意形成状況(民生・業務その他)'!$D:$D,OFFSET($T$1,MATCH($R16,$S:$S,0)-1,0))=0,OFFSET($T$1,MATCH($R16,$S:$S,0)-1,0),"")),"")</f>
        <v/>
      </c>
      <c r="W16" s="579" t="str">
        <f ca="1">_xlfn.IFNA(IF(OFFSET($Q$1,MATCH($R16,$S:$S,0)-1,0)&lt;&gt;W$8,"",IF(COUNTIF('4.2需要家合意形成状況(公共)'!$D:$D,OFFSET($T$1,MATCH($R16,$S:$S,0)-1,0))=0,OFFSET($T$1,MATCH($R16,$S:$S,0)-1,0),"")),"")</f>
        <v/>
      </c>
      <c r="X16" s="579" t="str" cm="1">
        <f t="array" aca="1" ref="X16" ca="1">_xlfn.IFNA(_xlfn.IFS($Q16="住宅",OFFSET('4.2需要家合意形成状況(住宅)'!$F$1,MATCH('4.2民生電力需要量'!$T16,'4.2需要家合意形成状況(住宅)'!$D:$D,0)+2,0),$Q16="業務その他",OFFSET('4.2需要家合意形成状況(民生・業務その他)'!$F$1,MATCH('4.2民生電力需要量'!$T16,'4.2需要家合意形成状況(民生・業務その他)'!$D:$D,0)+2,0),$Q16="公共",OFFSET('4.2需要家合意形成状況(公共)'!$F$1,MATCH('4.2民生電力需要量'!$T16,'4.2需要家合意形成状況(公共)'!$D:$D,0)+3,0)),"")</f>
        <v/>
      </c>
      <c r="Y16" s="213"/>
      <c r="Z16" s="213"/>
      <c r="AA16" s="213"/>
    </row>
    <row r="17" spans="1:27" s="429" customFormat="1">
      <c r="A17" s="427"/>
      <c r="B17" s="573"/>
      <c r="C17" s="574"/>
      <c r="D17" s="575"/>
      <c r="E17" s="607"/>
      <c r="F17" s="608"/>
      <c r="G17" s="608"/>
      <c r="H17" s="609"/>
      <c r="I17" s="610"/>
      <c r="J17" s="611"/>
      <c r="K17" s="576"/>
      <c r="L17" s="608"/>
      <c r="M17" s="623" t="str">
        <f t="shared" ca="1" si="4"/>
        <v/>
      </c>
      <c r="N17" s="577"/>
      <c r="O17" s="427"/>
      <c r="P17" s="578"/>
      <c r="Q17" s="579" t="s">
        <v>442</v>
      </c>
      <c r="R17" s="579">
        <f t="shared" si="2"/>
        <v>9</v>
      </c>
      <c r="S17" s="579" t="str">
        <f>IF(T17&lt;&gt;"//",COUNTA($T$9:$T17)-COUNTIF($T$9:$T17,"//"),"")</f>
        <v/>
      </c>
      <c r="T17" s="579" t="str">
        <f t="shared" si="1"/>
        <v>//</v>
      </c>
      <c r="U17" s="580" t="str">
        <f ca="1">_xlfn.IFNA(IF(OFFSET($Q$1,MATCH($R17,$S:$S,0)-1,0)&lt;&gt;U$8,"",IF(COUNTIF('4.2需要家合意形成状況(住宅)'!$D:$D,OFFSET($T$1,MATCH($R17,$S:$S,0)-1,0))=0,OFFSET($T$1,MATCH($R17,$S:$S,0)-1,0),"")),"")</f>
        <v/>
      </c>
      <c r="V17" s="579" t="str">
        <f ca="1">_xlfn.IFNA(IF(OFFSET($Q$1,MATCH($R17,$S:$S,0)-1,0)&lt;&gt;V$8,"",IF(COUNTIF('4.2需要家合意形成状況(民生・業務その他)'!$D:$D,OFFSET($T$1,MATCH($R17,$S:$S,0)-1,0))=0,OFFSET($T$1,MATCH($R17,$S:$S,0)-1,0),"")),"")</f>
        <v/>
      </c>
      <c r="W17" s="579" t="str">
        <f ca="1">_xlfn.IFNA(IF(OFFSET($Q$1,MATCH($R17,$S:$S,0)-1,0)&lt;&gt;W$8,"",IF(COUNTIF('4.2需要家合意形成状況(公共)'!$D:$D,OFFSET($T$1,MATCH($R17,$S:$S,0)-1,0))=0,OFFSET($T$1,MATCH($R17,$S:$S,0)-1,0),"")),"")</f>
        <v/>
      </c>
      <c r="X17" s="579" t="str" cm="1">
        <f t="array" aca="1" ref="X17" ca="1">_xlfn.IFNA(_xlfn.IFS($Q17="住宅",OFFSET('4.2需要家合意形成状況(住宅)'!$F$1,MATCH('4.2民生電力需要量'!$T17,'4.2需要家合意形成状況(住宅)'!$D:$D,0)+2,0),$Q17="業務その他",OFFSET('4.2需要家合意形成状況(民生・業務その他)'!$F$1,MATCH('4.2民生電力需要量'!$T17,'4.2需要家合意形成状況(民生・業務その他)'!$D:$D,0)+2,0),$Q17="公共",OFFSET('4.2需要家合意形成状況(公共)'!$F$1,MATCH('4.2民生電力需要量'!$T17,'4.2需要家合意形成状況(公共)'!$D:$D,0)+3,0)),"")</f>
        <v/>
      </c>
      <c r="Y17" s="213"/>
      <c r="Z17" s="213"/>
      <c r="AA17" s="213"/>
    </row>
    <row r="18" spans="1:27" s="429" customFormat="1">
      <c r="A18" s="427"/>
      <c r="B18" s="573"/>
      <c r="C18" s="574"/>
      <c r="D18" s="575"/>
      <c r="E18" s="607"/>
      <c r="F18" s="608"/>
      <c r="G18" s="608"/>
      <c r="H18" s="609"/>
      <c r="I18" s="610"/>
      <c r="J18" s="611"/>
      <c r="K18" s="576"/>
      <c r="L18" s="608"/>
      <c r="M18" s="623" t="str">
        <f t="shared" ca="1" si="4"/>
        <v/>
      </c>
      <c r="N18" s="577"/>
      <c r="O18" s="427"/>
      <c r="P18" s="578"/>
      <c r="Q18" s="579" t="s">
        <v>442</v>
      </c>
      <c r="R18" s="579">
        <f t="shared" si="2"/>
        <v>10</v>
      </c>
      <c r="S18" s="579" t="str">
        <f>IF(T18&lt;&gt;"//",COUNTA($T$9:$T18)-COUNTIF($T$9:$T18,"//"),"")</f>
        <v/>
      </c>
      <c r="T18" s="579" t="str">
        <f t="shared" si="1"/>
        <v>//</v>
      </c>
      <c r="U18" s="580" t="str">
        <f ca="1">_xlfn.IFNA(IF(OFFSET($Q$1,MATCH($R18,$S:$S,0)-1,0)&lt;&gt;U$8,"",IF(COUNTIF('4.2需要家合意形成状況(住宅)'!$D:$D,OFFSET($T$1,MATCH($R18,$S:$S,0)-1,0))=0,OFFSET($T$1,MATCH($R18,$S:$S,0)-1,0),"")),"")</f>
        <v/>
      </c>
      <c r="V18" s="579" t="str">
        <f ca="1">_xlfn.IFNA(IF(OFFSET($Q$1,MATCH($R18,$S:$S,0)-1,0)&lt;&gt;V$8,"",IF(COUNTIF('4.2需要家合意形成状況(民生・業務その他)'!$D:$D,OFFSET($T$1,MATCH($R18,$S:$S,0)-1,0))=0,OFFSET($T$1,MATCH($R18,$S:$S,0)-1,0),"")),"")</f>
        <v/>
      </c>
      <c r="W18" s="579" t="str">
        <f ca="1">_xlfn.IFNA(IF(OFFSET($Q$1,MATCH($R18,$S:$S,0)-1,0)&lt;&gt;W$8,"",IF(COUNTIF('4.2需要家合意形成状況(公共)'!$D:$D,OFFSET($T$1,MATCH($R18,$S:$S,0)-1,0))=0,OFFSET($T$1,MATCH($R18,$S:$S,0)-1,0),"")),"")</f>
        <v/>
      </c>
      <c r="X18" s="579" t="str" cm="1">
        <f t="array" aca="1" ref="X18" ca="1">_xlfn.IFNA(_xlfn.IFS($Q18="住宅",OFFSET('4.2需要家合意形成状況(住宅)'!$F$1,MATCH('4.2民生電力需要量'!$T18,'4.2需要家合意形成状況(住宅)'!$D:$D,0)+2,0),$Q18="業務その他",OFFSET('4.2需要家合意形成状況(民生・業務その他)'!$F$1,MATCH('4.2民生電力需要量'!$T18,'4.2需要家合意形成状況(民生・業務その他)'!$D:$D,0)+2,0),$Q18="公共",OFFSET('4.2需要家合意形成状況(公共)'!$F$1,MATCH('4.2民生電力需要量'!$T18,'4.2需要家合意形成状況(公共)'!$D:$D,0)+3,0)),"")</f>
        <v/>
      </c>
      <c r="Y18" s="213"/>
      <c r="Z18" s="213"/>
      <c r="AA18" s="213"/>
    </row>
    <row r="19" spans="1:27">
      <c r="A19" s="554"/>
      <c r="B19" s="582"/>
      <c r="C19" s="583">
        <v>3</v>
      </c>
      <c r="D19" s="570" t="s">
        <v>39</v>
      </c>
      <c r="E19" s="617"/>
      <c r="F19" s="618"/>
      <c r="G19" s="619"/>
      <c r="H19" s="620"/>
      <c r="I19" s="621"/>
      <c r="J19" s="622"/>
      <c r="K19" s="299" t="str">
        <f>IF(AND(COUNTBLANK($I19:$I24)=3,COUNTA($I19:$I24)=0),0,IF(SUM($I19:$I24)=0,"",SUM($I19:$I24)))</f>
        <v/>
      </c>
      <c r="L19" s="619"/>
      <c r="M19" s="624"/>
      <c r="N19" s="567"/>
      <c r="O19" s="554"/>
      <c r="Q19" s="571" t="s">
        <v>444</v>
      </c>
      <c r="R19" s="571">
        <f t="shared" si="2"/>
        <v>11</v>
      </c>
      <c r="S19" s="571" t="str">
        <f>IF(T19&lt;&gt;"//",COUNTA($T$9:$T19)-COUNTIF($T$9:$T19,"//"),"")</f>
        <v/>
      </c>
      <c r="T19" s="571" t="str">
        <f t="shared" si="1"/>
        <v>//</v>
      </c>
      <c r="U19" s="572" t="str">
        <f ca="1">_xlfn.IFNA(IF(OFFSET($Q$1,MATCH($R19,$S:$S,0)-1,0)&lt;&gt;U$8,"",IF(COUNTIF('4.2需要家合意形成状況(住宅)'!$D:$D,OFFSET($T$1,MATCH($R19,$S:$S,0)-1,0))=0,OFFSET($T$1,MATCH($R19,$S:$S,0)-1,0),"")),"")</f>
        <v/>
      </c>
      <c r="V19" s="571" t="str">
        <f ca="1">_xlfn.IFNA(IF(OFFSET($Q$1,MATCH($R19,$S:$S,0)-1,0)&lt;&gt;V$8,"",IF(COUNTIF('4.2需要家合意形成状況(民生・業務その他)'!$D:$D,OFFSET($T$1,MATCH($R19,$S:$S,0)-1,0))=0,OFFSET($T$1,MATCH($R19,$S:$S,0)-1,0),"")),"")</f>
        <v/>
      </c>
      <c r="W19" s="571" t="str">
        <f ca="1">_xlfn.IFNA(IF(OFFSET($Q$1,MATCH($R19,$S:$S,0)-1,0)&lt;&gt;W$8,"",IF(COUNTIF('4.2需要家合意形成状況(公共)'!$D:$D,OFFSET($T$1,MATCH($R19,$S:$S,0)-1,0))=0,OFFSET($T$1,MATCH($R19,$S:$S,0)-1,0),"")),"")</f>
        <v/>
      </c>
      <c r="X19" s="571" t="str" cm="1">
        <f t="array" aca="1" ref="X19" ca="1">_xlfn.IFNA(_xlfn.IFS($Q19="住宅",OFFSET('4.2需要家合意形成状況(住宅)'!$F$1,MATCH('4.2民生電力需要量'!$T19,'4.2需要家合意形成状況(住宅)'!$D:$D,0)+2,0),$Q19="業務その他",OFFSET('4.2需要家合意形成状況(民生・業務その他)'!$F$1,MATCH('4.2民生電力需要量'!$T19,'4.2需要家合意形成状況(民生・業務その他)'!$D:$D,0)+2,0),$Q19="公共",OFFSET('4.2需要家合意形成状況(公共)'!$F$1,MATCH('4.2民生電力需要量'!$T19,'4.2需要家合意形成状況(公共)'!$D:$D,0)+3,0)),"")</f>
        <v/>
      </c>
      <c r="Y19" s="408"/>
      <c r="Z19" s="408"/>
      <c r="AA19" s="408"/>
    </row>
    <row r="20" spans="1:27" s="429" customFormat="1" hidden="1">
      <c r="A20" s="584"/>
      <c r="B20" s="585"/>
      <c r="C20" s="586"/>
      <c r="D20" s="575"/>
      <c r="E20" s="602"/>
      <c r="F20" s="603"/>
      <c r="G20" s="603"/>
      <c r="H20" s="604"/>
      <c r="I20" s="605"/>
      <c r="J20" s="606"/>
      <c r="K20" s="576"/>
      <c r="L20" s="603"/>
      <c r="M20" s="623" t="str">
        <f t="shared" ca="1" si="4"/>
        <v/>
      </c>
      <c r="N20" s="577"/>
      <c r="O20" s="584"/>
      <c r="P20" s="578"/>
      <c r="Q20" s="579" t="s">
        <v>443</v>
      </c>
      <c r="R20" s="579">
        <f t="shared" si="2"/>
        <v>12</v>
      </c>
      <c r="S20" s="579" t="str">
        <f>IF(T20&lt;&gt;"//",COUNTA($T$9:$T20)-COUNTIF($T$9:$T20,"//"),"")</f>
        <v/>
      </c>
      <c r="T20" s="579" t="str">
        <f t="shared" si="1"/>
        <v>//</v>
      </c>
      <c r="U20" s="580" t="str">
        <f ca="1">_xlfn.IFNA(IF(OFFSET($Q$1,MATCH($R20,$S:$S,0)-1,0)&lt;&gt;U$8,"",IF(COUNTIF('4.2需要家合意形成状況(住宅)'!$D:$D,OFFSET($T$1,MATCH($R20,$S:$S,0)-1,0))=0,OFFSET($T$1,MATCH($R20,$S:$S,0)-1,0),"")),"")</f>
        <v/>
      </c>
      <c r="V20" s="579" t="str">
        <f ca="1">_xlfn.IFNA(IF(OFFSET($Q$1,MATCH($R20,$S:$S,0)-1,0)&lt;&gt;V$8,"",IF(COUNTIF('4.2需要家合意形成状況(民生・業務その他)'!$D:$D,OFFSET($T$1,MATCH($R20,$S:$S,0)-1,0))=0,OFFSET($T$1,MATCH($R20,$S:$S,0)-1,0),"")),"")</f>
        <v/>
      </c>
      <c r="W20" s="579" t="str">
        <f ca="1">_xlfn.IFNA(IF(OFFSET($Q$1,MATCH($R20,$S:$S,0)-1,0)&lt;&gt;W$8,"",IF(COUNTIF('4.2需要家合意形成状況(公共)'!$D:$D,OFFSET($T$1,MATCH($R20,$S:$S,0)-1,0))=0,OFFSET($T$1,MATCH($R20,$S:$S,0)-1,0),"")),"")</f>
        <v/>
      </c>
      <c r="X20" s="579" t="str" cm="1">
        <f t="array" aca="1" ref="X20" ca="1">_xlfn.IFNA(_xlfn.IFS($Q20="住宅",OFFSET('4.2需要家合意形成状況(住宅)'!$F$1,MATCH('4.2民生電力需要量'!$T20,'4.2需要家合意形成状況(住宅)'!$D:$D,0)+2,0),$Q20="業務その他",OFFSET('4.2需要家合意形成状況(民生・業務その他)'!$F$1,MATCH('4.2民生電力需要量'!$T20,'4.2需要家合意形成状況(民生・業務その他)'!$D:$D,0)+2,0),$Q20="公共",OFFSET('4.2需要家合意形成状況(公共)'!$F$1,MATCH('4.2民生電力需要量'!$T20,'4.2需要家合意形成状況(公共)'!$D:$D,0)+3,0)),"")</f>
        <v/>
      </c>
      <c r="Y20" s="213"/>
      <c r="Z20" s="213"/>
      <c r="AA20" s="213"/>
    </row>
    <row r="21" spans="1:27" s="429" customFormat="1">
      <c r="A21" s="584"/>
      <c r="B21" s="585"/>
      <c r="C21" s="586" t="s">
        <v>582</v>
      </c>
      <c r="D21" s="575"/>
      <c r="E21" s="607"/>
      <c r="F21" s="608"/>
      <c r="G21" s="608"/>
      <c r="H21" s="609"/>
      <c r="I21" s="610"/>
      <c r="J21" s="611"/>
      <c r="K21" s="576"/>
      <c r="L21" s="608"/>
      <c r="M21" s="623" t="str">
        <f t="shared" ca="1" si="4"/>
        <v/>
      </c>
      <c r="N21" s="577"/>
      <c r="O21" s="584"/>
      <c r="P21" s="578"/>
      <c r="Q21" s="579" t="s">
        <v>443</v>
      </c>
      <c r="R21" s="579">
        <f t="shared" si="2"/>
        <v>13</v>
      </c>
      <c r="S21" s="579" t="str">
        <f>IF(T21&lt;&gt;"//",COUNTA($T$9:$T21)-COUNTIF($T$9:$T21,"//"),"")</f>
        <v/>
      </c>
      <c r="T21" s="579" t="str">
        <f t="shared" si="1"/>
        <v>//</v>
      </c>
      <c r="U21" s="580" t="str">
        <f ca="1">_xlfn.IFNA(IF(OFFSET($Q$1,MATCH($R21,$S:$S,0)-1,0)&lt;&gt;U$8,"",IF(COUNTIF('4.2需要家合意形成状況(住宅)'!$D:$D,OFFSET($T$1,MATCH($R21,$S:$S,0)-1,0))=0,OFFSET($T$1,MATCH($R21,$S:$S,0)-1,0),"")),"")</f>
        <v/>
      </c>
      <c r="V21" s="579" t="str">
        <f ca="1">_xlfn.IFNA(IF(OFFSET($Q$1,MATCH($R21,$S:$S,0)-1,0)&lt;&gt;V$8,"",IF(COUNTIF('4.2需要家合意形成状況(民生・業務その他)'!$D:$D,OFFSET($T$1,MATCH($R21,$S:$S,0)-1,0))=0,OFFSET($T$1,MATCH($R21,$S:$S,0)-1,0),"")),"")</f>
        <v/>
      </c>
      <c r="W21" s="579" t="str">
        <f ca="1">_xlfn.IFNA(IF(OFFSET($Q$1,MATCH($R21,$S:$S,0)-1,0)&lt;&gt;W$8,"",IF(COUNTIF('4.2需要家合意形成状況(公共)'!$D:$D,OFFSET($T$1,MATCH($R21,$S:$S,0)-1,0))=0,OFFSET($T$1,MATCH($R21,$S:$S,0)-1,0),"")),"")</f>
        <v/>
      </c>
      <c r="X21" s="579" t="str" cm="1">
        <f t="array" aca="1" ref="X21" ca="1">_xlfn.IFNA(_xlfn.IFS($Q21="住宅",OFFSET('4.2需要家合意形成状況(住宅)'!$F$1,MATCH('4.2民生電力需要量'!$T21,'4.2需要家合意形成状況(住宅)'!$D:$D,0)+2,0),$Q21="業務その他",OFFSET('4.2需要家合意形成状況(民生・業務その他)'!$F$1,MATCH('4.2民生電力需要量'!$T21,'4.2需要家合意形成状況(民生・業務その他)'!$D:$D,0)+2,0),$Q21="公共",OFFSET('4.2需要家合意形成状況(公共)'!$F$1,MATCH('4.2民生電力需要量'!$T21,'4.2需要家合意形成状況(公共)'!$D:$D,0)+3,0)),"")</f>
        <v/>
      </c>
      <c r="Y21" s="213"/>
      <c r="Z21" s="213"/>
      <c r="AA21" s="213"/>
    </row>
    <row r="22" spans="1:27" s="429" customFormat="1">
      <c r="A22" s="584"/>
      <c r="B22" s="585"/>
      <c r="C22" s="586"/>
      <c r="D22" s="575"/>
      <c r="E22" s="607"/>
      <c r="F22" s="608"/>
      <c r="G22" s="608"/>
      <c r="H22" s="609"/>
      <c r="I22" s="610"/>
      <c r="J22" s="611"/>
      <c r="K22" s="576"/>
      <c r="L22" s="608"/>
      <c r="M22" s="623" t="str">
        <f t="shared" ref="M22" ca="1" si="6">X22</f>
        <v/>
      </c>
      <c r="N22" s="577"/>
      <c r="O22" s="584"/>
      <c r="P22" s="578"/>
      <c r="Q22" s="579" t="s">
        <v>443</v>
      </c>
      <c r="R22" s="579">
        <f t="shared" si="2"/>
        <v>14</v>
      </c>
      <c r="S22" s="579" t="str">
        <f>IF(T22&lt;&gt;"//",COUNTA($T$9:$T22)-COUNTIF($T$9:$T22,"//"),"")</f>
        <v/>
      </c>
      <c r="T22" s="579" t="str">
        <f t="shared" si="1"/>
        <v>//</v>
      </c>
      <c r="U22" s="580" t="str">
        <f ca="1">_xlfn.IFNA(IF(OFFSET($Q$1,MATCH($R22,$S:$S,0)-1,0)&lt;&gt;U$8,"",IF(COUNTIF('4.2需要家合意形成状況(住宅)'!$D:$D,OFFSET($T$1,MATCH($R22,$S:$S,0)-1,0))=0,OFFSET($T$1,MATCH($R22,$S:$S,0)-1,0),"")),"")</f>
        <v/>
      </c>
      <c r="V22" s="579" t="str">
        <f ca="1">_xlfn.IFNA(IF(OFFSET($Q$1,MATCH($R22,$S:$S,0)-1,0)&lt;&gt;V$8,"",IF(COUNTIF('4.2需要家合意形成状況(民生・業務その他)'!$D:$D,OFFSET($T$1,MATCH($R22,$S:$S,0)-1,0))=0,OFFSET($T$1,MATCH($R22,$S:$S,0)-1,0),"")),"")</f>
        <v/>
      </c>
      <c r="W22" s="579" t="str">
        <f ca="1">_xlfn.IFNA(IF(OFFSET($Q$1,MATCH($R22,$S:$S,0)-1,0)&lt;&gt;W$8,"",IF(COUNTIF('4.2需要家合意形成状況(公共)'!$D:$D,OFFSET($T$1,MATCH($R22,$S:$S,0)-1,0))=0,OFFSET($T$1,MATCH($R22,$S:$S,0)-1,0),"")),"")</f>
        <v/>
      </c>
      <c r="X22" s="579" t="str" cm="1">
        <f t="array" aca="1" ref="X22" ca="1">_xlfn.IFNA(_xlfn.IFS($Q22="住宅",OFFSET('4.2需要家合意形成状況(住宅)'!$F$1,MATCH('4.2民生電力需要量'!$T22,'4.2需要家合意形成状況(住宅)'!$D:$D,0)+2,0),$Q22="業務その他",OFFSET('4.2需要家合意形成状況(民生・業務その他)'!$F$1,MATCH('4.2民生電力需要量'!$T22,'4.2需要家合意形成状況(民生・業務その他)'!$D:$D,0)+2,0),$Q22="公共",OFFSET('4.2需要家合意形成状況(公共)'!$F$1,MATCH('4.2民生電力需要量'!$T22,'4.2需要家合意形成状況(公共)'!$D:$D,0)+3,0)),"")</f>
        <v/>
      </c>
      <c r="Y22" s="213"/>
      <c r="Z22" s="213"/>
      <c r="AA22" s="213"/>
    </row>
    <row r="23" spans="1:27" s="429" customFormat="1">
      <c r="A23" s="584"/>
      <c r="B23" s="585"/>
      <c r="C23" s="586"/>
      <c r="D23" s="575"/>
      <c r="E23" s="607"/>
      <c r="F23" s="608"/>
      <c r="G23" s="608"/>
      <c r="H23" s="609"/>
      <c r="I23" s="610"/>
      <c r="J23" s="611"/>
      <c r="K23" s="576"/>
      <c r="L23" s="608"/>
      <c r="M23" s="623" t="str">
        <f t="shared" ca="1" si="4"/>
        <v/>
      </c>
      <c r="N23" s="577"/>
      <c r="O23" s="584"/>
      <c r="P23" s="578"/>
      <c r="Q23" s="579" t="s">
        <v>443</v>
      </c>
      <c r="R23" s="579">
        <f t="shared" si="2"/>
        <v>15</v>
      </c>
      <c r="S23" s="579" t="str">
        <f>IF(T23&lt;&gt;"//",COUNTA($T$9:$T23)-COUNTIF($T$9:$T23,"//"),"")</f>
        <v/>
      </c>
      <c r="T23" s="579" t="str">
        <f t="shared" si="1"/>
        <v>//</v>
      </c>
      <c r="U23" s="580" t="str">
        <f ca="1">_xlfn.IFNA(IF(OFFSET($Q$1,MATCH($R23,$S:$S,0)-1,0)&lt;&gt;U$8,"",IF(COUNTIF('4.2需要家合意形成状況(住宅)'!$D:$D,OFFSET($T$1,MATCH($R23,$S:$S,0)-1,0))=0,OFFSET($T$1,MATCH($R23,$S:$S,0)-1,0),"")),"")</f>
        <v/>
      </c>
      <c r="V23" s="579" t="str">
        <f ca="1">_xlfn.IFNA(IF(OFFSET($Q$1,MATCH($R23,$S:$S,0)-1,0)&lt;&gt;V$8,"",IF(COUNTIF('4.2需要家合意形成状況(民生・業務その他)'!$D:$D,OFFSET($T$1,MATCH($R23,$S:$S,0)-1,0))=0,OFFSET($T$1,MATCH($R23,$S:$S,0)-1,0),"")),"")</f>
        <v/>
      </c>
      <c r="W23" s="579" t="str">
        <f ca="1">_xlfn.IFNA(IF(OFFSET($Q$1,MATCH($R23,$S:$S,0)-1,0)&lt;&gt;W$8,"",IF(COUNTIF('4.2需要家合意形成状況(公共)'!$D:$D,OFFSET($T$1,MATCH($R23,$S:$S,0)-1,0))=0,OFFSET($T$1,MATCH($R23,$S:$S,0)-1,0),"")),"")</f>
        <v/>
      </c>
      <c r="X23" s="579" t="str" cm="1">
        <f t="array" aca="1" ref="X23" ca="1">_xlfn.IFNA(_xlfn.IFS($Q23="住宅",OFFSET('4.2需要家合意形成状況(住宅)'!$F$1,MATCH('4.2民生電力需要量'!$T23,'4.2需要家合意形成状況(住宅)'!$D:$D,0)+2,0),$Q23="業務その他",OFFSET('4.2需要家合意形成状況(民生・業務その他)'!$F$1,MATCH('4.2民生電力需要量'!$T23,'4.2需要家合意形成状況(民生・業務その他)'!$D:$D,0)+2,0),$Q23="公共",OFFSET('4.2需要家合意形成状況(公共)'!$F$1,MATCH('4.2民生電力需要量'!$T23,'4.2需要家合意形成状況(公共)'!$D:$D,0)+3,0)),"")</f>
        <v/>
      </c>
      <c r="Y23" s="213"/>
      <c r="Z23" s="213"/>
      <c r="AA23" s="213"/>
    </row>
    <row r="24" spans="1:27">
      <c r="A24" s="554"/>
      <c r="B24" s="582"/>
      <c r="C24" s="583">
        <v>4</v>
      </c>
      <c r="D24" s="570" t="s">
        <v>40</v>
      </c>
      <c r="E24" s="617"/>
      <c r="F24" s="618"/>
      <c r="G24" s="619"/>
      <c r="H24" s="620"/>
      <c r="I24" s="621"/>
      <c r="J24" s="622"/>
      <c r="K24" s="299" t="str">
        <f>IF(AND(COUNTBLANK($I24:$I29)=3,COUNTA($I24:$I29)=0),0,IF(SUM($I24:$I29)=0,"",SUM($I24:$I29)))</f>
        <v/>
      </c>
      <c r="L24" s="619"/>
      <c r="M24" s="624"/>
      <c r="N24" s="567"/>
      <c r="O24" s="554"/>
      <c r="Q24" s="571" t="s">
        <v>443</v>
      </c>
      <c r="R24" s="571">
        <f t="shared" si="2"/>
        <v>16</v>
      </c>
      <c r="S24" s="571" t="str">
        <f>IF(T24&lt;&gt;"//",COUNTA($T$9:$T24)-COUNTIF($T$9:$T24,"//"),"")</f>
        <v/>
      </c>
      <c r="T24" s="571" t="str">
        <f t="shared" si="1"/>
        <v>//</v>
      </c>
      <c r="U24" s="572" t="str">
        <f ca="1">_xlfn.IFNA(IF(OFFSET($Q$1,MATCH($R24,$S:$S,0)-1,0)&lt;&gt;U$8,"",IF(COUNTIF('4.2需要家合意形成状況(住宅)'!$D:$D,OFFSET($T$1,MATCH($R24,$S:$S,0)-1,0))=0,OFFSET($T$1,MATCH($R24,$S:$S,0)-1,0),"")),"")</f>
        <v/>
      </c>
      <c r="V24" s="571" t="str">
        <f ca="1">_xlfn.IFNA(IF(OFFSET($Q$1,MATCH($R24,$S:$S,0)-1,0)&lt;&gt;V$8,"",IF(COUNTIF('4.2需要家合意形成状況(民生・業務その他)'!$D:$D,OFFSET($T$1,MATCH($R24,$S:$S,0)-1,0))=0,OFFSET($T$1,MATCH($R24,$S:$S,0)-1,0),"")),"")</f>
        <v/>
      </c>
      <c r="W24" s="571" t="str">
        <f ca="1">_xlfn.IFNA(IF(OFFSET($Q$1,MATCH($R24,$S:$S,0)-1,0)&lt;&gt;W$8,"",IF(COUNTIF('4.2需要家合意形成状況(公共)'!$D:$D,OFFSET($T$1,MATCH($R24,$S:$S,0)-1,0))=0,OFFSET($T$1,MATCH($R24,$S:$S,0)-1,0),"")),"")</f>
        <v/>
      </c>
      <c r="X24" s="571" t="str" cm="1">
        <f t="array" aca="1" ref="X24" ca="1">_xlfn.IFNA(_xlfn.IFS($Q24="住宅",OFFSET('4.2需要家合意形成状況(住宅)'!$F$1,MATCH('4.2民生電力需要量'!$T24,'4.2需要家合意形成状況(住宅)'!$D:$D,0)+2,0),$Q24="業務その他",OFFSET('4.2需要家合意形成状況(民生・業務その他)'!$F$1,MATCH('4.2民生電力需要量'!$T24,'4.2需要家合意形成状況(民生・業務その他)'!$D:$D,0)+2,0),$Q24="公共",OFFSET('4.2需要家合意形成状況(公共)'!$F$1,MATCH('4.2民生電力需要量'!$T24,'4.2需要家合意形成状況(公共)'!$D:$D,0)+3,0)),"")</f>
        <v/>
      </c>
      <c r="Y24" s="408"/>
      <c r="Z24" s="408"/>
      <c r="AA24" s="408"/>
    </row>
    <row r="25" spans="1:27" s="429" customFormat="1" hidden="1">
      <c r="A25" s="584"/>
      <c r="B25" s="585"/>
      <c r="C25" s="586"/>
      <c r="D25" s="575"/>
      <c r="E25" s="602"/>
      <c r="F25" s="603"/>
      <c r="G25" s="603"/>
      <c r="H25" s="604"/>
      <c r="I25" s="605"/>
      <c r="J25" s="606"/>
      <c r="K25" s="576"/>
      <c r="L25" s="603"/>
      <c r="M25" s="623" t="str">
        <f t="shared" ca="1" si="4"/>
        <v/>
      </c>
      <c r="N25" s="577"/>
      <c r="O25" s="584"/>
      <c r="P25" s="578"/>
      <c r="Q25" s="579" t="s">
        <v>443</v>
      </c>
      <c r="R25" s="579">
        <f t="shared" si="2"/>
        <v>17</v>
      </c>
      <c r="S25" s="579" t="str">
        <f>IF(T25&lt;&gt;"//",COUNTA($T$9:$T25)-COUNTIF($T$9:$T25,"//"),"")</f>
        <v/>
      </c>
      <c r="T25" s="579" t="str">
        <f t="shared" si="1"/>
        <v>//</v>
      </c>
      <c r="U25" s="580" t="str">
        <f ca="1">_xlfn.IFNA(IF(OFFSET($Q$1,MATCH($R25,$S:$S,0)-1,0)&lt;&gt;U$8,"",IF(COUNTIF('4.2需要家合意形成状況(住宅)'!$D:$D,OFFSET($T$1,MATCH($R25,$S:$S,0)-1,0))=0,OFFSET($T$1,MATCH($R25,$S:$S,0)-1,0),"")),"")</f>
        <v/>
      </c>
      <c r="V25" s="579" t="str">
        <f ca="1">_xlfn.IFNA(IF(OFFSET($Q$1,MATCH($R25,$S:$S,0)-1,0)&lt;&gt;V$8,"",IF(COUNTIF('4.2需要家合意形成状況(民生・業務その他)'!$D:$D,OFFSET($T$1,MATCH($R25,$S:$S,0)-1,0))=0,OFFSET($T$1,MATCH($R25,$S:$S,0)-1,0),"")),"")</f>
        <v/>
      </c>
      <c r="W25" s="579" t="str">
        <f ca="1">_xlfn.IFNA(IF(OFFSET($Q$1,MATCH($R25,$S:$S,0)-1,0)&lt;&gt;W$8,"",IF(COUNTIF('4.2需要家合意形成状況(公共)'!$D:$D,OFFSET($T$1,MATCH($R25,$S:$S,0)-1,0))=0,OFFSET($T$1,MATCH($R25,$S:$S,0)-1,0),"")),"")</f>
        <v/>
      </c>
      <c r="X25" s="579" t="str" cm="1">
        <f t="array" aca="1" ref="X25" ca="1">_xlfn.IFNA(_xlfn.IFS($Q25="住宅",OFFSET('4.2需要家合意形成状況(住宅)'!$F$1,MATCH('4.2民生電力需要量'!$T25,'4.2需要家合意形成状況(住宅)'!$D:$D,0)+2,0),$Q25="業務その他",OFFSET('4.2需要家合意形成状況(民生・業務その他)'!$F$1,MATCH('4.2民生電力需要量'!$T25,'4.2需要家合意形成状況(民生・業務その他)'!$D:$D,0)+2,0),$Q25="公共",OFFSET('4.2需要家合意形成状況(公共)'!$F$1,MATCH('4.2民生電力需要量'!$T25,'4.2需要家合意形成状況(公共)'!$D:$D,0)+3,0)),"")</f>
        <v/>
      </c>
      <c r="Y25" s="213"/>
      <c r="Z25" s="213"/>
      <c r="AA25" s="213"/>
    </row>
    <row r="26" spans="1:27" s="429" customFormat="1">
      <c r="A26" s="584"/>
      <c r="B26" s="585"/>
      <c r="C26" s="586" t="s">
        <v>583</v>
      </c>
      <c r="D26" s="575"/>
      <c r="E26" s="607"/>
      <c r="F26" s="608"/>
      <c r="G26" s="608"/>
      <c r="H26" s="609"/>
      <c r="I26" s="610"/>
      <c r="J26" s="611"/>
      <c r="K26" s="576"/>
      <c r="L26" s="608"/>
      <c r="M26" s="623" t="str">
        <f t="shared" ca="1" si="4"/>
        <v/>
      </c>
      <c r="N26" s="577"/>
      <c r="O26" s="584"/>
      <c r="P26" s="578"/>
      <c r="Q26" s="579" t="s">
        <v>443</v>
      </c>
      <c r="R26" s="579">
        <f t="shared" si="2"/>
        <v>18</v>
      </c>
      <c r="S26" s="579" t="str">
        <f>IF(T26&lt;&gt;"//",COUNTA($T$9:$T26)-COUNTIF($T$9:$T26,"//"),"")</f>
        <v/>
      </c>
      <c r="T26" s="579" t="str">
        <f t="shared" si="1"/>
        <v>//</v>
      </c>
      <c r="U26" s="580" t="str">
        <f ca="1">_xlfn.IFNA(IF(OFFSET($Q$1,MATCH($R26,$S:$S,0)-1,0)&lt;&gt;U$8,"",IF(COUNTIF('4.2需要家合意形成状況(住宅)'!$D:$D,OFFSET($T$1,MATCH($R26,$S:$S,0)-1,0))=0,OFFSET($T$1,MATCH($R26,$S:$S,0)-1,0),"")),"")</f>
        <v/>
      </c>
      <c r="V26" s="579" t="str">
        <f ca="1">_xlfn.IFNA(IF(OFFSET($Q$1,MATCH($R26,$S:$S,0)-1,0)&lt;&gt;V$8,"",IF(COUNTIF('4.2需要家合意形成状況(民生・業務その他)'!$D:$D,OFFSET($T$1,MATCH($R26,$S:$S,0)-1,0))=0,OFFSET($T$1,MATCH($R26,$S:$S,0)-1,0),"")),"")</f>
        <v/>
      </c>
      <c r="W26" s="579" t="str">
        <f ca="1">_xlfn.IFNA(IF(OFFSET($Q$1,MATCH($R26,$S:$S,0)-1,0)&lt;&gt;W$8,"",IF(COUNTIF('4.2需要家合意形成状況(公共)'!$D:$D,OFFSET($T$1,MATCH($R26,$S:$S,0)-1,0))=0,OFFSET($T$1,MATCH($R26,$S:$S,0)-1,0),"")),"")</f>
        <v/>
      </c>
      <c r="X26" s="579" t="str" cm="1">
        <f t="array" aca="1" ref="X26" ca="1">_xlfn.IFNA(_xlfn.IFS($Q26="住宅",OFFSET('4.2需要家合意形成状況(住宅)'!$F$1,MATCH('4.2民生電力需要量'!$T26,'4.2需要家合意形成状況(住宅)'!$D:$D,0)+2,0),$Q26="業務その他",OFFSET('4.2需要家合意形成状況(民生・業務その他)'!$F$1,MATCH('4.2民生電力需要量'!$T26,'4.2需要家合意形成状況(民生・業務その他)'!$D:$D,0)+2,0),$Q26="公共",OFFSET('4.2需要家合意形成状況(公共)'!$F$1,MATCH('4.2民生電力需要量'!$T26,'4.2需要家合意形成状況(公共)'!$D:$D,0)+3,0)),"")</f>
        <v/>
      </c>
      <c r="Y26" s="213"/>
      <c r="Z26" s="213"/>
      <c r="AA26" s="213"/>
    </row>
    <row r="27" spans="1:27" s="429" customFormat="1">
      <c r="A27" s="584"/>
      <c r="B27" s="585"/>
      <c r="C27" s="586"/>
      <c r="D27" s="575"/>
      <c r="E27" s="607"/>
      <c r="F27" s="608"/>
      <c r="G27" s="608"/>
      <c r="H27" s="609"/>
      <c r="I27" s="610"/>
      <c r="J27" s="611"/>
      <c r="K27" s="576"/>
      <c r="L27" s="608"/>
      <c r="M27" s="623" t="str">
        <f t="shared" ca="1" si="4"/>
        <v/>
      </c>
      <c r="N27" s="577"/>
      <c r="O27" s="584"/>
      <c r="P27" s="578"/>
      <c r="Q27" s="579" t="s">
        <v>443</v>
      </c>
      <c r="R27" s="579">
        <f t="shared" si="2"/>
        <v>19</v>
      </c>
      <c r="S27" s="579" t="str">
        <f>IF(T27&lt;&gt;"//",COUNTA($T$9:$T27)-COUNTIF($T$9:$T27,"//"),"")</f>
        <v/>
      </c>
      <c r="T27" s="579" t="str">
        <f t="shared" si="1"/>
        <v>//</v>
      </c>
      <c r="U27" s="580" t="str">
        <f ca="1">_xlfn.IFNA(IF(OFFSET($Q$1,MATCH($R27,$S:$S,0)-1,0)&lt;&gt;U$8,"",IF(COUNTIF('4.2需要家合意形成状況(住宅)'!$D:$D,OFFSET($T$1,MATCH($R27,$S:$S,0)-1,0))=0,OFFSET($T$1,MATCH($R27,$S:$S,0)-1,0),"")),"")</f>
        <v/>
      </c>
      <c r="V27" s="579" t="str">
        <f ca="1">_xlfn.IFNA(IF(OFFSET($Q$1,MATCH($R27,$S:$S,0)-1,0)&lt;&gt;V$8,"",IF(COUNTIF('4.2需要家合意形成状況(民生・業務その他)'!$D:$D,OFFSET($T$1,MATCH($R27,$S:$S,0)-1,0))=0,OFFSET($T$1,MATCH($R27,$S:$S,0)-1,0),"")),"")</f>
        <v/>
      </c>
      <c r="W27" s="579" t="str">
        <f ca="1">_xlfn.IFNA(IF(OFFSET($Q$1,MATCH($R27,$S:$S,0)-1,0)&lt;&gt;W$8,"",IF(COUNTIF('4.2需要家合意形成状況(公共)'!$D:$D,OFFSET($T$1,MATCH($R27,$S:$S,0)-1,0))=0,OFFSET($T$1,MATCH($R27,$S:$S,0)-1,0),"")),"")</f>
        <v/>
      </c>
      <c r="X27" s="579" t="str" cm="1">
        <f t="array" aca="1" ref="X27" ca="1">_xlfn.IFNA(_xlfn.IFS($Q27="住宅",OFFSET('4.2需要家合意形成状況(住宅)'!$F$1,MATCH('4.2民生電力需要量'!$T27,'4.2需要家合意形成状況(住宅)'!$D:$D,0)+2,0),$Q27="業務その他",OFFSET('4.2需要家合意形成状況(民生・業務その他)'!$F$1,MATCH('4.2民生電力需要量'!$T27,'4.2需要家合意形成状況(民生・業務その他)'!$D:$D,0)+2,0),$Q27="公共",OFFSET('4.2需要家合意形成状況(公共)'!$F$1,MATCH('4.2民生電力需要量'!$T27,'4.2需要家合意形成状況(公共)'!$D:$D,0)+3,0)),"")</f>
        <v/>
      </c>
      <c r="Y27" s="213"/>
      <c r="Z27" s="213"/>
      <c r="AA27" s="213"/>
    </row>
    <row r="28" spans="1:27" s="429" customFormat="1">
      <c r="A28" s="584"/>
      <c r="B28" s="585"/>
      <c r="C28" s="586"/>
      <c r="D28" s="575"/>
      <c r="E28" s="607"/>
      <c r="F28" s="608"/>
      <c r="G28" s="608"/>
      <c r="H28" s="609"/>
      <c r="I28" s="610"/>
      <c r="J28" s="611"/>
      <c r="K28" s="576"/>
      <c r="L28" s="608"/>
      <c r="M28" s="623" t="str">
        <f t="shared" ca="1" si="4"/>
        <v/>
      </c>
      <c r="N28" s="577"/>
      <c r="O28" s="584"/>
      <c r="P28" s="578"/>
      <c r="Q28" s="579" t="s">
        <v>443</v>
      </c>
      <c r="R28" s="579">
        <f t="shared" si="2"/>
        <v>20</v>
      </c>
      <c r="S28" s="579" t="str">
        <f>IF(T28&lt;&gt;"//",COUNTA($T$9:$T28)-COUNTIF($T$9:$T28,"//"),"")</f>
        <v/>
      </c>
      <c r="T28" s="579" t="str">
        <f t="shared" si="1"/>
        <v>//</v>
      </c>
      <c r="U28" s="580" t="str">
        <f ca="1">_xlfn.IFNA(IF(OFFSET($Q$1,MATCH($R28,$S:$S,0)-1,0)&lt;&gt;U$8,"",IF(COUNTIF('4.2需要家合意形成状況(住宅)'!$D:$D,OFFSET($T$1,MATCH($R28,$S:$S,0)-1,0))=0,OFFSET($T$1,MATCH($R28,$S:$S,0)-1,0),"")),"")</f>
        <v/>
      </c>
      <c r="V28" s="579" t="str">
        <f ca="1">_xlfn.IFNA(IF(OFFSET($Q$1,MATCH($R28,$S:$S,0)-1,0)&lt;&gt;V$8,"",IF(COUNTIF('4.2需要家合意形成状況(民生・業務その他)'!$D:$D,OFFSET($T$1,MATCH($R28,$S:$S,0)-1,0))=0,OFFSET($T$1,MATCH($R28,$S:$S,0)-1,0),"")),"")</f>
        <v/>
      </c>
      <c r="W28" s="579" t="str">
        <f ca="1">_xlfn.IFNA(IF(OFFSET($Q$1,MATCH($R28,$S:$S,0)-1,0)&lt;&gt;W$8,"",IF(COUNTIF('4.2需要家合意形成状況(公共)'!$D:$D,OFFSET($T$1,MATCH($R28,$S:$S,0)-1,0))=0,OFFSET($T$1,MATCH($R28,$S:$S,0)-1,0),"")),"")</f>
        <v/>
      </c>
      <c r="X28" s="579" t="str" cm="1">
        <f t="array" aca="1" ref="X28" ca="1">_xlfn.IFNA(_xlfn.IFS($Q28="住宅",OFFSET('4.2需要家合意形成状況(住宅)'!$F$1,MATCH('4.2民生電力需要量'!$T28,'4.2需要家合意形成状況(住宅)'!$D:$D,0)+2,0),$Q28="業務その他",OFFSET('4.2需要家合意形成状況(民生・業務その他)'!$F$1,MATCH('4.2民生電力需要量'!$T28,'4.2需要家合意形成状況(民生・業務その他)'!$D:$D,0)+2,0),$Q28="公共",OFFSET('4.2需要家合意形成状況(公共)'!$F$1,MATCH('4.2民生電力需要量'!$T28,'4.2需要家合意形成状況(公共)'!$D:$D,0)+3,0)),"")</f>
        <v/>
      </c>
      <c r="Y28" s="213"/>
      <c r="Z28" s="213"/>
      <c r="AA28" s="213"/>
    </row>
    <row r="29" spans="1:27">
      <c r="A29" s="554"/>
      <c r="B29" s="582"/>
      <c r="C29" s="583">
        <v>5</v>
      </c>
      <c r="D29" s="570" t="s">
        <v>41</v>
      </c>
      <c r="E29" s="617"/>
      <c r="F29" s="618"/>
      <c r="G29" s="619"/>
      <c r="H29" s="620"/>
      <c r="I29" s="621"/>
      <c r="J29" s="622"/>
      <c r="K29" s="299" t="str">
        <f>IF(AND(COUNTBLANK($I29:$I34)=3,COUNTA($I29:$I34)=0),0,IF(SUM($I29:$I34)=0,"",SUM($I29:$I34)))</f>
        <v/>
      </c>
      <c r="L29" s="619"/>
      <c r="M29" s="624"/>
      <c r="N29" s="567"/>
      <c r="O29" s="554"/>
      <c r="Q29" s="571" t="s">
        <v>443</v>
      </c>
      <c r="R29" s="571">
        <f t="shared" si="2"/>
        <v>21</v>
      </c>
      <c r="S29" s="571" t="str">
        <f>IF(T29&lt;&gt;"//",COUNTA($T$9:$T29)-COUNTIF($T$9:$T29,"//"),"")</f>
        <v/>
      </c>
      <c r="T29" s="571" t="str">
        <f t="shared" si="1"/>
        <v>//</v>
      </c>
      <c r="U29" s="572" t="str">
        <f ca="1">_xlfn.IFNA(IF(OFFSET($Q$1,MATCH($R29,$S:$S,0)-1,0)&lt;&gt;U$8,"",IF(COUNTIF('4.2需要家合意形成状況(住宅)'!$D:$D,OFFSET($T$1,MATCH($R29,$S:$S,0)-1,0))=0,OFFSET($T$1,MATCH($R29,$S:$S,0)-1,0),"")),"")</f>
        <v/>
      </c>
      <c r="V29" s="571" t="str">
        <f ca="1">_xlfn.IFNA(IF(OFFSET($Q$1,MATCH($R29,$S:$S,0)-1,0)&lt;&gt;V$8,"",IF(COUNTIF('4.2需要家合意形成状況(民生・業務その他)'!$D:$D,OFFSET($T$1,MATCH($R29,$S:$S,0)-1,0))=0,OFFSET($T$1,MATCH($R29,$S:$S,0)-1,0),"")),"")</f>
        <v/>
      </c>
      <c r="W29" s="571" t="str">
        <f ca="1">_xlfn.IFNA(IF(OFFSET($Q$1,MATCH($R29,$S:$S,0)-1,0)&lt;&gt;W$8,"",IF(COUNTIF('4.2需要家合意形成状況(公共)'!$D:$D,OFFSET($T$1,MATCH($R29,$S:$S,0)-1,0))=0,OFFSET($T$1,MATCH($R29,$S:$S,0)-1,0),"")),"")</f>
        <v/>
      </c>
      <c r="X29" s="571" t="str" cm="1">
        <f t="array" aca="1" ref="X29" ca="1">_xlfn.IFNA(_xlfn.IFS($Q29="住宅",OFFSET('4.2需要家合意形成状況(住宅)'!$F$1,MATCH('4.2民生電力需要量'!$T29,'4.2需要家合意形成状況(住宅)'!$D:$D,0)+2,0),$Q29="業務その他",OFFSET('4.2需要家合意形成状況(民生・業務その他)'!$F$1,MATCH('4.2民生電力需要量'!$T29,'4.2需要家合意形成状況(民生・業務その他)'!$D:$D,0)+2,0),$Q29="公共",OFFSET('4.2需要家合意形成状況(公共)'!$F$1,MATCH('4.2民生電力需要量'!$T29,'4.2需要家合意形成状況(公共)'!$D:$D,0)+3,0)),"")</f>
        <v/>
      </c>
      <c r="Y29" s="408"/>
      <c r="Z29" s="408"/>
      <c r="AA29" s="408"/>
    </row>
    <row r="30" spans="1:27" s="429" customFormat="1" hidden="1">
      <c r="A30" s="584"/>
      <c r="B30" s="585"/>
      <c r="C30" s="586"/>
      <c r="D30" s="575"/>
      <c r="E30" s="602"/>
      <c r="F30" s="603"/>
      <c r="G30" s="603"/>
      <c r="H30" s="604"/>
      <c r="I30" s="605"/>
      <c r="J30" s="606"/>
      <c r="K30" s="576"/>
      <c r="L30" s="603"/>
      <c r="M30" s="623" t="str">
        <f t="shared" ca="1" si="4"/>
        <v/>
      </c>
      <c r="N30" s="577"/>
      <c r="O30" s="584"/>
      <c r="P30" s="578"/>
      <c r="Q30" s="579" t="s">
        <v>443</v>
      </c>
      <c r="R30" s="579">
        <f t="shared" si="2"/>
        <v>22</v>
      </c>
      <c r="S30" s="579" t="str">
        <f>IF(T30&lt;&gt;"//",COUNTA($T$9:$T30)-COUNTIF($T$9:$T30,"//"),"")</f>
        <v/>
      </c>
      <c r="T30" s="579" t="str">
        <f t="shared" si="1"/>
        <v>//</v>
      </c>
      <c r="U30" s="580" t="str">
        <f ca="1">_xlfn.IFNA(IF(OFFSET($Q$1,MATCH($R30,$S:$S,0)-1,0)&lt;&gt;U$8,"",IF(COUNTIF('4.2需要家合意形成状況(住宅)'!$D:$D,OFFSET($T$1,MATCH($R30,$S:$S,0)-1,0))=0,OFFSET($T$1,MATCH($R30,$S:$S,0)-1,0),"")),"")</f>
        <v/>
      </c>
      <c r="V30" s="579" t="str">
        <f ca="1">_xlfn.IFNA(IF(OFFSET($Q$1,MATCH($R30,$S:$S,0)-1,0)&lt;&gt;V$8,"",IF(COUNTIF('4.2需要家合意形成状況(民生・業務その他)'!$D:$D,OFFSET($T$1,MATCH($R30,$S:$S,0)-1,0))=0,OFFSET($T$1,MATCH($R30,$S:$S,0)-1,0),"")),"")</f>
        <v/>
      </c>
      <c r="W30" s="579" t="str">
        <f ca="1">_xlfn.IFNA(IF(OFFSET($Q$1,MATCH($R30,$S:$S,0)-1,0)&lt;&gt;W$8,"",IF(COUNTIF('4.2需要家合意形成状況(公共)'!$D:$D,OFFSET($T$1,MATCH($R30,$S:$S,0)-1,0))=0,OFFSET($T$1,MATCH($R30,$S:$S,0)-1,0),"")),"")</f>
        <v/>
      </c>
      <c r="X30" s="579" t="str" cm="1">
        <f t="array" aca="1" ref="X30" ca="1">_xlfn.IFNA(_xlfn.IFS($Q30="住宅",OFFSET('4.2需要家合意形成状況(住宅)'!$F$1,MATCH('4.2民生電力需要量'!$T30,'4.2需要家合意形成状況(住宅)'!$D:$D,0)+2,0),$Q30="業務その他",OFFSET('4.2需要家合意形成状況(民生・業務その他)'!$F$1,MATCH('4.2民生電力需要量'!$T30,'4.2需要家合意形成状況(民生・業務その他)'!$D:$D,0)+2,0),$Q30="公共",OFFSET('4.2需要家合意形成状況(公共)'!$F$1,MATCH('4.2民生電力需要量'!$T30,'4.2需要家合意形成状況(公共)'!$D:$D,0)+3,0)),"")</f>
        <v/>
      </c>
      <c r="Y30" s="213"/>
      <c r="Z30" s="213"/>
      <c r="AA30" s="213"/>
    </row>
    <row r="31" spans="1:27" s="429" customFormat="1">
      <c r="A31" s="584"/>
      <c r="B31" s="585"/>
      <c r="C31" s="586" t="s">
        <v>584</v>
      </c>
      <c r="D31" s="575"/>
      <c r="E31" s="607"/>
      <c r="F31" s="608"/>
      <c r="G31" s="608"/>
      <c r="H31" s="609"/>
      <c r="I31" s="610"/>
      <c r="J31" s="611"/>
      <c r="K31" s="576"/>
      <c r="L31" s="608"/>
      <c r="M31" s="623" t="str">
        <f t="shared" ca="1" si="4"/>
        <v/>
      </c>
      <c r="N31" s="577"/>
      <c r="O31" s="584"/>
      <c r="P31" s="578"/>
      <c r="Q31" s="579" t="s">
        <v>443</v>
      </c>
      <c r="R31" s="579">
        <f t="shared" si="2"/>
        <v>23</v>
      </c>
      <c r="S31" s="579" t="str">
        <f>IF(T31&lt;&gt;"//",COUNTA($T$9:$T31)-COUNTIF($T$9:$T31,"//"),"")</f>
        <v/>
      </c>
      <c r="T31" s="579" t="str">
        <f t="shared" si="1"/>
        <v>//</v>
      </c>
      <c r="U31" s="580" t="str">
        <f ca="1">_xlfn.IFNA(IF(OFFSET($Q$1,MATCH($R31,$S:$S,0)-1,0)&lt;&gt;U$8,"",IF(COUNTIF('4.2需要家合意形成状況(住宅)'!$D:$D,OFFSET($T$1,MATCH($R31,$S:$S,0)-1,0))=0,OFFSET($T$1,MATCH($R31,$S:$S,0)-1,0),"")),"")</f>
        <v/>
      </c>
      <c r="V31" s="579" t="str">
        <f ca="1">_xlfn.IFNA(IF(OFFSET($Q$1,MATCH($R31,$S:$S,0)-1,0)&lt;&gt;V$8,"",IF(COUNTIF('4.2需要家合意形成状況(民生・業務その他)'!$D:$D,OFFSET($T$1,MATCH($R31,$S:$S,0)-1,0))=0,OFFSET($T$1,MATCH($R31,$S:$S,0)-1,0),"")),"")</f>
        <v/>
      </c>
      <c r="W31" s="579" t="str">
        <f ca="1">_xlfn.IFNA(IF(OFFSET($Q$1,MATCH($R31,$S:$S,0)-1,0)&lt;&gt;W$8,"",IF(COUNTIF('4.2需要家合意形成状況(公共)'!$D:$D,OFFSET($T$1,MATCH($R31,$S:$S,0)-1,0))=0,OFFSET($T$1,MATCH($R31,$S:$S,0)-1,0),"")),"")</f>
        <v/>
      </c>
      <c r="X31" s="579" t="str" cm="1">
        <f t="array" aca="1" ref="X31" ca="1">_xlfn.IFNA(_xlfn.IFS($Q31="住宅",OFFSET('4.2需要家合意形成状況(住宅)'!$F$1,MATCH('4.2民生電力需要量'!$T31,'4.2需要家合意形成状況(住宅)'!$D:$D,0)+2,0),$Q31="業務その他",OFFSET('4.2需要家合意形成状況(民生・業務その他)'!$F$1,MATCH('4.2民生電力需要量'!$T31,'4.2需要家合意形成状況(民生・業務その他)'!$D:$D,0)+2,0),$Q31="公共",OFFSET('4.2需要家合意形成状況(公共)'!$F$1,MATCH('4.2民生電力需要量'!$T31,'4.2需要家合意形成状況(公共)'!$D:$D,0)+3,0)),"")</f>
        <v/>
      </c>
      <c r="Y31" s="213"/>
      <c r="Z31" s="213"/>
      <c r="AA31" s="213"/>
    </row>
    <row r="32" spans="1:27" s="429" customFormat="1">
      <c r="A32" s="584"/>
      <c r="B32" s="585"/>
      <c r="C32" s="586"/>
      <c r="D32" s="575"/>
      <c r="E32" s="607"/>
      <c r="F32" s="608"/>
      <c r="G32" s="608"/>
      <c r="H32" s="609"/>
      <c r="I32" s="610"/>
      <c r="J32" s="611"/>
      <c r="K32" s="576"/>
      <c r="L32" s="608"/>
      <c r="M32" s="623" t="str">
        <f t="shared" ref="M32" ca="1" si="7">X32</f>
        <v/>
      </c>
      <c r="N32" s="577"/>
      <c r="O32" s="584"/>
      <c r="P32" s="578"/>
      <c r="Q32" s="579" t="s">
        <v>443</v>
      </c>
      <c r="R32" s="579">
        <f t="shared" si="2"/>
        <v>24</v>
      </c>
      <c r="S32" s="579" t="str">
        <f>IF(T32&lt;&gt;"//",COUNTA($T$9:$T32)-COUNTIF($T$9:$T32,"//"),"")</f>
        <v/>
      </c>
      <c r="T32" s="579" t="str">
        <f t="shared" si="1"/>
        <v>//</v>
      </c>
      <c r="U32" s="580" t="str">
        <f ca="1">_xlfn.IFNA(IF(OFFSET($Q$1,MATCH($R32,$S:$S,0)-1,0)&lt;&gt;U$8,"",IF(COUNTIF('4.2需要家合意形成状況(住宅)'!$D:$D,OFFSET($T$1,MATCH($R32,$S:$S,0)-1,0))=0,OFFSET($T$1,MATCH($R32,$S:$S,0)-1,0),"")),"")</f>
        <v/>
      </c>
      <c r="V32" s="579" t="str">
        <f ca="1">_xlfn.IFNA(IF(OFFSET($Q$1,MATCH($R32,$S:$S,0)-1,0)&lt;&gt;V$8,"",IF(COUNTIF('4.2需要家合意形成状況(民生・業務その他)'!$D:$D,OFFSET($T$1,MATCH($R32,$S:$S,0)-1,0))=0,OFFSET($T$1,MATCH($R32,$S:$S,0)-1,0),"")),"")</f>
        <v/>
      </c>
      <c r="W32" s="579" t="str">
        <f ca="1">_xlfn.IFNA(IF(OFFSET($Q$1,MATCH($R32,$S:$S,0)-1,0)&lt;&gt;W$8,"",IF(COUNTIF('4.2需要家合意形成状況(公共)'!$D:$D,OFFSET($T$1,MATCH($R32,$S:$S,0)-1,0))=0,OFFSET($T$1,MATCH($R32,$S:$S,0)-1,0),"")),"")</f>
        <v/>
      </c>
      <c r="X32" s="579" t="str" cm="1">
        <f t="array" aca="1" ref="X32" ca="1">_xlfn.IFNA(_xlfn.IFS($Q32="住宅",OFFSET('4.2需要家合意形成状況(住宅)'!$F$1,MATCH('4.2民生電力需要量'!$T32,'4.2需要家合意形成状況(住宅)'!$D:$D,0)+2,0),$Q32="業務その他",OFFSET('4.2需要家合意形成状況(民生・業務その他)'!$F$1,MATCH('4.2民生電力需要量'!$T32,'4.2需要家合意形成状況(民生・業務その他)'!$D:$D,0)+2,0),$Q32="公共",OFFSET('4.2需要家合意形成状況(公共)'!$F$1,MATCH('4.2民生電力需要量'!$T32,'4.2需要家合意形成状況(公共)'!$D:$D,0)+3,0)),"")</f>
        <v/>
      </c>
      <c r="Y32" s="213"/>
      <c r="Z32" s="213"/>
      <c r="AA32" s="213"/>
    </row>
    <row r="33" spans="1:27" s="429" customFormat="1">
      <c r="A33" s="584"/>
      <c r="B33" s="585"/>
      <c r="C33" s="586"/>
      <c r="D33" s="575"/>
      <c r="E33" s="607"/>
      <c r="F33" s="608"/>
      <c r="G33" s="608"/>
      <c r="H33" s="609"/>
      <c r="I33" s="610"/>
      <c r="J33" s="611"/>
      <c r="K33" s="576"/>
      <c r="L33" s="608"/>
      <c r="M33" s="623" t="str">
        <f t="shared" ref="M33" ca="1" si="8">X33</f>
        <v/>
      </c>
      <c r="N33" s="577"/>
      <c r="O33" s="584"/>
      <c r="P33" s="578"/>
      <c r="Q33" s="579" t="s">
        <v>443</v>
      </c>
      <c r="R33" s="579">
        <f t="shared" si="2"/>
        <v>25</v>
      </c>
      <c r="S33" s="579" t="str">
        <f>IF(T33&lt;&gt;"//",COUNTA($T$9:$T33)-COUNTIF($T$9:$T33,"//"),"")</f>
        <v/>
      </c>
      <c r="T33" s="579" t="str">
        <f t="shared" ref="T33" si="9">IF(E33="","//",E33)</f>
        <v>//</v>
      </c>
      <c r="U33" s="580" t="str">
        <f ca="1">_xlfn.IFNA(IF(OFFSET($Q$1,MATCH($R33,$S:$S,0)-1,0)&lt;&gt;U$8,"",IF(COUNTIF('4.2需要家合意形成状況(住宅)'!$D:$D,OFFSET($T$1,MATCH($R33,$S:$S,0)-1,0))=0,OFFSET($T$1,MATCH($R33,$S:$S,0)-1,0),"")),"")</f>
        <v/>
      </c>
      <c r="V33" s="579" t="str">
        <f ca="1">_xlfn.IFNA(IF(OFFSET($Q$1,MATCH($R33,$S:$S,0)-1,0)&lt;&gt;V$8,"",IF(COUNTIF('4.2需要家合意形成状況(民生・業務その他)'!$D:$D,OFFSET($T$1,MATCH($R33,$S:$S,0)-1,0))=0,OFFSET($T$1,MATCH($R33,$S:$S,0)-1,0),"")),"")</f>
        <v/>
      </c>
      <c r="W33" s="579" t="str">
        <f ca="1">_xlfn.IFNA(IF(OFFSET($Q$1,MATCH($R33,$S:$S,0)-1,0)&lt;&gt;W$8,"",IF(COUNTIF('4.2需要家合意形成状況(公共)'!$D:$D,OFFSET($T$1,MATCH($R33,$S:$S,0)-1,0))=0,OFFSET($T$1,MATCH($R33,$S:$S,0)-1,0),"")),"")</f>
        <v/>
      </c>
      <c r="X33" s="579" t="str" cm="1">
        <f t="array" aca="1" ref="X33" ca="1">_xlfn.IFNA(_xlfn.IFS($Q33="住宅",OFFSET('4.2需要家合意形成状況(住宅)'!$F$1,MATCH('4.2民生電力需要量'!$T33,'4.2需要家合意形成状況(住宅)'!$D:$D,0)+2,0),$Q33="業務その他",OFFSET('4.2需要家合意形成状況(民生・業務その他)'!$F$1,MATCH('4.2民生電力需要量'!$T33,'4.2需要家合意形成状況(民生・業務その他)'!$D:$D,0)+2,0),$Q33="公共",OFFSET('4.2需要家合意形成状況(公共)'!$F$1,MATCH('4.2民生電力需要量'!$T33,'4.2需要家合意形成状況(公共)'!$D:$D,0)+3,0)),"")</f>
        <v/>
      </c>
      <c r="Y33" s="213"/>
      <c r="Z33" s="213"/>
      <c r="AA33" s="213"/>
    </row>
    <row r="34" spans="1:27">
      <c r="B34" s="563"/>
      <c r="C34" s="583">
        <v>6</v>
      </c>
      <c r="D34" s="570" t="s">
        <v>42</v>
      </c>
      <c r="E34" s="617"/>
      <c r="F34" s="618"/>
      <c r="G34" s="619"/>
      <c r="H34" s="620"/>
      <c r="I34" s="621"/>
      <c r="J34" s="622"/>
      <c r="K34" s="299" t="str">
        <f>IF(AND(COUNTBLANK($I34:$I39)=3,COUNTA($I34:$I39)=0),0,IF(SUM($I34:$I39)=0,"",SUM($I34:$I39)))</f>
        <v/>
      </c>
      <c r="L34" s="619"/>
      <c r="M34" s="624"/>
      <c r="N34" s="567"/>
      <c r="Q34" s="571" t="s">
        <v>443</v>
      </c>
      <c r="R34" s="571">
        <f t="shared" si="2"/>
        <v>26</v>
      </c>
      <c r="S34" s="571" t="str">
        <f>IF(T34&lt;&gt;"//",COUNTA($T$9:$T34)-COUNTIF($T$9:$T34,"//"),"")</f>
        <v/>
      </c>
      <c r="T34" s="571" t="str">
        <f t="shared" ref="T34:T49" si="10">IF(E34="","//",E34)</f>
        <v>//</v>
      </c>
      <c r="U34" s="572" t="str">
        <f ca="1">_xlfn.IFNA(IF(OFFSET($Q$1,MATCH($R34,$S:$S,0)-1,0)&lt;&gt;U$8,"",IF(COUNTIF('4.2需要家合意形成状況(住宅)'!$D:$D,OFFSET($T$1,MATCH($R34,$S:$S,0)-1,0))=0,OFFSET($T$1,MATCH($R34,$S:$S,0)-1,0),"")),"")</f>
        <v/>
      </c>
      <c r="V34" s="571" t="str">
        <f ca="1">_xlfn.IFNA(IF(OFFSET($Q$1,MATCH($R34,$S:$S,0)-1,0)&lt;&gt;V$8,"",IF(COUNTIF('4.2需要家合意形成状況(民生・業務その他)'!$D:$D,OFFSET($T$1,MATCH($R34,$S:$S,0)-1,0))=0,OFFSET($T$1,MATCH($R34,$S:$S,0)-1,0),"")),"")</f>
        <v/>
      </c>
      <c r="W34" s="571" t="str">
        <f ca="1">_xlfn.IFNA(IF(OFFSET($Q$1,MATCH($R34,$S:$S,0)-1,0)&lt;&gt;W$8,"",IF(COUNTIF('4.2需要家合意形成状況(公共)'!$D:$D,OFFSET($T$1,MATCH($R34,$S:$S,0)-1,0))=0,OFFSET($T$1,MATCH($R34,$S:$S,0)-1,0),"")),"")</f>
        <v/>
      </c>
      <c r="X34" s="571" t="str" cm="1">
        <f t="array" aca="1" ref="X34" ca="1">_xlfn.IFNA(_xlfn.IFS($Q34="住宅",OFFSET('4.2需要家合意形成状況(住宅)'!$F$1,MATCH('4.2民生電力需要量'!$T34,'4.2需要家合意形成状況(住宅)'!$D:$D,0)+2,0),$Q34="業務その他",OFFSET('4.2需要家合意形成状況(民生・業務その他)'!$F$1,MATCH('4.2民生電力需要量'!$T34,'4.2需要家合意形成状況(民生・業務その他)'!$D:$D,0)+2,0),$Q34="公共",OFFSET('4.2需要家合意形成状況(公共)'!$F$1,MATCH('4.2民生電力需要量'!$T34,'4.2需要家合意形成状況(公共)'!$D:$D,0)+3,0)),"")</f>
        <v/>
      </c>
      <c r="Y34" s="408"/>
      <c r="Z34" s="408"/>
      <c r="AA34" s="408"/>
    </row>
    <row r="35" spans="1:27" s="429" customFormat="1" hidden="1">
      <c r="A35" s="427"/>
      <c r="B35" s="573"/>
      <c r="C35" s="586"/>
      <c r="D35" s="575"/>
      <c r="E35" s="602"/>
      <c r="F35" s="603"/>
      <c r="G35" s="603"/>
      <c r="H35" s="604"/>
      <c r="I35" s="605"/>
      <c r="J35" s="606"/>
      <c r="K35" s="576"/>
      <c r="L35" s="603"/>
      <c r="M35" s="623" t="str">
        <f t="shared" ca="1" si="4"/>
        <v/>
      </c>
      <c r="N35" s="577"/>
      <c r="O35" s="427"/>
      <c r="P35" s="578"/>
      <c r="Q35" s="579" t="s">
        <v>443</v>
      </c>
      <c r="R35" s="579">
        <f t="shared" si="2"/>
        <v>27</v>
      </c>
      <c r="S35" s="579" t="str">
        <f>IF(T35&lt;&gt;"//",COUNTA($T$9:$T35)-COUNTIF($T$9:$T35,"//"),"")</f>
        <v/>
      </c>
      <c r="T35" s="579" t="str">
        <f t="shared" si="10"/>
        <v>//</v>
      </c>
      <c r="U35" s="580" t="str">
        <f ca="1">_xlfn.IFNA(IF(OFFSET($Q$1,MATCH($R35,$S:$S,0)-1,0)&lt;&gt;U$8,"",IF(COUNTIF('4.2需要家合意形成状況(住宅)'!$D:$D,OFFSET($T$1,MATCH($R35,$S:$S,0)-1,0))=0,OFFSET($T$1,MATCH($R35,$S:$S,0)-1,0),"")),"")</f>
        <v/>
      </c>
      <c r="V35" s="579" t="str">
        <f ca="1">_xlfn.IFNA(IF(OFFSET($Q$1,MATCH($R35,$S:$S,0)-1,0)&lt;&gt;V$8,"",IF(COUNTIF('4.2需要家合意形成状況(民生・業務その他)'!$D:$D,OFFSET($T$1,MATCH($R35,$S:$S,0)-1,0))=0,OFFSET($T$1,MATCH($R35,$S:$S,0)-1,0),"")),"")</f>
        <v/>
      </c>
      <c r="W35" s="579" t="str">
        <f ca="1">_xlfn.IFNA(IF(OFFSET($Q$1,MATCH($R35,$S:$S,0)-1,0)&lt;&gt;W$8,"",IF(COUNTIF('4.2需要家合意形成状況(公共)'!$D:$D,OFFSET($T$1,MATCH($R35,$S:$S,0)-1,0))=0,OFFSET($T$1,MATCH($R35,$S:$S,0)-1,0),"")),"")</f>
        <v/>
      </c>
      <c r="X35" s="579" t="str" cm="1">
        <f t="array" aca="1" ref="X35" ca="1">_xlfn.IFNA(_xlfn.IFS($Q35="住宅",OFFSET('4.2需要家合意形成状況(住宅)'!$F$1,MATCH('4.2民生電力需要量'!$T35,'4.2需要家合意形成状況(住宅)'!$D:$D,0)+2,0),$Q35="業務その他",OFFSET('4.2需要家合意形成状況(民生・業務その他)'!$F$1,MATCH('4.2民生電力需要量'!$T35,'4.2需要家合意形成状況(民生・業務その他)'!$D:$D,0)+2,0),$Q35="公共",OFFSET('4.2需要家合意形成状況(公共)'!$F$1,MATCH('4.2民生電力需要量'!$T35,'4.2需要家合意形成状況(公共)'!$D:$D,0)+3,0)),"")</f>
        <v/>
      </c>
      <c r="Y35" s="213"/>
      <c r="Z35" s="213"/>
      <c r="AA35" s="213"/>
    </row>
    <row r="36" spans="1:27" s="429" customFormat="1">
      <c r="A36" s="427"/>
      <c r="B36" s="573"/>
      <c r="C36" s="586" t="s">
        <v>585</v>
      </c>
      <c r="D36" s="587"/>
      <c r="E36" s="607"/>
      <c r="F36" s="608"/>
      <c r="G36" s="608"/>
      <c r="H36" s="609"/>
      <c r="I36" s="610"/>
      <c r="J36" s="611"/>
      <c r="K36" s="576"/>
      <c r="L36" s="608"/>
      <c r="M36" s="623" t="str">
        <f t="shared" ca="1" si="4"/>
        <v/>
      </c>
      <c r="N36" s="577"/>
      <c r="O36" s="427"/>
      <c r="P36" s="578"/>
      <c r="Q36" s="579" t="s">
        <v>443</v>
      </c>
      <c r="R36" s="579">
        <f t="shared" si="2"/>
        <v>28</v>
      </c>
      <c r="S36" s="579" t="str">
        <f>IF(T36&lt;&gt;"//",COUNTA($T$9:$T36)-COUNTIF($T$9:$T36,"//"),"")</f>
        <v/>
      </c>
      <c r="T36" s="579" t="str">
        <f t="shared" si="10"/>
        <v>//</v>
      </c>
      <c r="U36" s="580" t="str">
        <f ca="1">_xlfn.IFNA(IF(OFFSET($Q$1,MATCH($R36,$S:$S,0)-1,0)&lt;&gt;U$8,"",IF(COUNTIF('4.2需要家合意形成状況(住宅)'!$D:$D,OFFSET($T$1,MATCH($R36,$S:$S,0)-1,0))=0,OFFSET($T$1,MATCH($R36,$S:$S,0)-1,0),"")),"")</f>
        <v/>
      </c>
      <c r="V36" s="579" t="str">
        <f ca="1">_xlfn.IFNA(IF(OFFSET($Q$1,MATCH($R36,$S:$S,0)-1,0)&lt;&gt;V$8,"",IF(COUNTIF('4.2需要家合意形成状況(民生・業務その他)'!$D:$D,OFFSET($T$1,MATCH($R36,$S:$S,0)-1,0))=0,OFFSET($T$1,MATCH($R36,$S:$S,0)-1,0),"")),"")</f>
        <v/>
      </c>
      <c r="W36" s="579" t="str">
        <f ca="1">_xlfn.IFNA(IF(OFFSET($Q$1,MATCH($R36,$S:$S,0)-1,0)&lt;&gt;W$8,"",IF(COUNTIF('4.2需要家合意形成状況(公共)'!$D:$D,OFFSET($T$1,MATCH($R36,$S:$S,0)-1,0))=0,OFFSET($T$1,MATCH($R36,$S:$S,0)-1,0),"")),"")</f>
        <v/>
      </c>
      <c r="X36" s="579" t="str" cm="1">
        <f t="array" aca="1" ref="X36" ca="1">_xlfn.IFNA(_xlfn.IFS($Q36="住宅",OFFSET('4.2需要家合意形成状況(住宅)'!$F$1,MATCH('4.2民生電力需要量'!$T36,'4.2需要家合意形成状況(住宅)'!$D:$D,0)+2,0),$Q36="業務その他",OFFSET('4.2需要家合意形成状況(民生・業務その他)'!$F$1,MATCH('4.2民生電力需要量'!$T36,'4.2需要家合意形成状況(民生・業務その他)'!$D:$D,0)+2,0),$Q36="公共",OFFSET('4.2需要家合意形成状況(公共)'!$F$1,MATCH('4.2民生電力需要量'!$T36,'4.2需要家合意形成状況(公共)'!$D:$D,0)+3,0)),"")</f>
        <v/>
      </c>
      <c r="Y36" s="213"/>
      <c r="Z36" s="213"/>
      <c r="AA36" s="213"/>
    </row>
    <row r="37" spans="1:27" s="429" customFormat="1">
      <c r="A37" s="427"/>
      <c r="B37" s="573"/>
      <c r="C37" s="586"/>
      <c r="D37" s="587"/>
      <c r="E37" s="607"/>
      <c r="F37" s="608"/>
      <c r="G37" s="608"/>
      <c r="H37" s="609"/>
      <c r="I37" s="610"/>
      <c r="J37" s="611"/>
      <c r="K37" s="576"/>
      <c r="L37" s="608"/>
      <c r="M37" s="623" t="str">
        <f t="shared" ca="1" si="4"/>
        <v/>
      </c>
      <c r="N37" s="577"/>
      <c r="O37" s="427"/>
      <c r="P37" s="578"/>
      <c r="Q37" s="579" t="s">
        <v>443</v>
      </c>
      <c r="R37" s="579">
        <f t="shared" si="2"/>
        <v>29</v>
      </c>
      <c r="S37" s="579" t="str">
        <f>IF(T37&lt;&gt;"//",COUNTA($T$9:$T37)-COUNTIF($T$9:$T37,"//"),"")</f>
        <v/>
      </c>
      <c r="T37" s="579" t="str">
        <f t="shared" si="10"/>
        <v>//</v>
      </c>
      <c r="U37" s="580" t="str">
        <f ca="1">_xlfn.IFNA(IF(OFFSET($Q$1,MATCH($R37,$S:$S,0)-1,0)&lt;&gt;U$8,"",IF(COUNTIF('4.2需要家合意形成状況(住宅)'!$D:$D,OFFSET($T$1,MATCH($R37,$S:$S,0)-1,0))=0,OFFSET($T$1,MATCH($R37,$S:$S,0)-1,0),"")),"")</f>
        <v/>
      </c>
      <c r="V37" s="579" t="str">
        <f ca="1">_xlfn.IFNA(IF(OFFSET($Q$1,MATCH($R37,$S:$S,0)-1,0)&lt;&gt;V$8,"",IF(COUNTIF('4.2需要家合意形成状況(民生・業務その他)'!$D:$D,OFFSET($T$1,MATCH($R37,$S:$S,0)-1,0))=0,OFFSET($T$1,MATCH($R37,$S:$S,0)-1,0),"")),"")</f>
        <v/>
      </c>
      <c r="W37" s="579" t="str">
        <f ca="1">_xlfn.IFNA(IF(OFFSET($Q$1,MATCH($R37,$S:$S,0)-1,0)&lt;&gt;W$8,"",IF(COUNTIF('4.2需要家合意形成状況(公共)'!$D:$D,OFFSET($T$1,MATCH($R37,$S:$S,0)-1,0))=0,OFFSET($T$1,MATCH($R37,$S:$S,0)-1,0),"")),"")</f>
        <v/>
      </c>
      <c r="X37" s="579" t="str" cm="1">
        <f t="array" aca="1" ref="X37" ca="1">_xlfn.IFNA(_xlfn.IFS($Q37="住宅",OFFSET('4.2需要家合意形成状況(住宅)'!$F$1,MATCH('4.2民生電力需要量'!$T37,'4.2需要家合意形成状況(住宅)'!$D:$D,0)+2,0),$Q37="業務その他",OFFSET('4.2需要家合意形成状況(民生・業務その他)'!$F$1,MATCH('4.2民生電力需要量'!$T37,'4.2需要家合意形成状況(民生・業務その他)'!$D:$D,0)+2,0),$Q37="公共",OFFSET('4.2需要家合意形成状況(公共)'!$F$1,MATCH('4.2民生電力需要量'!$T37,'4.2需要家合意形成状況(公共)'!$D:$D,0)+3,0)),"")</f>
        <v/>
      </c>
      <c r="Y37" s="213"/>
      <c r="Z37" s="213"/>
      <c r="AA37" s="213"/>
    </row>
    <row r="38" spans="1:27" s="429" customFormat="1">
      <c r="A38" s="427"/>
      <c r="B38" s="573"/>
      <c r="C38" s="586"/>
      <c r="D38" s="587"/>
      <c r="E38" s="607"/>
      <c r="F38" s="608"/>
      <c r="G38" s="608"/>
      <c r="H38" s="609"/>
      <c r="I38" s="610"/>
      <c r="J38" s="611"/>
      <c r="K38" s="576"/>
      <c r="L38" s="608"/>
      <c r="M38" s="623" t="str">
        <f t="shared" ca="1" si="4"/>
        <v/>
      </c>
      <c r="N38" s="577"/>
      <c r="O38" s="427"/>
      <c r="P38" s="578"/>
      <c r="Q38" s="579" t="s">
        <v>443</v>
      </c>
      <c r="R38" s="579">
        <f t="shared" si="2"/>
        <v>30</v>
      </c>
      <c r="S38" s="579" t="str">
        <f>IF(T38&lt;&gt;"//",COUNTA($T$9:$T38)-COUNTIF($T$9:$T38,"//"),"")</f>
        <v/>
      </c>
      <c r="T38" s="579" t="str">
        <f t="shared" si="10"/>
        <v>//</v>
      </c>
      <c r="U38" s="580" t="str">
        <f ca="1">_xlfn.IFNA(IF(OFFSET($Q$1,MATCH($R38,$S:$S,0)-1,0)&lt;&gt;U$8,"",IF(COUNTIF('4.2需要家合意形成状況(住宅)'!$D:$D,OFFSET($T$1,MATCH($R38,$S:$S,0)-1,0))=0,OFFSET($T$1,MATCH($R38,$S:$S,0)-1,0),"")),"")</f>
        <v/>
      </c>
      <c r="V38" s="579" t="str">
        <f ca="1">_xlfn.IFNA(IF(OFFSET($Q$1,MATCH($R38,$S:$S,0)-1,0)&lt;&gt;V$8,"",IF(COUNTIF('4.2需要家合意形成状況(民生・業務その他)'!$D:$D,OFFSET($T$1,MATCH($R38,$S:$S,0)-1,0))=0,OFFSET($T$1,MATCH($R38,$S:$S,0)-1,0),"")),"")</f>
        <v/>
      </c>
      <c r="W38" s="579" t="str">
        <f ca="1">_xlfn.IFNA(IF(OFFSET($Q$1,MATCH($R38,$S:$S,0)-1,0)&lt;&gt;W$8,"",IF(COUNTIF('4.2需要家合意形成状況(公共)'!$D:$D,OFFSET($T$1,MATCH($R38,$S:$S,0)-1,0))=0,OFFSET($T$1,MATCH($R38,$S:$S,0)-1,0),"")),"")</f>
        <v/>
      </c>
      <c r="X38" s="579" t="str" cm="1">
        <f t="array" aca="1" ref="X38" ca="1">_xlfn.IFNA(_xlfn.IFS($Q38="住宅",OFFSET('4.2需要家合意形成状況(住宅)'!$F$1,MATCH('4.2民生電力需要量'!$T38,'4.2需要家合意形成状況(住宅)'!$D:$D,0)+2,0),$Q38="業務その他",OFFSET('4.2需要家合意形成状況(民生・業務その他)'!$F$1,MATCH('4.2民生電力需要量'!$T38,'4.2需要家合意形成状況(民生・業務その他)'!$D:$D,0)+2,0),$Q38="公共",OFFSET('4.2需要家合意形成状況(公共)'!$F$1,MATCH('4.2民生電力需要量'!$T38,'4.2需要家合意形成状況(公共)'!$D:$D,0)+3,0)),"")</f>
        <v/>
      </c>
      <c r="Y38" s="213"/>
      <c r="Z38" s="213"/>
      <c r="AA38" s="213"/>
    </row>
    <row r="39" spans="1:27">
      <c r="B39" s="563"/>
      <c r="C39" s="583">
        <v>7</v>
      </c>
      <c r="D39" s="570" t="s">
        <v>43</v>
      </c>
      <c r="E39" s="617"/>
      <c r="F39" s="618"/>
      <c r="G39" s="619"/>
      <c r="H39" s="620"/>
      <c r="I39" s="621"/>
      <c r="J39" s="622"/>
      <c r="K39" s="299" t="str">
        <f>IF(AND(COUNTBLANK($I39:$I44)=3,COUNTA($I39:$I44)=0),0,IF(SUM($I39:$I44)=0,"",SUM($I39:$I44)))</f>
        <v/>
      </c>
      <c r="L39" s="619"/>
      <c r="M39" s="624"/>
      <c r="N39" s="567"/>
      <c r="Q39" s="571" t="s">
        <v>63</v>
      </c>
      <c r="R39" s="571">
        <f t="shared" si="2"/>
        <v>31</v>
      </c>
      <c r="S39" s="571" t="str">
        <f>IF(T39&lt;&gt;"//",COUNTA($T$9:$T39)-COUNTIF($T$9:$T39,"//"),"")</f>
        <v/>
      </c>
      <c r="T39" s="571" t="str">
        <f t="shared" si="10"/>
        <v>//</v>
      </c>
      <c r="U39" s="572" t="str">
        <f ca="1">_xlfn.IFNA(IF(OFFSET($Q$1,MATCH($R39,$S:$S,0)-1,0)&lt;&gt;U$8,"",IF(COUNTIF('4.2需要家合意形成状況(住宅)'!$D:$D,OFFSET($T$1,MATCH($R39,$S:$S,0)-1,0))=0,OFFSET($T$1,MATCH($R39,$S:$S,0)-1,0),"")),"")</f>
        <v/>
      </c>
      <c r="V39" s="571" t="str">
        <f ca="1">_xlfn.IFNA(IF(OFFSET($Q$1,MATCH($R39,$S:$S,0)-1,0)&lt;&gt;V$8,"",IF(COUNTIF('4.2需要家合意形成状況(民生・業務その他)'!$D:$D,OFFSET($T$1,MATCH($R39,$S:$S,0)-1,0))=0,OFFSET($T$1,MATCH($R39,$S:$S,0)-1,0),"")),"")</f>
        <v/>
      </c>
      <c r="W39" s="571" t="str">
        <f ca="1">_xlfn.IFNA(IF(OFFSET($Q$1,MATCH($R39,$S:$S,0)-1,0)&lt;&gt;W$8,"",IF(COUNTIF('4.2需要家合意形成状況(公共)'!$D:$D,OFFSET($T$1,MATCH($R39,$S:$S,0)-1,0))=0,OFFSET($T$1,MATCH($R39,$S:$S,0)-1,0),"")),"")</f>
        <v/>
      </c>
      <c r="X39" s="571" t="str" cm="1">
        <f t="array" aca="1" ref="X39" ca="1">_xlfn.IFNA(_xlfn.IFS($Q39="住宅",OFFSET('4.2需要家合意形成状況(住宅)'!$F$1,MATCH('4.2民生電力需要量'!$T39,'4.2需要家合意形成状況(住宅)'!$D:$D,0)+2,0),$Q39="業務その他",OFFSET('4.2需要家合意形成状況(民生・業務その他)'!$F$1,MATCH('4.2民生電力需要量'!$T39,'4.2需要家合意形成状況(民生・業務その他)'!$D:$D,0)+2,0),$Q39="公共",OFFSET('4.2需要家合意形成状況(公共)'!$F$1,MATCH('4.2民生電力需要量'!$T39,'4.2需要家合意形成状況(公共)'!$D:$D,0)+3,0)),"")</f>
        <v/>
      </c>
      <c r="Y39" s="408"/>
      <c r="Z39" s="408"/>
      <c r="AA39" s="408"/>
    </row>
    <row r="40" spans="1:27" s="429" customFormat="1" hidden="1">
      <c r="A40" s="427"/>
      <c r="B40" s="573"/>
      <c r="C40" s="574"/>
      <c r="D40" s="575"/>
      <c r="E40" s="602"/>
      <c r="F40" s="603"/>
      <c r="G40" s="603"/>
      <c r="H40" s="604"/>
      <c r="I40" s="605"/>
      <c r="J40" s="606"/>
      <c r="K40" s="576"/>
      <c r="L40" s="603"/>
      <c r="M40" s="623" t="str">
        <f t="shared" ca="1" si="4"/>
        <v/>
      </c>
      <c r="N40" s="577"/>
      <c r="O40" s="427"/>
      <c r="P40" s="578"/>
      <c r="Q40" s="579" t="s">
        <v>445</v>
      </c>
      <c r="R40" s="579">
        <f t="shared" si="2"/>
        <v>32</v>
      </c>
      <c r="S40" s="579" t="str">
        <f>IF(T40&lt;&gt;"//",COUNTA($T$9:$T40)-COUNTIF($T$9:$T40,"//"),"")</f>
        <v/>
      </c>
      <c r="T40" s="579" t="str">
        <f t="shared" si="10"/>
        <v>//</v>
      </c>
      <c r="U40" s="580" t="str">
        <f ca="1">_xlfn.IFNA(IF(OFFSET($Q$1,MATCH($R40,$S:$S,0)-1,0)&lt;&gt;U$8,"",IF(COUNTIF('4.2需要家合意形成状況(住宅)'!$D:$D,OFFSET($T$1,MATCH($R40,$S:$S,0)-1,0))=0,OFFSET($T$1,MATCH($R40,$S:$S,0)-1,0),"")),"")</f>
        <v/>
      </c>
      <c r="V40" s="579" t="str">
        <f ca="1">_xlfn.IFNA(IF(OFFSET($Q$1,MATCH($R40,$S:$S,0)-1,0)&lt;&gt;V$8,"",IF(COUNTIF('4.2需要家合意形成状況(民生・業務その他)'!$D:$D,OFFSET($T$1,MATCH($R40,$S:$S,0)-1,0))=0,OFFSET($T$1,MATCH($R40,$S:$S,0)-1,0),"")),"")</f>
        <v/>
      </c>
      <c r="W40" s="579" t="str">
        <f ca="1">_xlfn.IFNA(IF(OFFSET($Q$1,MATCH($R40,$S:$S,0)-1,0)&lt;&gt;W$8,"",IF(COUNTIF('4.2需要家合意形成状況(公共)'!$D:$D,OFFSET($T$1,MATCH($R40,$S:$S,0)-1,0))=0,OFFSET($T$1,MATCH($R40,$S:$S,0)-1,0),"")),"")</f>
        <v/>
      </c>
      <c r="X40" s="579" t="str" cm="1">
        <f t="array" aca="1" ref="X40" ca="1">_xlfn.IFNA(_xlfn.IFS($Q40="住宅",OFFSET('4.2需要家合意形成状況(住宅)'!$F$1,MATCH('4.2民生電力需要量'!$T40,'4.2需要家合意形成状況(住宅)'!$D:$D,0)+2,0),$Q40="業務その他",OFFSET('4.2需要家合意形成状況(民生・業務その他)'!$F$1,MATCH('4.2民生電力需要量'!$T40,'4.2需要家合意形成状況(民生・業務その他)'!$D:$D,0)+2,0),$Q40="公共",OFFSET('4.2需要家合意形成状況(公共)'!$F$1,MATCH('4.2民生電力需要量'!$T40,'4.2需要家合意形成状況(公共)'!$D:$D,0)+3,0)),"")</f>
        <v/>
      </c>
      <c r="Y40" s="213"/>
      <c r="Z40" s="213"/>
      <c r="AA40" s="213"/>
    </row>
    <row r="41" spans="1:27" s="429" customFormat="1">
      <c r="A41" s="427"/>
      <c r="B41" s="573"/>
      <c r="C41" s="574" t="s">
        <v>586</v>
      </c>
      <c r="D41" s="588"/>
      <c r="E41" s="607"/>
      <c r="F41" s="608"/>
      <c r="G41" s="608"/>
      <c r="H41" s="609"/>
      <c r="I41" s="610"/>
      <c r="J41" s="611"/>
      <c r="K41" s="576"/>
      <c r="L41" s="608"/>
      <c r="M41" s="623" t="str">
        <f t="shared" ca="1" si="4"/>
        <v/>
      </c>
      <c r="N41" s="577"/>
      <c r="O41" s="427"/>
      <c r="P41" s="578"/>
      <c r="Q41" s="579" t="s">
        <v>445</v>
      </c>
      <c r="R41" s="579">
        <f t="shared" si="2"/>
        <v>33</v>
      </c>
      <c r="S41" s="579" t="str">
        <f>IF(T41&lt;&gt;"//",COUNTA($T$9:$T41)-COUNTIF($T$9:$T41,"//"),"")</f>
        <v/>
      </c>
      <c r="T41" s="579" t="str">
        <f t="shared" si="10"/>
        <v>//</v>
      </c>
      <c r="U41" s="580" t="str">
        <f ca="1">_xlfn.IFNA(IF(OFFSET($Q$1,MATCH($R41,$S:$S,0)-1,0)&lt;&gt;U$8,"",IF(COUNTIF('4.2需要家合意形成状況(住宅)'!$D:$D,OFFSET($T$1,MATCH($R41,$S:$S,0)-1,0))=0,OFFSET($T$1,MATCH($R41,$S:$S,0)-1,0),"")),"")</f>
        <v/>
      </c>
      <c r="V41" s="579" t="str">
        <f ca="1">_xlfn.IFNA(IF(OFFSET($Q$1,MATCH($R41,$S:$S,0)-1,0)&lt;&gt;V$8,"",IF(COUNTIF('4.2需要家合意形成状況(民生・業務その他)'!$D:$D,OFFSET($T$1,MATCH($R41,$S:$S,0)-1,0))=0,OFFSET($T$1,MATCH($R41,$S:$S,0)-1,0),"")),"")</f>
        <v/>
      </c>
      <c r="W41" s="579" t="str">
        <f ca="1">_xlfn.IFNA(IF(OFFSET($Q$1,MATCH($R41,$S:$S,0)-1,0)&lt;&gt;W$8,"",IF(COUNTIF('4.2需要家合意形成状況(公共)'!$D:$D,OFFSET($T$1,MATCH($R41,$S:$S,0)-1,0))=0,OFFSET($T$1,MATCH($R41,$S:$S,0)-1,0),"")),"")</f>
        <v/>
      </c>
      <c r="X41" s="579" t="str" cm="1">
        <f t="array" aca="1" ref="X41" ca="1">_xlfn.IFNA(_xlfn.IFS($Q41="住宅",OFFSET('4.2需要家合意形成状況(住宅)'!$F$1,MATCH('4.2民生電力需要量'!$T41,'4.2需要家合意形成状況(住宅)'!$D:$D,0)+2,0),$Q41="業務その他",OFFSET('4.2需要家合意形成状況(民生・業務その他)'!$F$1,MATCH('4.2民生電力需要量'!$T41,'4.2需要家合意形成状況(民生・業務その他)'!$D:$D,0)+2,0),$Q41="公共",OFFSET('4.2需要家合意形成状況(公共)'!$F$1,MATCH('4.2民生電力需要量'!$T41,'4.2需要家合意形成状況(公共)'!$D:$D,0)+3,0)),"")</f>
        <v/>
      </c>
      <c r="Y41" s="213"/>
      <c r="Z41" s="213"/>
      <c r="AA41" s="213"/>
    </row>
    <row r="42" spans="1:27" s="429" customFormat="1">
      <c r="A42" s="427"/>
      <c r="B42" s="573"/>
      <c r="C42" s="574"/>
      <c r="D42" s="575"/>
      <c r="E42" s="607"/>
      <c r="F42" s="608"/>
      <c r="G42" s="608"/>
      <c r="H42" s="609"/>
      <c r="I42" s="610"/>
      <c r="J42" s="611"/>
      <c r="K42" s="576"/>
      <c r="L42" s="608"/>
      <c r="M42" s="623" t="str">
        <f t="shared" ca="1" si="4"/>
        <v/>
      </c>
      <c r="N42" s="577"/>
      <c r="O42" s="427"/>
      <c r="P42" s="578"/>
      <c r="Q42" s="579" t="s">
        <v>445</v>
      </c>
      <c r="R42" s="579">
        <f t="shared" si="2"/>
        <v>34</v>
      </c>
      <c r="S42" s="579" t="str">
        <f>IF(T42&lt;&gt;"//",COUNTA($T$9:$T42)-COUNTIF($T$9:$T42,"//"),"")</f>
        <v/>
      </c>
      <c r="T42" s="579" t="str">
        <f t="shared" si="10"/>
        <v>//</v>
      </c>
      <c r="U42" s="580" t="str">
        <f ca="1">_xlfn.IFNA(IF(OFFSET($Q$1,MATCH($R42,$S:$S,0)-1,0)&lt;&gt;U$8,"",IF(COUNTIF('4.2需要家合意形成状況(住宅)'!$D:$D,OFFSET($T$1,MATCH($R42,$S:$S,0)-1,0))=0,OFFSET($T$1,MATCH($R42,$S:$S,0)-1,0),"")),"")</f>
        <v/>
      </c>
      <c r="V42" s="579" t="str">
        <f ca="1">_xlfn.IFNA(IF(OFFSET($Q$1,MATCH($R42,$S:$S,0)-1,0)&lt;&gt;V$8,"",IF(COUNTIF('4.2需要家合意形成状況(民生・業務その他)'!$D:$D,OFFSET($T$1,MATCH($R42,$S:$S,0)-1,0))=0,OFFSET($T$1,MATCH($R42,$S:$S,0)-1,0),"")),"")</f>
        <v/>
      </c>
      <c r="W42" s="579" t="str">
        <f ca="1">_xlfn.IFNA(IF(OFFSET($Q$1,MATCH($R42,$S:$S,0)-1,0)&lt;&gt;W$8,"",IF(COUNTIF('4.2需要家合意形成状況(公共)'!$D:$D,OFFSET($T$1,MATCH($R42,$S:$S,0)-1,0))=0,OFFSET($T$1,MATCH($R42,$S:$S,0)-1,0),"")),"")</f>
        <v/>
      </c>
      <c r="X42" s="579" t="str" cm="1">
        <f t="array" aca="1" ref="X42" ca="1">_xlfn.IFNA(_xlfn.IFS($Q42="住宅",OFFSET('4.2需要家合意形成状況(住宅)'!$F$1,MATCH('4.2民生電力需要量'!$T42,'4.2需要家合意形成状況(住宅)'!$D:$D,0)+2,0),$Q42="業務その他",OFFSET('4.2需要家合意形成状況(民生・業務その他)'!$F$1,MATCH('4.2民生電力需要量'!$T42,'4.2需要家合意形成状況(民生・業務その他)'!$D:$D,0)+2,0),$Q42="公共",OFFSET('4.2需要家合意形成状況(公共)'!$F$1,MATCH('4.2民生電力需要量'!$T42,'4.2需要家合意形成状況(公共)'!$D:$D,0)+3,0)),"")</f>
        <v/>
      </c>
      <c r="Y42" s="213"/>
      <c r="Z42" s="213"/>
      <c r="AA42" s="213"/>
    </row>
    <row r="43" spans="1:27" s="429" customFormat="1">
      <c r="A43" s="427"/>
      <c r="B43" s="573"/>
      <c r="C43" s="574"/>
      <c r="D43" s="575"/>
      <c r="E43" s="607"/>
      <c r="F43" s="608"/>
      <c r="G43" s="608"/>
      <c r="H43" s="609"/>
      <c r="I43" s="610"/>
      <c r="J43" s="611"/>
      <c r="K43" s="576"/>
      <c r="L43" s="608"/>
      <c r="M43" s="623" t="str">
        <f t="shared" ca="1" si="4"/>
        <v/>
      </c>
      <c r="N43" s="577"/>
      <c r="O43" s="427"/>
      <c r="P43" s="578"/>
      <c r="Q43" s="579" t="s">
        <v>445</v>
      </c>
      <c r="R43" s="579">
        <f t="shared" si="2"/>
        <v>35</v>
      </c>
      <c r="S43" s="579" t="str">
        <f>IF(T43&lt;&gt;"//",COUNTA($T$9:$T43)-COUNTIF($T$9:$T43,"//"),"")</f>
        <v/>
      </c>
      <c r="T43" s="579" t="str">
        <f t="shared" si="10"/>
        <v>//</v>
      </c>
      <c r="U43" s="580" t="str">
        <f ca="1">_xlfn.IFNA(IF(OFFSET($Q$1,MATCH($R43,$S:$S,0)-1,0)&lt;&gt;U$8,"",IF(COUNTIF('4.2需要家合意形成状況(住宅)'!$D:$D,OFFSET($T$1,MATCH($R43,$S:$S,0)-1,0))=0,OFFSET($T$1,MATCH($R43,$S:$S,0)-1,0),"")),"")</f>
        <v/>
      </c>
      <c r="V43" s="579" t="str">
        <f ca="1">_xlfn.IFNA(IF(OFFSET($Q$1,MATCH($R43,$S:$S,0)-1,0)&lt;&gt;V$8,"",IF(COUNTIF('4.2需要家合意形成状況(民生・業務その他)'!$D:$D,OFFSET($T$1,MATCH($R43,$S:$S,0)-1,0))=0,OFFSET($T$1,MATCH($R43,$S:$S,0)-1,0),"")),"")</f>
        <v/>
      </c>
      <c r="W43" s="579" t="str">
        <f ca="1">_xlfn.IFNA(IF(OFFSET($Q$1,MATCH($R43,$S:$S,0)-1,0)&lt;&gt;W$8,"",IF(COUNTIF('4.2需要家合意形成状況(公共)'!$D:$D,OFFSET($T$1,MATCH($R43,$S:$S,0)-1,0))=0,OFFSET($T$1,MATCH($R43,$S:$S,0)-1,0),"")),"")</f>
        <v/>
      </c>
      <c r="X43" s="579" t="str" cm="1">
        <f t="array" aca="1" ref="X43" ca="1">_xlfn.IFNA(_xlfn.IFS($Q43="住宅",OFFSET('4.2需要家合意形成状況(住宅)'!$F$1,MATCH('4.2民生電力需要量'!$T43,'4.2需要家合意形成状況(住宅)'!$D:$D,0)+2,0),$Q43="業務その他",OFFSET('4.2需要家合意形成状況(民生・業務その他)'!$F$1,MATCH('4.2民生電力需要量'!$T43,'4.2需要家合意形成状況(民生・業務その他)'!$D:$D,0)+2,0),$Q43="公共",OFFSET('4.2需要家合意形成状況(公共)'!$F$1,MATCH('4.2民生電力需要量'!$T43,'4.2需要家合意形成状況(公共)'!$D:$D,0)+3,0)),"")</f>
        <v/>
      </c>
      <c r="Y43" s="213"/>
      <c r="Z43" s="213"/>
      <c r="AA43" s="213"/>
    </row>
    <row r="44" spans="1:27">
      <c r="B44" s="563"/>
      <c r="C44" s="581">
        <v>8</v>
      </c>
      <c r="D44" s="570" t="s">
        <v>21</v>
      </c>
      <c r="E44" s="617"/>
      <c r="F44" s="618"/>
      <c r="G44" s="619"/>
      <c r="H44" s="620"/>
      <c r="I44" s="621"/>
      <c r="J44" s="622"/>
      <c r="K44" s="299" t="str">
        <f>IF(AND(COUNTBLANK($I44:$I49)=3,COUNTA($I44:$I49)=0),0,IF(SUM($I44:$I49)=0,"",SUM($I44:$I49)))</f>
        <v/>
      </c>
      <c r="L44" s="619"/>
      <c r="M44" s="624"/>
      <c r="N44" s="567"/>
      <c r="Q44" s="571" t="s">
        <v>445</v>
      </c>
      <c r="R44" s="571">
        <f t="shared" si="2"/>
        <v>36</v>
      </c>
      <c r="S44" s="571" t="str">
        <f>IF(T44&lt;&gt;"//",COUNTA($T$9:$T44)-COUNTIF($T$9:$T44,"//"),"")</f>
        <v/>
      </c>
      <c r="T44" s="571" t="str">
        <f t="shared" si="10"/>
        <v>//</v>
      </c>
      <c r="U44" s="572" t="str">
        <f ca="1">_xlfn.IFNA(IF(OFFSET($Q$1,MATCH($R44,$S:$S,0)-1,0)&lt;&gt;U$8,"",IF(COUNTIF('4.2需要家合意形成状況(住宅)'!$D:$D,OFFSET($T$1,MATCH($R44,$S:$S,0)-1,0))=0,OFFSET($T$1,MATCH($R44,$S:$S,0)-1,0),"")),"")</f>
        <v/>
      </c>
      <c r="V44" s="571" t="str">
        <f ca="1">_xlfn.IFNA(IF(OFFSET($Q$1,MATCH($R44,$S:$S,0)-1,0)&lt;&gt;V$8,"",IF(COUNTIF('4.2需要家合意形成状況(民生・業務その他)'!$D:$D,OFFSET($T$1,MATCH($R44,$S:$S,0)-1,0))=0,OFFSET($T$1,MATCH($R44,$S:$S,0)-1,0),"")),"")</f>
        <v/>
      </c>
      <c r="W44" s="571" t="str">
        <f ca="1">_xlfn.IFNA(IF(OFFSET($Q$1,MATCH($R44,$S:$S,0)-1,0)&lt;&gt;W$8,"",IF(COUNTIF('4.2需要家合意形成状況(公共)'!$D:$D,OFFSET($T$1,MATCH($R44,$S:$S,0)-1,0))=0,OFFSET($T$1,MATCH($R44,$S:$S,0)-1,0),"")),"")</f>
        <v/>
      </c>
      <c r="X44" s="571" t="str" cm="1">
        <f t="array" aca="1" ref="X44" ca="1">_xlfn.IFNA(_xlfn.IFS($Q44="住宅",OFFSET('4.2需要家合意形成状況(住宅)'!$F$1,MATCH('4.2民生電力需要量'!$T44,'4.2需要家合意形成状況(住宅)'!$D:$D,0)+2,0),$Q44="業務その他",OFFSET('4.2需要家合意形成状況(民生・業務その他)'!$F$1,MATCH('4.2民生電力需要量'!$T44,'4.2需要家合意形成状況(民生・業務その他)'!$D:$D,0)+2,0),$Q44="公共",OFFSET('4.2需要家合意形成状況(公共)'!$F$1,MATCH('4.2民生電力需要量'!$T44,'4.2需要家合意形成状況(公共)'!$D:$D,0)+3,0)),"")</f>
        <v/>
      </c>
      <c r="Y44" s="408"/>
      <c r="Z44" s="408"/>
      <c r="AA44" s="408"/>
    </row>
    <row r="45" spans="1:27" s="429" customFormat="1" hidden="1">
      <c r="A45" s="427"/>
      <c r="B45" s="573"/>
      <c r="C45" s="574"/>
      <c r="D45" s="575"/>
      <c r="E45" s="602"/>
      <c r="F45" s="603"/>
      <c r="G45" s="603"/>
      <c r="H45" s="604"/>
      <c r="I45" s="605"/>
      <c r="J45" s="606"/>
      <c r="K45" s="576"/>
      <c r="L45" s="603"/>
      <c r="M45" s="623" t="str">
        <f t="shared" ca="1" si="4"/>
        <v/>
      </c>
      <c r="N45" s="577"/>
      <c r="O45" s="427"/>
      <c r="P45" s="578"/>
      <c r="Q45" s="579" t="s">
        <v>445</v>
      </c>
      <c r="R45" s="579">
        <f t="shared" si="2"/>
        <v>37</v>
      </c>
      <c r="S45" s="579" t="str">
        <f>IF(T45&lt;&gt;"//",COUNTA($T$9:$T45)-COUNTIF($T$9:$T45,"//"),"")</f>
        <v/>
      </c>
      <c r="T45" s="579" t="str">
        <f t="shared" si="10"/>
        <v>//</v>
      </c>
      <c r="U45" s="580" t="str">
        <f ca="1">_xlfn.IFNA(IF(OFFSET($Q$1,MATCH($R45,$S:$S,0)-1,0)&lt;&gt;U$8,"",IF(COUNTIF('4.2需要家合意形成状況(住宅)'!$D:$D,OFFSET($T$1,MATCH($R45,$S:$S,0)-1,0))=0,OFFSET($T$1,MATCH($R45,$S:$S,0)-1,0),"")),"")</f>
        <v/>
      </c>
      <c r="V45" s="579" t="str">
        <f ca="1">_xlfn.IFNA(IF(OFFSET($Q$1,MATCH($R45,$S:$S,0)-1,0)&lt;&gt;V$8,"",IF(COUNTIF('4.2需要家合意形成状況(民生・業務その他)'!$D:$D,OFFSET($T$1,MATCH($R45,$S:$S,0)-1,0))=0,OFFSET($T$1,MATCH($R45,$S:$S,0)-1,0),"")),"")</f>
        <v/>
      </c>
      <c r="W45" s="579" t="str">
        <f ca="1">_xlfn.IFNA(IF(OFFSET($Q$1,MATCH($R45,$S:$S,0)-1,0)&lt;&gt;W$8,"",IF(COUNTIF('4.2需要家合意形成状況(公共)'!$D:$D,OFFSET($T$1,MATCH($R45,$S:$S,0)-1,0))=0,OFFSET($T$1,MATCH($R45,$S:$S,0)-1,0),"")),"")</f>
        <v/>
      </c>
      <c r="X45" s="579" t="str" cm="1">
        <f t="array" aca="1" ref="X45" ca="1">_xlfn.IFNA(_xlfn.IFS($Q45="住宅",OFFSET('4.2需要家合意形成状況(住宅)'!$F$1,MATCH('4.2民生電力需要量'!$T45,'4.2需要家合意形成状況(住宅)'!$D:$D,0)+2,0),$Q45="業務その他",OFFSET('4.2需要家合意形成状況(民生・業務その他)'!$F$1,MATCH('4.2民生電力需要量'!$T45,'4.2需要家合意形成状況(民生・業務その他)'!$D:$D,0)+2,0),$Q45="公共",OFFSET('4.2需要家合意形成状況(公共)'!$F$1,MATCH('4.2民生電力需要量'!$T45,'4.2需要家合意形成状況(公共)'!$D:$D,0)+3,0)),"")</f>
        <v/>
      </c>
      <c r="Y45" s="213"/>
      <c r="Z45" s="213"/>
      <c r="AA45" s="213"/>
    </row>
    <row r="46" spans="1:27" s="429" customFormat="1">
      <c r="A46" s="427"/>
      <c r="B46" s="573"/>
      <c r="C46" s="574" t="s">
        <v>587</v>
      </c>
      <c r="D46" s="575"/>
      <c r="E46" s="607"/>
      <c r="F46" s="608"/>
      <c r="G46" s="608"/>
      <c r="H46" s="609"/>
      <c r="I46" s="610"/>
      <c r="J46" s="611"/>
      <c r="K46" s="576"/>
      <c r="L46" s="608"/>
      <c r="M46" s="623" t="str">
        <f t="shared" ca="1" si="4"/>
        <v/>
      </c>
      <c r="N46" s="577"/>
      <c r="O46" s="427"/>
      <c r="P46" s="578"/>
      <c r="Q46" s="579" t="s">
        <v>445</v>
      </c>
      <c r="R46" s="579">
        <f t="shared" si="2"/>
        <v>38</v>
      </c>
      <c r="S46" s="579" t="str">
        <f>IF(T46&lt;&gt;"//",COUNTA($T$9:$T46)-COUNTIF($T$9:$T46,"//"),"")</f>
        <v/>
      </c>
      <c r="T46" s="579" t="str">
        <f t="shared" si="10"/>
        <v>//</v>
      </c>
      <c r="U46" s="580" t="str">
        <f ca="1">_xlfn.IFNA(IF(OFFSET($Q$1,MATCH($R46,$S:$S,0)-1,0)&lt;&gt;U$8,"",IF(COUNTIF('4.2需要家合意形成状況(住宅)'!$D:$D,OFFSET($T$1,MATCH($R46,$S:$S,0)-1,0))=0,OFFSET($T$1,MATCH($R46,$S:$S,0)-1,0),"")),"")</f>
        <v/>
      </c>
      <c r="V46" s="579" t="str">
        <f ca="1">_xlfn.IFNA(IF(OFFSET($Q$1,MATCH($R46,$S:$S,0)-1,0)&lt;&gt;V$8,"",IF(COUNTIF('4.2需要家合意形成状況(民生・業務その他)'!$D:$D,OFFSET($T$1,MATCH($R46,$S:$S,0)-1,0))=0,OFFSET($T$1,MATCH($R46,$S:$S,0)-1,0),"")),"")</f>
        <v/>
      </c>
      <c r="W46" s="579" t="str">
        <f ca="1">_xlfn.IFNA(IF(OFFSET($Q$1,MATCH($R46,$S:$S,0)-1,0)&lt;&gt;W$8,"",IF(COUNTIF('4.2需要家合意形成状況(公共)'!$D:$D,OFFSET($T$1,MATCH($R46,$S:$S,0)-1,0))=0,OFFSET($T$1,MATCH($R46,$S:$S,0)-1,0),"")),"")</f>
        <v/>
      </c>
      <c r="X46" s="579" t="str" cm="1">
        <f t="array" aca="1" ref="X46" ca="1">_xlfn.IFNA(_xlfn.IFS($Q46="住宅",OFFSET('4.2需要家合意形成状況(住宅)'!$F$1,MATCH('4.2民生電力需要量'!$T46,'4.2需要家合意形成状況(住宅)'!$D:$D,0)+2,0),$Q46="業務その他",OFFSET('4.2需要家合意形成状況(民生・業務その他)'!$F$1,MATCH('4.2民生電力需要量'!$T46,'4.2需要家合意形成状況(民生・業務その他)'!$D:$D,0)+2,0),$Q46="公共",OFFSET('4.2需要家合意形成状況(公共)'!$F$1,MATCH('4.2民生電力需要量'!$T46,'4.2需要家合意形成状況(公共)'!$D:$D,0)+3,0)),"")</f>
        <v/>
      </c>
      <c r="Y46" s="213"/>
      <c r="Z46" s="213"/>
      <c r="AA46" s="213"/>
    </row>
    <row r="47" spans="1:27" s="429" customFormat="1">
      <c r="A47" s="427"/>
      <c r="B47" s="573"/>
      <c r="C47" s="574"/>
      <c r="D47" s="575"/>
      <c r="E47" s="607"/>
      <c r="F47" s="608"/>
      <c r="G47" s="608"/>
      <c r="H47" s="609"/>
      <c r="I47" s="610"/>
      <c r="J47" s="611"/>
      <c r="K47" s="576"/>
      <c r="L47" s="608"/>
      <c r="M47" s="623" t="str">
        <f t="shared" ca="1" si="4"/>
        <v/>
      </c>
      <c r="N47" s="577"/>
      <c r="O47" s="427"/>
      <c r="P47" s="578"/>
      <c r="Q47" s="579" t="s">
        <v>445</v>
      </c>
      <c r="R47" s="579">
        <f t="shared" si="2"/>
        <v>39</v>
      </c>
      <c r="S47" s="579" t="str">
        <f>IF(T47&lt;&gt;"//",COUNTA($T$9:$T47)-COUNTIF($T$9:$T47,"//"),"")</f>
        <v/>
      </c>
      <c r="T47" s="579" t="str">
        <f t="shared" si="10"/>
        <v>//</v>
      </c>
      <c r="U47" s="580" t="str">
        <f ca="1">_xlfn.IFNA(IF(OFFSET($Q$1,MATCH($R47,$S:$S,0)-1,0)&lt;&gt;U$8,"",IF(COUNTIF('4.2需要家合意形成状況(住宅)'!$D:$D,OFFSET($T$1,MATCH($R47,$S:$S,0)-1,0))=0,OFFSET($T$1,MATCH($R47,$S:$S,0)-1,0),"")),"")</f>
        <v/>
      </c>
      <c r="V47" s="579" t="str">
        <f ca="1">_xlfn.IFNA(IF(OFFSET($Q$1,MATCH($R47,$S:$S,0)-1,0)&lt;&gt;V$8,"",IF(COUNTIF('4.2需要家合意形成状況(民生・業務その他)'!$D:$D,OFFSET($T$1,MATCH($R47,$S:$S,0)-1,0))=0,OFFSET($T$1,MATCH($R47,$S:$S,0)-1,0),"")),"")</f>
        <v/>
      </c>
      <c r="W47" s="579" t="str">
        <f ca="1">_xlfn.IFNA(IF(OFFSET($Q$1,MATCH($R47,$S:$S,0)-1,0)&lt;&gt;W$8,"",IF(COUNTIF('4.2需要家合意形成状況(公共)'!$D:$D,OFFSET($T$1,MATCH($R47,$S:$S,0)-1,0))=0,OFFSET($T$1,MATCH($R47,$S:$S,0)-1,0),"")),"")</f>
        <v/>
      </c>
      <c r="X47" s="579" t="str" cm="1">
        <f t="array" aca="1" ref="X47" ca="1">_xlfn.IFNA(_xlfn.IFS($Q47="住宅",OFFSET('4.2需要家合意形成状況(住宅)'!$F$1,MATCH('4.2民生電力需要量'!$T47,'4.2需要家合意形成状況(住宅)'!$D:$D,0)+2,0),$Q47="業務その他",OFFSET('4.2需要家合意形成状況(民生・業務その他)'!$F$1,MATCH('4.2民生電力需要量'!$T47,'4.2需要家合意形成状況(民生・業務その他)'!$D:$D,0)+2,0),$Q47="公共",OFFSET('4.2需要家合意形成状況(公共)'!$F$1,MATCH('4.2民生電力需要量'!$T47,'4.2需要家合意形成状況(公共)'!$D:$D,0)+3,0)),"")</f>
        <v/>
      </c>
      <c r="Y47" s="213"/>
      <c r="Z47" s="213"/>
      <c r="AA47" s="213"/>
    </row>
    <row r="48" spans="1:27" s="429" customFormat="1">
      <c r="A48" s="427"/>
      <c r="B48" s="573"/>
      <c r="C48" s="574"/>
      <c r="D48" s="575"/>
      <c r="E48" s="612"/>
      <c r="F48" s="613"/>
      <c r="G48" s="613"/>
      <c r="H48" s="614"/>
      <c r="I48" s="615"/>
      <c r="J48" s="616"/>
      <c r="K48" s="625"/>
      <c r="L48" s="613"/>
      <c r="M48" s="623" t="str">
        <f t="shared" ca="1" si="4"/>
        <v/>
      </c>
      <c r="N48" s="577"/>
      <c r="O48" s="427"/>
      <c r="P48" s="578"/>
      <c r="Q48" s="579" t="s">
        <v>445</v>
      </c>
      <c r="R48" s="579">
        <f t="shared" si="2"/>
        <v>40</v>
      </c>
      <c r="S48" s="579" t="str">
        <f>IF(T48&lt;&gt;"//",COUNTA($T$9:$T48)-COUNTIF($T$9:$T48,"//"),"")</f>
        <v/>
      </c>
      <c r="T48" s="579" t="str">
        <f t="shared" si="10"/>
        <v>//</v>
      </c>
      <c r="U48" s="580" t="str">
        <f ca="1">_xlfn.IFNA(IF(OFFSET($Q$1,MATCH($R48,$S:$S,0)-1,0)&lt;&gt;U$8,"",IF(COUNTIF('4.2需要家合意形成状況(住宅)'!$D:$D,OFFSET($T$1,MATCH($R48,$S:$S,0)-1,0))=0,OFFSET($T$1,MATCH($R48,$S:$S,0)-1,0),"")),"")</f>
        <v/>
      </c>
      <c r="V48" s="579" t="str">
        <f ca="1">_xlfn.IFNA(IF(OFFSET($Q$1,MATCH($R48,$S:$S,0)-1,0)&lt;&gt;V$8,"",IF(COUNTIF('4.2需要家合意形成状況(民生・業務その他)'!$D:$D,OFFSET($T$1,MATCH($R48,$S:$S,0)-1,0))=0,OFFSET($T$1,MATCH($R48,$S:$S,0)-1,0),"")),"")</f>
        <v/>
      </c>
      <c r="W48" s="579" t="str">
        <f ca="1">_xlfn.IFNA(IF(OFFSET($Q$1,MATCH($R48,$S:$S,0)-1,0)&lt;&gt;W$8,"",IF(COUNTIF('4.2需要家合意形成状況(公共)'!$D:$D,OFFSET($T$1,MATCH($R48,$S:$S,0)-1,0))=0,OFFSET($T$1,MATCH($R48,$S:$S,0)-1,0),"")),"")</f>
        <v/>
      </c>
      <c r="X48" s="579" t="str" cm="1">
        <f t="array" aca="1" ref="X48" ca="1">_xlfn.IFNA(_xlfn.IFS($Q48="住宅",OFFSET('4.2需要家合意形成状況(住宅)'!$F$1,MATCH('4.2民生電力需要量'!$T48,'4.2需要家合意形成状況(住宅)'!$D:$D,0)+2,0),$Q48="業務その他",OFFSET('4.2需要家合意形成状況(民生・業務その他)'!$F$1,MATCH('4.2民生電力需要量'!$T48,'4.2需要家合意形成状況(民生・業務その他)'!$D:$D,0)+2,0),$Q48="公共",OFFSET('4.2需要家合意形成状況(公共)'!$F$1,MATCH('4.2民生電力需要量'!$T48,'4.2需要家合意形成状況(公共)'!$D:$D,0)+3,0)),"")</f>
        <v/>
      </c>
      <c r="Y48" s="213"/>
      <c r="Z48" s="213"/>
      <c r="AA48" s="213"/>
    </row>
    <row r="49" spans="1:27">
      <c r="B49" s="563"/>
      <c r="C49" s="589"/>
      <c r="D49" s="590" t="s">
        <v>26</v>
      </c>
      <c r="E49" s="591"/>
      <c r="F49" s="592"/>
      <c r="G49" s="592"/>
      <c r="H49" s="593"/>
      <c r="I49" s="301"/>
      <c r="J49" s="302"/>
      <c r="K49" s="708">
        <f>SUM(K9,K14,K19,K24,K29,K34,K39,K44)</f>
        <v>0</v>
      </c>
      <c r="L49" s="592"/>
      <c r="M49" s="594"/>
      <c r="N49" s="567"/>
      <c r="Q49" s="571" t="s">
        <v>445</v>
      </c>
      <c r="R49" s="571">
        <f t="shared" si="2"/>
        <v>41</v>
      </c>
      <c r="S49" s="571" t="str">
        <f>IF(T49&lt;&gt;"//",COUNTA($T$9:$T49)-COUNTIF($T$9:$T49,"//"),"")</f>
        <v/>
      </c>
      <c r="T49" s="571" t="str">
        <f t="shared" si="10"/>
        <v>//</v>
      </c>
      <c r="U49" s="572" t="str">
        <f ca="1">_xlfn.IFNA(IF(OFFSET($Q$1,MATCH($R49,$S:$S,0)-1,0)&lt;&gt;U$8,"",IF(COUNTIF('4.2需要家合意形成状況(住宅)'!$D:$D,OFFSET($T$1,MATCH($R49,$S:$S,0)-1,0))=0,OFFSET($T$1,MATCH($R49,$S:$S,0)-1,0),"")),"")</f>
        <v/>
      </c>
      <c r="V49" s="571" t="str">
        <f ca="1">_xlfn.IFNA(IF(OFFSET($Q$1,MATCH($R49,$S:$S,0)-1,0)&lt;&gt;V$8,"",IF(COUNTIF('4.2需要家合意形成状況(民生・業務その他)'!$D:$D,OFFSET($T$1,MATCH($R49,$S:$S,0)-1,0))=0,OFFSET($T$1,MATCH($R49,$S:$S,0)-1,0),"")),"")</f>
        <v/>
      </c>
      <c r="W49" s="571" t="str">
        <f ca="1">_xlfn.IFNA(IF(OFFSET($Q$1,MATCH($R49,$S:$S,0)-1,0)&lt;&gt;W$8,"",IF(COUNTIF('4.2需要家合意形成状況(公共)'!$D:$D,OFFSET($T$1,MATCH($R49,$S:$S,0)-1,0))=0,OFFSET($T$1,MATCH($R49,$S:$S,0)-1,0),"")),"")</f>
        <v/>
      </c>
      <c r="X49" s="571" t="str" cm="1">
        <f t="array" aca="1" ref="X49" ca="1">_xlfn.IFNA(_xlfn.IFS($Q49="住宅",OFFSET('4.2需要家合意形成状況(住宅)'!$F$1,MATCH('4.2民生電力需要量'!$T49,'4.2需要家合意形成状況(住宅)'!$D:$D,0)+2,0),$Q49="業務その他",OFFSET('4.2需要家合意形成状況(民生・業務その他)'!$F$1,MATCH('4.2民生電力需要量'!$T49,'4.2需要家合意形成状況(民生・業務その他)'!$D:$D,0)+2,0),$Q49="公共",OFFSET('4.2需要家合意形成状況(公共)'!$F$1,MATCH('4.2民生電力需要量'!$T49,'4.2需要家合意形成状況(公共)'!$D:$D,0)+3,0)),"")</f>
        <v/>
      </c>
      <c r="Y49" s="408"/>
      <c r="Z49" s="408"/>
      <c r="AA49" s="408"/>
    </row>
    <row r="50" spans="1:27" ht="7.5" customHeight="1">
      <c r="A50" s="88"/>
      <c r="B50" s="595"/>
      <c r="C50" s="245"/>
      <c r="D50" s="245"/>
      <c r="E50" s="596"/>
      <c r="F50" s="245"/>
      <c r="G50" s="245"/>
      <c r="H50" s="596"/>
      <c r="I50" s="245"/>
      <c r="J50" s="597"/>
      <c r="K50" s="245"/>
      <c r="L50" s="245"/>
      <c r="M50" s="598"/>
      <c r="N50" s="599"/>
    </row>
    <row r="51" spans="1:27" ht="27" customHeight="1">
      <c r="A51" s="88"/>
      <c r="D51" s="554" t="s">
        <v>117</v>
      </c>
      <c r="E51" s="600"/>
      <c r="F51" s="600"/>
      <c r="G51" s="600"/>
      <c r="H51" s="600"/>
      <c r="I51" s="600"/>
      <c r="J51" s="601"/>
      <c r="K51" s="600"/>
      <c r="L51" s="600"/>
      <c r="M51" s="601"/>
      <c r="N51" s="600"/>
    </row>
    <row r="52" spans="1:27">
      <c r="A52" s="88"/>
      <c r="D52" s="228" t="s">
        <v>118</v>
      </c>
      <c r="P52" s="228"/>
      <c r="Q52" s="228" t="s">
        <v>419</v>
      </c>
      <c r="R52" s="228"/>
    </row>
    <row r="53" spans="1:27">
      <c r="A53" s="88"/>
      <c r="Q53" s="266" t="s">
        <v>588</v>
      </c>
      <c r="R53" s="266">
        <f ca="1">IF((COUNTA($E:$E)-1)=COUNTIF(M:M,"?"),1,0)</f>
        <v>1</v>
      </c>
    </row>
    <row r="54" spans="1:27">
      <c r="A54" s="88"/>
      <c r="Q54" s="266" t="s">
        <v>589</v>
      </c>
      <c r="R54" s="266" cm="1">
        <f t="array" aca="1" ref="R54" ca="1">IF(SUMPRODUCT(N(M9:M49&lt;&gt;X9:X49))=0,1,0)</f>
        <v>1</v>
      </c>
    </row>
    <row r="55" spans="1:27">
      <c r="A55" s="88"/>
      <c r="Q55" s="266" t="s">
        <v>590</v>
      </c>
      <c r="R55" s="266">
        <f ca="1">R53*R54</f>
        <v>1</v>
      </c>
    </row>
    <row r="56" spans="1:27">
      <c r="A56" s="88"/>
    </row>
    <row r="57" spans="1:27">
      <c r="A57" s="88"/>
    </row>
    <row r="58" spans="1:27">
      <c r="A58" s="88"/>
    </row>
    <row r="59" spans="1:27">
      <c r="A59" s="88"/>
    </row>
  </sheetData>
  <sheetProtection algorithmName="SHA-512" hashValue="FUhkkCksqV6FyHTNVD8K5JuheJsb+uZRkn4nchswhokWztET8KWGCDoi/ZePzx8bKV0ydSuMepyEusEjh/Cc9Q==" saltValue="Z9QUpH6Cyoagt7Lmk3J6yA==" spinCount="100000" sheet="1" formatCells="0" insertRows="0" deleteRows="0"/>
  <phoneticPr fontId="1"/>
  <conditionalFormatting sqref="C10:C48">
    <cfRule type="notContainsBlanks" dxfId="2163" priority="2">
      <formula>LEN(TRIM(C10))&gt;0</formula>
    </cfRule>
    <cfRule type="expression" dxfId="2162" priority="3">
      <formula>$E10&lt;&gt;""</formula>
    </cfRule>
  </conditionalFormatting>
  <conditionalFormatting sqref="C9:M49">
    <cfRule type="expression" dxfId="2161" priority="4">
      <formula>$R9=""</formula>
    </cfRule>
  </conditionalFormatting>
  <conditionalFormatting sqref="E9:M48">
    <cfRule type="notContainsBlanks" dxfId="2160" priority="6">
      <formula>LEN(TRIM(E9))&gt;0</formula>
    </cfRule>
  </conditionalFormatting>
  <conditionalFormatting sqref="K49:L49">
    <cfRule type="cellIs" dxfId="2159" priority="1" operator="notEqual">
      <formula>0</formula>
    </cfRule>
  </conditionalFormatting>
  <conditionalFormatting sqref="M9:M49">
    <cfRule type="expression" dxfId="2158" priority="5">
      <formula>$X9&lt;&gt;$M9</formula>
    </cfRule>
  </conditionalFormatting>
  <dataValidations count="11">
    <dataValidation type="list" allowBlank="1" showInputMessage="1" showErrorMessage="1" sqref="F49" xr:uid="{0AEC1D1C-BBF9-424A-B279-09A6F1414D08}">
      <formula1>#REF!</formula1>
    </dataValidation>
    <dataValidation type="custom" allowBlank="1" showInputMessage="1" showErrorMessage="1" sqref="I49:J49 H9:H49" xr:uid="{4199A797-7444-42FC-ACA1-C1BCCEADAFDA}">
      <formula1>$D9="*"</formula1>
    </dataValidation>
    <dataValidation type="decimal" operator="greaterThanOrEqual" allowBlank="1" showInputMessage="1" showErrorMessage="1" error="数値で入力してください" sqref="J9 J14 M39 M14 J44 M19 M24 M29 M34 J19 J24 J29 J34 J39 I9:I48 M44" xr:uid="{6BB95785-C989-4D77-8D5C-A03A954DFCB8}">
      <formula1>0</formula1>
    </dataValidation>
    <dataValidation type="list" operator="greaterThanOrEqual" allowBlank="1" showInputMessage="1" showErrorMessage="1" sqref="J20:J23 J45:J48 J35:J38 J40:J43 J30:J33 J25:J28 J15:J18 J10:J13" xr:uid="{A8B6B932-49CB-4693-BE67-C93BC31A5C09}">
      <formula1>"範囲内,範囲外"</formula1>
    </dataValidation>
    <dataValidation type="textLength" operator="lessThan" allowBlank="1" showInputMessage="1" showErrorMessage="1" sqref="K14 K19 K24 K29 K34 K39 K44 D9:D48 K9" xr:uid="{4535185D-AA60-4653-BDBF-ADC4FB3C8937}">
      <formula1>1</formula1>
    </dataValidation>
    <dataValidation type="list" allowBlank="1" showInputMessage="1" sqref="F34 F9 F29 F39 F14 F19 F24 F44" xr:uid="{5E570AAE-4BA8-49D5-B68B-152A31AE3989}">
      <formula1>OFFSET(#REF!,MATCH(#REF!,#REF!,0),3,1,COUNTA(#REF!))</formula1>
    </dataValidation>
    <dataValidation type="textLength" operator="lessThan" allowBlank="1" showInputMessage="1" sqref="K35:K38 K40:K43 K45:K48 K30:K33 K25:K28 K15:K18 K10:K13 K20:K23" xr:uid="{BA87061B-195B-4B0E-99D5-DED36533D3A0}">
      <formula1>1</formula1>
    </dataValidation>
    <dataValidation type="list" allowBlank="1" showInputMessage="1" showErrorMessage="1" sqref="F15:F18 F10:F13" xr:uid="{4F3B3076-AD29-4B01-BBA5-8FA6BEB545CF}">
      <formula1>"既存住宅,新築住宅"</formula1>
    </dataValidation>
    <dataValidation type="list" allowBlank="1" showInputMessage="1" showErrorMessage="1" sqref="F25:F28 F45:F48 F35:F38 F40:F43 F20:F23 F30:F33" xr:uid="{117E1D87-8B47-430D-8428-3AC3C77EFAD8}">
      <formula1>"新築,既存,建替"</formula1>
    </dataValidation>
    <dataValidation type="list" allowBlank="1" showInputMessage="1" showErrorMessage="1" sqref="G49 H49" xr:uid="{89415004-3146-4BDB-B2FD-2A956727567D}">
      <formula1>OFFSET(#REF!,MATCH($F49,#REF!,0),1,1,COUNTA(OFFSET(#REF!,MATCH($F49,#REF!,0),1,1,10)))</formula1>
    </dataValidation>
    <dataValidation type="whole" operator="greaterThanOrEqual" allowBlank="1" showInputMessage="1" showErrorMessage="1" errorTitle="入力エラー" error="整数で入力してください" sqref="L9:L49" xr:uid="{D3D88CB0-91AA-4488-BD67-7525C52347C7}">
      <formula1>0</formula1>
    </dataValidation>
  </dataValidations>
  <pageMargins left="0.7" right="0.7" top="0.75" bottom="0.75" header="0.3" footer="0.3"/>
  <pageSetup paperSize="8" scale="80"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1674-8BFE-4B21-BA3D-7680079DB9CA}">
  <sheetPr codeName="Sheet32">
    <tabColor theme="7" tint="0.79998168889431442"/>
    <pageSetUpPr fitToPage="1"/>
  </sheetPr>
  <dimension ref="A1:AB754"/>
  <sheetViews>
    <sheetView showGridLines="0" zoomScaleNormal="100" zoomScaleSheetLayoutView="83" workbookViewId="0"/>
  </sheetViews>
  <sheetFormatPr defaultColWidth="9" defaultRowHeight="18"/>
  <cols>
    <col min="1" max="1" width="2.08203125" customWidth="1"/>
    <col min="2" max="2" width="2" customWidth="1"/>
    <col min="3" max="3" width="7.08203125" customWidth="1"/>
    <col min="4" max="4" width="21.5" customWidth="1"/>
    <col min="5" max="5" width="24.58203125" style="3" bestFit="1" customWidth="1"/>
    <col min="6" max="11" width="15" customWidth="1"/>
    <col min="12" max="12" width="2" customWidth="1"/>
    <col min="13" max="13" width="4.08203125" style="2" customWidth="1"/>
    <col min="14" max="15" width="9" style="2"/>
    <col min="18" max="26" width="12.58203125" hidden="1" customWidth="1"/>
    <col min="27" max="28" width="9" hidden="1" customWidth="1"/>
  </cols>
  <sheetData>
    <row r="1" spans="1:28">
      <c r="A1" s="44" t="s">
        <v>358</v>
      </c>
      <c r="B1" s="1"/>
      <c r="C1" s="1"/>
      <c r="E1"/>
    </row>
    <row r="2" spans="1:28">
      <c r="B2" t="s">
        <v>427</v>
      </c>
      <c r="C2" s="3"/>
      <c r="D2" s="3"/>
      <c r="F2" s="3"/>
      <c r="G2" s="3"/>
      <c r="H2" s="3"/>
      <c r="I2" s="3"/>
      <c r="J2" s="3"/>
      <c r="K2" s="3"/>
      <c r="L2" s="3"/>
      <c r="M2" s="3"/>
      <c r="N2" s="3"/>
      <c r="O2" s="3"/>
      <c r="P2" s="3"/>
    </row>
    <row r="3" spans="1:28">
      <c r="C3" t="s">
        <v>507</v>
      </c>
    </row>
    <row r="4" spans="1:28" ht="18.75" customHeight="1">
      <c r="B4" s="73"/>
      <c r="C4" t="s">
        <v>428</v>
      </c>
      <c r="R4" t="s">
        <v>314</v>
      </c>
    </row>
    <row r="5" spans="1:28">
      <c r="AA5">
        <f ca="1">PRODUCT(AB:AB)</f>
        <v>1</v>
      </c>
    </row>
    <row r="6" spans="1:28" ht="9" customHeight="1">
      <c r="B6" s="10"/>
      <c r="C6" s="5"/>
      <c r="D6" s="5"/>
      <c r="E6" s="305"/>
      <c r="F6" s="5"/>
      <c r="G6" s="5"/>
      <c r="H6" s="5"/>
      <c r="I6" s="5"/>
      <c r="J6" s="5"/>
      <c r="K6" s="5"/>
      <c r="L6" s="6"/>
      <c r="M6"/>
      <c r="N6"/>
      <c r="O6"/>
      <c r="R6" t="str">
        <f>D7</f>
        <v>(選択してください)</v>
      </c>
    </row>
    <row r="7" spans="1:28">
      <c r="B7" s="7"/>
      <c r="C7" s="77" t="str">
        <f ca="1">IFERROR(OFFSET('4.2民生電力需要量'!$C$1,MATCH(D7,'4.2民生電力需要量'!$E:$E,0)-1,0),"")</f>
        <v/>
      </c>
      <c r="D7" s="94" t="s">
        <v>130</v>
      </c>
      <c r="E7" s="72" t="s">
        <v>131</v>
      </c>
      <c r="F7" s="1446" t="str">
        <f ca="1">IFERROR(OFFSET('4.2民生電力需要量'!$G$1,MATCH($D7,'4.2民生電力需要量'!$E:$E,0)-1,0),"")</f>
        <v/>
      </c>
      <c r="G7" s="1446"/>
      <c r="H7" s="1446"/>
      <c r="I7" s="1446"/>
      <c r="J7" s="1446"/>
      <c r="K7" s="1446"/>
      <c r="L7" s="8"/>
      <c r="M7"/>
      <c r="N7"/>
      <c r="O7"/>
      <c r="R7" s="175" t="str">
        <f ca="1">IFERROR(OFFSET('4.2民生電力需要量'!$G$1,MATCH($D7,'4.2民生電力需要量'!$E:$E,0)-1,0),"")</f>
        <v/>
      </c>
      <c r="S7" s="175"/>
      <c r="T7" s="175"/>
      <c r="U7" s="175"/>
      <c r="V7" s="175"/>
      <c r="W7" s="175"/>
      <c r="X7" s="175"/>
      <c r="Y7" s="175"/>
      <c r="Z7" s="175"/>
      <c r="AA7" s="175"/>
      <c r="AB7" s="175">
        <f ca="1">(F7=R7)*1</f>
        <v>1</v>
      </c>
    </row>
    <row r="8" spans="1:28">
      <c r="B8" s="7"/>
      <c r="C8" s="915"/>
      <c r="D8" s="97"/>
      <c r="E8" s="72" t="s">
        <v>612</v>
      </c>
      <c r="F8" s="1447" t="str">
        <f ca="1">IFERROR(OFFSET('4.2民生電力需要量'!$L$1,MATCH($D7,'4.2民生電力需要量'!$E:$E,0)-1,0),"")</f>
        <v/>
      </c>
      <c r="G8" s="1448"/>
      <c r="H8" s="1448"/>
      <c r="I8" s="1448"/>
      <c r="J8" s="1448"/>
      <c r="K8" s="1449"/>
      <c r="L8" s="8"/>
      <c r="M8"/>
      <c r="N8"/>
      <c r="O8"/>
      <c r="R8" s="175" t="str">
        <f ca="1">IFERROR(OFFSET('4.2民生電力需要量'!$L$1,MATCH($D7,'4.2民生電力需要量'!$E:$E,0)-1,0),"")</f>
        <v/>
      </c>
      <c r="S8" s="175"/>
      <c r="T8" s="175"/>
      <c r="U8" s="175"/>
      <c r="V8" s="175"/>
      <c r="W8" s="175"/>
      <c r="X8" s="175"/>
      <c r="Y8" s="175"/>
      <c r="Z8" s="175"/>
      <c r="AA8" s="175"/>
      <c r="AB8" s="175">
        <f ca="1">(F8=R8)*1</f>
        <v>1</v>
      </c>
    </row>
    <row r="9" spans="1:28">
      <c r="B9" s="7"/>
      <c r="C9" s="74"/>
      <c r="D9" s="66"/>
      <c r="E9" s="72" t="s">
        <v>220</v>
      </c>
      <c r="F9" s="1450" t="str">
        <f ca="1">IFERROR(OFFSET('4.2民生電力需要量'!$I$1,MATCH($D7,'4.2民生電力需要量'!$E:$E,0)-1,0),"")</f>
        <v/>
      </c>
      <c r="G9" s="1450"/>
      <c r="H9" s="1450"/>
      <c r="I9" s="1450"/>
      <c r="J9" s="1450"/>
      <c r="K9" s="1450"/>
      <c r="L9" s="8"/>
      <c r="M9"/>
      <c r="N9"/>
      <c r="O9"/>
      <c r="R9" s="175" t="str">
        <f ca="1">IFERROR(OFFSET('4.2民生電力需要量'!$I$1,MATCH($D7,'4.2民生電力需要量'!$E:$E,0)-1,0),"")</f>
        <v/>
      </c>
      <c r="S9" s="175"/>
      <c r="T9" s="175"/>
      <c r="U9" s="175"/>
      <c r="V9" s="175"/>
      <c r="W9" s="175"/>
      <c r="X9" s="175"/>
      <c r="Y9" s="175"/>
      <c r="Z9" s="175"/>
      <c r="AA9" s="175"/>
      <c r="AB9" s="175">
        <f t="shared" ref="AB9:AB10" ca="1" si="0">(F9=R9)*1</f>
        <v>1</v>
      </c>
    </row>
    <row r="10" spans="1:28">
      <c r="B10" s="7"/>
      <c r="C10" s="74"/>
      <c r="D10" s="66"/>
      <c r="E10" s="72" t="s">
        <v>175</v>
      </c>
      <c r="F10" s="1451" t="str">
        <f>_xlfn.IFNA(R10,"")</f>
        <v/>
      </c>
      <c r="G10" s="1451"/>
      <c r="H10" s="1451"/>
      <c r="I10" s="1451"/>
      <c r="J10" s="1451"/>
      <c r="K10" s="1451"/>
      <c r="L10" s="8"/>
      <c r="M10"/>
      <c r="N10"/>
      <c r="O10"/>
      <c r="R10" s="215" t="str">
        <f>IF(PRODUCT($Z12:$Z16)=1,AA12,"")</f>
        <v/>
      </c>
      <c r="S10" s="175"/>
      <c r="T10" s="175"/>
      <c r="U10" s="175"/>
      <c r="V10" s="175"/>
      <c r="W10" s="175"/>
      <c r="X10" s="175"/>
      <c r="Y10" s="175"/>
      <c r="Z10" s="175"/>
      <c r="AA10" s="175"/>
      <c r="AB10" s="175">
        <f t="shared" si="0"/>
        <v>1</v>
      </c>
    </row>
    <row r="11" spans="1:28" s="2" customFormat="1" ht="60">
      <c r="A11"/>
      <c r="B11" s="7"/>
      <c r="C11" s="74"/>
      <c r="D11" s="66"/>
      <c r="E11" s="306"/>
      <c r="F11" s="312" t="s">
        <v>299</v>
      </c>
      <c r="G11" s="313" t="s">
        <v>300</v>
      </c>
      <c r="H11" s="313" t="s">
        <v>301</v>
      </c>
      <c r="I11" s="313" t="s">
        <v>302</v>
      </c>
      <c r="J11" s="313" t="s">
        <v>429</v>
      </c>
      <c r="K11" s="313" t="s">
        <v>270</v>
      </c>
      <c r="L11" s="8"/>
      <c r="M11"/>
      <c r="P11"/>
      <c r="Q11"/>
      <c r="R11" s="294" t="s">
        <v>298</v>
      </c>
      <c r="S11" s="294" t="s">
        <v>299</v>
      </c>
      <c r="T11" s="314" t="s">
        <v>423</v>
      </c>
      <c r="U11" s="294" t="s">
        <v>424</v>
      </c>
      <c r="V11" s="294" t="s">
        <v>422</v>
      </c>
      <c r="W11" s="315" t="s">
        <v>270</v>
      </c>
      <c r="X11" s="294" t="s">
        <v>426</v>
      </c>
      <c r="Y11" s="215" t="s">
        <v>402</v>
      </c>
      <c r="Z11" s="215" t="s">
        <v>430</v>
      </c>
      <c r="AA11" s="294" t="s">
        <v>425</v>
      </c>
      <c r="AB11" s="294"/>
    </row>
    <row r="12" spans="1:28" s="99" customFormat="1" ht="18.75" hidden="1" customHeight="1">
      <c r="A12" s="11"/>
      <c r="B12" s="95"/>
      <c r="C12" s="96"/>
      <c r="D12" s="97"/>
      <c r="E12" s="438"/>
      <c r="F12" s="439"/>
      <c r="G12" s="439"/>
      <c r="H12" s="439"/>
      <c r="I12" s="439"/>
      <c r="J12" s="439"/>
      <c r="K12" s="439"/>
      <c r="L12" s="98"/>
      <c r="M12" s="11"/>
      <c r="Q12" s="11"/>
      <c r="R12" s="129">
        <f>IF(E12="地区代表者",COUNTA($D$1:$D12),0)</f>
        <v>0</v>
      </c>
      <c r="S12" s="129">
        <f t="shared" ref="S12:S13" si="1">IF(F12="実施済",1,0)</f>
        <v>0</v>
      </c>
      <c r="T12" s="258"/>
      <c r="U12" s="129">
        <f t="shared" ref="U12:U13" si="2">IF(AND(H12="実施済",I12="実施済"),S12*1,0)</f>
        <v>0</v>
      </c>
      <c r="V12" s="129">
        <f>IF(J12="実施済",$U12*1,0)</f>
        <v>0</v>
      </c>
      <c r="W12" s="258"/>
      <c r="X12" s="129" t="str">
        <f>IF(E12="","",IF(R12*S12&gt;0,3,SUM(S12,U12,V12)))</f>
        <v/>
      </c>
      <c r="Y12" s="129">
        <f>MIN($X$12:$X$16)+1</f>
        <v>1</v>
      </c>
      <c r="Z12" s="129">
        <f>IF(E12="",1,IF(R12&gt;0,IF(COUNTA($F12:$K12)=2,1,0),IF(COUNTA($F12:$K12)=6,1,0)))</f>
        <v>1</v>
      </c>
      <c r="AA12" s="129" t="str" cm="1">
        <f t="array" ref="AA12">_xlfn.IFS(Y12=4,"A",Y12=3,"B",Y12=2,"C",Y12=1,"D")</f>
        <v>D</v>
      </c>
      <c r="AB12" s="129" t="str" cm="1">
        <f t="array" ref="AB12">_xlfn.IFS(Z12=4,"A",Z12=3,"B",Z12=2,"C",Z12=1,"D")</f>
        <v>D</v>
      </c>
    </row>
    <row r="13" spans="1:28" s="99" customFormat="1" ht="18.75" customHeight="1">
      <c r="A13" s="11"/>
      <c r="B13" s="95"/>
      <c r="C13" s="96"/>
      <c r="D13" s="97"/>
      <c r="E13" s="440" t="s">
        <v>298</v>
      </c>
      <c r="F13" s="441"/>
      <c r="G13" s="839"/>
      <c r="H13" s="839"/>
      <c r="I13" s="839"/>
      <c r="J13" s="839"/>
      <c r="K13" s="441"/>
      <c r="L13" s="98"/>
      <c r="M13" s="11"/>
      <c r="Q13" s="11"/>
      <c r="R13" s="129">
        <f>IF(E13="地区代表者",COUNTA($D$1:$D13),0)</f>
        <v>1</v>
      </c>
      <c r="S13" s="129">
        <f t="shared" si="1"/>
        <v>0</v>
      </c>
      <c r="T13" s="258"/>
      <c r="U13" s="129">
        <f t="shared" si="2"/>
        <v>0</v>
      </c>
      <c r="V13" s="129">
        <f>IF(J13="実施済",$U13*1,0)</f>
        <v>0</v>
      </c>
      <c r="W13" s="258"/>
      <c r="X13" s="129">
        <f t="shared" ref="X13:X14" si="3">IF(E13="","",IF(R13*S13&gt;0,3,SUM(S13,U13,V13)))</f>
        <v>0</v>
      </c>
      <c r="Y13" s="129">
        <f>MIN($X$12:$X$16)+1</f>
        <v>1</v>
      </c>
      <c r="Z13" s="129">
        <f t="shared" ref="Z13:Z16" si="4">IF(E13="",1,IF(R13&gt;0,IF(COUNTA($F13:$K13)=2,1,0),IF(COUNTA($F13:$K13)=6,1,0)))</f>
        <v>0</v>
      </c>
      <c r="AA13" s="129" t="str" cm="1">
        <f t="array" ref="AA13">_xlfn.IFS(Y13=4,"A",Y13=3,"B",Y13=2,"C",Y13=1,"D")</f>
        <v>D</v>
      </c>
      <c r="AB13" s="129"/>
    </row>
    <row r="14" spans="1:28" s="99" customFormat="1" ht="18.75" customHeight="1">
      <c r="A14" s="11"/>
      <c r="B14" s="95"/>
      <c r="C14" s="96"/>
      <c r="D14" s="97"/>
      <c r="E14" s="440" t="s">
        <v>116</v>
      </c>
      <c r="F14" s="441"/>
      <c r="G14" s="441"/>
      <c r="H14" s="441"/>
      <c r="I14" s="441"/>
      <c r="J14" s="441"/>
      <c r="K14" s="441"/>
      <c r="L14" s="98"/>
      <c r="M14" s="11"/>
      <c r="P14" s="11"/>
      <c r="Q14" s="11"/>
      <c r="R14" s="129">
        <f>IF(E14="地区代表者",COUNTA($D$1:$D14),0)</f>
        <v>0</v>
      </c>
      <c r="S14" s="129">
        <f>IF(F14="実施済",1,0)</f>
        <v>0</v>
      </c>
      <c r="T14" s="258"/>
      <c r="U14" s="129">
        <f>IF(AND(H14="実施済",I14="実施済"),S14*1,0)</f>
        <v>0</v>
      </c>
      <c r="V14" s="129">
        <f>IF(J14="実施済",$U14*1,0)</f>
        <v>0</v>
      </c>
      <c r="W14" s="258"/>
      <c r="X14" s="129">
        <f t="shared" si="3"/>
        <v>0</v>
      </c>
      <c r="Y14" s="129">
        <f>MIN($X$12:$X$16)+1</f>
        <v>1</v>
      </c>
      <c r="Z14" s="129">
        <f t="shared" si="4"/>
        <v>0</v>
      </c>
      <c r="AA14" s="129" t="str" cm="1">
        <f t="array" ref="AA14">_xlfn.IFS(Y14=4,"A",Y14=3,"B",Y14=2,"C",Y14=1,"D")</f>
        <v>D</v>
      </c>
      <c r="AB14" s="129"/>
    </row>
    <row r="15" spans="1:28" s="2" customFormat="1" ht="9" customHeight="1">
      <c r="A15"/>
      <c r="B15" s="65"/>
      <c r="C15" s="4"/>
      <c r="D15" s="307"/>
      <c r="E15" s="308"/>
      <c r="F15" s="308"/>
      <c r="G15" s="308"/>
      <c r="H15" s="308"/>
      <c r="I15" s="308"/>
      <c r="J15" s="308"/>
      <c r="K15" s="308"/>
      <c r="L15" s="9"/>
      <c r="M15"/>
      <c r="P15"/>
      <c r="Q15"/>
      <c r="R15" s="215">
        <f>IF(E15="地区代表者",COUNTA($D$1:$D15),0)</f>
        <v>0</v>
      </c>
      <c r="S15" s="215">
        <f t="shared" ref="S15:S16" si="5">IF(F15="実施済",1,0)</f>
        <v>0</v>
      </c>
      <c r="T15" s="316"/>
      <c r="U15" s="215">
        <f t="shared" ref="U15:U16" si="6">IF(AND(H15="実施済",I15="実施済"),S15*1,0)</f>
        <v>0</v>
      </c>
      <c r="V15" s="215">
        <f t="shared" ref="V15:V16" si="7">IF(J15="実施済",$U15*1,0)</f>
        <v>0</v>
      </c>
      <c r="W15" s="316"/>
      <c r="X15" s="215" t="str">
        <f t="shared" ref="X15:X16" si="8">IF(E15="","",IF(R15*S15&gt;0,3,SUM(S15,U15,V15)))</f>
        <v/>
      </c>
      <c r="Y15" s="215">
        <f>MIN($X$12:$X$16)+1</f>
        <v>1</v>
      </c>
      <c r="Z15" s="215">
        <f t="shared" si="4"/>
        <v>1</v>
      </c>
      <c r="AA15" s="215" t="str" cm="1">
        <f t="array" ref="AA15">_xlfn.IFS(Y15=4,"A",Y15=3,"B",Y15=2,"C",Y15=1,"D")</f>
        <v>D</v>
      </c>
      <c r="AB15" s="215"/>
    </row>
    <row r="16" spans="1:28" s="2" customFormat="1" ht="6" customHeight="1">
      <c r="A16"/>
      <c r="B16"/>
      <c r="C16"/>
      <c r="D16" s="309"/>
      <c r="E16" s="310"/>
      <c r="F16" s="310"/>
      <c r="G16" s="310"/>
      <c r="H16" s="310"/>
      <c r="I16" s="310"/>
      <c r="J16" s="310"/>
      <c r="K16" s="310"/>
      <c r="L16"/>
      <c r="M16"/>
      <c r="P16"/>
      <c r="Q16"/>
      <c r="R16" s="215">
        <f>IF(E16="地区代表者",COUNTA($D$1:$D16),0)</f>
        <v>0</v>
      </c>
      <c r="S16" s="215">
        <f t="shared" si="5"/>
        <v>0</v>
      </c>
      <c r="T16" s="316"/>
      <c r="U16" s="215">
        <f t="shared" si="6"/>
        <v>0</v>
      </c>
      <c r="V16" s="215">
        <f t="shared" si="7"/>
        <v>0</v>
      </c>
      <c r="W16" s="316"/>
      <c r="X16" s="215" t="str">
        <f t="shared" si="8"/>
        <v/>
      </c>
      <c r="Y16" s="215">
        <f>MIN($X$12:$X$16)+1</f>
        <v>1</v>
      </c>
      <c r="Z16" s="215">
        <f t="shared" si="4"/>
        <v>1</v>
      </c>
      <c r="AA16" s="215" t="str" cm="1">
        <f t="array" ref="AA16">_xlfn.IFS(Y16=4,"A",Y16=3,"B",Y16=2,"C",Y16=1,"D")</f>
        <v>D</v>
      </c>
      <c r="AB16" s="215"/>
    </row>
    <row r="17" spans="1:28" ht="96" customHeight="1">
      <c r="C17" s="78"/>
      <c r="D17" s="79"/>
      <c r="E17" s="72" t="s">
        <v>236</v>
      </c>
      <c r="F17" s="1452"/>
      <c r="G17" s="1452"/>
      <c r="H17" s="1452"/>
      <c r="I17" s="1452"/>
      <c r="J17" s="1452"/>
      <c r="K17" s="1452"/>
      <c r="L17" s="80" t="s">
        <v>132</v>
      </c>
      <c r="M17" s="290"/>
    </row>
    <row r="18" spans="1:28" ht="96" customHeight="1">
      <c r="C18" s="75"/>
      <c r="D18" s="68"/>
      <c r="E18" s="72" t="s">
        <v>237</v>
      </c>
      <c r="F18" s="1452"/>
      <c r="G18" s="1452"/>
      <c r="H18" s="1452"/>
      <c r="I18" s="1452"/>
      <c r="J18" s="1452"/>
      <c r="K18" s="1452"/>
    </row>
    <row r="19" spans="1:28" ht="18.5" thickBot="1">
      <c r="A19" s="81"/>
      <c r="B19" s="81"/>
      <c r="C19" s="81"/>
      <c r="D19" s="81"/>
      <c r="E19" s="311"/>
      <c r="F19" s="81"/>
      <c r="G19" s="81"/>
      <c r="H19" s="81"/>
      <c r="I19" s="81"/>
      <c r="J19" s="81"/>
      <c r="K19" s="81"/>
      <c r="L19" s="81"/>
      <c r="M19" s="82"/>
    </row>
    <row r="21" spans="1:28" ht="9" customHeight="1">
      <c r="B21" s="10"/>
      <c r="C21" s="5"/>
      <c r="D21" s="5"/>
      <c r="E21" s="305"/>
      <c r="F21" s="5"/>
      <c r="G21" s="5"/>
      <c r="H21" s="5"/>
      <c r="I21" s="5"/>
      <c r="J21" s="5"/>
      <c r="K21" s="5"/>
      <c r="L21" s="6"/>
      <c r="M21"/>
      <c r="N21"/>
      <c r="O21"/>
      <c r="R21" t="str">
        <f>D22</f>
        <v>(選択してください)</v>
      </c>
    </row>
    <row r="22" spans="1:28">
      <c r="B22" s="7"/>
      <c r="C22" s="77" t="str">
        <f ca="1">IFERROR(OFFSET('4.2民生電力需要量'!$C$1,MATCH(D22,'4.2民生電力需要量'!$E:$E,0)-1,0),"")</f>
        <v/>
      </c>
      <c r="D22" s="94" t="s">
        <v>130</v>
      </c>
      <c r="E22" s="72" t="s">
        <v>131</v>
      </c>
      <c r="F22" s="1446" t="str">
        <f ca="1">IFERROR(OFFSET('4.2民生電力需要量'!$G$1,MATCH($D22,'4.2民生電力需要量'!$E:$E,0)-1,0),"")</f>
        <v/>
      </c>
      <c r="G22" s="1446"/>
      <c r="H22" s="1446"/>
      <c r="I22" s="1446"/>
      <c r="J22" s="1446"/>
      <c r="K22" s="1446"/>
      <c r="L22" s="8"/>
      <c r="M22"/>
      <c r="N22"/>
      <c r="O22"/>
      <c r="R22" s="175" t="str">
        <f ca="1">IFERROR(OFFSET('4.2民生電力需要量'!$G$1,MATCH($D22,'4.2民生電力需要量'!$E:$E,0)-1,0),"")</f>
        <v/>
      </c>
      <c r="S22" s="175"/>
      <c r="T22" s="175"/>
      <c r="U22" s="175"/>
      <c r="V22" s="175"/>
      <c r="W22" s="175"/>
      <c r="X22" s="175"/>
      <c r="Y22" s="175"/>
      <c r="Z22" s="175"/>
      <c r="AA22" s="175"/>
      <c r="AB22" s="175">
        <f ca="1">(F22=R22)*1</f>
        <v>1</v>
      </c>
    </row>
    <row r="23" spans="1:28">
      <c r="B23" s="7"/>
      <c r="C23" s="915"/>
      <c r="D23" s="97"/>
      <c r="E23" s="72" t="s">
        <v>612</v>
      </c>
      <c r="F23" s="1447" t="str">
        <f ca="1">IFERROR(OFFSET('4.2民生電力需要量'!$L$1,MATCH($D22,'4.2民生電力需要量'!$E:$E,0)-1,0),"")</f>
        <v/>
      </c>
      <c r="G23" s="1448"/>
      <c r="H23" s="1448"/>
      <c r="I23" s="1448"/>
      <c r="J23" s="1448"/>
      <c r="K23" s="1449"/>
      <c r="L23" s="8"/>
      <c r="M23"/>
      <c r="N23"/>
      <c r="O23"/>
      <c r="R23" s="175" t="str">
        <f ca="1">IFERROR(OFFSET('4.2民生電力需要量'!$L$1,MATCH($D22,'4.2民生電力需要量'!$E:$E,0)-1,0),"")</f>
        <v/>
      </c>
      <c r="S23" s="175"/>
      <c r="T23" s="175"/>
      <c r="U23" s="175"/>
      <c r="V23" s="175"/>
      <c r="W23" s="175"/>
      <c r="X23" s="175"/>
      <c r="Y23" s="175"/>
      <c r="Z23" s="175"/>
      <c r="AA23" s="175"/>
      <c r="AB23" s="175">
        <f ca="1">(F23=R23)*1</f>
        <v>1</v>
      </c>
    </row>
    <row r="24" spans="1:28">
      <c r="B24" s="7"/>
      <c r="C24" s="74"/>
      <c r="D24" s="66"/>
      <c r="E24" s="72" t="s">
        <v>220</v>
      </c>
      <c r="F24" s="1450" t="str">
        <f ca="1">IFERROR(OFFSET('4.2民生電力需要量'!$I$1,MATCH($D22,'4.2民生電力需要量'!$E:$E,0)-1,0),"")</f>
        <v/>
      </c>
      <c r="G24" s="1450"/>
      <c r="H24" s="1450"/>
      <c r="I24" s="1450"/>
      <c r="J24" s="1450"/>
      <c r="K24" s="1450"/>
      <c r="L24" s="8"/>
      <c r="M24"/>
      <c r="N24"/>
      <c r="O24"/>
      <c r="R24" s="175" t="str">
        <f ca="1">IFERROR(OFFSET('4.2民生電力需要量'!$I$1,MATCH($D22,'4.2民生電力需要量'!$E:$E,0)-1,0),"")</f>
        <v/>
      </c>
      <c r="S24" s="175"/>
      <c r="T24" s="175"/>
      <c r="U24" s="175"/>
      <c r="V24" s="175"/>
      <c r="W24" s="175"/>
      <c r="X24" s="175"/>
      <c r="Y24" s="175"/>
      <c r="Z24" s="175"/>
      <c r="AA24" s="175"/>
      <c r="AB24" s="175">
        <f t="shared" ref="AB24:AB25" ca="1" si="9">(F24=R24)*1</f>
        <v>1</v>
      </c>
    </row>
    <row r="25" spans="1:28">
      <c r="B25" s="7"/>
      <c r="C25" s="74"/>
      <c r="D25" s="66"/>
      <c r="E25" s="72" t="s">
        <v>175</v>
      </c>
      <c r="F25" s="1451" t="str">
        <f>_xlfn.IFNA(R25,"")</f>
        <v/>
      </c>
      <c r="G25" s="1451"/>
      <c r="H25" s="1451"/>
      <c r="I25" s="1451"/>
      <c r="J25" s="1451"/>
      <c r="K25" s="1451"/>
      <c r="L25" s="8"/>
      <c r="M25"/>
      <c r="N25"/>
      <c r="O25"/>
      <c r="R25" s="215" t="str">
        <f>IF(PRODUCT($Z27:$Z31)=1,AA27,"")</f>
        <v/>
      </c>
      <c r="S25" s="175"/>
      <c r="T25" s="175"/>
      <c r="U25" s="175"/>
      <c r="V25" s="175"/>
      <c r="W25" s="175"/>
      <c r="X25" s="175"/>
      <c r="Y25" s="175"/>
      <c r="Z25" s="175"/>
      <c r="AA25" s="175"/>
      <c r="AB25" s="175">
        <f t="shared" si="9"/>
        <v>1</v>
      </c>
    </row>
    <row r="26" spans="1:28" s="2" customFormat="1" ht="60">
      <c r="A26"/>
      <c r="B26" s="7"/>
      <c r="C26" s="74"/>
      <c r="D26" s="66"/>
      <c r="E26" s="306"/>
      <c r="F26" s="312" t="s">
        <v>299</v>
      </c>
      <c r="G26" s="313" t="s">
        <v>300</v>
      </c>
      <c r="H26" s="313" t="s">
        <v>301</v>
      </c>
      <c r="I26" s="313" t="s">
        <v>302</v>
      </c>
      <c r="J26" s="313" t="s">
        <v>429</v>
      </c>
      <c r="K26" s="313" t="s">
        <v>270</v>
      </c>
      <c r="L26" s="8"/>
      <c r="M26"/>
      <c r="P26"/>
      <c r="Q26"/>
      <c r="R26" s="294" t="s">
        <v>298</v>
      </c>
      <c r="S26" s="294" t="s">
        <v>299</v>
      </c>
      <c r="T26" s="314" t="s">
        <v>423</v>
      </c>
      <c r="U26" s="294" t="s">
        <v>424</v>
      </c>
      <c r="V26" s="294" t="s">
        <v>422</v>
      </c>
      <c r="W26" s="315" t="s">
        <v>270</v>
      </c>
      <c r="X26" s="294" t="s">
        <v>426</v>
      </c>
      <c r="Y26" s="215" t="s">
        <v>402</v>
      </c>
      <c r="Z26" s="215" t="s">
        <v>430</v>
      </c>
      <c r="AA26" s="294" t="s">
        <v>425</v>
      </c>
      <c r="AB26" s="294"/>
    </row>
    <row r="27" spans="1:28" s="99" customFormat="1" ht="18.75" hidden="1" customHeight="1">
      <c r="A27" s="11"/>
      <c r="B27" s="95"/>
      <c r="C27" s="96"/>
      <c r="D27" s="97"/>
      <c r="E27" s="438"/>
      <c r="F27" s="439"/>
      <c r="G27" s="439"/>
      <c r="H27" s="439"/>
      <c r="I27" s="439"/>
      <c r="J27" s="439"/>
      <c r="K27" s="439"/>
      <c r="L27" s="98"/>
      <c r="M27" s="11"/>
      <c r="Q27" s="11"/>
      <c r="R27" s="129">
        <f>IF(E27="地区代表者",COUNTA($D$1:$D27),0)</f>
        <v>0</v>
      </c>
      <c r="S27" s="129">
        <f t="shared" ref="S27:S28" si="10">IF(F27="実施済",1,0)</f>
        <v>0</v>
      </c>
      <c r="T27" s="258"/>
      <c r="U27" s="129">
        <f t="shared" ref="U27:U28" si="11">IF(AND(H27="実施済",I27="実施済"),S27*1,0)</f>
        <v>0</v>
      </c>
      <c r="V27" s="129">
        <f>IF(J27="実施済",$U27*1,0)</f>
        <v>0</v>
      </c>
      <c r="W27" s="258"/>
      <c r="X27" s="129" t="str">
        <f>IF(E27="","",IF(R27*S27&gt;0,3,SUM(S27,U27,V27)))</f>
        <v/>
      </c>
      <c r="Y27" s="129">
        <f>MIN($X$27:$X$31)+1</f>
        <v>1</v>
      </c>
      <c r="Z27" s="129">
        <f>IF(E27="",1,IF(R27&gt;0,IF(COUNTA($F27:$K27)=2,1,0),IF(COUNTA($F27:$K27)=6,1,0)))</f>
        <v>1</v>
      </c>
      <c r="AA27" s="129" t="str" cm="1">
        <f t="array" ref="AA27">_xlfn.IFS(Y27=4,"A",Y27=3,"B",Y27=2,"C",Y27=1,"D")</f>
        <v>D</v>
      </c>
      <c r="AB27" s="129" t="str" cm="1">
        <f t="array" ref="AB27">_xlfn.IFS(Z27=4,"A",Z27=3,"B",Z27=2,"C",Z27=1,"D")</f>
        <v>D</v>
      </c>
    </row>
    <row r="28" spans="1:28" s="99" customFormat="1" ht="18.75" customHeight="1">
      <c r="A28" s="11"/>
      <c r="B28" s="95"/>
      <c r="C28" s="96"/>
      <c r="D28" s="97"/>
      <c r="E28" s="440" t="s">
        <v>298</v>
      </c>
      <c r="F28" s="441"/>
      <c r="G28" s="839"/>
      <c r="H28" s="839"/>
      <c r="I28" s="839"/>
      <c r="J28" s="839"/>
      <c r="K28" s="441"/>
      <c r="L28" s="98"/>
      <c r="M28" s="11"/>
      <c r="Q28" s="11"/>
      <c r="R28" s="129">
        <f>IF(E28="地区代表者",COUNTA($D$1:$D28),0)</f>
        <v>2</v>
      </c>
      <c r="S28" s="129">
        <f t="shared" si="10"/>
        <v>0</v>
      </c>
      <c r="T28" s="258"/>
      <c r="U28" s="129">
        <f t="shared" si="11"/>
        <v>0</v>
      </c>
      <c r="V28" s="129">
        <f>IF(J28="実施済",$U28*1,0)</f>
        <v>0</v>
      </c>
      <c r="W28" s="258"/>
      <c r="X28" s="129">
        <f t="shared" ref="X28:X31" si="12">IF(E28="","",IF(R28*S28&gt;0,3,SUM(S28,U28,V28)))</f>
        <v>0</v>
      </c>
      <c r="Y28" s="129">
        <f>MIN($X$27:$X$31)+1</f>
        <v>1</v>
      </c>
      <c r="Z28" s="129">
        <f t="shared" ref="Z28:Z31" si="13">IF(E28="",1,IF(R28&gt;0,IF(COUNTA($F28:$K28)=2,1,0),IF(COUNTA($F28:$K28)=6,1,0)))</f>
        <v>0</v>
      </c>
      <c r="AA28" s="129" t="str" cm="1">
        <f t="array" ref="AA28">_xlfn.IFS(Y28=4,"A",Y28=3,"B",Y28=2,"C",Y28=1,"D")</f>
        <v>D</v>
      </c>
      <c r="AB28" s="129"/>
    </row>
    <row r="29" spans="1:28" s="99" customFormat="1" ht="18.75" customHeight="1">
      <c r="A29" s="11"/>
      <c r="B29" s="95"/>
      <c r="C29" s="96"/>
      <c r="D29" s="97"/>
      <c r="E29" s="440" t="s">
        <v>116</v>
      </c>
      <c r="F29" s="441"/>
      <c r="G29" s="441"/>
      <c r="H29" s="441"/>
      <c r="I29" s="441"/>
      <c r="J29" s="441"/>
      <c r="K29" s="441"/>
      <c r="L29" s="98"/>
      <c r="M29" s="11"/>
      <c r="P29" s="11"/>
      <c r="Q29" s="11"/>
      <c r="R29" s="129">
        <f>IF(E29="地区代表者",COUNTA($D$1:$D29),0)</f>
        <v>0</v>
      </c>
      <c r="S29" s="129">
        <f>IF(F29="実施済",1,0)</f>
        <v>0</v>
      </c>
      <c r="T29" s="258"/>
      <c r="U29" s="129">
        <f>IF(AND(H29="実施済",I29="実施済"),S29*1,0)</f>
        <v>0</v>
      </c>
      <c r="V29" s="129">
        <f>IF(J29="実施済",$U29*1,0)</f>
        <v>0</v>
      </c>
      <c r="W29" s="258"/>
      <c r="X29" s="129">
        <f t="shared" si="12"/>
        <v>0</v>
      </c>
      <c r="Y29" s="129">
        <f>MIN($X$27:$X$31)+1</f>
        <v>1</v>
      </c>
      <c r="Z29" s="129">
        <f t="shared" si="13"/>
        <v>0</v>
      </c>
      <c r="AA29" s="129" t="str" cm="1">
        <f t="array" ref="AA29">_xlfn.IFS(Y29=4,"A",Y29=3,"B",Y29=2,"C",Y29=1,"D")</f>
        <v>D</v>
      </c>
      <c r="AB29" s="129"/>
    </row>
    <row r="30" spans="1:28" s="2" customFormat="1" ht="9" customHeight="1">
      <c r="A30"/>
      <c r="B30" s="65"/>
      <c r="C30" s="4"/>
      <c r="D30" s="307"/>
      <c r="E30" s="308"/>
      <c r="F30" s="308"/>
      <c r="G30" s="308"/>
      <c r="H30" s="308"/>
      <c r="I30" s="308"/>
      <c r="J30" s="308"/>
      <c r="K30" s="308"/>
      <c r="L30" s="9"/>
      <c r="M30"/>
      <c r="P30"/>
      <c r="Q30"/>
      <c r="R30" s="215">
        <f>IF(E30="地区代表者",COUNTA($D$1:$D30),0)</f>
        <v>0</v>
      </c>
      <c r="S30" s="215">
        <f t="shared" ref="S30:S31" si="14">IF(F30="実施済",1,0)</f>
        <v>0</v>
      </c>
      <c r="T30" s="316"/>
      <c r="U30" s="215">
        <f t="shared" ref="U30:U31" si="15">IF(AND(H30="実施済",I30="実施済"),S30*1,0)</f>
        <v>0</v>
      </c>
      <c r="V30" s="215">
        <f t="shared" ref="V30:V31" si="16">IF(J30="実施済",$U30*1,0)</f>
        <v>0</v>
      </c>
      <c r="W30" s="316"/>
      <c r="X30" s="215" t="str">
        <f t="shared" si="12"/>
        <v/>
      </c>
      <c r="Y30" s="215">
        <f>MIN($X$27:$X$31)+1</f>
        <v>1</v>
      </c>
      <c r="Z30" s="215">
        <f t="shared" si="13"/>
        <v>1</v>
      </c>
      <c r="AA30" s="215" t="str" cm="1">
        <f t="array" ref="AA30">_xlfn.IFS(Y30=4,"A",Y30=3,"B",Y30=2,"C",Y30=1,"D")</f>
        <v>D</v>
      </c>
      <c r="AB30" s="215"/>
    </row>
    <row r="31" spans="1:28" s="2" customFormat="1" ht="6" customHeight="1">
      <c r="A31"/>
      <c r="B31"/>
      <c r="C31"/>
      <c r="D31" s="309"/>
      <c r="E31" s="310"/>
      <c r="F31" s="310"/>
      <c r="G31" s="310"/>
      <c r="H31" s="310"/>
      <c r="I31" s="310"/>
      <c r="J31" s="310"/>
      <c r="K31" s="310"/>
      <c r="L31"/>
      <c r="M31"/>
      <c r="P31"/>
      <c r="Q31"/>
      <c r="R31" s="215">
        <f>IF(E31="地区代表者",COUNTA($D$1:$D31),0)</f>
        <v>0</v>
      </c>
      <c r="S31" s="215">
        <f t="shared" si="14"/>
        <v>0</v>
      </c>
      <c r="T31" s="316"/>
      <c r="U31" s="215">
        <f t="shared" si="15"/>
        <v>0</v>
      </c>
      <c r="V31" s="215">
        <f t="shared" si="16"/>
        <v>0</v>
      </c>
      <c r="W31" s="316"/>
      <c r="X31" s="215" t="str">
        <f t="shared" si="12"/>
        <v/>
      </c>
      <c r="Y31" s="215">
        <f>MIN($X$27:$X$31)+1</f>
        <v>1</v>
      </c>
      <c r="Z31" s="215">
        <f t="shared" si="13"/>
        <v>1</v>
      </c>
      <c r="AA31" s="215" t="str" cm="1">
        <f t="array" ref="AA31">_xlfn.IFS(Y31=4,"A",Y31=3,"B",Y31=2,"C",Y31=1,"D")</f>
        <v>D</v>
      </c>
      <c r="AB31" s="215"/>
    </row>
    <row r="32" spans="1:28" ht="96" customHeight="1">
      <c r="C32" s="78"/>
      <c r="D32" s="79"/>
      <c r="E32" s="72" t="s">
        <v>236</v>
      </c>
      <c r="F32" s="1452"/>
      <c r="G32" s="1452"/>
      <c r="H32" s="1452"/>
      <c r="I32" s="1452"/>
      <c r="J32" s="1452"/>
      <c r="K32" s="1452"/>
      <c r="L32" s="80" t="s">
        <v>132</v>
      </c>
      <c r="M32" s="290"/>
    </row>
    <row r="33" spans="1:28" ht="96" customHeight="1">
      <c r="C33" s="75"/>
      <c r="D33" s="68"/>
      <c r="E33" s="72" t="s">
        <v>237</v>
      </c>
      <c r="F33" s="1452"/>
      <c r="G33" s="1452"/>
      <c r="H33" s="1452"/>
      <c r="I33" s="1452"/>
      <c r="J33" s="1452"/>
      <c r="K33" s="1452"/>
    </row>
    <row r="34" spans="1:28" ht="18.5" thickBot="1">
      <c r="A34" s="81"/>
      <c r="B34" s="81"/>
      <c r="C34" s="81"/>
      <c r="D34" s="81"/>
      <c r="E34" s="311"/>
      <c r="F34" s="81"/>
      <c r="G34" s="81"/>
      <c r="H34" s="81"/>
      <c r="I34" s="81"/>
      <c r="J34" s="81"/>
      <c r="K34" s="81"/>
      <c r="L34" s="81"/>
      <c r="M34" s="82"/>
    </row>
    <row r="36" spans="1:28" ht="9" customHeight="1">
      <c r="B36" s="10"/>
      <c r="C36" s="5"/>
      <c r="D36" s="5"/>
      <c r="E36" s="305"/>
      <c r="F36" s="5"/>
      <c r="G36" s="5"/>
      <c r="H36" s="5"/>
      <c r="I36" s="5"/>
      <c r="J36" s="5"/>
      <c r="K36" s="5"/>
      <c r="L36" s="6"/>
      <c r="M36"/>
      <c r="N36"/>
      <c r="O36"/>
      <c r="R36" t="str">
        <f>D37</f>
        <v>(選択してください)</v>
      </c>
    </row>
    <row r="37" spans="1:28">
      <c r="B37" s="7"/>
      <c r="C37" s="77" t="str">
        <f ca="1">IFERROR(OFFSET('4.2民生電力需要量'!$C$1,MATCH(D37,'4.2民生電力需要量'!$E:$E,0)-1,0),"")</f>
        <v/>
      </c>
      <c r="D37" s="94" t="s">
        <v>130</v>
      </c>
      <c r="E37" s="72" t="s">
        <v>131</v>
      </c>
      <c r="F37" s="1446" t="str">
        <f ca="1">IFERROR(OFFSET('4.2民生電力需要量'!$G$1,MATCH($D37,'4.2民生電力需要量'!$E:$E,0)-1,0),"")</f>
        <v/>
      </c>
      <c r="G37" s="1446"/>
      <c r="H37" s="1446"/>
      <c r="I37" s="1446"/>
      <c r="J37" s="1446"/>
      <c r="K37" s="1446"/>
      <c r="L37" s="8"/>
      <c r="M37"/>
      <c r="N37"/>
      <c r="O37"/>
      <c r="R37" s="175" t="str">
        <f ca="1">IFERROR(OFFSET('4.2民生電力需要量'!$G$1,MATCH($D37,'4.2民生電力需要量'!$E:$E,0)-1,0),"")</f>
        <v/>
      </c>
      <c r="S37" s="175"/>
      <c r="T37" s="175"/>
      <c r="U37" s="175"/>
      <c r="V37" s="175"/>
      <c r="W37" s="175"/>
      <c r="X37" s="175"/>
      <c r="Y37" s="175"/>
      <c r="Z37" s="175"/>
      <c r="AA37" s="175"/>
      <c r="AB37" s="175">
        <f ca="1">(F37=R37)*1</f>
        <v>1</v>
      </c>
    </row>
    <row r="38" spans="1:28">
      <c r="B38" s="7"/>
      <c r="C38" s="915"/>
      <c r="D38" s="97"/>
      <c r="E38" s="72" t="s">
        <v>612</v>
      </c>
      <c r="F38" s="1447" t="str">
        <f ca="1">IFERROR(OFFSET('4.2民生電力需要量'!$L$1,MATCH($D37,'4.2民生電力需要量'!$E:$E,0)-1,0),"")</f>
        <v/>
      </c>
      <c r="G38" s="1448"/>
      <c r="H38" s="1448"/>
      <c r="I38" s="1448"/>
      <c r="J38" s="1448"/>
      <c r="K38" s="1449"/>
      <c r="L38" s="8"/>
      <c r="M38"/>
      <c r="N38"/>
      <c r="O38"/>
      <c r="R38" s="175" t="str">
        <f ca="1">IFERROR(OFFSET('4.2民生電力需要量'!$L$1,MATCH($D37,'4.2民生電力需要量'!$E:$E,0)-1,0),"")</f>
        <v/>
      </c>
      <c r="S38" s="175"/>
      <c r="T38" s="175"/>
      <c r="U38" s="175"/>
      <c r="V38" s="175"/>
      <c r="W38" s="175"/>
      <c r="X38" s="175"/>
      <c r="Y38" s="175"/>
      <c r="Z38" s="175"/>
      <c r="AA38" s="175"/>
      <c r="AB38" s="175">
        <f ca="1">(F38=R38)*1</f>
        <v>1</v>
      </c>
    </row>
    <row r="39" spans="1:28">
      <c r="B39" s="7"/>
      <c r="C39" s="74"/>
      <c r="D39" s="66"/>
      <c r="E39" s="72" t="s">
        <v>220</v>
      </c>
      <c r="F39" s="1450" t="str">
        <f ca="1">IFERROR(OFFSET('4.2民生電力需要量'!$I$1,MATCH($D37,'4.2民生電力需要量'!$E:$E,0)-1,0),"")</f>
        <v/>
      </c>
      <c r="G39" s="1450"/>
      <c r="H39" s="1450"/>
      <c r="I39" s="1450"/>
      <c r="J39" s="1450"/>
      <c r="K39" s="1450"/>
      <c r="L39" s="8"/>
      <c r="M39"/>
      <c r="N39"/>
      <c r="O39"/>
      <c r="R39" s="175" t="str">
        <f ca="1">IFERROR(OFFSET('4.2民生電力需要量'!$I$1,MATCH($D37,'4.2民生電力需要量'!$E:$E,0)-1,0),"")</f>
        <v/>
      </c>
      <c r="S39" s="175"/>
      <c r="T39" s="175"/>
      <c r="U39" s="175"/>
      <c r="V39" s="175"/>
      <c r="W39" s="175"/>
      <c r="X39" s="175"/>
      <c r="Y39" s="175"/>
      <c r="Z39" s="175"/>
      <c r="AA39" s="175"/>
      <c r="AB39" s="175">
        <f t="shared" ref="AB39:AB40" ca="1" si="17">(F39=R39)*1</f>
        <v>1</v>
      </c>
    </row>
    <row r="40" spans="1:28">
      <c r="B40" s="7"/>
      <c r="C40" s="74"/>
      <c r="D40" s="66"/>
      <c r="E40" s="72" t="s">
        <v>175</v>
      </c>
      <c r="F40" s="1451" t="str">
        <f>_xlfn.IFNA(R40,"")</f>
        <v/>
      </c>
      <c r="G40" s="1451"/>
      <c r="H40" s="1451"/>
      <c r="I40" s="1451"/>
      <c r="J40" s="1451"/>
      <c r="K40" s="1451"/>
      <c r="L40" s="8"/>
      <c r="M40"/>
      <c r="N40"/>
      <c r="O40"/>
      <c r="R40" s="215" t="str">
        <f>IF(PRODUCT($Z42:$Z46)=1,AA42,"")</f>
        <v/>
      </c>
      <c r="S40" s="175"/>
      <c r="T40" s="175"/>
      <c r="U40" s="175"/>
      <c r="V40" s="175"/>
      <c r="W40" s="175"/>
      <c r="X40" s="175"/>
      <c r="Y40" s="175"/>
      <c r="Z40" s="175"/>
      <c r="AA40" s="175"/>
      <c r="AB40" s="175">
        <f t="shared" si="17"/>
        <v>1</v>
      </c>
    </row>
    <row r="41" spans="1:28" s="2" customFormat="1" ht="60">
      <c r="A41"/>
      <c r="B41" s="7"/>
      <c r="C41" s="74"/>
      <c r="D41" s="66"/>
      <c r="E41" s="306"/>
      <c r="F41" s="312" t="s">
        <v>299</v>
      </c>
      <c r="G41" s="313" t="s">
        <v>300</v>
      </c>
      <c r="H41" s="313" t="s">
        <v>301</v>
      </c>
      <c r="I41" s="313" t="s">
        <v>302</v>
      </c>
      <c r="J41" s="313" t="s">
        <v>429</v>
      </c>
      <c r="K41" s="313" t="s">
        <v>270</v>
      </c>
      <c r="L41" s="8"/>
      <c r="M41"/>
      <c r="P41"/>
      <c r="Q41"/>
      <c r="R41" s="294" t="s">
        <v>298</v>
      </c>
      <c r="S41" s="294" t="s">
        <v>299</v>
      </c>
      <c r="T41" s="314" t="s">
        <v>423</v>
      </c>
      <c r="U41" s="294" t="s">
        <v>424</v>
      </c>
      <c r="V41" s="294" t="s">
        <v>422</v>
      </c>
      <c r="W41" s="315" t="s">
        <v>270</v>
      </c>
      <c r="X41" s="294" t="s">
        <v>426</v>
      </c>
      <c r="Y41" s="215" t="s">
        <v>402</v>
      </c>
      <c r="Z41" s="215" t="s">
        <v>430</v>
      </c>
      <c r="AA41" s="294" t="s">
        <v>425</v>
      </c>
      <c r="AB41" s="294"/>
    </row>
    <row r="42" spans="1:28" s="99" customFormat="1" ht="18.75" hidden="1" customHeight="1">
      <c r="A42" s="11"/>
      <c r="B42" s="95"/>
      <c r="C42" s="96"/>
      <c r="D42" s="97"/>
      <c r="E42" s="438"/>
      <c r="F42" s="439"/>
      <c r="G42" s="439"/>
      <c r="H42" s="439"/>
      <c r="I42" s="439"/>
      <c r="J42" s="439"/>
      <c r="K42" s="439"/>
      <c r="L42" s="98"/>
      <c r="M42" s="11"/>
      <c r="Q42" s="11"/>
      <c r="R42" s="129">
        <f>IF(E42="地区代表者",COUNTA($D$1:$D42),0)</f>
        <v>0</v>
      </c>
      <c r="S42" s="129">
        <f t="shared" ref="S42:S43" si="18">IF(F42="実施済",1,0)</f>
        <v>0</v>
      </c>
      <c r="T42" s="258"/>
      <c r="U42" s="129">
        <f t="shared" ref="U42:U43" si="19">IF(AND(H42="実施済",I42="実施済"),S42*1,0)</f>
        <v>0</v>
      </c>
      <c r="V42" s="129">
        <f>IF(J42="実施済",$U42*1,0)</f>
        <v>0</v>
      </c>
      <c r="W42" s="258"/>
      <c r="X42" s="129" t="str">
        <f>IF(E42="","",IF(R42*S42&gt;0,3,SUM(S42,U42,V42)))</f>
        <v/>
      </c>
      <c r="Y42" s="129">
        <f>MIN($X$42:$X$46)+1</f>
        <v>1</v>
      </c>
      <c r="Z42" s="129">
        <f>IF(E42="",1,IF(R42&gt;0,IF(COUNTA($F42:$K42)=2,1,0),IF(COUNTA($F42:$K42)=6,1,0)))</f>
        <v>1</v>
      </c>
      <c r="AA42" s="129" t="str" cm="1">
        <f t="array" ref="AA42">_xlfn.IFS(Y42=4,"A",Y42=3,"B",Y42=2,"C",Y42=1,"D")</f>
        <v>D</v>
      </c>
      <c r="AB42" s="129" t="str" cm="1">
        <f t="array" ref="AB42">_xlfn.IFS(Z42=4,"A",Z42=3,"B",Z42=2,"C",Z42=1,"D")</f>
        <v>D</v>
      </c>
    </row>
    <row r="43" spans="1:28" s="99" customFormat="1" ht="18.75" customHeight="1">
      <c r="A43" s="11"/>
      <c r="B43" s="95"/>
      <c r="C43" s="96"/>
      <c r="D43" s="97"/>
      <c r="E43" s="440" t="s">
        <v>298</v>
      </c>
      <c r="F43" s="441"/>
      <c r="G43" s="839"/>
      <c r="H43" s="839"/>
      <c r="I43" s="839"/>
      <c r="J43" s="839"/>
      <c r="K43" s="441"/>
      <c r="L43" s="98"/>
      <c r="M43" s="11"/>
      <c r="Q43" s="11"/>
      <c r="R43" s="129">
        <f>IF(E43="地区代表者",COUNTA($D$1:$D43),0)</f>
        <v>3</v>
      </c>
      <c r="S43" s="129">
        <f t="shared" si="18"/>
        <v>0</v>
      </c>
      <c r="T43" s="258"/>
      <c r="U43" s="129">
        <f t="shared" si="19"/>
        <v>0</v>
      </c>
      <c r="V43" s="129">
        <f>IF(J43="実施済",$U43*1,0)</f>
        <v>0</v>
      </c>
      <c r="W43" s="258"/>
      <c r="X43" s="129">
        <f t="shared" ref="X43:X46" si="20">IF(E43="","",IF(R43*S43&gt;0,3,SUM(S43,U43,V43)))</f>
        <v>0</v>
      </c>
      <c r="Y43" s="129">
        <f>MIN($X$42:$X$46)+1</f>
        <v>1</v>
      </c>
      <c r="Z43" s="129">
        <f t="shared" ref="Z43:Z46" si="21">IF(E43="",1,IF(R43&gt;0,IF(COUNTA($F43:$K43)=2,1,0),IF(COUNTA($F43:$K43)=6,1,0)))</f>
        <v>0</v>
      </c>
      <c r="AA43" s="129" t="str" cm="1">
        <f t="array" ref="AA43">_xlfn.IFS(Y43=4,"A",Y43=3,"B",Y43=2,"C",Y43=1,"D")</f>
        <v>D</v>
      </c>
      <c r="AB43" s="129"/>
    </row>
    <row r="44" spans="1:28" s="99" customFormat="1" ht="18.75" customHeight="1">
      <c r="A44" s="11"/>
      <c r="B44" s="95"/>
      <c r="C44" s="96"/>
      <c r="D44" s="97"/>
      <c r="E44" s="440" t="s">
        <v>116</v>
      </c>
      <c r="F44" s="441"/>
      <c r="G44" s="441"/>
      <c r="H44" s="441"/>
      <c r="I44" s="441"/>
      <c r="J44" s="441"/>
      <c r="K44" s="441"/>
      <c r="L44" s="98"/>
      <c r="M44" s="11"/>
      <c r="P44" s="11"/>
      <c r="Q44" s="11"/>
      <c r="R44" s="129">
        <f>IF(E44="地区代表者",COUNTA($D$1:$D44),0)</f>
        <v>0</v>
      </c>
      <c r="S44" s="129">
        <f>IF(F44="実施済",1,0)</f>
        <v>0</v>
      </c>
      <c r="T44" s="258"/>
      <c r="U44" s="129">
        <f>IF(AND(H44="実施済",I44="実施済"),S44*1,0)</f>
        <v>0</v>
      </c>
      <c r="V44" s="129">
        <f>IF(J44="実施済",$U44*1,0)</f>
        <v>0</v>
      </c>
      <c r="W44" s="258"/>
      <c r="X44" s="129">
        <f t="shared" si="20"/>
        <v>0</v>
      </c>
      <c r="Y44" s="129">
        <f>MIN($X$42:$X$46)+1</f>
        <v>1</v>
      </c>
      <c r="Z44" s="129">
        <f t="shared" si="21"/>
        <v>0</v>
      </c>
      <c r="AA44" s="129" t="str" cm="1">
        <f t="array" ref="AA44">_xlfn.IFS(Y44=4,"A",Y44=3,"B",Y44=2,"C",Y44=1,"D")</f>
        <v>D</v>
      </c>
      <c r="AB44" s="129"/>
    </row>
    <row r="45" spans="1:28" s="2" customFormat="1" ht="9" customHeight="1">
      <c r="A45"/>
      <c r="B45" s="65"/>
      <c r="C45" s="4"/>
      <c r="D45" s="307"/>
      <c r="E45" s="308"/>
      <c r="F45" s="308"/>
      <c r="G45" s="308"/>
      <c r="H45" s="308"/>
      <c r="I45" s="308"/>
      <c r="J45" s="308"/>
      <c r="K45" s="308"/>
      <c r="L45" s="9"/>
      <c r="M45"/>
      <c r="P45"/>
      <c r="Q45"/>
      <c r="R45" s="215">
        <f>IF(E45="地区代表者",COUNTA($D$1:$D45),0)</f>
        <v>0</v>
      </c>
      <c r="S45" s="215">
        <f t="shared" ref="S45:S46" si="22">IF(F45="実施済",1,0)</f>
        <v>0</v>
      </c>
      <c r="T45" s="316"/>
      <c r="U45" s="215">
        <f t="shared" ref="U45:U46" si="23">IF(AND(H45="実施済",I45="実施済"),S45*1,0)</f>
        <v>0</v>
      </c>
      <c r="V45" s="215">
        <f t="shared" ref="V45:V46" si="24">IF(J45="実施済",$U45*1,0)</f>
        <v>0</v>
      </c>
      <c r="W45" s="316"/>
      <c r="X45" s="215" t="str">
        <f t="shared" si="20"/>
        <v/>
      </c>
      <c r="Y45" s="215">
        <f>MIN($X$42:$X$46)+1</f>
        <v>1</v>
      </c>
      <c r="Z45" s="215">
        <f t="shared" si="21"/>
        <v>1</v>
      </c>
      <c r="AA45" s="215" t="str" cm="1">
        <f t="array" ref="AA45">_xlfn.IFS(Y45=4,"A",Y45=3,"B",Y45=2,"C",Y45=1,"D")</f>
        <v>D</v>
      </c>
      <c r="AB45" s="215"/>
    </row>
    <row r="46" spans="1:28" s="2" customFormat="1" ht="6" customHeight="1">
      <c r="A46"/>
      <c r="B46"/>
      <c r="C46"/>
      <c r="D46" s="309"/>
      <c r="E46" s="310"/>
      <c r="F46" s="310"/>
      <c r="G46" s="310"/>
      <c r="H46" s="310"/>
      <c r="I46" s="310"/>
      <c r="J46" s="310"/>
      <c r="K46" s="310"/>
      <c r="L46"/>
      <c r="M46"/>
      <c r="P46"/>
      <c r="Q46"/>
      <c r="R46" s="215">
        <f>IF(E46="地区代表者",COUNTA($D$1:$D46),0)</f>
        <v>0</v>
      </c>
      <c r="S46" s="215">
        <f t="shared" si="22"/>
        <v>0</v>
      </c>
      <c r="T46" s="316"/>
      <c r="U46" s="215">
        <f t="shared" si="23"/>
        <v>0</v>
      </c>
      <c r="V46" s="215">
        <f t="shared" si="24"/>
        <v>0</v>
      </c>
      <c r="W46" s="316"/>
      <c r="X46" s="215" t="str">
        <f t="shared" si="20"/>
        <v/>
      </c>
      <c r="Y46" s="215">
        <f>MIN($X$42:$X$46)+1</f>
        <v>1</v>
      </c>
      <c r="Z46" s="215">
        <f t="shared" si="21"/>
        <v>1</v>
      </c>
      <c r="AA46" s="215" t="str" cm="1">
        <f t="array" ref="AA46">_xlfn.IFS(Y46=4,"A",Y46=3,"B",Y46=2,"C",Y46=1,"D")</f>
        <v>D</v>
      </c>
      <c r="AB46" s="215"/>
    </row>
    <row r="47" spans="1:28" ht="96" customHeight="1">
      <c r="C47" s="78"/>
      <c r="D47" s="79"/>
      <c r="E47" s="72" t="s">
        <v>236</v>
      </c>
      <c r="F47" s="1452"/>
      <c r="G47" s="1452"/>
      <c r="H47" s="1452"/>
      <c r="I47" s="1452"/>
      <c r="J47" s="1452"/>
      <c r="K47" s="1452"/>
      <c r="L47" s="80" t="s">
        <v>132</v>
      </c>
      <c r="M47" s="290"/>
    </row>
    <row r="48" spans="1:28" ht="96" customHeight="1">
      <c r="C48" s="75"/>
      <c r="D48" s="68"/>
      <c r="E48" s="72" t="s">
        <v>237</v>
      </c>
      <c r="F48" s="1452"/>
      <c r="G48" s="1452"/>
      <c r="H48" s="1452"/>
      <c r="I48" s="1452"/>
      <c r="J48" s="1452"/>
      <c r="K48" s="1452"/>
    </row>
    <row r="49" spans="1:28" ht="18.5" thickBot="1">
      <c r="A49" s="81"/>
      <c r="B49" s="81"/>
      <c r="C49" s="81"/>
      <c r="D49" s="81"/>
      <c r="E49" s="311"/>
      <c r="F49" s="81"/>
      <c r="G49" s="81"/>
      <c r="H49" s="81"/>
      <c r="I49" s="81"/>
      <c r="J49" s="81"/>
      <c r="K49" s="81"/>
      <c r="L49" s="81"/>
      <c r="M49" s="82"/>
    </row>
    <row r="51" spans="1:28" ht="9" customHeight="1">
      <c r="B51" s="10"/>
      <c r="C51" s="5"/>
      <c r="D51" s="5"/>
      <c r="E51" s="305"/>
      <c r="F51" s="5"/>
      <c r="G51" s="5"/>
      <c r="H51" s="5"/>
      <c r="I51" s="5"/>
      <c r="J51" s="5"/>
      <c r="K51" s="5"/>
      <c r="L51" s="6"/>
      <c r="M51"/>
      <c r="N51"/>
      <c r="O51"/>
      <c r="R51" t="str">
        <f>D52</f>
        <v>(選択してください)</v>
      </c>
    </row>
    <row r="52" spans="1:28">
      <c r="B52" s="7"/>
      <c r="C52" s="77" t="str">
        <f ca="1">IFERROR(OFFSET('4.2民生電力需要量'!$C$1,MATCH(D52,'4.2民生電力需要量'!$E:$E,0)-1,0),"")</f>
        <v/>
      </c>
      <c r="D52" s="94" t="s">
        <v>130</v>
      </c>
      <c r="E52" s="72" t="s">
        <v>131</v>
      </c>
      <c r="F52" s="1446" t="str">
        <f ca="1">IFERROR(OFFSET('4.2民生電力需要量'!$G$1,MATCH($D52,'4.2民生電力需要量'!$E:$E,0)-1,0),"")</f>
        <v/>
      </c>
      <c r="G52" s="1446"/>
      <c r="H52" s="1446"/>
      <c r="I52" s="1446"/>
      <c r="J52" s="1446"/>
      <c r="K52" s="1446"/>
      <c r="L52" s="8"/>
      <c r="M52"/>
      <c r="N52"/>
      <c r="O52"/>
      <c r="R52" s="175" t="str">
        <f ca="1">IFERROR(OFFSET('4.2民生電力需要量'!$G$1,MATCH($D52,'4.2民生電力需要量'!$E:$E,0)-1,0),"")</f>
        <v/>
      </c>
      <c r="S52" s="175"/>
      <c r="T52" s="175"/>
      <c r="U52" s="175"/>
      <c r="V52" s="175"/>
      <c r="W52" s="175"/>
      <c r="X52" s="175"/>
      <c r="Y52" s="175"/>
      <c r="Z52" s="175"/>
      <c r="AA52" s="175"/>
      <c r="AB52" s="175">
        <f ca="1">(F52=R52)*1</f>
        <v>1</v>
      </c>
    </row>
    <row r="53" spans="1:28">
      <c r="B53" s="7"/>
      <c r="C53" s="915"/>
      <c r="D53" s="97"/>
      <c r="E53" s="72" t="s">
        <v>612</v>
      </c>
      <c r="F53" s="1447" t="str">
        <f ca="1">IFERROR(OFFSET('4.2民生電力需要量'!$L$1,MATCH($D52,'4.2民生電力需要量'!$E:$E,0)-1,0),"")</f>
        <v/>
      </c>
      <c r="G53" s="1448"/>
      <c r="H53" s="1448"/>
      <c r="I53" s="1448"/>
      <c r="J53" s="1448"/>
      <c r="K53" s="1449"/>
      <c r="L53" s="8"/>
      <c r="M53"/>
      <c r="N53"/>
      <c r="O53"/>
      <c r="R53" s="175" t="str">
        <f ca="1">IFERROR(OFFSET('4.2民生電力需要量'!$L$1,MATCH($D52,'4.2民生電力需要量'!$E:$E,0)-1,0),"")</f>
        <v/>
      </c>
      <c r="S53" s="175"/>
      <c r="T53" s="175"/>
      <c r="U53" s="175"/>
      <c r="V53" s="175"/>
      <c r="W53" s="175"/>
      <c r="X53" s="175"/>
      <c r="Y53" s="175"/>
      <c r="Z53" s="175"/>
      <c r="AA53" s="175"/>
      <c r="AB53" s="175">
        <f ca="1">(F53=R53)*1</f>
        <v>1</v>
      </c>
    </row>
    <row r="54" spans="1:28">
      <c r="B54" s="7"/>
      <c r="C54" s="74"/>
      <c r="D54" s="66"/>
      <c r="E54" s="72" t="s">
        <v>220</v>
      </c>
      <c r="F54" s="1450" t="str">
        <f ca="1">IFERROR(OFFSET('4.2民生電力需要量'!$I$1,MATCH($D52,'4.2民生電力需要量'!$E:$E,0)-1,0),"")</f>
        <v/>
      </c>
      <c r="G54" s="1450"/>
      <c r="H54" s="1450"/>
      <c r="I54" s="1450"/>
      <c r="J54" s="1450"/>
      <c r="K54" s="1450"/>
      <c r="L54" s="8"/>
      <c r="M54"/>
      <c r="N54"/>
      <c r="O54"/>
      <c r="R54" s="175" t="str">
        <f ca="1">IFERROR(OFFSET('4.2民生電力需要量'!$I$1,MATCH($D52,'4.2民生電力需要量'!$E:$E,0)-1,0),"")</f>
        <v/>
      </c>
      <c r="S54" s="175"/>
      <c r="T54" s="175"/>
      <c r="U54" s="175"/>
      <c r="V54" s="175"/>
      <c r="W54" s="175"/>
      <c r="X54" s="175"/>
      <c r="Y54" s="175"/>
      <c r="Z54" s="175"/>
      <c r="AA54" s="175"/>
      <c r="AB54" s="175">
        <f t="shared" ref="AB54:AB55" ca="1" si="25">(F54=R54)*1</f>
        <v>1</v>
      </c>
    </row>
    <row r="55" spans="1:28">
      <c r="B55" s="7"/>
      <c r="C55" s="74"/>
      <c r="D55" s="66"/>
      <c r="E55" s="72" t="s">
        <v>175</v>
      </c>
      <c r="F55" s="1451" t="str">
        <f>_xlfn.IFNA(R55,"")</f>
        <v/>
      </c>
      <c r="G55" s="1451"/>
      <c r="H55" s="1451"/>
      <c r="I55" s="1451"/>
      <c r="J55" s="1451"/>
      <c r="K55" s="1451"/>
      <c r="L55" s="8"/>
      <c r="M55"/>
      <c r="N55"/>
      <c r="O55"/>
      <c r="R55" s="215" t="str">
        <f>IF(PRODUCT($Z57:$Z61)=1,AA57,"")</f>
        <v/>
      </c>
      <c r="S55" s="175"/>
      <c r="T55" s="175"/>
      <c r="U55" s="175"/>
      <c r="V55" s="175"/>
      <c r="W55" s="175"/>
      <c r="X55" s="175"/>
      <c r="Y55" s="175"/>
      <c r="Z55" s="175"/>
      <c r="AA55" s="175"/>
      <c r="AB55" s="175">
        <f t="shared" si="25"/>
        <v>1</v>
      </c>
    </row>
    <row r="56" spans="1:28" s="2" customFormat="1" ht="60">
      <c r="A56"/>
      <c r="B56" s="7"/>
      <c r="C56" s="74"/>
      <c r="D56" s="66"/>
      <c r="E56" s="306"/>
      <c r="F56" s="312" t="s">
        <v>299</v>
      </c>
      <c r="G56" s="313" t="s">
        <v>300</v>
      </c>
      <c r="H56" s="313" t="s">
        <v>301</v>
      </c>
      <c r="I56" s="313" t="s">
        <v>302</v>
      </c>
      <c r="J56" s="313" t="s">
        <v>429</v>
      </c>
      <c r="K56" s="313" t="s">
        <v>270</v>
      </c>
      <c r="L56" s="8"/>
      <c r="M56"/>
      <c r="P56"/>
      <c r="Q56"/>
      <c r="R56" s="294" t="s">
        <v>298</v>
      </c>
      <c r="S56" s="294" t="s">
        <v>299</v>
      </c>
      <c r="T56" s="314" t="s">
        <v>423</v>
      </c>
      <c r="U56" s="294" t="s">
        <v>424</v>
      </c>
      <c r="V56" s="294" t="s">
        <v>422</v>
      </c>
      <c r="W56" s="315" t="s">
        <v>270</v>
      </c>
      <c r="X56" s="294" t="s">
        <v>426</v>
      </c>
      <c r="Y56" s="215" t="s">
        <v>402</v>
      </c>
      <c r="Z56" s="215" t="s">
        <v>430</v>
      </c>
      <c r="AA56" s="294" t="s">
        <v>425</v>
      </c>
      <c r="AB56" s="294"/>
    </row>
    <row r="57" spans="1:28" s="99" customFormat="1" ht="18.75" hidden="1" customHeight="1">
      <c r="A57" s="11"/>
      <c r="B57" s="95"/>
      <c r="C57" s="96"/>
      <c r="D57" s="97"/>
      <c r="E57" s="438"/>
      <c r="F57" s="439"/>
      <c r="G57" s="439"/>
      <c r="H57" s="439"/>
      <c r="I57" s="439"/>
      <c r="J57" s="439"/>
      <c r="K57" s="439"/>
      <c r="L57" s="98"/>
      <c r="M57" s="11"/>
      <c r="Q57" s="11"/>
      <c r="R57" s="129">
        <f>IF(E57="地区代表者",COUNTA($D$1:$D57),0)</f>
        <v>0</v>
      </c>
      <c r="S57" s="129">
        <f t="shared" ref="S57:S58" si="26">IF(F57="実施済",1,0)</f>
        <v>0</v>
      </c>
      <c r="T57" s="258"/>
      <c r="U57" s="129">
        <f t="shared" ref="U57:U58" si="27">IF(AND(H57="実施済",I57="実施済"),S57*1,0)</f>
        <v>0</v>
      </c>
      <c r="V57" s="129">
        <f>IF(J57="実施済",$U57*1,0)</f>
        <v>0</v>
      </c>
      <c r="W57" s="258"/>
      <c r="X57" s="129" t="str">
        <f>IF(E57="","",IF(R57*S57&gt;0,3,SUM(S57,U57,V57)))</f>
        <v/>
      </c>
      <c r="Y57" s="129">
        <f>MIN($X$57:$X$61)+1</f>
        <v>1</v>
      </c>
      <c r="Z57" s="129">
        <f>IF(E57="",1,IF(R57&gt;0,IF(COUNTA($F57:$K57)=2,1,0),IF(COUNTA($F57:$K57)=6,1,0)))</f>
        <v>1</v>
      </c>
      <c r="AA57" s="129" t="str" cm="1">
        <f t="array" ref="AA57">_xlfn.IFS(Y57=4,"A",Y57=3,"B",Y57=2,"C",Y57=1,"D")</f>
        <v>D</v>
      </c>
      <c r="AB57" s="129" t="str" cm="1">
        <f t="array" ref="AB57">_xlfn.IFS(Z57=4,"A",Z57=3,"B",Z57=2,"C",Z57=1,"D")</f>
        <v>D</v>
      </c>
    </row>
    <row r="58" spans="1:28" s="99" customFormat="1" ht="18.75" customHeight="1">
      <c r="A58" s="11"/>
      <c r="B58" s="95"/>
      <c r="C58" s="96"/>
      <c r="D58" s="97"/>
      <c r="E58" s="440" t="s">
        <v>298</v>
      </c>
      <c r="F58" s="441"/>
      <c r="G58" s="839"/>
      <c r="H58" s="839"/>
      <c r="I58" s="839"/>
      <c r="J58" s="839"/>
      <c r="K58" s="441"/>
      <c r="L58" s="98"/>
      <c r="M58" s="11"/>
      <c r="Q58" s="11"/>
      <c r="R58" s="129">
        <f>IF(E58="地区代表者",COUNTA($D$1:$D58),0)</f>
        <v>4</v>
      </c>
      <c r="S58" s="129">
        <f t="shared" si="26"/>
        <v>0</v>
      </c>
      <c r="T58" s="258"/>
      <c r="U58" s="129">
        <f t="shared" si="27"/>
        <v>0</v>
      </c>
      <c r="V58" s="129">
        <f>IF(J58="実施済",$U58*1,0)</f>
        <v>0</v>
      </c>
      <c r="W58" s="258"/>
      <c r="X58" s="129">
        <f t="shared" ref="X58:X61" si="28">IF(E58="","",IF(R58*S58&gt;0,3,SUM(S58,U58,V58)))</f>
        <v>0</v>
      </c>
      <c r="Y58" s="129">
        <f>MIN($X$57:$X$61)+1</f>
        <v>1</v>
      </c>
      <c r="Z58" s="129">
        <f t="shared" ref="Z58:Z61" si="29">IF(E58="",1,IF(R58&gt;0,IF(COUNTA($F58:$K58)=2,1,0),IF(COUNTA($F58:$K58)=6,1,0)))</f>
        <v>0</v>
      </c>
      <c r="AA58" s="129" t="str" cm="1">
        <f t="array" ref="AA58">_xlfn.IFS(Y58=4,"A",Y58=3,"B",Y58=2,"C",Y58=1,"D")</f>
        <v>D</v>
      </c>
      <c r="AB58" s="129"/>
    </row>
    <row r="59" spans="1:28" s="99" customFormat="1" ht="18.75" customHeight="1">
      <c r="A59" s="11"/>
      <c r="B59" s="95"/>
      <c r="C59" s="96"/>
      <c r="D59" s="97"/>
      <c r="E59" s="440" t="s">
        <v>116</v>
      </c>
      <c r="F59" s="441"/>
      <c r="G59" s="441"/>
      <c r="H59" s="441"/>
      <c r="I59" s="441"/>
      <c r="J59" s="441"/>
      <c r="K59" s="441"/>
      <c r="L59" s="98"/>
      <c r="M59" s="11"/>
      <c r="P59" s="11"/>
      <c r="Q59" s="11"/>
      <c r="R59" s="129">
        <f>IF(E59="地区代表者",COUNTA($D$1:$D59),0)</f>
        <v>0</v>
      </c>
      <c r="S59" s="129">
        <f>IF(F59="実施済",1,0)</f>
        <v>0</v>
      </c>
      <c r="T59" s="258"/>
      <c r="U59" s="129">
        <f>IF(AND(H59="実施済",I59="実施済"),S59*1,0)</f>
        <v>0</v>
      </c>
      <c r="V59" s="129">
        <f>IF(J59="実施済",$U59*1,0)</f>
        <v>0</v>
      </c>
      <c r="W59" s="258"/>
      <c r="X59" s="129">
        <f t="shared" si="28"/>
        <v>0</v>
      </c>
      <c r="Y59" s="129">
        <f>MIN($X$57:$X$61)+1</f>
        <v>1</v>
      </c>
      <c r="Z59" s="129">
        <f t="shared" si="29"/>
        <v>0</v>
      </c>
      <c r="AA59" s="129" t="str" cm="1">
        <f t="array" ref="AA59">_xlfn.IFS(Y59=4,"A",Y59=3,"B",Y59=2,"C",Y59=1,"D")</f>
        <v>D</v>
      </c>
      <c r="AB59" s="129"/>
    </row>
    <row r="60" spans="1:28" s="2" customFormat="1" ht="9" customHeight="1">
      <c r="A60"/>
      <c r="B60" s="65"/>
      <c r="C60" s="4"/>
      <c r="D60" s="307"/>
      <c r="E60" s="308"/>
      <c r="F60" s="308"/>
      <c r="G60" s="308"/>
      <c r="H60" s="308"/>
      <c r="I60" s="308"/>
      <c r="J60" s="308"/>
      <c r="K60" s="308"/>
      <c r="L60" s="9"/>
      <c r="M60"/>
      <c r="P60"/>
      <c r="Q60"/>
      <c r="R60" s="215">
        <f>IF(E60="地区代表者",COUNTA($D$1:$D60),0)</f>
        <v>0</v>
      </c>
      <c r="S60" s="215">
        <f t="shared" ref="S60:S61" si="30">IF(F60="実施済",1,0)</f>
        <v>0</v>
      </c>
      <c r="T60" s="316"/>
      <c r="U60" s="215">
        <f t="shared" ref="U60:U61" si="31">IF(AND(H60="実施済",I60="実施済"),S60*1,0)</f>
        <v>0</v>
      </c>
      <c r="V60" s="215">
        <f t="shared" ref="V60:V61" si="32">IF(J60="実施済",$U60*1,0)</f>
        <v>0</v>
      </c>
      <c r="W60" s="316"/>
      <c r="X60" s="215" t="str">
        <f t="shared" si="28"/>
        <v/>
      </c>
      <c r="Y60" s="215">
        <f>MIN($X$57:$X$61)+1</f>
        <v>1</v>
      </c>
      <c r="Z60" s="215">
        <f t="shared" si="29"/>
        <v>1</v>
      </c>
      <c r="AA60" s="215" t="str" cm="1">
        <f t="array" ref="AA60">_xlfn.IFS(Y60=4,"A",Y60=3,"B",Y60=2,"C",Y60=1,"D")</f>
        <v>D</v>
      </c>
      <c r="AB60" s="215"/>
    </row>
    <row r="61" spans="1:28" s="2" customFormat="1" ht="6" customHeight="1">
      <c r="A61"/>
      <c r="B61"/>
      <c r="C61"/>
      <c r="D61" s="309"/>
      <c r="E61" s="310"/>
      <c r="F61" s="310"/>
      <c r="G61" s="310"/>
      <c r="H61" s="310"/>
      <c r="I61" s="310"/>
      <c r="J61" s="310"/>
      <c r="K61" s="310"/>
      <c r="L61"/>
      <c r="M61"/>
      <c r="P61"/>
      <c r="Q61"/>
      <c r="R61" s="215">
        <f>IF(E61="地区代表者",COUNTA($D$1:$D61),0)</f>
        <v>0</v>
      </c>
      <c r="S61" s="215">
        <f t="shared" si="30"/>
        <v>0</v>
      </c>
      <c r="T61" s="316"/>
      <c r="U61" s="215">
        <f t="shared" si="31"/>
        <v>0</v>
      </c>
      <c r="V61" s="215">
        <f t="shared" si="32"/>
        <v>0</v>
      </c>
      <c r="W61" s="316"/>
      <c r="X61" s="215" t="str">
        <f t="shared" si="28"/>
        <v/>
      </c>
      <c r="Y61" s="215">
        <f>MIN($X$57:$X$61)+1</f>
        <v>1</v>
      </c>
      <c r="Z61" s="215">
        <f t="shared" si="29"/>
        <v>1</v>
      </c>
      <c r="AA61" s="215" t="str" cm="1">
        <f t="array" ref="AA61">_xlfn.IFS(Y61=4,"A",Y61=3,"B",Y61=2,"C",Y61=1,"D")</f>
        <v>D</v>
      </c>
      <c r="AB61" s="215"/>
    </row>
    <row r="62" spans="1:28" ht="96" customHeight="1">
      <c r="C62" s="78"/>
      <c r="D62" s="79"/>
      <c r="E62" s="72" t="s">
        <v>236</v>
      </c>
      <c r="F62" s="1452"/>
      <c r="G62" s="1452"/>
      <c r="H62" s="1452"/>
      <c r="I62" s="1452"/>
      <c r="J62" s="1452"/>
      <c r="K62" s="1452"/>
      <c r="L62" s="80" t="s">
        <v>132</v>
      </c>
      <c r="M62" s="290"/>
    </row>
    <row r="63" spans="1:28" ht="96" customHeight="1">
      <c r="C63" s="75"/>
      <c r="D63" s="68"/>
      <c r="E63" s="72" t="s">
        <v>237</v>
      </c>
      <c r="F63" s="1452"/>
      <c r="G63" s="1452"/>
      <c r="H63" s="1452"/>
      <c r="I63" s="1452"/>
      <c r="J63" s="1452"/>
      <c r="K63" s="1452"/>
    </row>
    <row r="64" spans="1:28" ht="18.5" thickBot="1">
      <c r="A64" s="81"/>
      <c r="B64" s="81"/>
      <c r="C64" s="81"/>
      <c r="D64" s="81"/>
      <c r="E64" s="311"/>
      <c r="F64" s="81"/>
      <c r="G64" s="81"/>
      <c r="H64" s="81"/>
      <c r="I64" s="81"/>
      <c r="J64" s="81"/>
      <c r="K64" s="81"/>
      <c r="L64" s="81"/>
      <c r="M64" s="82"/>
    </row>
    <row r="66" spans="1:28" ht="9" customHeight="1">
      <c r="B66" s="10"/>
      <c r="C66" s="5"/>
      <c r="D66" s="5"/>
      <c r="E66" s="305"/>
      <c r="F66" s="5"/>
      <c r="G66" s="5"/>
      <c r="H66" s="5"/>
      <c r="I66" s="5"/>
      <c r="J66" s="5"/>
      <c r="K66" s="5"/>
      <c r="L66" s="6"/>
      <c r="M66"/>
      <c r="N66"/>
      <c r="O66"/>
      <c r="R66" t="str">
        <f>D67</f>
        <v>(選択してください)</v>
      </c>
    </row>
    <row r="67" spans="1:28">
      <c r="B67" s="7"/>
      <c r="C67" s="77" t="str">
        <f ca="1">IFERROR(OFFSET('4.2民生電力需要量'!$C$1,MATCH(D67,'4.2民生電力需要量'!$E:$E,0)-1,0),"")</f>
        <v/>
      </c>
      <c r="D67" s="94" t="s">
        <v>130</v>
      </c>
      <c r="E67" s="72" t="s">
        <v>131</v>
      </c>
      <c r="F67" s="1446" t="str">
        <f ca="1">IFERROR(OFFSET('4.2民生電力需要量'!$G$1,MATCH($D67,'4.2民生電力需要量'!$E:$E,0)-1,0),"")</f>
        <v/>
      </c>
      <c r="G67" s="1446"/>
      <c r="H67" s="1446"/>
      <c r="I67" s="1446"/>
      <c r="J67" s="1446"/>
      <c r="K67" s="1446"/>
      <c r="L67" s="8"/>
      <c r="M67"/>
      <c r="N67"/>
      <c r="O67"/>
      <c r="R67" s="175" t="str">
        <f ca="1">IFERROR(OFFSET('4.2民生電力需要量'!$G$1,MATCH($D67,'4.2民生電力需要量'!$E:$E,0)-1,0),"")</f>
        <v/>
      </c>
      <c r="S67" s="175"/>
      <c r="T67" s="175"/>
      <c r="U67" s="175"/>
      <c r="V67" s="175"/>
      <c r="W67" s="175"/>
      <c r="X67" s="175"/>
      <c r="Y67" s="175"/>
      <c r="Z67" s="175"/>
      <c r="AA67" s="175"/>
      <c r="AB67" s="175">
        <f ca="1">(F67=R67)*1</f>
        <v>1</v>
      </c>
    </row>
    <row r="68" spans="1:28">
      <c r="B68" s="7"/>
      <c r="C68" s="915"/>
      <c r="D68" s="97"/>
      <c r="E68" s="72" t="s">
        <v>612</v>
      </c>
      <c r="F68" s="1447" t="str">
        <f ca="1">IFERROR(OFFSET('4.2民生電力需要量'!$L$1,MATCH($D67,'4.2民生電力需要量'!$E:$E,0)-1,0),"")</f>
        <v/>
      </c>
      <c r="G68" s="1448"/>
      <c r="H68" s="1448"/>
      <c r="I68" s="1448"/>
      <c r="J68" s="1448"/>
      <c r="K68" s="1449"/>
      <c r="L68" s="8"/>
      <c r="M68"/>
      <c r="N68"/>
      <c r="O68"/>
      <c r="R68" s="175" t="str">
        <f ca="1">IFERROR(OFFSET('4.2民生電力需要量'!$L$1,MATCH($D67,'4.2民生電力需要量'!$E:$E,0)-1,0),"")</f>
        <v/>
      </c>
      <c r="S68" s="175"/>
      <c r="T68" s="175"/>
      <c r="U68" s="175"/>
      <c r="V68" s="175"/>
      <c r="W68" s="175"/>
      <c r="X68" s="175"/>
      <c r="Y68" s="175"/>
      <c r="Z68" s="175"/>
      <c r="AA68" s="175"/>
      <c r="AB68" s="175">
        <f ca="1">(F68=R68)*1</f>
        <v>1</v>
      </c>
    </row>
    <row r="69" spans="1:28">
      <c r="B69" s="7"/>
      <c r="C69" s="74"/>
      <c r="D69" s="66"/>
      <c r="E69" s="72" t="s">
        <v>220</v>
      </c>
      <c r="F69" s="1450" t="str">
        <f ca="1">IFERROR(OFFSET('4.2民生電力需要量'!$I$1,MATCH($D67,'4.2民生電力需要量'!$E:$E,0)-1,0),"")</f>
        <v/>
      </c>
      <c r="G69" s="1450"/>
      <c r="H69" s="1450"/>
      <c r="I69" s="1450"/>
      <c r="J69" s="1450"/>
      <c r="K69" s="1450"/>
      <c r="L69" s="8"/>
      <c r="M69"/>
      <c r="N69"/>
      <c r="O69"/>
      <c r="R69" s="175" t="str">
        <f ca="1">IFERROR(OFFSET('4.2民生電力需要量'!$I$1,MATCH($D67,'4.2民生電力需要量'!$E:$E,0)-1,0),"")</f>
        <v/>
      </c>
      <c r="S69" s="175"/>
      <c r="T69" s="175"/>
      <c r="U69" s="175"/>
      <c r="V69" s="175"/>
      <c r="W69" s="175"/>
      <c r="X69" s="175"/>
      <c r="Y69" s="175"/>
      <c r="Z69" s="175"/>
      <c r="AA69" s="175"/>
      <c r="AB69" s="175">
        <f t="shared" ref="AB69:AB70" ca="1" si="33">(F69=R69)*1</f>
        <v>1</v>
      </c>
    </row>
    <row r="70" spans="1:28">
      <c r="B70" s="7"/>
      <c r="C70" s="74"/>
      <c r="D70" s="66"/>
      <c r="E70" s="72" t="s">
        <v>175</v>
      </c>
      <c r="F70" s="1451" t="str">
        <f>_xlfn.IFNA(R70,"")</f>
        <v/>
      </c>
      <c r="G70" s="1451"/>
      <c r="H70" s="1451"/>
      <c r="I70" s="1451"/>
      <c r="J70" s="1451"/>
      <c r="K70" s="1451"/>
      <c r="L70" s="8"/>
      <c r="M70"/>
      <c r="N70"/>
      <c r="O70"/>
      <c r="R70" s="215" t="str">
        <f>IF(PRODUCT($Z72:$Z76)=1,AA72,"")</f>
        <v/>
      </c>
      <c r="S70" s="175"/>
      <c r="T70" s="175"/>
      <c r="U70" s="175"/>
      <c r="V70" s="175"/>
      <c r="W70" s="175"/>
      <c r="X70" s="175"/>
      <c r="Y70" s="175"/>
      <c r="Z70" s="175"/>
      <c r="AA70" s="175"/>
      <c r="AB70" s="175">
        <f t="shared" si="33"/>
        <v>1</v>
      </c>
    </row>
    <row r="71" spans="1:28" s="2" customFormat="1" ht="60">
      <c r="A71"/>
      <c r="B71" s="7"/>
      <c r="C71" s="74"/>
      <c r="D71" s="66"/>
      <c r="E71" s="306"/>
      <c r="F71" s="312" t="s">
        <v>299</v>
      </c>
      <c r="G71" s="313" t="s">
        <v>300</v>
      </c>
      <c r="H71" s="313" t="s">
        <v>301</v>
      </c>
      <c r="I71" s="313" t="s">
        <v>302</v>
      </c>
      <c r="J71" s="313" t="s">
        <v>429</v>
      </c>
      <c r="K71" s="313" t="s">
        <v>270</v>
      </c>
      <c r="L71" s="8"/>
      <c r="M71"/>
      <c r="P71"/>
      <c r="Q71"/>
      <c r="R71" s="294" t="s">
        <v>298</v>
      </c>
      <c r="S71" s="294" t="s">
        <v>299</v>
      </c>
      <c r="T71" s="314" t="s">
        <v>423</v>
      </c>
      <c r="U71" s="294" t="s">
        <v>424</v>
      </c>
      <c r="V71" s="294" t="s">
        <v>422</v>
      </c>
      <c r="W71" s="315" t="s">
        <v>270</v>
      </c>
      <c r="X71" s="294" t="s">
        <v>426</v>
      </c>
      <c r="Y71" s="215" t="s">
        <v>402</v>
      </c>
      <c r="Z71" s="215" t="s">
        <v>430</v>
      </c>
      <c r="AA71" s="294" t="s">
        <v>425</v>
      </c>
      <c r="AB71" s="294"/>
    </row>
    <row r="72" spans="1:28" s="99" customFormat="1" ht="18.75" hidden="1" customHeight="1">
      <c r="A72" s="11"/>
      <c r="B72" s="95"/>
      <c r="C72" s="96"/>
      <c r="D72" s="97"/>
      <c r="E72" s="438"/>
      <c r="F72" s="439"/>
      <c r="G72" s="439"/>
      <c r="H72" s="439"/>
      <c r="I72" s="439"/>
      <c r="J72" s="439"/>
      <c r="K72" s="439"/>
      <c r="L72" s="98"/>
      <c r="M72" s="11"/>
      <c r="Q72" s="11"/>
      <c r="R72" s="129">
        <f>IF(E72="地区代表者",COUNTA($D$1:$D72),0)</f>
        <v>0</v>
      </c>
      <c r="S72" s="129">
        <f t="shared" ref="S72:S73" si="34">IF(F72="実施済",1,0)</f>
        <v>0</v>
      </c>
      <c r="T72" s="258"/>
      <c r="U72" s="129">
        <f t="shared" ref="U72:U73" si="35">IF(AND(H72="実施済",I72="実施済"),S72*1,0)</f>
        <v>0</v>
      </c>
      <c r="V72" s="129">
        <f>IF(J72="実施済",$U72*1,0)</f>
        <v>0</v>
      </c>
      <c r="W72" s="258"/>
      <c r="X72" s="129" t="str">
        <f>IF(E72="","",IF(R72*S72&gt;0,3,SUM(S72,U72,V72)))</f>
        <v/>
      </c>
      <c r="Y72" s="129">
        <f>MIN($X$72:$X$76)+1</f>
        <v>1</v>
      </c>
      <c r="Z72" s="129">
        <f>IF(E72="",1,IF(R72&gt;0,IF(COUNTA($F72:$K72)=2,1,0),IF(COUNTA($F72:$K72)=6,1,0)))</f>
        <v>1</v>
      </c>
      <c r="AA72" s="129" t="str" cm="1">
        <f t="array" ref="AA72">_xlfn.IFS(Y72=4,"A",Y72=3,"B",Y72=2,"C",Y72=1,"D")</f>
        <v>D</v>
      </c>
      <c r="AB72" s="129" t="str" cm="1">
        <f t="array" ref="AB72">_xlfn.IFS(Z72=4,"A",Z72=3,"B",Z72=2,"C",Z72=1,"D")</f>
        <v>D</v>
      </c>
    </row>
    <row r="73" spans="1:28" s="99" customFormat="1" ht="18.75" customHeight="1">
      <c r="A73" s="11"/>
      <c r="B73" s="95"/>
      <c r="C73" s="96"/>
      <c r="D73" s="97"/>
      <c r="E73" s="440" t="s">
        <v>298</v>
      </c>
      <c r="F73" s="441"/>
      <c r="G73" s="839"/>
      <c r="H73" s="839"/>
      <c r="I73" s="839"/>
      <c r="J73" s="839"/>
      <c r="K73" s="441"/>
      <c r="L73" s="98"/>
      <c r="M73" s="11"/>
      <c r="Q73" s="11"/>
      <c r="R73" s="129">
        <f>IF(E73="地区代表者",COUNTA($D$1:$D73),0)</f>
        <v>5</v>
      </c>
      <c r="S73" s="129">
        <f t="shared" si="34"/>
        <v>0</v>
      </c>
      <c r="T73" s="258"/>
      <c r="U73" s="129">
        <f t="shared" si="35"/>
        <v>0</v>
      </c>
      <c r="V73" s="129">
        <f>IF(J73="実施済",$U73*1,0)</f>
        <v>0</v>
      </c>
      <c r="W73" s="258"/>
      <c r="X73" s="129">
        <f t="shared" ref="X73:X76" si="36">IF(E73="","",IF(R73*S73&gt;0,3,SUM(S73,U73,V73)))</f>
        <v>0</v>
      </c>
      <c r="Y73" s="129">
        <f>MIN($X$72:$X$76)+1</f>
        <v>1</v>
      </c>
      <c r="Z73" s="129">
        <f t="shared" ref="Z73:Z76" si="37">IF(E73="",1,IF(R73&gt;0,IF(COUNTA($F73:$K73)=2,1,0),IF(COUNTA($F73:$K73)=6,1,0)))</f>
        <v>0</v>
      </c>
      <c r="AA73" s="129" t="str" cm="1">
        <f t="array" ref="AA73">_xlfn.IFS(Y73=4,"A",Y73=3,"B",Y73=2,"C",Y73=1,"D")</f>
        <v>D</v>
      </c>
      <c r="AB73" s="129"/>
    </row>
    <row r="74" spans="1:28" s="99" customFormat="1" ht="18.75" customHeight="1">
      <c r="A74" s="11"/>
      <c r="B74" s="95"/>
      <c r="C74" s="96"/>
      <c r="D74" s="97"/>
      <c r="E74" s="440" t="s">
        <v>116</v>
      </c>
      <c r="F74" s="441"/>
      <c r="G74" s="441"/>
      <c r="H74" s="441"/>
      <c r="I74" s="441"/>
      <c r="J74" s="441"/>
      <c r="K74" s="441"/>
      <c r="L74" s="98"/>
      <c r="M74" s="11"/>
      <c r="P74" s="11"/>
      <c r="Q74" s="11"/>
      <c r="R74" s="129">
        <f>IF(E74="地区代表者",COUNTA($D$1:$D74),0)</f>
        <v>0</v>
      </c>
      <c r="S74" s="129">
        <f>IF(F74="実施済",1,0)</f>
        <v>0</v>
      </c>
      <c r="T74" s="258"/>
      <c r="U74" s="129">
        <f>IF(AND(H74="実施済",I74="実施済"),S74*1,0)</f>
        <v>0</v>
      </c>
      <c r="V74" s="129">
        <f>IF(J74="実施済",$U74*1,0)</f>
        <v>0</v>
      </c>
      <c r="W74" s="258"/>
      <c r="X74" s="129">
        <f t="shared" si="36"/>
        <v>0</v>
      </c>
      <c r="Y74" s="129">
        <f>MIN($X$72:$X$76)+1</f>
        <v>1</v>
      </c>
      <c r="Z74" s="129">
        <f t="shared" si="37"/>
        <v>0</v>
      </c>
      <c r="AA74" s="129" t="str" cm="1">
        <f t="array" ref="AA74">_xlfn.IFS(Y74=4,"A",Y74=3,"B",Y74=2,"C",Y74=1,"D")</f>
        <v>D</v>
      </c>
      <c r="AB74" s="129"/>
    </row>
    <row r="75" spans="1:28" s="2" customFormat="1" ht="9" customHeight="1">
      <c r="A75"/>
      <c r="B75" s="65"/>
      <c r="C75" s="4"/>
      <c r="D75" s="307"/>
      <c r="E75" s="308"/>
      <c r="F75" s="308"/>
      <c r="G75" s="308"/>
      <c r="H75" s="308"/>
      <c r="I75" s="308"/>
      <c r="J75" s="308"/>
      <c r="K75" s="308"/>
      <c r="L75" s="9"/>
      <c r="M75"/>
      <c r="P75"/>
      <c r="Q75"/>
      <c r="R75" s="215">
        <f>IF(E75="地区代表者",COUNTA($D$1:$D75),0)</f>
        <v>0</v>
      </c>
      <c r="S75" s="215">
        <f t="shared" ref="S75:S76" si="38">IF(F75="実施済",1,0)</f>
        <v>0</v>
      </c>
      <c r="T75" s="316"/>
      <c r="U75" s="215">
        <f t="shared" ref="U75:U76" si="39">IF(AND(H75="実施済",I75="実施済"),S75*1,0)</f>
        <v>0</v>
      </c>
      <c r="V75" s="215">
        <f t="shared" ref="V75:V76" si="40">IF(J75="実施済",$U75*1,0)</f>
        <v>0</v>
      </c>
      <c r="W75" s="316"/>
      <c r="X75" s="215" t="str">
        <f t="shared" si="36"/>
        <v/>
      </c>
      <c r="Y75" s="215">
        <f>MIN($X$72:$X$76)+1</f>
        <v>1</v>
      </c>
      <c r="Z75" s="215">
        <f t="shared" si="37"/>
        <v>1</v>
      </c>
      <c r="AA75" s="215" t="str" cm="1">
        <f t="array" ref="AA75">_xlfn.IFS(Y75=4,"A",Y75=3,"B",Y75=2,"C",Y75=1,"D")</f>
        <v>D</v>
      </c>
      <c r="AB75" s="215"/>
    </row>
    <row r="76" spans="1:28" s="2" customFormat="1" ht="6" customHeight="1">
      <c r="A76"/>
      <c r="B76"/>
      <c r="C76"/>
      <c r="D76" s="309"/>
      <c r="E76" s="310"/>
      <c r="F76" s="310"/>
      <c r="G76" s="310"/>
      <c r="H76" s="310"/>
      <c r="I76" s="310"/>
      <c r="J76" s="310"/>
      <c r="K76" s="310"/>
      <c r="L76"/>
      <c r="M76"/>
      <c r="P76"/>
      <c r="Q76"/>
      <c r="R76" s="215">
        <f>IF(E76="地区代表者",COUNTA($D$1:$D76),0)</f>
        <v>0</v>
      </c>
      <c r="S76" s="215">
        <f t="shared" si="38"/>
        <v>0</v>
      </c>
      <c r="T76" s="316"/>
      <c r="U76" s="215">
        <f t="shared" si="39"/>
        <v>0</v>
      </c>
      <c r="V76" s="215">
        <f t="shared" si="40"/>
        <v>0</v>
      </c>
      <c r="W76" s="316"/>
      <c r="X76" s="215" t="str">
        <f t="shared" si="36"/>
        <v/>
      </c>
      <c r="Y76" s="215">
        <f>MIN($X$72:$X$76)+1</f>
        <v>1</v>
      </c>
      <c r="Z76" s="215">
        <f t="shared" si="37"/>
        <v>1</v>
      </c>
      <c r="AA76" s="215" t="str" cm="1">
        <f t="array" ref="AA76">_xlfn.IFS(Y76=4,"A",Y76=3,"B",Y76=2,"C",Y76=1,"D")</f>
        <v>D</v>
      </c>
      <c r="AB76" s="215"/>
    </row>
    <row r="77" spans="1:28" ht="96" customHeight="1">
      <c r="C77" s="78"/>
      <c r="D77" s="79"/>
      <c r="E77" s="72" t="s">
        <v>236</v>
      </c>
      <c r="F77" s="1452"/>
      <c r="G77" s="1452"/>
      <c r="H77" s="1452"/>
      <c r="I77" s="1452"/>
      <c r="J77" s="1452"/>
      <c r="K77" s="1452"/>
      <c r="L77" s="80" t="s">
        <v>132</v>
      </c>
      <c r="M77" s="290"/>
    </row>
    <row r="78" spans="1:28" ht="96" customHeight="1">
      <c r="C78" s="75"/>
      <c r="D78" s="68"/>
      <c r="E78" s="72" t="s">
        <v>237</v>
      </c>
      <c r="F78" s="1452"/>
      <c r="G78" s="1452"/>
      <c r="H78" s="1452"/>
      <c r="I78" s="1452"/>
      <c r="J78" s="1452"/>
      <c r="K78" s="1452"/>
    </row>
    <row r="79" spans="1:28" ht="18.5" thickBot="1">
      <c r="A79" s="81"/>
      <c r="B79" s="81"/>
      <c r="C79" s="81"/>
      <c r="D79" s="81"/>
      <c r="E79" s="311"/>
      <c r="F79" s="81"/>
      <c r="G79" s="81"/>
      <c r="H79" s="81"/>
      <c r="I79" s="81"/>
      <c r="J79" s="81"/>
      <c r="K79" s="81"/>
      <c r="L79" s="81"/>
      <c r="M79" s="82"/>
    </row>
    <row r="81" spans="1:28" ht="9" customHeight="1">
      <c r="B81" s="10"/>
      <c r="C81" s="5"/>
      <c r="D81" s="5"/>
      <c r="E81" s="305"/>
      <c r="F81" s="5"/>
      <c r="G81" s="5"/>
      <c r="H81" s="5"/>
      <c r="I81" s="5"/>
      <c r="J81" s="5"/>
      <c r="K81" s="5"/>
      <c r="L81" s="6"/>
      <c r="M81"/>
      <c r="N81"/>
      <c r="O81"/>
      <c r="R81" t="str">
        <f>D82</f>
        <v>(選択してください)</v>
      </c>
    </row>
    <row r="82" spans="1:28">
      <c r="B82" s="7"/>
      <c r="C82" s="77" t="str">
        <f ca="1">IFERROR(OFFSET('4.2民生電力需要量'!$C$1,MATCH(D82,'4.2民生電力需要量'!$E:$E,0)-1,0),"")</f>
        <v/>
      </c>
      <c r="D82" s="94" t="s">
        <v>130</v>
      </c>
      <c r="E82" s="72" t="s">
        <v>131</v>
      </c>
      <c r="F82" s="1446" t="str">
        <f ca="1">IFERROR(OFFSET('4.2民生電力需要量'!$G$1,MATCH($D82,'4.2民生電力需要量'!$E:$E,0)-1,0),"")</f>
        <v/>
      </c>
      <c r="G82" s="1446"/>
      <c r="H82" s="1446"/>
      <c r="I82" s="1446"/>
      <c r="J82" s="1446"/>
      <c r="K82" s="1446"/>
      <c r="L82" s="8"/>
      <c r="M82"/>
      <c r="N82"/>
      <c r="O82"/>
      <c r="R82" s="175" t="str">
        <f ca="1">IFERROR(OFFSET('4.2民生電力需要量'!$G$1,MATCH($D82,'4.2民生電力需要量'!$E:$E,0)-1,0),"")</f>
        <v/>
      </c>
      <c r="S82" s="175"/>
      <c r="T82" s="175"/>
      <c r="U82" s="175"/>
      <c r="V82" s="175"/>
      <c r="W82" s="175"/>
      <c r="X82" s="175"/>
      <c r="Y82" s="175"/>
      <c r="Z82" s="175"/>
      <c r="AA82" s="175"/>
      <c r="AB82" s="175">
        <f ca="1">(F82=R82)*1</f>
        <v>1</v>
      </c>
    </row>
    <row r="83" spans="1:28">
      <c r="B83" s="7"/>
      <c r="C83" s="915"/>
      <c r="D83" s="97"/>
      <c r="E83" s="72" t="s">
        <v>612</v>
      </c>
      <c r="F83" s="1447" t="str">
        <f ca="1">IFERROR(OFFSET('4.2民生電力需要量'!$L$1,MATCH($D82,'4.2民生電力需要量'!$E:$E,0)-1,0),"")</f>
        <v/>
      </c>
      <c r="G83" s="1448"/>
      <c r="H83" s="1448"/>
      <c r="I83" s="1448"/>
      <c r="J83" s="1448"/>
      <c r="K83" s="1449"/>
      <c r="L83" s="8"/>
      <c r="M83"/>
      <c r="N83"/>
      <c r="O83"/>
      <c r="R83" s="175" t="str">
        <f ca="1">IFERROR(OFFSET('4.2民生電力需要量'!$L$1,MATCH($D82,'4.2民生電力需要量'!$E:$E,0)-1,0),"")</f>
        <v/>
      </c>
      <c r="S83" s="175"/>
      <c r="T83" s="175"/>
      <c r="U83" s="175"/>
      <c r="V83" s="175"/>
      <c r="W83" s="175"/>
      <c r="X83" s="175"/>
      <c r="Y83" s="175"/>
      <c r="Z83" s="175"/>
      <c r="AA83" s="175"/>
      <c r="AB83" s="175">
        <f ca="1">(F83=R83)*1</f>
        <v>1</v>
      </c>
    </row>
    <row r="84" spans="1:28">
      <c r="B84" s="7"/>
      <c r="C84" s="74"/>
      <c r="D84" s="66"/>
      <c r="E84" s="72" t="s">
        <v>220</v>
      </c>
      <c r="F84" s="1450" t="str">
        <f ca="1">IFERROR(OFFSET('4.2民生電力需要量'!$I$1,MATCH($D82,'4.2民生電力需要量'!$E:$E,0)-1,0),"")</f>
        <v/>
      </c>
      <c r="G84" s="1450"/>
      <c r="H84" s="1450"/>
      <c r="I84" s="1450"/>
      <c r="J84" s="1450"/>
      <c r="K84" s="1450"/>
      <c r="L84" s="8"/>
      <c r="M84"/>
      <c r="N84"/>
      <c r="O84"/>
      <c r="R84" s="175" t="str">
        <f ca="1">IFERROR(OFFSET('4.2民生電力需要量'!$I$1,MATCH($D82,'4.2民生電力需要量'!$E:$E,0)-1,0),"")</f>
        <v/>
      </c>
      <c r="S84" s="175"/>
      <c r="T84" s="175"/>
      <c r="U84" s="175"/>
      <c r="V84" s="175"/>
      <c r="W84" s="175"/>
      <c r="X84" s="175"/>
      <c r="Y84" s="175"/>
      <c r="Z84" s="175"/>
      <c r="AA84" s="175"/>
      <c r="AB84" s="175">
        <f t="shared" ref="AB84:AB85" ca="1" si="41">(F84=R84)*1</f>
        <v>1</v>
      </c>
    </row>
    <row r="85" spans="1:28">
      <c r="B85" s="7"/>
      <c r="C85" s="74"/>
      <c r="D85" s="66"/>
      <c r="E85" s="72" t="s">
        <v>175</v>
      </c>
      <c r="F85" s="1451" t="str">
        <f>_xlfn.IFNA(R85,"")</f>
        <v/>
      </c>
      <c r="G85" s="1451"/>
      <c r="H85" s="1451"/>
      <c r="I85" s="1451"/>
      <c r="J85" s="1451"/>
      <c r="K85" s="1451"/>
      <c r="L85" s="8"/>
      <c r="M85"/>
      <c r="N85"/>
      <c r="O85"/>
      <c r="R85" s="215" t="str">
        <f>IF(PRODUCT($Z87:$Z91)=1,AA87,"")</f>
        <v/>
      </c>
      <c r="S85" s="175"/>
      <c r="T85" s="175"/>
      <c r="U85" s="175"/>
      <c r="V85" s="175"/>
      <c r="W85" s="175"/>
      <c r="X85" s="175"/>
      <c r="Y85" s="175"/>
      <c r="Z85" s="175"/>
      <c r="AA85" s="175"/>
      <c r="AB85" s="175">
        <f t="shared" si="41"/>
        <v>1</v>
      </c>
    </row>
    <row r="86" spans="1:28" s="2" customFormat="1" ht="60">
      <c r="A86"/>
      <c r="B86" s="7"/>
      <c r="C86" s="74"/>
      <c r="D86" s="66"/>
      <c r="E86" s="306"/>
      <c r="F86" s="312" t="s">
        <v>299</v>
      </c>
      <c r="G86" s="313" t="s">
        <v>300</v>
      </c>
      <c r="H86" s="313" t="s">
        <v>301</v>
      </c>
      <c r="I86" s="313" t="s">
        <v>302</v>
      </c>
      <c r="J86" s="313" t="s">
        <v>429</v>
      </c>
      <c r="K86" s="313" t="s">
        <v>270</v>
      </c>
      <c r="L86" s="8"/>
      <c r="M86"/>
      <c r="P86"/>
      <c r="Q86"/>
      <c r="R86" s="294" t="s">
        <v>298</v>
      </c>
      <c r="S86" s="294" t="s">
        <v>299</v>
      </c>
      <c r="T86" s="314" t="s">
        <v>423</v>
      </c>
      <c r="U86" s="294" t="s">
        <v>424</v>
      </c>
      <c r="V86" s="294" t="s">
        <v>422</v>
      </c>
      <c r="W86" s="315" t="s">
        <v>270</v>
      </c>
      <c r="X86" s="294" t="s">
        <v>426</v>
      </c>
      <c r="Y86" s="215" t="s">
        <v>402</v>
      </c>
      <c r="Z86" s="215" t="s">
        <v>430</v>
      </c>
      <c r="AA86" s="294" t="s">
        <v>425</v>
      </c>
      <c r="AB86" s="294"/>
    </row>
    <row r="87" spans="1:28" s="99" customFormat="1" ht="18.75" hidden="1" customHeight="1">
      <c r="A87" s="11"/>
      <c r="B87" s="95"/>
      <c r="C87" s="96"/>
      <c r="D87" s="97"/>
      <c r="E87" s="438"/>
      <c r="F87" s="439"/>
      <c r="G87" s="439"/>
      <c r="H87" s="439"/>
      <c r="I87" s="439"/>
      <c r="J87" s="439"/>
      <c r="K87" s="439"/>
      <c r="L87" s="98"/>
      <c r="M87" s="11"/>
      <c r="Q87" s="11"/>
      <c r="R87" s="129">
        <f>IF(E87="地区代表者",COUNTA($D$1:$D87),0)</f>
        <v>0</v>
      </c>
      <c r="S87" s="129">
        <f t="shared" ref="S87:S88" si="42">IF(F87="実施済",1,0)</f>
        <v>0</v>
      </c>
      <c r="T87" s="258"/>
      <c r="U87" s="129">
        <f t="shared" ref="U87:U88" si="43">IF(AND(H87="実施済",I87="実施済"),S87*1,0)</f>
        <v>0</v>
      </c>
      <c r="V87" s="129">
        <f>IF(J87="実施済",$U87*1,0)</f>
        <v>0</v>
      </c>
      <c r="W87" s="258"/>
      <c r="X87" s="129" t="str">
        <f>IF(E87="","",IF(R87*S87&gt;0,3,SUM(S87,U87,V87)))</f>
        <v/>
      </c>
      <c r="Y87" s="129">
        <f>MIN($X$87:$X$91)+1</f>
        <v>1</v>
      </c>
      <c r="Z87" s="129">
        <f>IF(E87="",1,IF(R87&gt;0,IF(COUNTA($F87:$K87)=2,1,0),IF(COUNTA($F87:$K87)=6,1,0)))</f>
        <v>1</v>
      </c>
      <c r="AA87" s="129" t="str" cm="1">
        <f t="array" ref="AA87">_xlfn.IFS(Y87=4,"A",Y87=3,"B",Y87=2,"C",Y87=1,"D")</f>
        <v>D</v>
      </c>
      <c r="AB87" s="129" t="str" cm="1">
        <f t="array" ref="AB87">_xlfn.IFS(Z87=4,"A",Z87=3,"B",Z87=2,"C",Z87=1,"D")</f>
        <v>D</v>
      </c>
    </row>
    <row r="88" spans="1:28" s="99" customFormat="1" ht="18.75" customHeight="1">
      <c r="A88" s="11"/>
      <c r="B88" s="95"/>
      <c r="C88" s="96"/>
      <c r="D88" s="97"/>
      <c r="E88" s="440" t="s">
        <v>298</v>
      </c>
      <c r="F88" s="441"/>
      <c r="G88" s="839"/>
      <c r="H88" s="839"/>
      <c r="I88" s="839"/>
      <c r="J88" s="839"/>
      <c r="K88" s="441"/>
      <c r="L88" s="98"/>
      <c r="M88" s="11"/>
      <c r="Q88" s="11"/>
      <c r="R88" s="129">
        <f>IF(E88="地区代表者",COUNTA($D$1:$D88),0)</f>
        <v>6</v>
      </c>
      <c r="S88" s="129">
        <f t="shared" si="42"/>
        <v>0</v>
      </c>
      <c r="T88" s="258"/>
      <c r="U88" s="129">
        <f t="shared" si="43"/>
        <v>0</v>
      </c>
      <c r="V88" s="129">
        <f>IF(J88="実施済",$U88*1,0)</f>
        <v>0</v>
      </c>
      <c r="W88" s="258"/>
      <c r="X88" s="129">
        <f t="shared" ref="X88:X91" si="44">IF(E88="","",IF(R88*S88&gt;0,3,SUM(S88,U88,V88)))</f>
        <v>0</v>
      </c>
      <c r="Y88" s="129">
        <f>MIN($X$87:$X$91)+1</f>
        <v>1</v>
      </c>
      <c r="Z88" s="129">
        <f t="shared" ref="Z88:Z91" si="45">IF(E88="",1,IF(R88&gt;0,IF(COUNTA($F88:$K88)=2,1,0),IF(COUNTA($F88:$K88)=6,1,0)))</f>
        <v>0</v>
      </c>
      <c r="AA88" s="129" t="str" cm="1">
        <f t="array" ref="AA88">_xlfn.IFS(Y88=4,"A",Y88=3,"B",Y88=2,"C",Y88=1,"D")</f>
        <v>D</v>
      </c>
      <c r="AB88" s="129"/>
    </row>
    <row r="89" spans="1:28" s="99" customFormat="1" ht="18.75" customHeight="1">
      <c r="A89" s="11"/>
      <c r="B89" s="95"/>
      <c r="C89" s="96"/>
      <c r="D89" s="97"/>
      <c r="E89" s="440" t="s">
        <v>116</v>
      </c>
      <c r="F89" s="441"/>
      <c r="G89" s="441"/>
      <c r="H89" s="441"/>
      <c r="I89" s="441"/>
      <c r="J89" s="441"/>
      <c r="K89" s="441"/>
      <c r="L89" s="98"/>
      <c r="M89" s="11"/>
      <c r="P89" s="11"/>
      <c r="Q89" s="11"/>
      <c r="R89" s="129">
        <f>IF(E89="地区代表者",COUNTA($D$1:$D89),0)</f>
        <v>0</v>
      </c>
      <c r="S89" s="129">
        <f>IF(F89="実施済",1,0)</f>
        <v>0</v>
      </c>
      <c r="T89" s="258"/>
      <c r="U89" s="129">
        <f>IF(AND(H89="実施済",I89="実施済"),S89*1,0)</f>
        <v>0</v>
      </c>
      <c r="V89" s="129">
        <f>IF(J89="実施済",$U89*1,0)</f>
        <v>0</v>
      </c>
      <c r="W89" s="258"/>
      <c r="X89" s="129">
        <f t="shared" si="44"/>
        <v>0</v>
      </c>
      <c r="Y89" s="129">
        <f>MIN($X$87:$X$91)+1</f>
        <v>1</v>
      </c>
      <c r="Z89" s="129">
        <f t="shared" si="45"/>
        <v>0</v>
      </c>
      <c r="AA89" s="129" t="str" cm="1">
        <f t="array" ref="AA89">_xlfn.IFS(Y89=4,"A",Y89=3,"B",Y89=2,"C",Y89=1,"D")</f>
        <v>D</v>
      </c>
      <c r="AB89" s="129"/>
    </row>
    <row r="90" spans="1:28" s="2" customFormat="1" ht="9" customHeight="1">
      <c r="A90"/>
      <c r="B90" s="65"/>
      <c r="C90" s="4"/>
      <c r="D90" s="307"/>
      <c r="E90" s="308"/>
      <c r="F90" s="308"/>
      <c r="G90" s="308"/>
      <c r="H90" s="308"/>
      <c r="I90" s="308"/>
      <c r="J90" s="308"/>
      <c r="K90" s="308"/>
      <c r="L90" s="9"/>
      <c r="M90"/>
      <c r="P90"/>
      <c r="Q90"/>
      <c r="R90" s="215">
        <f>IF(E90="地区代表者",COUNTA($D$1:$D90),0)</f>
        <v>0</v>
      </c>
      <c r="S90" s="215">
        <f t="shared" ref="S90:S91" si="46">IF(F90="実施済",1,0)</f>
        <v>0</v>
      </c>
      <c r="T90" s="316"/>
      <c r="U90" s="215">
        <f t="shared" ref="U90:U91" si="47">IF(AND(H90="実施済",I90="実施済"),S90*1,0)</f>
        <v>0</v>
      </c>
      <c r="V90" s="215">
        <f t="shared" ref="V90:V91" si="48">IF(J90="実施済",$U90*1,0)</f>
        <v>0</v>
      </c>
      <c r="W90" s="316"/>
      <c r="X90" s="215" t="str">
        <f t="shared" si="44"/>
        <v/>
      </c>
      <c r="Y90" s="215">
        <f>MIN($X$87:$X$91)+1</f>
        <v>1</v>
      </c>
      <c r="Z90" s="215">
        <f t="shared" si="45"/>
        <v>1</v>
      </c>
      <c r="AA90" s="215" t="str" cm="1">
        <f t="array" ref="AA90">_xlfn.IFS(Y90=4,"A",Y90=3,"B",Y90=2,"C",Y90=1,"D")</f>
        <v>D</v>
      </c>
      <c r="AB90" s="215"/>
    </row>
    <row r="91" spans="1:28" s="2" customFormat="1" ht="6" customHeight="1">
      <c r="A91"/>
      <c r="B91"/>
      <c r="C91"/>
      <c r="D91" s="309"/>
      <c r="E91" s="310"/>
      <c r="F91" s="310"/>
      <c r="G91" s="310"/>
      <c r="H91" s="310"/>
      <c r="I91" s="310"/>
      <c r="J91" s="310"/>
      <c r="K91" s="310"/>
      <c r="L91"/>
      <c r="M91"/>
      <c r="P91"/>
      <c r="Q91"/>
      <c r="R91" s="215">
        <f>IF(E91="地区代表者",COUNTA($D$1:$D91),0)</f>
        <v>0</v>
      </c>
      <c r="S91" s="215">
        <f t="shared" si="46"/>
        <v>0</v>
      </c>
      <c r="T91" s="316"/>
      <c r="U91" s="215">
        <f t="shared" si="47"/>
        <v>0</v>
      </c>
      <c r="V91" s="215">
        <f t="shared" si="48"/>
        <v>0</v>
      </c>
      <c r="W91" s="316"/>
      <c r="X91" s="215" t="str">
        <f t="shared" si="44"/>
        <v/>
      </c>
      <c r="Y91" s="215">
        <f>MIN($X$87:$X$91)+1</f>
        <v>1</v>
      </c>
      <c r="Z91" s="215">
        <f t="shared" si="45"/>
        <v>1</v>
      </c>
      <c r="AA91" s="215" t="str" cm="1">
        <f t="array" ref="AA91">_xlfn.IFS(Y91=4,"A",Y91=3,"B",Y91=2,"C",Y91=1,"D")</f>
        <v>D</v>
      </c>
      <c r="AB91" s="215"/>
    </row>
    <row r="92" spans="1:28" ht="96" customHeight="1">
      <c r="C92" s="78"/>
      <c r="D92" s="79"/>
      <c r="E92" s="72" t="s">
        <v>236</v>
      </c>
      <c r="F92" s="1452"/>
      <c r="G92" s="1452"/>
      <c r="H92" s="1452"/>
      <c r="I92" s="1452"/>
      <c r="J92" s="1452"/>
      <c r="K92" s="1452"/>
      <c r="L92" s="80" t="s">
        <v>132</v>
      </c>
      <c r="M92" s="290"/>
    </row>
    <row r="93" spans="1:28" ht="96" customHeight="1">
      <c r="C93" s="75"/>
      <c r="D93" s="68"/>
      <c r="E93" s="72" t="s">
        <v>237</v>
      </c>
      <c r="F93" s="1452"/>
      <c r="G93" s="1452"/>
      <c r="H93" s="1452"/>
      <c r="I93" s="1452"/>
      <c r="J93" s="1452"/>
      <c r="K93" s="1452"/>
    </row>
    <row r="94" spans="1:28" ht="18.5" thickBot="1">
      <c r="A94" s="81"/>
      <c r="B94" s="81"/>
      <c r="C94" s="81"/>
      <c r="D94" s="81"/>
      <c r="E94" s="311"/>
      <c r="F94" s="81"/>
      <c r="G94" s="81"/>
      <c r="H94" s="81"/>
      <c r="I94" s="81"/>
      <c r="J94" s="81"/>
      <c r="K94" s="81"/>
      <c r="L94" s="81"/>
      <c r="M94" s="82"/>
    </row>
    <row r="96" spans="1:28" ht="9" customHeight="1">
      <c r="B96" s="10"/>
      <c r="C96" s="5"/>
      <c r="D96" s="5"/>
      <c r="E96" s="305"/>
      <c r="F96" s="5"/>
      <c r="G96" s="5"/>
      <c r="H96" s="5"/>
      <c r="I96" s="5"/>
      <c r="J96" s="5"/>
      <c r="K96" s="5"/>
      <c r="L96" s="6"/>
      <c r="M96"/>
      <c r="N96"/>
      <c r="O96"/>
      <c r="R96" t="str">
        <f>D97</f>
        <v>(選択してください)</v>
      </c>
    </row>
    <row r="97" spans="1:28">
      <c r="B97" s="7"/>
      <c r="C97" s="77" t="str">
        <f ca="1">IFERROR(OFFSET('4.2民生電力需要量'!$C$1,MATCH(D97,'4.2民生電力需要量'!$E:$E,0)-1,0),"")</f>
        <v/>
      </c>
      <c r="D97" s="94" t="s">
        <v>130</v>
      </c>
      <c r="E97" s="72" t="s">
        <v>131</v>
      </c>
      <c r="F97" s="1446" t="str">
        <f ca="1">IFERROR(OFFSET('4.2民生電力需要量'!$G$1,MATCH($D97,'4.2民生電力需要量'!$E:$E,0)-1,0),"")</f>
        <v/>
      </c>
      <c r="G97" s="1446"/>
      <c r="H97" s="1446"/>
      <c r="I97" s="1446"/>
      <c r="J97" s="1446"/>
      <c r="K97" s="1446"/>
      <c r="L97" s="8"/>
      <c r="M97"/>
      <c r="N97"/>
      <c r="O97"/>
      <c r="R97" s="175" t="str">
        <f ca="1">IFERROR(OFFSET('4.2民生電力需要量'!$G$1,MATCH($D97,'4.2民生電力需要量'!$E:$E,0)-1,0),"")</f>
        <v/>
      </c>
      <c r="S97" s="175"/>
      <c r="T97" s="175"/>
      <c r="U97" s="175"/>
      <c r="V97" s="175"/>
      <c r="W97" s="175"/>
      <c r="X97" s="175"/>
      <c r="Y97" s="175"/>
      <c r="Z97" s="175"/>
      <c r="AA97" s="175"/>
      <c r="AB97" s="175">
        <f ca="1">(F97=R97)*1</f>
        <v>1</v>
      </c>
    </row>
    <row r="98" spans="1:28">
      <c r="B98" s="7"/>
      <c r="C98" s="915"/>
      <c r="D98" s="97"/>
      <c r="E98" s="72" t="s">
        <v>612</v>
      </c>
      <c r="F98" s="1447" t="str">
        <f ca="1">IFERROR(OFFSET('4.2民生電力需要量'!$L$1,MATCH($D97,'4.2民生電力需要量'!$E:$E,0)-1,0),"")</f>
        <v/>
      </c>
      <c r="G98" s="1448"/>
      <c r="H98" s="1448"/>
      <c r="I98" s="1448"/>
      <c r="J98" s="1448"/>
      <c r="K98" s="1449"/>
      <c r="L98" s="8"/>
      <c r="M98"/>
      <c r="N98"/>
      <c r="O98"/>
      <c r="R98" s="175" t="str">
        <f ca="1">IFERROR(OFFSET('4.2民生電力需要量'!$L$1,MATCH($D97,'4.2民生電力需要量'!$E:$E,0)-1,0),"")</f>
        <v/>
      </c>
      <c r="S98" s="175"/>
      <c r="T98" s="175"/>
      <c r="U98" s="175"/>
      <c r="V98" s="175"/>
      <c r="W98" s="175"/>
      <c r="X98" s="175"/>
      <c r="Y98" s="175"/>
      <c r="Z98" s="175"/>
      <c r="AA98" s="175"/>
      <c r="AB98" s="175">
        <f ca="1">(F98=R98)*1</f>
        <v>1</v>
      </c>
    </row>
    <row r="99" spans="1:28">
      <c r="B99" s="7"/>
      <c r="C99" s="74"/>
      <c r="D99" s="66"/>
      <c r="E99" s="72" t="s">
        <v>220</v>
      </c>
      <c r="F99" s="1450" t="str">
        <f ca="1">IFERROR(OFFSET('4.2民生電力需要量'!$I$1,MATCH($D97,'4.2民生電力需要量'!$E:$E,0)-1,0),"")</f>
        <v/>
      </c>
      <c r="G99" s="1450"/>
      <c r="H99" s="1450"/>
      <c r="I99" s="1450"/>
      <c r="J99" s="1450"/>
      <c r="K99" s="1450"/>
      <c r="L99" s="8"/>
      <c r="M99"/>
      <c r="N99"/>
      <c r="O99"/>
      <c r="R99" s="175" t="str">
        <f ca="1">IFERROR(OFFSET('4.2民生電力需要量'!$I$1,MATCH($D97,'4.2民生電力需要量'!$E:$E,0)-1,0),"")</f>
        <v/>
      </c>
      <c r="S99" s="175"/>
      <c r="T99" s="175"/>
      <c r="U99" s="175"/>
      <c r="V99" s="175"/>
      <c r="W99" s="175"/>
      <c r="X99" s="175"/>
      <c r="Y99" s="175"/>
      <c r="Z99" s="175"/>
      <c r="AA99" s="175"/>
      <c r="AB99" s="175">
        <f t="shared" ref="AB99:AB100" ca="1" si="49">(F99=R99)*1</f>
        <v>1</v>
      </c>
    </row>
    <row r="100" spans="1:28">
      <c r="B100" s="7"/>
      <c r="C100" s="74"/>
      <c r="D100" s="66"/>
      <c r="E100" s="72" t="s">
        <v>175</v>
      </c>
      <c r="F100" s="1451" t="str">
        <f>_xlfn.IFNA(R100,"")</f>
        <v/>
      </c>
      <c r="G100" s="1451"/>
      <c r="H100" s="1451"/>
      <c r="I100" s="1451"/>
      <c r="J100" s="1451"/>
      <c r="K100" s="1451"/>
      <c r="L100" s="8"/>
      <c r="M100"/>
      <c r="N100"/>
      <c r="O100"/>
      <c r="R100" s="215" t="str">
        <f>IF(PRODUCT($Z102:$Z106)=1,AA102,"")</f>
        <v/>
      </c>
      <c r="S100" s="175"/>
      <c r="T100" s="175"/>
      <c r="U100" s="175"/>
      <c r="V100" s="175"/>
      <c r="W100" s="175"/>
      <c r="X100" s="175"/>
      <c r="Y100" s="175"/>
      <c r="Z100" s="175"/>
      <c r="AA100" s="175"/>
      <c r="AB100" s="175">
        <f t="shared" si="49"/>
        <v>1</v>
      </c>
    </row>
    <row r="101" spans="1:28" s="2" customFormat="1" ht="60">
      <c r="A101"/>
      <c r="B101" s="7"/>
      <c r="C101" s="74"/>
      <c r="D101" s="66"/>
      <c r="E101" s="306"/>
      <c r="F101" s="312" t="s">
        <v>299</v>
      </c>
      <c r="G101" s="313" t="s">
        <v>300</v>
      </c>
      <c r="H101" s="313" t="s">
        <v>301</v>
      </c>
      <c r="I101" s="313" t="s">
        <v>302</v>
      </c>
      <c r="J101" s="313" t="s">
        <v>429</v>
      </c>
      <c r="K101" s="313" t="s">
        <v>270</v>
      </c>
      <c r="L101" s="8"/>
      <c r="M101"/>
      <c r="P101"/>
      <c r="Q101"/>
      <c r="R101" s="294" t="s">
        <v>298</v>
      </c>
      <c r="S101" s="294" t="s">
        <v>299</v>
      </c>
      <c r="T101" s="314" t="s">
        <v>423</v>
      </c>
      <c r="U101" s="294" t="s">
        <v>424</v>
      </c>
      <c r="V101" s="294" t="s">
        <v>422</v>
      </c>
      <c r="W101" s="315" t="s">
        <v>270</v>
      </c>
      <c r="X101" s="294" t="s">
        <v>426</v>
      </c>
      <c r="Y101" s="215" t="s">
        <v>402</v>
      </c>
      <c r="Z101" s="215" t="s">
        <v>430</v>
      </c>
      <c r="AA101" s="294" t="s">
        <v>425</v>
      </c>
      <c r="AB101" s="294"/>
    </row>
    <row r="102" spans="1:28" s="99" customFormat="1" ht="18.75" hidden="1" customHeight="1">
      <c r="A102" s="11"/>
      <c r="B102" s="95"/>
      <c r="C102" s="96"/>
      <c r="D102" s="97"/>
      <c r="E102" s="438"/>
      <c r="F102" s="439"/>
      <c r="G102" s="439"/>
      <c r="H102" s="439"/>
      <c r="I102" s="439"/>
      <c r="J102" s="439"/>
      <c r="K102" s="439"/>
      <c r="L102" s="98"/>
      <c r="M102" s="11"/>
      <c r="Q102" s="11"/>
      <c r="R102" s="129">
        <f>IF(E102="地区代表者",COUNTA($D$1:$D102),0)</f>
        <v>0</v>
      </c>
      <c r="S102" s="129">
        <f t="shared" ref="S102:S103" si="50">IF(F102="実施済",1,0)</f>
        <v>0</v>
      </c>
      <c r="T102" s="258"/>
      <c r="U102" s="129">
        <f t="shared" ref="U102:U103" si="51">IF(AND(H102="実施済",I102="実施済"),S102*1,0)</f>
        <v>0</v>
      </c>
      <c r="V102" s="129">
        <f>IF(J102="実施済",$U102*1,0)</f>
        <v>0</v>
      </c>
      <c r="W102" s="258"/>
      <c r="X102" s="129" t="str">
        <f>IF(E102="","",IF(R102*S102&gt;0,3,SUM(S102,U102,V102)))</f>
        <v/>
      </c>
      <c r="Y102" s="129">
        <f>MIN($X$102:$X$106)+1</f>
        <v>1</v>
      </c>
      <c r="Z102" s="129">
        <f>IF(E102="",1,IF(R102&gt;0,IF(COUNTA($F102:$K102)=2,1,0),IF(COUNTA($F102:$K102)=6,1,0)))</f>
        <v>1</v>
      </c>
      <c r="AA102" s="129" t="str" cm="1">
        <f t="array" ref="AA102">_xlfn.IFS(Y102=4,"A",Y102=3,"B",Y102=2,"C",Y102=1,"D")</f>
        <v>D</v>
      </c>
      <c r="AB102" s="129" t="str" cm="1">
        <f t="array" ref="AB102">_xlfn.IFS(Z102=4,"A",Z102=3,"B",Z102=2,"C",Z102=1,"D")</f>
        <v>D</v>
      </c>
    </row>
    <row r="103" spans="1:28" s="99" customFormat="1" ht="18.75" customHeight="1">
      <c r="A103" s="11"/>
      <c r="B103" s="95"/>
      <c r="C103" s="96"/>
      <c r="D103" s="97"/>
      <c r="E103" s="440" t="s">
        <v>298</v>
      </c>
      <c r="F103" s="441"/>
      <c r="G103" s="839"/>
      <c r="H103" s="839"/>
      <c r="I103" s="839"/>
      <c r="J103" s="839"/>
      <c r="K103" s="441"/>
      <c r="L103" s="98"/>
      <c r="M103" s="11"/>
      <c r="Q103" s="11"/>
      <c r="R103" s="129">
        <f>IF(E103="地区代表者",COUNTA($D$1:$D103),0)</f>
        <v>7</v>
      </c>
      <c r="S103" s="129">
        <f t="shared" si="50"/>
        <v>0</v>
      </c>
      <c r="T103" s="258"/>
      <c r="U103" s="129">
        <f t="shared" si="51"/>
        <v>0</v>
      </c>
      <c r="V103" s="129">
        <f>IF(J103="実施済",$U103*1,0)</f>
        <v>0</v>
      </c>
      <c r="W103" s="258"/>
      <c r="X103" s="129">
        <f t="shared" ref="X103:X106" si="52">IF(E103="","",IF(R103*S103&gt;0,3,SUM(S103,U103,V103)))</f>
        <v>0</v>
      </c>
      <c r="Y103" s="129">
        <f>MIN($X$102:$X$106)+1</f>
        <v>1</v>
      </c>
      <c r="Z103" s="129">
        <f t="shared" ref="Z103:Z106" si="53">IF(E103="",1,IF(R103&gt;0,IF(COUNTA($F103:$K103)=2,1,0),IF(COUNTA($F103:$K103)=6,1,0)))</f>
        <v>0</v>
      </c>
      <c r="AA103" s="129" t="str" cm="1">
        <f t="array" ref="AA103">_xlfn.IFS(Y103=4,"A",Y103=3,"B",Y103=2,"C",Y103=1,"D")</f>
        <v>D</v>
      </c>
      <c r="AB103" s="129"/>
    </row>
    <row r="104" spans="1:28" s="99" customFormat="1" ht="18.75" customHeight="1">
      <c r="A104" s="11"/>
      <c r="B104" s="95"/>
      <c r="C104" s="96"/>
      <c r="D104" s="97"/>
      <c r="E104" s="440" t="s">
        <v>116</v>
      </c>
      <c r="F104" s="441"/>
      <c r="G104" s="441"/>
      <c r="H104" s="441"/>
      <c r="I104" s="441"/>
      <c r="J104" s="441"/>
      <c r="K104" s="441"/>
      <c r="L104" s="98"/>
      <c r="M104" s="11"/>
      <c r="P104" s="11"/>
      <c r="Q104" s="11"/>
      <c r="R104" s="129">
        <f>IF(E104="地区代表者",COUNTA($D$1:$D104),0)</f>
        <v>0</v>
      </c>
      <c r="S104" s="129">
        <f>IF(F104="実施済",1,0)</f>
        <v>0</v>
      </c>
      <c r="T104" s="258"/>
      <c r="U104" s="129">
        <f>IF(AND(H104="実施済",I104="実施済"),S104*1,0)</f>
        <v>0</v>
      </c>
      <c r="V104" s="129">
        <f>IF(J104="実施済",$U104*1,0)</f>
        <v>0</v>
      </c>
      <c r="W104" s="258"/>
      <c r="X104" s="129">
        <f t="shared" si="52"/>
        <v>0</v>
      </c>
      <c r="Y104" s="129">
        <f>MIN($X$102:$X$106)+1</f>
        <v>1</v>
      </c>
      <c r="Z104" s="129">
        <f t="shared" si="53"/>
        <v>0</v>
      </c>
      <c r="AA104" s="129" t="str" cm="1">
        <f t="array" ref="AA104">_xlfn.IFS(Y104=4,"A",Y104=3,"B",Y104=2,"C",Y104=1,"D")</f>
        <v>D</v>
      </c>
      <c r="AB104" s="129"/>
    </row>
    <row r="105" spans="1:28" s="2" customFormat="1" ht="9" customHeight="1">
      <c r="A105"/>
      <c r="B105" s="65"/>
      <c r="C105" s="4"/>
      <c r="D105" s="307"/>
      <c r="E105" s="308"/>
      <c r="F105" s="308"/>
      <c r="G105" s="308"/>
      <c r="H105" s="308"/>
      <c r="I105" s="308"/>
      <c r="J105" s="308"/>
      <c r="K105" s="308"/>
      <c r="L105" s="9"/>
      <c r="M105"/>
      <c r="P105"/>
      <c r="Q105"/>
      <c r="R105" s="215">
        <f>IF(E105="地区代表者",COUNTA($D$1:$D105),0)</f>
        <v>0</v>
      </c>
      <c r="S105" s="215">
        <f t="shared" ref="S105:S106" si="54">IF(F105="実施済",1,0)</f>
        <v>0</v>
      </c>
      <c r="T105" s="316"/>
      <c r="U105" s="215">
        <f t="shared" ref="U105:U106" si="55">IF(AND(H105="実施済",I105="実施済"),S105*1,0)</f>
        <v>0</v>
      </c>
      <c r="V105" s="215">
        <f t="shared" ref="V105:V106" si="56">IF(J105="実施済",$U105*1,0)</f>
        <v>0</v>
      </c>
      <c r="W105" s="316"/>
      <c r="X105" s="215" t="str">
        <f t="shared" si="52"/>
        <v/>
      </c>
      <c r="Y105" s="215">
        <f>MIN($X$102:$X$106)+1</f>
        <v>1</v>
      </c>
      <c r="Z105" s="215">
        <f t="shared" si="53"/>
        <v>1</v>
      </c>
      <c r="AA105" s="215" t="str" cm="1">
        <f t="array" ref="AA105">_xlfn.IFS(Y105=4,"A",Y105=3,"B",Y105=2,"C",Y105=1,"D")</f>
        <v>D</v>
      </c>
      <c r="AB105" s="215"/>
    </row>
    <row r="106" spans="1:28" s="2" customFormat="1" ht="6" customHeight="1">
      <c r="A106"/>
      <c r="B106"/>
      <c r="C106"/>
      <c r="D106" s="309"/>
      <c r="E106" s="310"/>
      <c r="F106" s="310"/>
      <c r="G106" s="310"/>
      <c r="H106" s="310"/>
      <c r="I106" s="310"/>
      <c r="J106" s="310"/>
      <c r="K106" s="310"/>
      <c r="L106"/>
      <c r="M106"/>
      <c r="P106"/>
      <c r="Q106"/>
      <c r="R106" s="215">
        <f>IF(E106="地区代表者",COUNTA($D$1:$D106),0)</f>
        <v>0</v>
      </c>
      <c r="S106" s="215">
        <f t="shared" si="54"/>
        <v>0</v>
      </c>
      <c r="T106" s="316"/>
      <c r="U106" s="215">
        <f t="shared" si="55"/>
        <v>0</v>
      </c>
      <c r="V106" s="215">
        <f t="shared" si="56"/>
        <v>0</v>
      </c>
      <c r="W106" s="316"/>
      <c r="X106" s="215" t="str">
        <f t="shared" si="52"/>
        <v/>
      </c>
      <c r="Y106" s="215">
        <f>MIN($X$102:$X$106)+1</f>
        <v>1</v>
      </c>
      <c r="Z106" s="215">
        <f t="shared" si="53"/>
        <v>1</v>
      </c>
      <c r="AA106" s="215" t="str" cm="1">
        <f t="array" ref="AA106">_xlfn.IFS(Y106=4,"A",Y106=3,"B",Y106=2,"C",Y106=1,"D")</f>
        <v>D</v>
      </c>
      <c r="AB106" s="215"/>
    </row>
    <row r="107" spans="1:28" ht="96" customHeight="1">
      <c r="C107" s="78"/>
      <c r="D107" s="79"/>
      <c r="E107" s="72" t="s">
        <v>236</v>
      </c>
      <c r="F107" s="1452"/>
      <c r="G107" s="1452"/>
      <c r="H107" s="1452"/>
      <c r="I107" s="1452"/>
      <c r="J107" s="1452"/>
      <c r="K107" s="1452"/>
      <c r="L107" s="80" t="s">
        <v>132</v>
      </c>
      <c r="M107" s="290"/>
    </row>
    <row r="108" spans="1:28" ht="96" customHeight="1">
      <c r="C108" s="75"/>
      <c r="D108" s="68"/>
      <c r="E108" s="72" t="s">
        <v>237</v>
      </c>
      <c r="F108" s="1452"/>
      <c r="G108" s="1452"/>
      <c r="H108" s="1452"/>
      <c r="I108" s="1452"/>
      <c r="J108" s="1452"/>
      <c r="K108" s="1452"/>
    </row>
    <row r="109" spans="1:28" ht="18.5" thickBot="1">
      <c r="A109" s="81"/>
      <c r="B109" s="81"/>
      <c r="C109" s="81"/>
      <c r="D109" s="81"/>
      <c r="E109" s="311"/>
      <c r="F109" s="81"/>
      <c r="G109" s="81"/>
      <c r="H109" s="81"/>
      <c r="I109" s="81"/>
      <c r="J109" s="81"/>
      <c r="K109" s="81"/>
      <c r="L109" s="81"/>
      <c r="M109" s="82"/>
    </row>
    <row r="111" spans="1:28" ht="9" customHeight="1">
      <c r="B111" s="10"/>
      <c r="C111" s="5"/>
      <c r="D111" s="5"/>
      <c r="E111" s="305"/>
      <c r="F111" s="5"/>
      <c r="G111" s="5"/>
      <c r="H111" s="5"/>
      <c r="I111" s="5"/>
      <c r="J111" s="5"/>
      <c r="K111" s="5"/>
      <c r="L111" s="6"/>
      <c r="M111"/>
      <c r="N111"/>
      <c r="O111"/>
      <c r="R111" t="str">
        <f>D112</f>
        <v>(選択してください)</v>
      </c>
    </row>
    <row r="112" spans="1:28">
      <c r="B112" s="7"/>
      <c r="C112" s="77" t="str">
        <f ca="1">IFERROR(OFFSET('4.2民生電力需要量'!$C$1,MATCH(D112,'4.2民生電力需要量'!$E:$E,0)-1,0),"")</f>
        <v/>
      </c>
      <c r="D112" s="94" t="s">
        <v>130</v>
      </c>
      <c r="E112" s="72" t="s">
        <v>131</v>
      </c>
      <c r="F112" s="1446" t="str">
        <f ca="1">IFERROR(OFFSET('4.2民生電力需要量'!$G$1,MATCH($D112,'4.2民生電力需要量'!$E:$E,0)-1,0),"")</f>
        <v/>
      </c>
      <c r="G112" s="1446"/>
      <c r="H112" s="1446"/>
      <c r="I112" s="1446"/>
      <c r="J112" s="1446"/>
      <c r="K112" s="1446"/>
      <c r="L112" s="8"/>
      <c r="M112"/>
      <c r="N112"/>
      <c r="O112"/>
      <c r="R112" s="175" t="str">
        <f ca="1">IFERROR(OFFSET('4.2民生電力需要量'!$G$1,MATCH($D112,'4.2民生電力需要量'!$E:$E,0)-1,0),"")</f>
        <v/>
      </c>
      <c r="S112" s="175"/>
      <c r="T112" s="175"/>
      <c r="U112" s="175"/>
      <c r="V112" s="175"/>
      <c r="W112" s="175"/>
      <c r="X112" s="175"/>
      <c r="Y112" s="175"/>
      <c r="Z112" s="175"/>
      <c r="AA112" s="175"/>
      <c r="AB112" s="175">
        <f ca="1">(F112=R112)*1</f>
        <v>1</v>
      </c>
    </row>
    <row r="113" spans="1:28">
      <c r="B113" s="7"/>
      <c r="C113" s="915"/>
      <c r="D113" s="97"/>
      <c r="E113" s="72" t="s">
        <v>612</v>
      </c>
      <c r="F113" s="1447" t="str">
        <f ca="1">IFERROR(OFFSET('4.2民生電力需要量'!$L$1,MATCH($D112,'4.2民生電力需要量'!$E:$E,0)-1,0),"")</f>
        <v/>
      </c>
      <c r="G113" s="1448"/>
      <c r="H113" s="1448"/>
      <c r="I113" s="1448"/>
      <c r="J113" s="1448"/>
      <c r="K113" s="1449"/>
      <c r="L113" s="8"/>
      <c r="M113"/>
      <c r="N113"/>
      <c r="O113"/>
      <c r="R113" s="175" t="str">
        <f ca="1">IFERROR(OFFSET('4.2民生電力需要量'!$L$1,MATCH($D112,'4.2民生電力需要量'!$E:$E,0)-1,0),"")</f>
        <v/>
      </c>
      <c r="S113" s="175"/>
      <c r="T113" s="175"/>
      <c r="U113" s="175"/>
      <c r="V113" s="175"/>
      <c r="W113" s="175"/>
      <c r="X113" s="175"/>
      <c r="Y113" s="175"/>
      <c r="Z113" s="175"/>
      <c r="AA113" s="175"/>
      <c r="AB113" s="175">
        <f ca="1">(F113=R113)*1</f>
        <v>1</v>
      </c>
    </row>
    <row r="114" spans="1:28">
      <c r="B114" s="7"/>
      <c r="C114" s="74"/>
      <c r="D114" s="66"/>
      <c r="E114" s="72" t="s">
        <v>220</v>
      </c>
      <c r="F114" s="1450" t="str">
        <f ca="1">IFERROR(OFFSET('4.2民生電力需要量'!$I$1,MATCH($D112,'4.2民生電力需要量'!$E:$E,0)-1,0),"")</f>
        <v/>
      </c>
      <c r="G114" s="1450"/>
      <c r="H114" s="1450"/>
      <c r="I114" s="1450"/>
      <c r="J114" s="1450"/>
      <c r="K114" s="1450"/>
      <c r="L114" s="8"/>
      <c r="M114"/>
      <c r="N114"/>
      <c r="O114"/>
      <c r="R114" s="175" t="str">
        <f ca="1">IFERROR(OFFSET('4.2民生電力需要量'!$I$1,MATCH($D112,'4.2民生電力需要量'!$E:$E,0)-1,0),"")</f>
        <v/>
      </c>
      <c r="S114" s="175"/>
      <c r="T114" s="175"/>
      <c r="U114" s="175"/>
      <c r="V114" s="175"/>
      <c r="W114" s="175"/>
      <c r="X114" s="175"/>
      <c r="Y114" s="175"/>
      <c r="Z114" s="175"/>
      <c r="AA114" s="175"/>
      <c r="AB114" s="175">
        <f t="shared" ref="AB114:AB115" ca="1" si="57">(F114=R114)*1</f>
        <v>1</v>
      </c>
    </row>
    <row r="115" spans="1:28">
      <c r="B115" s="7"/>
      <c r="C115" s="74"/>
      <c r="D115" s="66"/>
      <c r="E115" s="72" t="s">
        <v>175</v>
      </c>
      <c r="F115" s="1451" t="str">
        <f>_xlfn.IFNA(R115,"")</f>
        <v/>
      </c>
      <c r="G115" s="1451"/>
      <c r="H115" s="1451"/>
      <c r="I115" s="1451"/>
      <c r="J115" s="1451"/>
      <c r="K115" s="1451"/>
      <c r="L115" s="8"/>
      <c r="M115"/>
      <c r="N115"/>
      <c r="O115"/>
      <c r="R115" s="215" t="str">
        <f>IF(PRODUCT($Z117:$Z121)=1,AA117,"")</f>
        <v/>
      </c>
      <c r="S115" s="175"/>
      <c r="T115" s="175"/>
      <c r="U115" s="175"/>
      <c r="V115" s="175"/>
      <c r="W115" s="175"/>
      <c r="X115" s="175"/>
      <c r="Y115" s="175"/>
      <c r="Z115" s="175"/>
      <c r="AA115" s="175"/>
      <c r="AB115" s="175">
        <f t="shared" si="57"/>
        <v>1</v>
      </c>
    </row>
    <row r="116" spans="1:28" s="2" customFormat="1" ht="60">
      <c r="A116"/>
      <c r="B116" s="7"/>
      <c r="C116" s="74"/>
      <c r="D116" s="66"/>
      <c r="E116" s="306"/>
      <c r="F116" s="312" t="s">
        <v>299</v>
      </c>
      <c r="G116" s="313" t="s">
        <v>300</v>
      </c>
      <c r="H116" s="313" t="s">
        <v>301</v>
      </c>
      <c r="I116" s="313" t="s">
        <v>302</v>
      </c>
      <c r="J116" s="313" t="s">
        <v>429</v>
      </c>
      <c r="K116" s="313" t="s">
        <v>270</v>
      </c>
      <c r="L116" s="8"/>
      <c r="M116"/>
      <c r="P116"/>
      <c r="Q116"/>
      <c r="R116" s="294" t="s">
        <v>298</v>
      </c>
      <c r="S116" s="294" t="s">
        <v>299</v>
      </c>
      <c r="T116" s="314" t="s">
        <v>423</v>
      </c>
      <c r="U116" s="294" t="s">
        <v>424</v>
      </c>
      <c r="V116" s="294" t="s">
        <v>422</v>
      </c>
      <c r="W116" s="315" t="s">
        <v>270</v>
      </c>
      <c r="X116" s="294" t="s">
        <v>426</v>
      </c>
      <c r="Y116" s="215" t="s">
        <v>402</v>
      </c>
      <c r="Z116" s="215" t="s">
        <v>430</v>
      </c>
      <c r="AA116" s="294" t="s">
        <v>425</v>
      </c>
      <c r="AB116" s="294"/>
    </row>
    <row r="117" spans="1:28" s="99" customFormat="1" ht="18.75" hidden="1" customHeight="1">
      <c r="A117" s="11"/>
      <c r="B117" s="95"/>
      <c r="C117" s="96"/>
      <c r="D117" s="97"/>
      <c r="E117" s="438"/>
      <c r="F117" s="439"/>
      <c r="G117" s="439"/>
      <c r="H117" s="439"/>
      <c r="I117" s="439"/>
      <c r="J117" s="439"/>
      <c r="K117" s="439"/>
      <c r="L117" s="98"/>
      <c r="M117" s="11"/>
      <c r="Q117" s="11"/>
      <c r="R117" s="129">
        <f>IF(E117="地区代表者",COUNTA($D$1:$D117),0)</f>
        <v>0</v>
      </c>
      <c r="S117" s="129">
        <f t="shared" ref="S117:S118" si="58">IF(F117="実施済",1,0)</f>
        <v>0</v>
      </c>
      <c r="T117" s="258"/>
      <c r="U117" s="129">
        <f t="shared" ref="U117:U118" si="59">IF(AND(H117="実施済",I117="実施済"),S117*1,0)</f>
        <v>0</v>
      </c>
      <c r="V117" s="129">
        <f>IF(J117="実施済",$U117*1,0)</f>
        <v>0</v>
      </c>
      <c r="W117" s="258"/>
      <c r="X117" s="129" t="str">
        <f>IF(E117="","",IF(R117*S117&gt;0,3,SUM(S117,U117,V117)))</f>
        <v/>
      </c>
      <c r="Y117" s="129">
        <f>MIN($X$117:$X$121)+1</f>
        <v>1</v>
      </c>
      <c r="Z117" s="129">
        <f>IF(E117="",1,IF(R117&gt;0,IF(COUNTA($F117:$K117)=2,1,0),IF(COUNTA($F117:$K117)=6,1,0)))</f>
        <v>1</v>
      </c>
      <c r="AA117" s="129" t="str" cm="1">
        <f t="array" ref="AA117">_xlfn.IFS(Y117=4,"A",Y117=3,"B",Y117=2,"C",Y117=1,"D")</f>
        <v>D</v>
      </c>
      <c r="AB117" s="129" t="str" cm="1">
        <f t="array" ref="AB117">_xlfn.IFS(Z117=4,"A",Z117=3,"B",Z117=2,"C",Z117=1,"D")</f>
        <v>D</v>
      </c>
    </row>
    <row r="118" spans="1:28" s="99" customFormat="1" ht="18.75" customHeight="1">
      <c r="A118" s="11"/>
      <c r="B118" s="95"/>
      <c r="C118" s="96"/>
      <c r="D118" s="97"/>
      <c r="E118" s="440" t="s">
        <v>298</v>
      </c>
      <c r="F118" s="441"/>
      <c r="G118" s="839"/>
      <c r="H118" s="839"/>
      <c r="I118" s="839"/>
      <c r="J118" s="839"/>
      <c r="K118" s="441"/>
      <c r="L118" s="98"/>
      <c r="M118" s="11"/>
      <c r="Q118" s="11"/>
      <c r="R118" s="129">
        <f>IF(E118="地区代表者",COUNTA($D$1:$D118),0)</f>
        <v>8</v>
      </c>
      <c r="S118" s="129">
        <f t="shared" si="58"/>
        <v>0</v>
      </c>
      <c r="T118" s="258"/>
      <c r="U118" s="129">
        <f t="shared" si="59"/>
        <v>0</v>
      </c>
      <c r="V118" s="129">
        <f>IF(J118="実施済",$U118*1,0)</f>
        <v>0</v>
      </c>
      <c r="W118" s="258"/>
      <c r="X118" s="129">
        <f t="shared" ref="X118:X121" si="60">IF(E118="","",IF(R118*S118&gt;0,3,SUM(S118,U118,V118)))</f>
        <v>0</v>
      </c>
      <c r="Y118" s="129">
        <f>MIN($X$117:$X$121)+1</f>
        <v>1</v>
      </c>
      <c r="Z118" s="129">
        <f t="shared" ref="Z118:Z121" si="61">IF(E118="",1,IF(R118&gt;0,IF(COUNTA($F118:$K118)=2,1,0),IF(COUNTA($F118:$K118)=6,1,0)))</f>
        <v>0</v>
      </c>
      <c r="AA118" s="129" t="str" cm="1">
        <f t="array" ref="AA118">_xlfn.IFS(Y118=4,"A",Y118=3,"B",Y118=2,"C",Y118=1,"D")</f>
        <v>D</v>
      </c>
      <c r="AB118" s="129"/>
    </row>
    <row r="119" spans="1:28" s="99" customFormat="1" ht="18.75" customHeight="1">
      <c r="A119" s="11"/>
      <c r="B119" s="95"/>
      <c r="C119" s="96"/>
      <c r="D119" s="97"/>
      <c r="E119" s="440" t="s">
        <v>116</v>
      </c>
      <c r="F119" s="441"/>
      <c r="G119" s="441"/>
      <c r="H119" s="441"/>
      <c r="I119" s="441"/>
      <c r="J119" s="441"/>
      <c r="K119" s="441"/>
      <c r="L119" s="98"/>
      <c r="M119" s="11"/>
      <c r="P119" s="11"/>
      <c r="Q119" s="11"/>
      <c r="R119" s="129">
        <f>IF(E119="地区代表者",COUNTA($D$1:$D119),0)</f>
        <v>0</v>
      </c>
      <c r="S119" s="129">
        <f>IF(F119="実施済",1,0)</f>
        <v>0</v>
      </c>
      <c r="T119" s="258"/>
      <c r="U119" s="129">
        <f>IF(AND(H119="実施済",I119="実施済"),S119*1,0)</f>
        <v>0</v>
      </c>
      <c r="V119" s="129">
        <f>IF(J119="実施済",$U119*1,0)</f>
        <v>0</v>
      </c>
      <c r="W119" s="258"/>
      <c r="X119" s="129">
        <f t="shared" si="60"/>
        <v>0</v>
      </c>
      <c r="Y119" s="129">
        <f>MIN($X$117:$X$121)+1</f>
        <v>1</v>
      </c>
      <c r="Z119" s="129">
        <f t="shared" si="61"/>
        <v>0</v>
      </c>
      <c r="AA119" s="129" t="str" cm="1">
        <f t="array" ref="AA119">_xlfn.IFS(Y119=4,"A",Y119=3,"B",Y119=2,"C",Y119=1,"D")</f>
        <v>D</v>
      </c>
      <c r="AB119" s="129"/>
    </row>
    <row r="120" spans="1:28" s="2" customFormat="1" ht="9" customHeight="1">
      <c r="A120"/>
      <c r="B120" s="65"/>
      <c r="C120" s="4"/>
      <c r="D120" s="307"/>
      <c r="E120" s="308"/>
      <c r="F120" s="308"/>
      <c r="G120" s="308"/>
      <c r="H120" s="308"/>
      <c r="I120" s="308"/>
      <c r="J120" s="308"/>
      <c r="K120" s="308"/>
      <c r="L120" s="9"/>
      <c r="M120"/>
      <c r="P120"/>
      <c r="Q120"/>
      <c r="R120" s="215">
        <f>IF(E120="地区代表者",COUNTA($D$1:$D120),0)</f>
        <v>0</v>
      </c>
      <c r="S120" s="215">
        <f t="shared" ref="S120:S121" si="62">IF(F120="実施済",1,0)</f>
        <v>0</v>
      </c>
      <c r="T120" s="316"/>
      <c r="U120" s="215">
        <f t="shared" ref="U120:U121" si="63">IF(AND(H120="実施済",I120="実施済"),S120*1,0)</f>
        <v>0</v>
      </c>
      <c r="V120" s="215">
        <f t="shared" ref="V120:V121" si="64">IF(J120="実施済",$U120*1,0)</f>
        <v>0</v>
      </c>
      <c r="W120" s="316"/>
      <c r="X120" s="215" t="str">
        <f t="shared" si="60"/>
        <v/>
      </c>
      <c r="Y120" s="215">
        <f>MIN($X$117:$X$121)+1</f>
        <v>1</v>
      </c>
      <c r="Z120" s="215">
        <f t="shared" si="61"/>
        <v>1</v>
      </c>
      <c r="AA120" s="215" t="str" cm="1">
        <f t="array" ref="AA120">_xlfn.IFS(Y120=4,"A",Y120=3,"B",Y120=2,"C",Y120=1,"D")</f>
        <v>D</v>
      </c>
      <c r="AB120" s="215"/>
    </row>
    <row r="121" spans="1:28" s="2" customFormat="1" ht="6" customHeight="1">
      <c r="A121"/>
      <c r="B121"/>
      <c r="C121"/>
      <c r="D121" s="309"/>
      <c r="E121" s="310"/>
      <c r="F121" s="310"/>
      <c r="G121" s="310"/>
      <c r="H121" s="310"/>
      <c r="I121" s="310"/>
      <c r="J121" s="310"/>
      <c r="K121" s="310"/>
      <c r="L121"/>
      <c r="M121"/>
      <c r="P121"/>
      <c r="Q121"/>
      <c r="R121" s="215">
        <f>IF(E121="地区代表者",COUNTA($D$1:$D121),0)</f>
        <v>0</v>
      </c>
      <c r="S121" s="215">
        <f t="shared" si="62"/>
        <v>0</v>
      </c>
      <c r="T121" s="316"/>
      <c r="U121" s="215">
        <f t="shared" si="63"/>
        <v>0</v>
      </c>
      <c r="V121" s="215">
        <f t="shared" si="64"/>
        <v>0</v>
      </c>
      <c r="W121" s="316"/>
      <c r="X121" s="215" t="str">
        <f t="shared" si="60"/>
        <v/>
      </c>
      <c r="Y121" s="215">
        <f>MIN($X$117:$X$121)+1</f>
        <v>1</v>
      </c>
      <c r="Z121" s="215">
        <f t="shared" si="61"/>
        <v>1</v>
      </c>
      <c r="AA121" s="215" t="str" cm="1">
        <f t="array" ref="AA121">_xlfn.IFS(Y121=4,"A",Y121=3,"B",Y121=2,"C",Y121=1,"D")</f>
        <v>D</v>
      </c>
      <c r="AB121" s="215"/>
    </row>
    <row r="122" spans="1:28" ht="96" customHeight="1">
      <c r="C122" s="78"/>
      <c r="D122" s="79"/>
      <c r="E122" s="72" t="s">
        <v>236</v>
      </c>
      <c r="F122" s="1452"/>
      <c r="G122" s="1452"/>
      <c r="H122" s="1452"/>
      <c r="I122" s="1452"/>
      <c r="J122" s="1452"/>
      <c r="K122" s="1452"/>
      <c r="L122" s="80" t="s">
        <v>132</v>
      </c>
      <c r="M122" s="290"/>
    </row>
    <row r="123" spans="1:28" ht="96" customHeight="1">
      <c r="C123" s="75"/>
      <c r="D123" s="68"/>
      <c r="E123" s="72" t="s">
        <v>237</v>
      </c>
      <c r="F123" s="1452"/>
      <c r="G123" s="1452"/>
      <c r="H123" s="1452"/>
      <c r="I123" s="1452"/>
      <c r="J123" s="1452"/>
      <c r="K123" s="1452"/>
    </row>
    <row r="124" spans="1:28" ht="18.5" thickBot="1">
      <c r="A124" s="81"/>
      <c r="B124" s="81"/>
      <c r="C124" s="81"/>
      <c r="D124" s="81"/>
      <c r="E124" s="311"/>
      <c r="F124" s="81"/>
      <c r="G124" s="81"/>
      <c r="H124" s="81"/>
      <c r="I124" s="81"/>
      <c r="J124" s="81"/>
      <c r="K124" s="81"/>
      <c r="L124" s="81"/>
      <c r="M124" s="82"/>
    </row>
    <row r="126" spans="1:28" ht="9" customHeight="1">
      <c r="B126" s="10"/>
      <c r="C126" s="5"/>
      <c r="D126" s="5"/>
      <c r="E126" s="305"/>
      <c r="F126" s="5"/>
      <c r="G126" s="5"/>
      <c r="H126" s="5"/>
      <c r="I126" s="5"/>
      <c r="J126" s="5"/>
      <c r="K126" s="5"/>
      <c r="L126" s="6"/>
      <c r="M126"/>
      <c r="N126"/>
      <c r="O126"/>
      <c r="R126" t="str">
        <f>D127</f>
        <v>(選択してください)</v>
      </c>
    </row>
    <row r="127" spans="1:28">
      <c r="B127" s="7"/>
      <c r="C127" s="77" t="str">
        <f ca="1">IFERROR(OFFSET('4.2民生電力需要量'!$C$1,MATCH(D127,'4.2民生電力需要量'!$E:$E,0)-1,0),"")</f>
        <v/>
      </c>
      <c r="D127" s="94" t="s">
        <v>130</v>
      </c>
      <c r="E127" s="72" t="s">
        <v>131</v>
      </c>
      <c r="F127" s="1446" t="str">
        <f ca="1">IFERROR(OFFSET('4.2民生電力需要量'!$G$1,MATCH($D127,'4.2民生電力需要量'!$E:$E,0)-1,0),"")</f>
        <v/>
      </c>
      <c r="G127" s="1446"/>
      <c r="H127" s="1446"/>
      <c r="I127" s="1446"/>
      <c r="J127" s="1446"/>
      <c r="K127" s="1446"/>
      <c r="L127" s="8"/>
      <c r="M127"/>
      <c r="N127"/>
      <c r="O127"/>
      <c r="R127" s="175" t="str">
        <f ca="1">IFERROR(OFFSET('4.2民生電力需要量'!$G$1,MATCH($D127,'4.2民生電力需要量'!$E:$E,0)-1,0),"")</f>
        <v/>
      </c>
      <c r="S127" s="175"/>
      <c r="T127" s="175"/>
      <c r="U127" s="175"/>
      <c r="V127" s="175"/>
      <c r="W127" s="175"/>
      <c r="X127" s="175"/>
      <c r="Y127" s="175"/>
      <c r="Z127" s="175"/>
      <c r="AA127" s="175"/>
      <c r="AB127" s="175">
        <f ca="1">(F127=R127)*1</f>
        <v>1</v>
      </c>
    </row>
    <row r="128" spans="1:28">
      <c r="B128" s="7"/>
      <c r="C128" s="915"/>
      <c r="D128" s="97"/>
      <c r="E128" s="72" t="s">
        <v>612</v>
      </c>
      <c r="F128" s="1447" t="str">
        <f ca="1">IFERROR(OFFSET('4.2民生電力需要量'!$L$1,MATCH($D127,'4.2民生電力需要量'!$E:$E,0)-1,0),"")</f>
        <v/>
      </c>
      <c r="G128" s="1448"/>
      <c r="H128" s="1448"/>
      <c r="I128" s="1448"/>
      <c r="J128" s="1448"/>
      <c r="K128" s="1449"/>
      <c r="L128" s="8"/>
      <c r="M128"/>
      <c r="N128"/>
      <c r="O128"/>
      <c r="R128" s="175" t="str">
        <f ca="1">IFERROR(OFFSET('4.2民生電力需要量'!$L$1,MATCH($D127,'4.2民生電力需要量'!$E:$E,0)-1,0),"")</f>
        <v/>
      </c>
      <c r="S128" s="175"/>
      <c r="T128" s="175"/>
      <c r="U128" s="175"/>
      <c r="V128" s="175"/>
      <c r="W128" s="175"/>
      <c r="X128" s="175"/>
      <c r="Y128" s="175"/>
      <c r="Z128" s="175"/>
      <c r="AA128" s="175"/>
      <c r="AB128" s="175">
        <f ca="1">(F128=R128)*1</f>
        <v>1</v>
      </c>
    </row>
    <row r="129" spans="1:28">
      <c r="B129" s="7"/>
      <c r="C129" s="74"/>
      <c r="D129" s="66"/>
      <c r="E129" s="72" t="s">
        <v>220</v>
      </c>
      <c r="F129" s="1450" t="str">
        <f ca="1">IFERROR(OFFSET('4.2民生電力需要量'!$I$1,MATCH($D127,'4.2民生電力需要量'!$E:$E,0)-1,0),"")</f>
        <v/>
      </c>
      <c r="G129" s="1450"/>
      <c r="H129" s="1450"/>
      <c r="I129" s="1450"/>
      <c r="J129" s="1450"/>
      <c r="K129" s="1450"/>
      <c r="L129" s="8"/>
      <c r="M129"/>
      <c r="N129"/>
      <c r="O129"/>
      <c r="R129" s="175" t="str">
        <f ca="1">IFERROR(OFFSET('4.2民生電力需要量'!$I$1,MATCH($D127,'4.2民生電力需要量'!$E:$E,0)-1,0),"")</f>
        <v/>
      </c>
      <c r="S129" s="175"/>
      <c r="T129" s="175"/>
      <c r="U129" s="175"/>
      <c r="V129" s="175"/>
      <c r="W129" s="175"/>
      <c r="X129" s="175"/>
      <c r="Y129" s="175"/>
      <c r="Z129" s="175"/>
      <c r="AA129" s="175"/>
      <c r="AB129" s="175">
        <f t="shared" ref="AB129:AB130" ca="1" si="65">(F129=R129)*1</f>
        <v>1</v>
      </c>
    </row>
    <row r="130" spans="1:28">
      <c r="B130" s="7"/>
      <c r="C130" s="74"/>
      <c r="D130" s="66"/>
      <c r="E130" s="72" t="s">
        <v>175</v>
      </c>
      <c r="F130" s="1451" t="str">
        <f>_xlfn.IFNA(R130,"")</f>
        <v/>
      </c>
      <c r="G130" s="1451"/>
      <c r="H130" s="1451"/>
      <c r="I130" s="1451"/>
      <c r="J130" s="1451"/>
      <c r="K130" s="1451"/>
      <c r="L130" s="8"/>
      <c r="M130"/>
      <c r="N130"/>
      <c r="O130"/>
      <c r="R130" s="215" t="str">
        <f>IF(PRODUCT($Z132:$Z136)=1,AA132,"")</f>
        <v/>
      </c>
      <c r="S130" s="175"/>
      <c r="T130" s="175"/>
      <c r="U130" s="175"/>
      <c r="V130" s="175"/>
      <c r="W130" s="175"/>
      <c r="X130" s="175"/>
      <c r="Y130" s="175"/>
      <c r="Z130" s="175"/>
      <c r="AA130" s="175"/>
      <c r="AB130" s="175">
        <f t="shared" si="65"/>
        <v>1</v>
      </c>
    </row>
    <row r="131" spans="1:28" s="2" customFormat="1" ht="60">
      <c r="A131"/>
      <c r="B131" s="7"/>
      <c r="C131" s="74"/>
      <c r="D131" s="66"/>
      <c r="E131" s="306"/>
      <c r="F131" s="312" t="s">
        <v>299</v>
      </c>
      <c r="G131" s="313" t="s">
        <v>300</v>
      </c>
      <c r="H131" s="313" t="s">
        <v>301</v>
      </c>
      <c r="I131" s="313" t="s">
        <v>302</v>
      </c>
      <c r="J131" s="313" t="s">
        <v>429</v>
      </c>
      <c r="K131" s="313" t="s">
        <v>270</v>
      </c>
      <c r="L131" s="8"/>
      <c r="M131"/>
      <c r="P131"/>
      <c r="Q131"/>
      <c r="R131" s="294" t="s">
        <v>298</v>
      </c>
      <c r="S131" s="294" t="s">
        <v>299</v>
      </c>
      <c r="T131" s="314" t="s">
        <v>423</v>
      </c>
      <c r="U131" s="294" t="s">
        <v>424</v>
      </c>
      <c r="V131" s="294" t="s">
        <v>422</v>
      </c>
      <c r="W131" s="315" t="s">
        <v>270</v>
      </c>
      <c r="X131" s="294" t="s">
        <v>426</v>
      </c>
      <c r="Y131" s="215" t="s">
        <v>402</v>
      </c>
      <c r="Z131" s="215" t="s">
        <v>430</v>
      </c>
      <c r="AA131" s="294" t="s">
        <v>425</v>
      </c>
      <c r="AB131" s="294"/>
    </row>
    <row r="132" spans="1:28" s="99" customFormat="1" ht="18.75" hidden="1" customHeight="1">
      <c r="A132" s="11"/>
      <c r="B132" s="95"/>
      <c r="C132" s="96"/>
      <c r="D132" s="97"/>
      <c r="E132" s="438"/>
      <c r="F132" s="439"/>
      <c r="G132" s="439"/>
      <c r="H132" s="439"/>
      <c r="I132" s="439"/>
      <c r="J132" s="439"/>
      <c r="K132" s="439"/>
      <c r="L132" s="98"/>
      <c r="M132" s="11"/>
      <c r="Q132" s="11"/>
      <c r="R132" s="129">
        <f>IF(E132="地区代表者",COUNTA($D$1:$D132),0)</f>
        <v>0</v>
      </c>
      <c r="S132" s="129">
        <f t="shared" ref="S132:S133" si="66">IF(F132="実施済",1,0)</f>
        <v>0</v>
      </c>
      <c r="T132" s="258"/>
      <c r="U132" s="129">
        <f t="shared" ref="U132:U133" si="67">IF(AND(H132="実施済",I132="実施済"),S132*1,0)</f>
        <v>0</v>
      </c>
      <c r="V132" s="129">
        <f>IF(J132="実施済",$U132*1,0)</f>
        <v>0</v>
      </c>
      <c r="W132" s="258"/>
      <c r="X132" s="129" t="str">
        <f>IF(E132="","",IF(R132*S132&gt;0,3,SUM(S132,U132,V132)))</f>
        <v/>
      </c>
      <c r="Y132" s="129">
        <f>MIN($X$132:$X$136)+1</f>
        <v>1</v>
      </c>
      <c r="Z132" s="129">
        <f>IF(E132="",1,IF(R132&gt;0,IF(COUNTA($F132:$K132)=2,1,0),IF(COUNTA($F132:$K132)=6,1,0)))</f>
        <v>1</v>
      </c>
      <c r="AA132" s="129" t="str" cm="1">
        <f t="array" ref="AA132">_xlfn.IFS(Y132=4,"A",Y132=3,"B",Y132=2,"C",Y132=1,"D")</f>
        <v>D</v>
      </c>
      <c r="AB132" s="129" t="str" cm="1">
        <f t="array" ref="AB132">_xlfn.IFS(Z132=4,"A",Z132=3,"B",Z132=2,"C",Z132=1,"D")</f>
        <v>D</v>
      </c>
    </row>
    <row r="133" spans="1:28" s="99" customFormat="1" ht="18.75" customHeight="1">
      <c r="A133" s="11"/>
      <c r="B133" s="95"/>
      <c r="C133" s="96"/>
      <c r="D133" s="97"/>
      <c r="E133" s="440" t="s">
        <v>298</v>
      </c>
      <c r="F133" s="441"/>
      <c r="G133" s="839"/>
      <c r="H133" s="839"/>
      <c r="I133" s="839"/>
      <c r="J133" s="839"/>
      <c r="K133" s="441"/>
      <c r="L133" s="98"/>
      <c r="M133" s="11"/>
      <c r="Q133" s="11"/>
      <c r="R133" s="129">
        <f>IF(E133="地区代表者",COUNTA($D$1:$D133),0)</f>
        <v>9</v>
      </c>
      <c r="S133" s="129">
        <f t="shared" si="66"/>
        <v>0</v>
      </c>
      <c r="T133" s="258"/>
      <c r="U133" s="129">
        <f t="shared" si="67"/>
        <v>0</v>
      </c>
      <c r="V133" s="129">
        <f>IF(J133="実施済",$U133*1,0)</f>
        <v>0</v>
      </c>
      <c r="W133" s="258"/>
      <c r="X133" s="129">
        <f t="shared" ref="X133:X136" si="68">IF(E133="","",IF(R133*S133&gt;0,3,SUM(S133,U133,V133)))</f>
        <v>0</v>
      </c>
      <c r="Y133" s="129">
        <f>MIN($X$132:$X$136)+1</f>
        <v>1</v>
      </c>
      <c r="Z133" s="129">
        <f t="shared" ref="Z133:Z136" si="69">IF(E133="",1,IF(R133&gt;0,IF(COUNTA($F133:$K133)=2,1,0),IF(COUNTA($F133:$K133)=6,1,0)))</f>
        <v>0</v>
      </c>
      <c r="AA133" s="129" t="str" cm="1">
        <f t="array" ref="AA133">_xlfn.IFS(Y133=4,"A",Y133=3,"B",Y133=2,"C",Y133=1,"D")</f>
        <v>D</v>
      </c>
      <c r="AB133" s="129"/>
    </row>
    <row r="134" spans="1:28" s="99" customFormat="1" ht="18.75" customHeight="1">
      <c r="A134" s="11"/>
      <c r="B134" s="95"/>
      <c r="C134" s="96"/>
      <c r="D134" s="97"/>
      <c r="E134" s="440" t="s">
        <v>116</v>
      </c>
      <c r="F134" s="441"/>
      <c r="G134" s="441"/>
      <c r="H134" s="441"/>
      <c r="I134" s="441"/>
      <c r="J134" s="441"/>
      <c r="K134" s="441"/>
      <c r="L134" s="98"/>
      <c r="M134" s="11"/>
      <c r="P134" s="11"/>
      <c r="Q134" s="11"/>
      <c r="R134" s="129">
        <f>IF(E134="地区代表者",COUNTA($D$1:$D134),0)</f>
        <v>0</v>
      </c>
      <c r="S134" s="129">
        <f>IF(F134="実施済",1,0)</f>
        <v>0</v>
      </c>
      <c r="T134" s="258"/>
      <c r="U134" s="129">
        <f>IF(AND(H134="実施済",I134="実施済"),S134*1,0)</f>
        <v>0</v>
      </c>
      <c r="V134" s="129">
        <f>IF(J134="実施済",$U134*1,0)</f>
        <v>0</v>
      </c>
      <c r="W134" s="258"/>
      <c r="X134" s="129">
        <f t="shared" si="68"/>
        <v>0</v>
      </c>
      <c r="Y134" s="129">
        <f>MIN($X$132:$X$136)+1</f>
        <v>1</v>
      </c>
      <c r="Z134" s="129">
        <f t="shared" si="69"/>
        <v>0</v>
      </c>
      <c r="AA134" s="129" t="str" cm="1">
        <f t="array" ref="AA134">_xlfn.IFS(Y134=4,"A",Y134=3,"B",Y134=2,"C",Y134=1,"D")</f>
        <v>D</v>
      </c>
      <c r="AB134" s="129"/>
    </row>
    <row r="135" spans="1:28" s="2" customFormat="1" ht="9" customHeight="1">
      <c r="A135"/>
      <c r="B135" s="65"/>
      <c r="C135" s="4"/>
      <c r="D135" s="307"/>
      <c r="E135" s="308"/>
      <c r="F135" s="308"/>
      <c r="G135" s="308"/>
      <c r="H135" s="308"/>
      <c r="I135" s="308"/>
      <c r="J135" s="308"/>
      <c r="K135" s="308"/>
      <c r="L135" s="9"/>
      <c r="M135"/>
      <c r="P135"/>
      <c r="Q135"/>
      <c r="R135" s="215">
        <f>IF(E135="地区代表者",COUNTA($D$1:$D135),0)</f>
        <v>0</v>
      </c>
      <c r="S135" s="215">
        <f t="shared" ref="S135:S136" si="70">IF(F135="実施済",1,0)</f>
        <v>0</v>
      </c>
      <c r="T135" s="316"/>
      <c r="U135" s="215">
        <f t="shared" ref="U135:U136" si="71">IF(AND(H135="実施済",I135="実施済"),S135*1,0)</f>
        <v>0</v>
      </c>
      <c r="V135" s="215">
        <f t="shared" ref="V135:V136" si="72">IF(J135="実施済",$U135*1,0)</f>
        <v>0</v>
      </c>
      <c r="W135" s="316"/>
      <c r="X135" s="215" t="str">
        <f t="shared" si="68"/>
        <v/>
      </c>
      <c r="Y135" s="215">
        <f>MIN($X$132:$X$136)+1</f>
        <v>1</v>
      </c>
      <c r="Z135" s="215">
        <f t="shared" si="69"/>
        <v>1</v>
      </c>
      <c r="AA135" s="215" t="str" cm="1">
        <f t="array" ref="AA135">_xlfn.IFS(Y135=4,"A",Y135=3,"B",Y135=2,"C",Y135=1,"D")</f>
        <v>D</v>
      </c>
      <c r="AB135" s="215"/>
    </row>
    <row r="136" spans="1:28" s="2" customFormat="1" ht="6" customHeight="1">
      <c r="A136"/>
      <c r="B136"/>
      <c r="C136"/>
      <c r="D136" s="309"/>
      <c r="E136" s="310"/>
      <c r="F136" s="310"/>
      <c r="G136" s="310"/>
      <c r="H136" s="310"/>
      <c r="I136" s="310"/>
      <c r="J136" s="310"/>
      <c r="K136" s="310"/>
      <c r="L136"/>
      <c r="M136"/>
      <c r="P136"/>
      <c r="Q136"/>
      <c r="R136" s="215">
        <f>IF(E136="地区代表者",COUNTA($D$1:$D136),0)</f>
        <v>0</v>
      </c>
      <c r="S136" s="215">
        <f t="shared" si="70"/>
        <v>0</v>
      </c>
      <c r="T136" s="316"/>
      <c r="U136" s="215">
        <f t="shared" si="71"/>
        <v>0</v>
      </c>
      <c r="V136" s="215">
        <f t="shared" si="72"/>
        <v>0</v>
      </c>
      <c r="W136" s="316"/>
      <c r="X136" s="215" t="str">
        <f t="shared" si="68"/>
        <v/>
      </c>
      <c r="Y136" s="215">
        <f>MIN($X$132:$X$136)+1</f>
        <v>1</v>
      </c>
      <c r="Z136" s="215">
        <f t="shared" si="69"/>
        <v>1</v>
      </c>
      <c r="AA136" s="215" t="str" cm="1">
        <f t="array" ref="AA136">_xlfn.IFS(Y136=4,"A",Y136=3,"B",Y136=2,"C",Y136=1,"D")</f>
        <v>D</v>
      </c>
      <c r="AB136" s="215"/>
    </row>
    <row r="137" spans="1:28" ht="96" customHeight="1">
      <c r="C137" s="78"/>
      <c r="D137" s="79"/>
      <c r="E137" s="72" t="s">
        <v>236</v>
      </c>
      <c r="F137" s="1452"/>
      <c r="G137" s="1452"/>
      <c r="H137" s="1452"/>
      <c r="I137" s="1452"/>
      <c r="J137" s="1452"/>
      <c r="K137" s="1452"/>
      <c r="L137" s="80" t="s">
        <v>132</v>
      </c>
      <c r="M137" s="290"/>
    </row>
    <row r="138" spans="1:28" ht="96" customHeight="1">
      <c r="C138" s="75"/>
      <c r="D138" s="68"/>
      <c r="E138" s="72" t="s">
        <v>237</v>
      </c>
      <c r="F138" s="1452"/>
      <c r="G138" s="1452"/>
      <c r="H138" s="1452"/>
      <c r="I138" s="1452"/>
      <c r="J138" s="1452"/>
      <c r="K138" s="1452"/>
    </row>
    <row r="139" spans="1:28" ht="18.5" thickBot="1">
      <c r="A139" s="81"/>
      <c r="B139" s="81"/>
      <c r="C139" s="81"/>
      <c r="D139" s="81"/>
      <c r="E139" s="311"/>
      <c r="F139" s="81"/>
      <c r="G139" s="81"/>
      <c r="H139" s="81"/>
      <c r="I139" s="81"/>
      <c r="J139" s="81"/>
      <c r="K139" s="81"/>
      <c r="L139" s="81"/>
      <c r="M139" s="82"/>
    </row>
    <row r="141" spans="1:28" ht="9" customHeight="1">
      <c r="B141" s="10"/>
      <c r="C141" s="5"/>
      <c r="D141" s="5"/>
      <c r="E141" s="305"/>
      <c r="F141" s="5"/>
      <c r="G141" s="5"/>
      <c r="H141" s="5"/>
      <c r="I141" s="5"/>
      <c r="J141" s="5"/>
      <c r="K141" s="5"/>
      <c r="L141" s="6"/>
      <c r="M141"/>
      <c r="N141"/>
      <c r="O141"/>
      <c r="R141" t="str">
        <f>D142</f>
        <v>(選択してください)</v>
      </c>
    </row>
    <row r="142" spans="1:28">
      <c r="B142" s="7"/>
      <c r="C142" s="77" t="str">
        <f ca="1">IFERROR(OFFSET('4.2民生電力需要量'!$C$1,MATCH(D142,'4.2民生電力需要量'!$E:$E,0)-1,0),"")</f>
        <v/>
      </c>
      <c r="D142" s="94" t="s">
        <v>130</v>
      </c>
      <c r="E142" s="72" t="s">
        <v>131</v>
      </c>
      <c r="F142" s="1446" t="str">
        <f ca="1">IFERROR(OFFSET('4.2民生電力需要量'!$G$1,MATCH($D142,'4.2民生電力需要量'!$E:$E,0)-1,0),"")</f>
        <v/>
      </c>
      <c r="G142" s="1446"/>
      <c r="H142" s="1446"/>
      <c r="I142" s="1446"/>
      <c r="J142" s="1446"/>
      <c r="K142" s="1446"/>
      <c r="L142" s="8"/>
      <c r="M142"/>
      <c r="N142"/>
      <c r="O142"/>
      <c r="R142" s="175" t="str">
        <f ca="1">IFERROR(OFFSET('4.2民生電力需要量'!$G$1,MATCH($D142,'4.2民生電力需要量'!$E:$E,0)-1,0),"")</f>
        <v/>
      </c>
      <c r="S142" s="175"/>
      <c r="T142" s="175"/>
      <c r="U142" s="175"/>
      <c r="V142" s="175"/>
      <c r="W142" s="175"/>
      <c r="X142" s="175"/>
      <c r="Y142" s="175"/>
      <c r="Z142" s="175"/>
      <c r="AA142" s="175"/>
      <c r="AB142" s="175">
        <f ca="1">(F142=R142)*1</f>
        <v>1</v>
      </c>
    </row>
    <row r="143" spans="1:28">
      <c r="B143" s="7"/>
      <c r="C143" s="915"/>
      <c r="D143" s="97"/>
      <c r="E143" s="72" t="s">
        <v>612</v>
      </c>
      <c r="F143" s="1447" t="str">
        <f ca="1">IFERROR(OFFSET('4.2民生電力需要量'!$L$1,MATCH($D142,'4.2民生電力需要量'!$E:$E,0)-1,0),"")</f>
        <v/>
      </c>
      <c r="G143" s="1448"/>
      <c r="H143" s="1448"/>
      <c r="I143" s="1448"/>
      <c r="J143" s="1448"/>
      <c r="K143" s="1449"/>
      <c r="L143" s="8"/>
      <c r="M143"/>
      <c r="N143"/>
      <c r="O143"/>
      <c r="R143" s="175" t="str">
        <f ca="1">IFERROR(OFFSET('4.2民生電力需要量'!$L$1,MATCH($D142,'4.2民生電力需要量'!$E:$E,0)-1,0),"")</f>
        <v/>
      </c>
      <c r="S143" s="175"/>
      <c r="T143" s="175"/>
      <c r="U143" s="175"/>
      <c r="V143" s="175"/>
      <c r="W143" s="175"/>
      <c r="X143" s="175"/>
      <c r="Y143" s="175"/>
      <c r="Z143" s="175"/>
      <c r="AA143" s="175"/>
      <c r="AB143" s="175">
        <f ca="1">(F143=R143)*1</f>
        <v>1</v>
      </c>
    </row>
    <row r="144" spans="1:28">
      <c r="B144" s="7"/>
      <c r="C144" s="74"/>
      <c r="D144" s="66"/>
      <c r="E144" s="72" t="s">
        <v>220</v>
      </c>
      <c r="F144" s="1450" t="str">
        <f ca="1">IFERROR(OFFSET('4.2民生電力需要量'!$I$1,MATCH($D142,'4.2民生電力需要量'!$E:$E,0)-1,0),"")</f>
        <v/>
      </c>
      <c r="G144" s="1450"/>
      <c r="H144" s="1450"/>
      <c r="I144" s="1450"/>
      <c r="J144" s="1450"/>
      <c r="K144" s="1450"/>
      <c r="L144" s="8"/>
      <c r="M144"/>
      <c r="N144"/>
      <c r="O144"/>
      <c r="R144" s="175" t="str">
        <f ca="1">IFERROR(OFFSET('4.2民生電力需要量'!$I$1,MATCH($D142,'4.2民生電力需要量'!$E:$E,0)-1,0),"")</f>
        <v/>
      </c>
      <c r="S144" s="175"/>
      <c r="T144" s="175"/>
      <c r="U144" s="175"/>
      <c r="V144" s="175"/>
      <c r="W144" s="175"/>
      <c r="X144" s="175"/>
      <c r="Y144" s="175"/>
      <c r="Z144" s="175"/>
      <c r="AA144" s="175"/>
      <c r="AB144" s="175">
        <f t="shared" ref="AB144:AB145" ca="1" si="73">(F144=R144)*1</f>
        <v>1</v>
      </c>
    </row>
    <row r="145" spans="1:28">
      <c r="B145" s="7"/>
      <c r="C145" s="74"/>
      <c r="D145" s="66"/>
      <c r="E145" s="72" t="s">
        <v>175</v>
      </c>
      <c r="F145" s="1451" t="str">
        <f>_xlfn.IFNA(R145,"")</f>
        <v/>
      </c>
      <c r="G145" s="1451"/>
      <c r="H145" s="1451"/>
      <c r="I145" s="1451"/>
      <c r="J145" s="1451"/>
      <c r="K145" s="1451"/>
      <c r="L145" s="8"/>
      <c r="M145"/>
      <c r="N145"/>
      <c r="O145"/>
      <c r="R145" s="215" t="str">
        <f>IF(PRODUCT($Z147:$Z151)=1,AA147,"")</f>
        <v/>
      </c>
      <c r="S145" s="175"/>
      <c r="T145" s="175"/>
      <c r="U145" s="175"/>
      <c r="V145" s="175"/>
      <c r="W145" s="175"/>
      <c r="X145" s="175"/>
      <c r="Y145" s="175"/>
      <c r="Z145" s="175"/>
      <c r="AA145" s="175"/>
      <c r="AB145" s="175">
        <f t="shared" si="73"/>
        <v>1</v>
      </c>
    </row>
    <row r="146" spans="1:28" s="2" customFormat="1" ht="60">
      <c r="A146"/>
      <c r="B146" s="7"/>
      <c r="C146" s="74"/>
      <c r="D146" s="66"/>
      <c r="E146" s="306"/>
      <c r="F146" s="312" t="s">
        <v>299</v>
      </c>
      <c r="G146" s="313" t="s">
        <v>300</v>
      </c>
      <c r="H146" s="313" t="s">
        <v>301</v>
      </c>
      <c r="I146" s="313" t="s">
        <v>302</v>
      </c>
      <c r="J146" s="313" t="s">
        <v>429</v>
      </c>
      <c r="K146" s="313" t="s">
        <v>270</v>
      </c>
      <c r="L146" s="8"/>
      <c r="M146"/>
      <c r="P146"/>
      <c r="Q146"/>
      <c r="R146" s="294" t="s">
        <v>298</v>
      </c>
      <c r="S146" s="294" t="s">
        <v>299</v>
      </c>
      <c r="T146" s="314" t="s">
        <v>423</v>
      </c>
      <c r="U146" s="294" t="s">
        <v>424</v>
      </c>
      <c r="V146" s="294" t="s">
        <v>422</v>
      </c>
      <c r="W146" s="315" t="s">
        <v>270</v>
      </c>
      <c r="X146" s="294" t="s">
        <v>426</v>
      </c>
      <c r="Y146" s="215" t="s">
        <v>402</v>
      </c>
      <c r="Z146" s="215" t="s">
        <v>430</v>
      </c>
      <c r="AA146" s="294" t="s">
        <v>425</v>
      </c>
      <c r="AB146" s="294"/>
    </row>
    <row r="147" spans="1:28" s="99" customFormat="1" ht="18.75" hidden="1" customHeight="1">
      <c r="A147" s="11"/>
      <c r="B147" s="95"/>
      <c r="C147" s="96"/>
      <c r="D147" s="97"/>
      <c r="E147" s="438"/>
      <c r="F147" s="439"/>
      <c r="G147" s="439"/>
      <c r="H147" s="439"/>
      <c r="I147" s="439"/>
      <c r="J147" s="439"/>
      <c r="K147" s="439"/>
      <c r="L147" s="98"/>
      <c r="M147" s="11"/>
      <c r="Q147" s="11"/>
      <c r="R147" s="129">
        <f>IF(E147="地区代表者",COUNTA($D$1:$D147),0)</f>
        <v>0</v>
      </c>
      <c r="S147" s="129">
        <f t="shared" ref="S147:S148" si="74">IF(F147="実施済",1,0)</f>
        <v>0</v>
      </c>
      <c r="T147" s="258"/>
      <c r="U147" s="129">
        <f t="shared" ref="U147:U148" si="75">IF(AND(H147="実施済",I147="実施済"),S147*1,0)</f>
        <v>0</v>
      </c>
      <c r="V147" s="129">
        <f>IF(J147="実施済",$U147*1,0)</f>
        <v>0</v>
      </c>
      <c r="W147" s="258"/>
      <c r="X147" s="129" t="str">
        <f>IF(E147="","",IF(R147*S147&gt;0,3,SUM(S147,U147,V147)))</f>
        <v/>
      </c>
      <c r="Y147" s="129">
        <f>MIN($X$147:$X$151)+1</f>
        <v>1</v>
      </c>
      <c r="Z147" s="129">
        <f>IF(E147="",1,IF(R147&gt;0,IF(COUNTA($F147:$K147)=2,1,0),IF(COUNTA($F147:$K147)=6,1,0)))</f>
        <v>1</v>
      </c>
      <c r="AA147" s="129" t="str" cm="1">
        <f t="array" ref="AA147">_xlfn.IFS(Y147=4,"A",Y147=3,"B",Y147=2,"C",Y147=1,"D")</f>
        <v>D</v>
      </c>
      <c r="AB147" s="129" t="str" cm="1">
        <f t="array" ref="AB147">_xlfn.IFS(Z147=4,"A",Z147=3,"B",Z147=2,"C",Z147=1,"D")</f>
        <v>D</v>
      </c>
    </row>
    <row r="148" spans="1:28" s="99" customFormat="1" ht="18.75" customHeight="1">
      <c r="A148" s="11"/>
      <c r="B148" s="95"/>
      <c r="C148" s="96"/>
      <c r="D148" s="97"/>
      <c r="E148" s="440" t="s">
        <v>298</v>
      </c>
      <c r="F148" s="441"/>
      <c r="G148" s="839"/>
      <c r="H148" s="839"/>
      <c r="I148" s="839"/>
      <c r="J148" s="839"/>
      <c r="K148" s="441"/>
      <c r="L148" s="98"/>
      <c r="M148" s="11"/>
      <c r="Q148" s="11"/>
      <c r="R148" s="129">
        <f>IF(E148="地区代表者",COUNTA($D$1:$D148),0)</f>
        <v>10</v>
      </c>
      <c r="S148" s="129">
        <f t="shared" si="74"/>
        <v>0</v>
      </c>
      <c r="T148" s="258"/>
      <c r="U148" s="129">
        <f t="shared" si="75"/>
        <v>0</v>
      </c>
      <c r="V148" s="129">
        <f>IF(J148="実施済",$U148*1,0)</f>
        <v>0</v>
      </c>
      <c r="W148" s="258"/>
      <c r="X148" s="129">
        <f t="shared" ref="X148:X151" si="76">IF(E148="","",IF(R148*S148&gt;0,3,SUM(S148,U148,V148)))</f>
        <v>0</v>
      </c>
      <c r="Y148" s="129">
        <f>MIN($X$147:$X$151)+1</f>
        <v>1</v>
      </c>
      <c r="Z148" s="129">
        <f t="shared" ref="Z148:Z151" si="77">IF(E148="",1,IF(R148&gt;0,IF(COUNTA($F148:$K148)=2,1,0),IF(COUNTA($F148:$K148)=6,1,0)))</f>
        <v>0</v>
      </c>
      <c r="AA148" s="129" t="str" cm="1">
        <f t="array" ref="AA148">_xlfn.IFS(Y148=4,"A",Y148=3,"B",Y148=2,"C",Y148=1,"D")</f>
        <v>D</v>
      </c>
      <c r="AB148" s="129"/>
    </row>
    <row r="149" spans="1:28" s="99" customFormat="1" ht="18.75" customHeight="1">
      <c r="A149" s="11"/>
      <c r="B149" s="95"/>
      <c r="C149" s="96"/>
      <c r="D149" s="97"/>
      <c r="E149" s="440" t="s">
        <v>116</v>
      </c>
      <c r="F149" s="441"/>
      <c r="G149" s="441"/>
      <c r="H149" s="441"/>
      <c r="I149" s="441"/>
      <c r="J149" s="441"/>
      <c r="K149" s="441"/>
      <c r="L149" s="98"/>
      <c r="M149" s="11"/>
      <c r="P149" s="11"/>
      <c r="Q149" s="11"/>
      <c r="R149" s="129">
        <f>IF(E149="地区代表者",COUNTA($D$1:$D149),0)</f>
        <v>0</v>
      </c>
      <c r="S149" s="129">
        <f>IF(F149="実施済",1,0)</f>
        <v>0</v>
      </c>
      <c r="T149" s="258"/>
      <c r="U149" s="129">
        <f>IF(AND(H149="実施済",I149="実施済"),S149*1,0)</f>
        <v>0</v>
      </c>
      <c r="V149" s="129">
        <f>IF(J149="実施済",$U149*1,0)</f>
        <v>0</v>
      </c>
      <c r="W149" s="258"/>
      <c r="X149" s="129">
        <f t="shared" si="76"/>
        <v>0</v>
      </c>
      <c r="Y149" s="129">
        <f>MIN($X$147:$X$151)+1</f>
        <v>1</v>
      </c>
      <c r="Z149" s="129">
        <f t="shared" si="77"/>
        <v>0</v>
      </c>
      <c r="AA149" s="129" t="str" cm="1">
        <f t="array" ref="AA149">_xlfn.IFS(Y149=4,"A",Y149=3,"B",Y149=2,"C",Y149=1,"D")</f>
        <v>D</v>
      </c>
      <c r="AB149" s="129"/>
    </row>
    <row r="150" spans="1:28" s="2" customFormat="1" ht="9" customHeight="1">
      <c r="A150"/>
      <c r="B150" s="65"/>
      <c r="C150" s="4"/>
      <c r="D150" s="307"/>
      <c r="E150" s="308"/>
      <c r="F150" s="308"/>
      <c r="G150" s="308"/>
      <c r="H150" s="308"/>
      <c r="I150" s="308"/>
      <c r="J150" s="308"/>
      <c r="K150" s="308"/>
      <c r="L150" s="9"/>
      <c r="M150"/>
      <c r="P150"/>
      <c r="Q150"/>
      <c r="R150" s="215">
        <f>IF(E150="地区代表者",COUNTA($D$1:$D150),0)</f>
        <v>0</v>
      </c>
      <c r="S150" s="215">
        <f t="shared" ref="S150:S151" si="78">IF(F150="実施済",1,0)</f>
        <v>0</v>
      </c>
      <c r="T150" s="316"/>
      <c r="U150" s="215">
        <f t="shared" ref="U150:U151" si="79">IF(AND(H150="実施済",I150="実施済"),S150*1,0)</f>
        <v>0</v>
      </c>
      <c r="V150" s="215">
        <f t="shared" ref="V150:V151" si="80">IF(J150="実施済",$U150*1,0)</f>
        <v>0</v>
      </c>
      <c r="W150" s="316"/>
      <c r="X150" s="215" t="str">
        <f t="shared" si="76"/>
        <v/>
      </c>
      <c r="Y150" s="215">
        <f>MIN($X$147:$X$151)+1</f>
        <v>1</v>
      </c>
      <c r="Z150" s="215">
        <f t="shared" si="77"/>
        <v>1</v>
      </c>
      <c r="AA150" s="215" t="str" cm="1">
        <f t="array" ref="AA150">_xlfn.IFS(Y150=4,"A",Y150=3,"B",Y150=2,"C",Y150=1,"D")</f>
        <v>D</v>
      </c>
      <c r="AB150" s="215"/>
    </row>
    <row r="151" spans="1:28" s="2" customFormat="1" ht="6" customHeight="1">
      <c r="A151"/>
      <c r="B151"/>
      <c r="C151"/>
      <c r="D151" s="309"/>
      <c r="E151" s="310"/>
      <c r="F151" s="310"/>
      <c r="G151" s="310"/>
      <c r="H151" s="310"/>
      <c r="I151" s="310"/>
      <c r="J151" s="310"/>
      <c r="K151" s="310"/>
      <c r="L151"/>
      <c r="M151"/>
      <c r="P151"/>
      <c r="Q151"/>
      <c r="R151" s="215">
        <f>IF(E151="地区代表者",COUNTA($D$1:$D151),0)</f>
        <v>0</v>
      </c>
      <c r="S151" s="215">
        <f t="shared" si="78"/>
        <v>0</v>
      </c>
      <c r="T151" s="316"/>
      <c r="U151" s="215">
        <f t="shared" si="79"/>
        <v>0</v>
      </c>
      <c r="V151" s="215">
        <f t="shared" si="80"/>
        <v>0</v>
      </c>
      <c r="W151" s="316"/>
      <c r="X151" s="215" t="str">
        <f t="shared" si="76"/>
        <v/>
      </c>
      <c r="Y151" s="215">
        <f>MIN($X$147:$X$151)+1</f>
        <v>1</v>
      </c>
      <c r="Z151" s="215">
        <f t="shared" si="77"/>
        <v>1</v>
      </c>
      <c r="AA151" s="215" t="str" cm="1">
        <f t="array" ref="AA151">_xlfn.IFS(Y151=4,"A",Y151=3,"B",Y151=2,"C",Y151=1,"D")</f>
        <v>D</v>
      </c>
      <c r="AB151" s="215"/>
    </row>
    <row r="152" spans="1:28" ht="96" customHeight="1">
      <c r="C152" s="78"/>
      <c r="D152" s="79"/>
      <c r="E152" s="72" t="s">
        <v>236</v>
      </c>
      <c r="F152" s="1452"/>
      <c r="G152" s="1452"/>
      <c r="H152" s="1452"/>
      <c r="I152" s="1452"/>
      <c r="J152" s="1452"/>
      <c r="K152" s="1452"/>
      <c r="L152" s="80" t="s">
        <v>132</v>
      </c>
      <c r="M152" s="290"/>
    </row>
    <row r="153" spans="1:28" ht="96" customHeight="1">
      <c r="C153" s="75"/>
      <c r="D153" s="68"/>
      <c r="E153" s="72" t="s">
        <v>237</v>
      </c>
      <c r="F153" s="1452"/>
      <c r="G153" s="1452"/>
      <c r="H153" s="1452"/>
      <c r="I153" s="1452"/>
      <c r="J153" s="1452"/>
      <c r="K153" s="1452"/>
    </row>
    <row r="154" spans="1:28" ht="18.5" thickBot="1">
      <c r="A154" s="81"/>
      <c r="B154" s="81"/>
      <c r="C154" s="81"/>
      <c r="D154" s="81"/>
      <c r="E154" s="311"/>
      <c r="F154" s="81"/>
      <c r="G154" s="81"/>
      <c r="H154" s="81"/>
      <c r="I154" s="81"/>
      <c r="J154" s="81"/>
      <c r="K154" s="81"/>
      <c r="L154" s="81"/>
      <c r="M154" s="82"/>
    </row>
    <row r="156" spans="1:28" ht="9" customHeight="1">
      <c r="B156" s="10"/>
      <c r="C156" s="5"/>
      <c r="D156" s="5"/>
      <c r="E156" s="305"/>
      <c r="F156" s="5"/>
      <c r="G156" s="5"/>
      <c r="H156" s="5"/>
      <c r="I156" s="5"/>
      <c r="J156" s="5"/>
      <c r="K156" s="5"/>
      <c r="L156" s="6"/>
      <c r="M156"/>
      <c r="N156"/>
      <c r="O156"/>
      <c r="R156" t="str">
        <f>D157</f>
        <v>(選択してください)</v>
      </c>
    </row>
    <row r="157" spans="1:28">
      <c r="B157" s="7"/>
      <c r="C157" s="77" t="str">
        <f ca="1">IFERROR(OFFSET('4.2民生電力需要量'!$C$1,MATCH(D157,'4.2民生電力需要量'!$E:$E,0)-1,0),"")</f>
        <v/>
      </c>
      <c r="D157" s="94" t="s">
        <v>130</v>
      </c>
      <c r="E157" s="72" t="s">
        <v>131</v>
      </c>
      <c r="F157" s="1446" t="str">
        <f ca="1">IFERROR(OFFSET('4.2民生電力需要量'!$G$1,MATCH($D157,'4.2民生電力需要量'!$E:$E,0)-1,0),"")</f>
        <v/>
      </c>
      <c r="G157" s="1446"/>
      <c r="H157" s="1446"/>
      <c r="I157" s="1446"/>
      <c r="J157" s="1446"/>
      <c r="K157" s="1446"/>
      <c r="L157" s="8"/>
      <c r="M157"/>
      <c r="N157"/>
      <c r="O157"/>
      <c r="R157" s="175" t="str">
        <f ca="1">IFERROR(OFFSET('4.2民生電力需要量'!$G$1,MATCH($D157,'4.2民生電力需要量'!$E:$E,0)-1,0),"")</f>
        <v/>
      </c>
      <c r="S157" s="175"/>
      <c r="T157" s="175"/>
      <c r="U157" s="175"/>
      <c r="V157" s="175"/>
      <c r="W157" s="175"/>
      <c r="X157" s="175"/>
      <c r="Y157" s="175"/>
      <c r="Z157" s="175"/>
      <c r="AA157" s="175"/>
      <c r="AB157" s="175">
        <f ca="1">(F157=R157)*1</f>
        <v>1</v>
      </c>
    </row>
    <row r="158" spans="1:28">
      <c r="B158" s="7"/>
      <c r="C158" s="915"/>
      <c r="D158" s="97"/>
      <c r="E158" s="72" t="s">
        <v>612</v>
      </c>
      <c r="F158" s="1447" t="str">
        <f ca="1">IFERROR(OFFSET('4.2民生電力需要量'!$L$1,MATCH($D157,'4.2民生電力需要量'!$E:$E,0)-1,0),"")</f>
        <v/>
      </c>
      <c r="G158" s="1448"/>
      <c r="H158" s="1448"/>
      <c r="I158" s="1448"/>
      <c r="J158" s="1448"/>
      <c r="K158" s="1449"/>
      <c r="L158" s="8"/>
      <c r="M158"/>
      <c r="N158"/>
      <c r="O158"/>
      <c r="R158" s="175" t="str">
        <f ca="1">IFERROR(OFFSET('4.2民生電力需要量'!$L$1,MATCH($D157,'4.2民生電力需要量'!$E:$E,0)-1,0),"")</f>
        <v/>
      </c>
      <c r="S158" s="175"/>
      <c r="T158" s="175"/>
      <c r="U158" s="175"/>
      <c r="V158" s="175"/>
      <c r="W158" s="175"/>
      <c r="X158" s="175"/>
      <c r="Y158" s="175"/>
      <c r="Z158" s="175"/>
      <c r="AA158" s="175"/>
      <c r="AB158" s="175">
        <f ca="1">(F158=R158)*1</f>
        <v>1</v>
      </c>
    </row>
    <row r="159" spans="1:28">
      <c r="B159" s="7"/>
      <c r="C159" s="74"/>
      <c r="D159" s="66"/>
      <c r="E159" s="72" t="s">
        <v>220</v>
      </c>
      <c r="F159" s="1450" t="str">
        <f ca="1">IFERROR(OFFSET('4.2民生電力需要量'!$I$1,MATCH($D157,'4.2民生電力需要量'!$E:$E,0)-1,0),"")</f>
        <v/>
      </c>
      <c r="G159" s="1450"/>
      <c r="H159" s="1450"/>
      <c r="I159" s="1450"/>
      <c r="J159" s="1450"/>
      <c r="K159" s="1450"/>
      <c r="L159" s="8"/>
      <c r="M159"/>
      <c r="N159"/>
      <c r="O159"/>
      <c r="R159" s="175" t="str">
        <f ca="1">IFERROR(OFFSET('4.2民生電力需要量'!$I$1,MATCH($D157,'4.2民生電力需要量'!$E:$E,0)-1,0),"")</f>
        <v/>
      </c>
      <c r="S159" s="175"/>
      <c r="T159" s="175"/>
      <c r="U159" s="175"/>
      <c r="V159" s="175"/>
      <c r="W159" s="175"/>
      <c r="X159" s="175"/>
      <c r="Y159" s="175"/>
      <c r="Z159" s="175"/>
      <c r="AA159" s="175"/>
      <c r="AB159" s="175">
        <f t="shared" ref="AB159:AB160" ca="1" si="81">(F159=R159)*1</f>
        <v>1</v>
      </c>
    </row>
    <row r="160" spans="1:28">
      <c r="B160" s="7"/>
      <c r="C160" s="74"/>
      <c r="D160" s="66"/>
      <c r="E160" s="72" t="s">
        <v>175</v>
      </c>
      <c r="F160" s="1451" t="str">
        <f>_xlfn.IFNA(R160,"")</f>
        <v/>
      </c>
      <c r="G160" s="1451"/>
      <c r="H160" s="1451"/>
      <c r="I160" s="1451"/>
      <c r="J160" s="1451"/>
      <c r="K160" s="1451"/>
      <c r="L160" s="8"/>
      <c r="M160"/>
      <c r="N160"/>
      <c r="O160"/>
      <c r="R160" s="215" t="str">
        <f>IF(PRODUCT($Z162:$Z166)=1,AA162,"")</f>
        <v/>
      </c>
      <c r="S160" s="175"/>
      <c r="T160" s="175"/>
      <c r="U160" s="175"/>
      <c r="V160" s="175"/>
      <c r="W160" s="175"/>
      <c r="X160" s="175"/>
      <c r="Y160" s="175"/>
      <c r="Z160" s="175"/>
      <c r="AA160" s="175"/>
      <c r="AB160" s="175">
        <f t="shared" si="81"/>
        <v>1</v>
      </c>
    </row>
    <row r="161" spans="1:28" s="2" customFormat="1" ht="60">
      <c r="A161"/>
      <c r="B161" s="7"/>
      <c r="C161" s="74"/>
      <c r="D161" s="66"/>
      <c r="E161" s="306"/>
      <c r="F161" s="312" t="s">
        <v>299</v>
      </c>
      <c r="G161" s="313" t="s">
        <v>300</v>
      </c>
      <c r="H161" s="313" t="s">
        <v>301</v>
      </c>
      <c r="I161" s="313" t="s">
        <v>302</v>
      </c>
      <c r="J161" s="313" t="s">
        <v>429</v>
      </c>
      <c r="K161" s="313" t="s">
        <v>270</v>
      </c>
      <c r="L161" s="8"/>
      <c r="M161"/>
      <c r="P161"/>
      <c r="Q161"/>
      <c r="R161" s="294" t="s">
        <v>298</v>
      </c>
      <c r="S161" s="294" t="s">
        <v>299</v>
      </c>
      <c r="T161" s="314" t="s">
        <v>423</v>
      </c>
      <c r="U161" s="294" t="s">
        <v>424</v>
      </c>
      <c r="V161" s="294" t="s">
        <v>422</v>
      </c>
      <c r="W161" s="315" t="s">
        <v>270</v>
      </c>
      <c r="X161" s="294" t="s">
        <v>426</v>
      </c>
      <c r="Y161" s="215" t="s">
        <v>402</v>
      </c>
      <c r="Z161" s="215" t="s">
        <v>430</v>
      </c>
      <c r="AA161" s="294" t="s">
        <v>425</v>
      </c>
      <c r="AB161" s="294"/>
    </row>
    <row r="162" spans="1:28" s="99" customFormat="1" ht="18.75" hidden="1" customHeight="1">
      <c r="A162" s="11"/>
      <c r="B162" s="95"/>
      <c r="C162" s="96"/>
      <c r="D162" s="97"/>
      <c r="E162" s="438"/>
      <c r="F162" s="439"/>
      <c r="G162" s="439"/>
      <c r="H162" s="439"/>
      <c r="I162" s="439"/>
      <c r="J162" s="439"/>
      <c r="K162" s="439"/>
      <c r="L162" s="98"/>
      <c r="M162" s="11"/>
      <c r="Q162" s="11"/>
      <c r="R162" s="129">
        <f>IF(E162="地区代表者",COUNTA($D$1:$D162),0)</f>
        <v>0</v>
      </c>
      <c r="S162" s="129">
        <f t="shared" ref="S162:S163" si="82">IF(F162="実施済",1,0)</f>
        <v>0</v>
      </c>
      <c r="T162" s="258"/>
      <c r="U162" s="129">
        <f t="shared" ref="U162:U163" si="83">IF(AND(H162="実施済",I162="実施済"),S162*1,0)</f>
        <v>0</v>
      </c>
      <c r="V162" s="129">
        <f>IF(J162="実施済",$U162*1,0)</f>
        <v>0</v>
      </c>
      <c r="W162" s="258"/>
      <c r="X162" s="129" t="str">
        <f>IF(E162="","",IF(R162*S162&gt;0,3,SUM(S162,U162,V162)))</f>
        <v/>
      </c>
      <c r="Y162" s="129">
        <f>MIN($X$162:$X$166)+1</f>
        <v>1</v>
      </c>
      <c r="Z162" s="129">
        <f>IF(E162="",1,IF(R162&gt;0,IF(COUNTA($F162:$K162)=2,1,0),IF(COUNTA($F162:$K162)=6,1,0)))</f>
        <v>1</v>
      </c>
      <c r="AA162" s="129" t="str" cm="1">
        <f t="array" ref="AA162">_xlfn.IFS(Y162=4,"A",Y162=3,"B",Y162=2,"C",Y162=1,"D")</f>
        <v>D</v>
      </c>
      <c r="AB162" s="129" t="str" cm="1">
        <f t="array" ref="AB162">_xlfn.IFS(Z162=4,"A",Z162=3,"B",Z162=2,"C",Z162=1,"D")</f>
        <v>D</v>
      </c>
    </row>
    <row r="163" spans="1:28" s="99" customFormat="1" ht="18.75" customHeight="1">
      <c r="A163" s="11"/>
      <c r="B163" s="95"/>
      <c r="C163" s="96"/>
      <c r="D163" s="97"/>
      <c r="E163" s="440" t="s">
        <v>298</v>
      </c>
      <c r="F163" s="441"/>
      <c r="G163" s="839"/>
      <c r="H163" s="839"/>
      <c r="I163" s="839"/>
      <c r="J163" s="839"/>
      <c r="K163" s="441"/>
      <c r="L163" s="98"/>
      <c r="M163" s="11"/>
      <c r="Q163" s="11"/>
      <c r="R163" s="129">
        <f>IF(E163="地区代表者",COUNTA($D$1:$D163),0)</f>
        <v>11</v>
      </c>
      <c r="S163" s="129">
        <f t="shared" si="82"/>
        <v>0</v>
      </c>
      <c r="T163" s="258"/>
      <c r="U163" s="129">
        <f t="shared" si="83"/>
        <v>0</v>
      </c>
      <c r="V163" s="129">
        <f>IF(J163="実施済",$U163*1,0)</f>
        <v>0</v>
      </c>
      <c r="W163" s="258"/>
      <c r="X163" s="129">
        <f t="shared" ref="X163:X166" si="84">IF(E163="","",IF(R163*S163&gt;0,3,SUM(S163,U163,V163)))</f>
        <v>0</v>
      </c>
      <c r="Y163" s="129">
        <f>MIN($X$162:$X$166)+1</f>
        <v>1</v>
      </c>
      <c r="Z163" s="129">
        <f t="shared" ref="Z163:Z166" si="85">IF(E163="",1,IF(R163&gt;0,IF(COUNTA($F163:$K163)=2,1,0),IF(COUNTA($F163:$K163)=6,1,0)))</f>
        <v>0</v>
      </c>
      <c r="AA163" s="129" t="str" cm="1">
        <f t="array" ref="AA163">_xlfn.IFS(Y163=4,"A",Y163=3,"B",Y163=2,"C",Y163=1,"D")</f>
        <v>D</v>
      </c>
      <c r="AB163" s="129"/>
    </row>
    <row r="164" spans="1:28" s="99" customFormat="1" ht="18.75" customHeight="1">
      <c r="A164" s="11"/>
      <c r="B164" s="95"/>
      <c r="C164" s="96"/>
      <c r="D164" s="97"/>
      <c r="E164" s="440" t="s">
        <v>116</v>
      </c>
      <c r="F164" s="441"/>
      <c r="G164" s="441"/>
      <c r="H164" s="441"/>
      <c r="I164" s="441"/>
      <c r="J164" s="441"/>
      <c r="K164" s="441"/>
      <c r="L164" s="98"/>
      <c r="M164" s="11"/>
      <c r="P164" s="11"/>
      <c r="Q164" s="11"/>
      <c r="R164" s="129">
        <f>IF(E164="地区代表者",COUNTA($D$1:$D164),0)</f>
        <v>0</v>
      </c>
      <c r="S164" s="129">
        <f>IF(F164="実施済",1,0)</f>
        <v>0</v>
      </c>
      <c r="T164" s="258"/>
      <c r="U164" s="129">
        <f>IF(AND(H164="実施済",I164="実施済"),S164*1,0)</f>
        <v>0</v>
      </c>
      <c r="V164" s="129">
        <f>IF(J164="実施済",$U164*1,0)</f>
        <v>0</v>
      </c>
      <c r="W164" s="258"/>
      <c r="X164" s="129">
        <f t="shared" si="84"/>
        <v>0</v>
      </c>
      <c r="Y164" s="129">
        <f>MIN($X$162:$X$166)+1</f>
        <v>1</v>
      </c>
      <c r="Z164" s="129">
        <f t="shared" si="85"/>
        <v>0</v>
      </c>
      <c r="AA164" s="129" t="str" cm="1">
        <f t="array" ref="AA164">_xlfn.IFS(Y164=4,"A",Y164=3,"B",Y164=2,"C",Y164=1,"D")</f>
        <v>D</v>
      </c>
      <c r="AB164" s="129"/>
    </row>
    <row r="165" spans="1:28" s="2" customFormat="1" ht="9" customHeight="1">
      <c r="A165"/>
      <c r="B165" s="65"/>
      <c r="C165" s="4"/>
      <c r="D165" s="307"/>
      <c r="E165" s="308"/>
      <c r="F165" s="308"/>
      <c r="G165" s="308"/>
      <c r="H165" s="308"/>
      <c r="I165" s="308"/>
      <c r="J165" s="308"/>
      <c r="K165" s="308"/>
      <c r="L165" s="9"/>
      <c r="M165"/>
      <c r="P165"/>
      <c r="Q165"/>
      <c r="R165" s="215">
        <f>IF(E165="地区代表者",COUNTA($D$1:$D165),0)</f>
        <v>0</v>
      </c>
      <c r="S165" s="215">
        <f t="shared" ref="S165:S166" si="86">IF(F165="実施済",1,0)</f>
        <v>0</v>
      </c>
      <c r="T165" s="316"/>
      <c r="U165" s="215">
        <f t="shared" ref="U165:U166" si="87">IF(AND(H165="実施済",I165="実施済"),S165*1,0)</f>
        <v>0</v>
      </c>
      <c r="V165" s="215">
        <f t="shared" ref="V165:V166" si="88">IF(J165="実施済",$U165*1,0)</f>
        <v>0</v>
      </c>
      <c r="W165" s="316"/>
      <c r="X165" s="215" t="str">
        <f t="shared" si="84"/>
        <v/>
      </c>
      <c r="Y165" s="215">
        <f>MIN($X$162:$X$166)+1</f>
        <v>1</v>
      </c>
      <c r="Z165" s="215">
        <f t="shared" si="85"/>
        <v>1</v>
      </c>
      <c r="AA165" s="215" t="str" cm="1">
        <f t="array" ref="AA165">_xlfn.IFS(Y165=4,"A",Y165=3,"B",Y165=2,"C",Y165=1,"D")</f>
        <v>D</v>
      </c>
      <c r="AB165" s="215"/>
    </row>
    <row r="166" spans="1:28" s="2" customFormat="1" ht="6" customHeight="1">
      <c r="A166"/>
      <c r="B166"/>
      <c r="C166"/>
      <c r="D166" s="309"/>
      <c r="E166" s="310"/>
      <c r="F166" s="310"/>
      <c r="G166" s="310"/>
      <c r="H166" s="310"/>
      <c r="I166" s="310"/>
      <c r="J166" s="310"/>
      <c r="K166" s="310"/>
      <c r="L166"/>
      <c r="M166"/>
      <c r="P166"/>
      <c r="Q166"/>
      <c r="R166" s="215">
        <f>IF(E166="地区代表者",COUNTA($D$1:$D166),0)</f>
        <v>0</v>
      </c>
      <c r="S166" s="215">
        <f t="shared" si="86"/>
        <v>0</v>
      </c>
      <c r="T166" s="316"/>
      <c r="U166" s="215">
        <f t="shared" si="87"/>
        <v>0</v>
      </c>
      <c r="V166" s="215">
        <f t="shared" si="88"/>
        <v>0</v>
      </c>
      <c r="W166" s="316"/>
      <c r="X166" s="215" t="str">
        <f t="shared" si="84"/>
        <v/>
      </c>
      <c r="Y166" s="215">
        <f>MIN($X$162:$X$166)+1</f>
        <v>1</v>
      </c>
      <c r="Z166" s="215">
        <f t="shared" si="85"/>
        <v>1</v>
      </c>
      <c r="AA166" s="215" t="str" cm="1">
        <f t="array" ref="AA166">_xlfn.IFS(Y166=4,"A",Y166=3,"B",Y166=2,"C",Y166=1,"D")</f>
        <v>D</v>
      </c>
      <c r="AB166" s="215"/>
    </row>
    <row r="167" spans="1:28" ht="96" customHeight="1">
      <c r="C167" s="78"/>
      <c r="D167" s="79"/>
      <c r="E167" s="72" t="s">
        <v>236</v>
      </c>
      <c r="F167" s="1452"/>
      <c r="G167" s="1452"/>
      <c r="H167" s="1452"/>
      <c r="I167" s="1452"/>
      <c r="J167" s="1452"/>
      <c r="K167" s="1452"/>
      <c r="L167" s="80" t="s">
        <v>132</v>
      </c>
      <c r="M167" s="290"/>
    </row>
    <row r="168" spans="1:28" ht="96" customHeight="1">
      <c r="C168" s="75"/>
      <c r="D168" s="68"/>
      <c r="E168" s="72" t="s">
        <v>237</v>
      </c>
      <c r="F168" s="1452"/>
      <c r="G168" s="1452"/>
      <c r="H168" s="1452"/>
      <c r="I168" s="1452"/>
      <c r="J168" s="1452"/>
      <c r="K168" s="1452"/>
    </row>
    <row r="169" spans="1:28" ht="18.5" thickBot="1">
      <c r="A169" s="81"/>
      <c r="B169" s="81"/>
      <c r="C169" s="81"/>
      <c r="D169" s="81"/>
      <c r="E169" s="311"/>
      <c r="F169" s="81"/>
      <c r="G169" s="81"/>
      <c r="H169" s="81"/>
      <c r="I169" s="81"/>
      <c r="J169" s="81"/>
      <c r="K169" s="81"/>
      <c r="L169" s="81"/>
      <c r="M169" s="82"/>
    </row>
    <row r="171" spans="1:28" ht="9" customHeight="1">
      <c r="B171" s="10"/>
      <c r="C171" s="5"/>
      <c r="D171" s="5"/>
      <c r="E171" s="305"/>
      <c r="F171" s="5"/>
      <c r="G171" s="5"/>
      <c r="H171" s="5"/>
      <c r="I171" s="5"/>
      <c r="J171" s="5"/>
      <c r="K171" s="5"/>
      <c r="L171" s="6"/>
      <c r="M171"/>
      <c r="N171"/>
      <c r="O171"/>
      <c r="R171" t="str">
        <f>D172</f>
        <v>(選択してください)</v>
      </c>
    </row>
    <row r="172" spans="1:28">
      <c r="B172" s="7"/>
      <c r="C172" s="77" t="str">
        <f ca="1">IFERROR(OFFSET('4.2民生電力需要量'!$C$1,MATCH(D172,'4.2民生電力需要量'!$E:$E,0)-1,0),"")</f>
        <v/>
      </c>
      <c r="D172" s="94" t="s">
        <v>130</v>
      </c>
      <c r="E172" s="72" t="s">
        <v>131</v>
      </c>
      <c r="F172" s="1446" t="str">
        <f ca="1">IFERROR(OFFSET('4.2民生電力需要量'!$G$1,MATCH($D172,'4.2民生電力需要量'!$E:$E,0)-1,0),"")</f>
        <v/>
      </c>
      <c r="G172" s="1446"/>
      <c r="H172" s="1446"/>
      <c r="I172" s="1446"/>
      <c r="J172" s="1446"/>
      <c r="K172" s="1446"/>
      <c r="L172" s="8"/>
      <c r="M172"/>
      <c r="N172"/>
      <c r="O172"/>
      <c r="R172" s="175" t="str">
        <f ca="1">IFERROR(OFFSET('4.2民生電力需要量'!$G$1,MATCH($D172,'4.2民生電力需要量'!$E:$E,0)-1,0),"")</f>
        <v/>
      </c>
      <c r="S172" s="175"/>
      <c r="T172" s="175"/>
      <c r="U172" s="175"/>
      <c r="V172" s="175"/>
      <c r="W172" s="175"/>
      <c r="X172" s="175"/>
      <c r="Y172" s="175"/>
      <c r="Z172" s="175"/>
      <c r="AA172" s="175"/>
      <c r="AB172" s="175">
        <f ca="1">(F172=R172)*1</f>
        <v>1</v>
      </c>
    </row>
    <row r="173" spans="1:28">
      <c r="B173" s="7"/>
      <c r="C173" s="915"/>
      <c r="D173" s="97"/>
      <c r="E173" s="72" t="s">
        <v>612</v>
      </c>
      <c r="F173" s="1447" t="str">
        <f ca="1">IFERROR(OFFSET('4.2民生電力需要量'!$L$1,MATCH($D172,'4.2民生電力需要量'!$E:$E,0)-1,0),"")</f>
        <v/>
      </c>
      <c r="G173" s="1448"/>
      <c r="H173" s="1448"/>
      <c r="I173" s="1448"/>
      <c r="J173" s="1448"/>
      <c r="K173" s="1449"/>
      <c r="L173" s="8"/>
      <c r="M173"/>
      <c r="N173"/>
      <c r="O173"/>
      <c r="R173" s="175" t="str">
        <f ca="1">IFERROR(OFFSET('4.2民生電力需要量'!$L$1,MATCH($D172,'4.2民生電力需要量'!$E:$E,0)-1,0),"")</f>
        <v/>
      </c>
      <c r="S173" s="175"/>
      <c r="T173" s="175"/>
      <c r="U173" s="175"/>
      <c r="V173" s="175"/>
      <c r="W173" s="175"/>
      <c r="X173" s="175"/>
      <c r="Y173" s="175"/>
      <c r="Z173" s="175"/>
      <c r="AA173" s="175"/>
      <c r="AB173" s="175">
        <f ca="1">(F173=R173)*1</f>
        <v>1</v>
      </c>
    </row>
    <row r="174" spans="1:28">
      <c r="B174" s="7"/>
      <c r="C174" s="74"/>
      <c r="D174" s="66"/>
      <c r="E174" s="72" t="s">
        <v>220</v>
      </c>
      <c r="F174" s="1450" t="str">
        <f ca="1">IFERROR(OFFSET('4.2民生電力需要量'!$I$1,MATCH($D172,'4.2民生電力需要量'!$E:$E,0)-1,0),"")</f>
        <v/>
      </c>
      <c r="G174" s="1450"/>
      <c r="H174" s="1450"/>
      <c r="I174" s="1450"/>
      <c r="J174" s="1450"/>
      <c r="K174" s="1450"/>
      <c r="L174" s="8"/>
      <c r="M174"/>
      <c r="N174"/>
      <c r="O174"/>
      <c r="R174" s="175" t="str">
        <f ca="1">IFERROR(OFFSET('4.2民生電力需要量'!$I$1,MATCH($D172,'4.2民生電力需要量'!$E:$E,0)-1,0),"")</f>
        <v/>
      </c>
      <c r="S174" s="175"/>
      <c r="T174" s="175"/>
      <c r="U174" s="175"/>
      <c r="V174" s="175"/>
      <c r="W174" s="175"/>
      <c r="X174" s="175"/>
      <c r="Y174" s="175"/>
      <c r="Z174" s="175"/>
      <c r="AA174" s="175"/>
      <c r="AB174" s="175">
        <f t="shared" ref="AB174:AB175" ca="1" si="89">(F174=R174)*1</f>
        <v>1</v>
      </c>
    </row>
    <row r="175" spans="1:28">
      <c r="B175" s="7"/>
      <c r="C175" s="74"/>
      <c r="D175" s="66"/>
      <c r="E175" s="72" t="s">
        <v>175</v>
      </c>
      <c r="F175" s="1451" t="str">
        <f>_xlfn.IFNA(R175,"")</f>
        <v/>
      </c>
      <c r="G175" s="1451"/>
      <c r="H175" s="1451"/>
      <c r="I175" s="1451"/>
      <c r="J175" s="1451"/>
      <c r="K175" s="1451"/>
      <c r="L175" s="8"/>
      <c r="M175"/>
      <c r="N175"/>
      <c r="O175"/>
      <c r="R175" s="215" t="str">
        <f>IF(PRODUCT($Z177:$Z181)=1,AA177,"")</f>
        <v/>
      </c>
      <c r="S175" s="175"/>
      <c r="T175" s="175"/>
      <c r="U175" s="175"/>
      <c r="V175" s="175"/>
      <c r="W175" s="175"/>
      <c r="X175" s="175"/>
      <c r="Y175" s="175"/>
      <c r="Z175" s="175"/>
      <c r="AA175" s="175"/>
      <c r="AB175" s="175">
        <f t="shared" si="89"/>
        <v>1</v>
      </c>
    </row>
    <row r="176" spans="1:28" s="2" customFormat="1" ht="60">
      <c r="A176"/>
      <c r="B176" s="7"/>
      <c r="C176" s="74"/>
      <c r="D176" s="66"/>
      <c r="E176" s="306"/>
      <c r="F176" s="312" t="s">
        <v>299</v>
      </c>
      <c r="G176" s="313" t="s">
        <v>300</v>
      </c>
      <c r="H176" s="313" t="s">
        <v>301</v>
      </c>
      <c r="I176" s="313" t="s">
        <v>302</v>
      </c>
      <c r="J176" s="313" t="s">
        <v>429</v>
      </c>
      <c r="K176" s="313" t="s">
        <v>270</v>
      </c>
      <c r="L176" s="8"/>
      <c r="M176"/>
      <c r="P176"/>
      <c r="Q176"/>
      <c r="R176" s="294" t="s">
        <v>298</v>
      </c>
      <c r="S176" s="294" t="s">
        <v>299</v>
      </c>
      <c r="T176" s="314" t="s">
        <v>423</v>
      </c>
      <c r="U176" s="294" t="s">
        <v>424</v>
      </c>
      <c r="V176" s="294" t="s">
        <v>422</v>
      </c>
      <c r="W176" s="315" t="s">
        <v>270</v>
      </c>
      <c r="X176" s="294" t="s">
        <v>426</v>
      </c>
      <c r="Y176" s="215" t="s">
        <v>402</v>
      </c>
      <c r="Z176" s="215" t="s">
        <v>430</v>
      </c>
      <c r="AA176" s="294" t="s">
        <v>425</v>
      </c>
      <c r="AB176" s="294"/>
    </row>
    <row r="177" spans="1:28" s="99" customFormat="1" ht="18.75" hidden="1" customHeight="1">
      <c r="A177" s="11"/>
      <c r="B177" s="95"/>
      <c r="C177" s="96"/>
      <c r="D177" s="97"/>
      <c r="E177" s="438"/>
      <c r="F177" s="439"/>
      <c r="G177" s="439"/>
      <c r="H177" s="439"/>
      <c r="I177" s="439"/>
      <c r="J177" s="439"/>
      <c r="K177" s="439"/>
      <c r="L177" s="98"/>
      <c r="M177" s="11"/>
      <c r="Q177" s="11"/>
      <c r="R177" s="129">
        <f>IF(E177="地区代表者",COUNTA($D$1:$D177),0)</f>
        <v>0</v>
      </c>
      <c r="S177" s="129">
        <f t="shared" ref="S177:S178" si="90">IF(F177="実施済",1,0)</f>
        <v>0</v>
      </c>
      <c r="T177" s="258"/>
      <c r="U177" s="129">
        <f t="shared" ref="U177:U178" si="91">IF(AND(H177="実施済",I177="実施済"),S177*1,0)</f>
        <v>0</v>
      </c>
      <c r="V177" s="129">
        <f>IF(J177="実施済",$U177*1,0)</f>
        <v>0</v>
      </c>
      <c r="W177" s="258"/>
      <c r="X177" s="129" t="str">
        <f>IF(E177="","",IF(R177*S177&gt;0,3,SUM(S177,U177,V177)))</f>
        <v/>
      </c>
      <c r="Y177" s="129">
        <f>MIN($X$177:$X$181)+1</f>
        <v>1</v>
      </c>
      <c r="Z177" s="129">
        <f>IF(E177="",1,IF(R177&gt;0,IF(COUNTA($F177:$K177)=2,1,0),IF(COUNTA($F177:$K177)=6,1,0)))</f>
        <v>1</v>
      </c>
      <c r="AA177" s="129" t="str" cm="1">
        <f t="array" ref="AA177">_xlfn.IFS(Y177=4,"A",Y177=3,"B",Y177=2,"C",Y177=1,"D")</f>
        <v>D</v>
      </c>
      <c r="AB177" s="129" t="str" cm="1">
        <f t="array" ref="AB177">_xlfn.IFS(Z177=4,"A",Z177=3,"B",Z177=2,"C",Z177=1,"D")</f>
        <v>D</v>
      </c>
    </row>
    <row r="178" spans="1:28" s="99" customFormat="1" ht="18.75" customHeight="1">
      <c r="A178" s="11"/>
      <c r="B178" s="95"/>
      <c r="C178" s="96"/>
      <c r="D178" s="97"/>
      <c r="E178" s="440" t="s">
        <v>298</v>
      </c>
      <c r="F178" s="441"/>
      <c r="G178" s="839"/>
      <c r="H178" s="839"/>
      <c r="I178" s="839"/>
      <c r="J178" s="839"/>
      <c r="K178" s="441"/>
      <c r="L178" s="98"/>
      <c r="M178" s="11"/>
      <c r="Q178" s="11"/>
      <c r="R178" s="129">
        <f>IF(E178="地区代表者",COUNTA($D$1:$D178),0)</f>
        <v>12</v>
      </c>
      <c r="S178" s="129">
        <f t="shared" si="90"/>
        <v>0</v>
      </c>
      <c r="T178" s="258"/>
      <c r="U178" s="129">
        <f t="shared" si="91"/>
        <v>0</v>
      </c>
      <c r="V178" s="129">
        <f>IF(J178="実施済",$U178*1,0)</f>
        <v>0</v>
      </c>
      <c r="W178" s="258"/>
      <c r="X178" s="129">
        <f t="shared" ref="X178:X181" si="92">IF(E178="","",IF(R178*S178&gt;0,3,SUM(S178,U178,V178)))</f>
        <v>0</v>
      </c>
      <c r="Y178" s="129">
        <f>MIN($X$177:$X$181)+1</f>
        <v>1</v>
      </c>
      <c r="Z178" s="129">
        <f t="shared" ref="Z178:Z181" si="93">IF(E178="",1,IF(R178&gt;0,IF(COUNTA($F178:$K178)=2,1,0),IF(COUNTA($F178:$K178)=6,1,0)))</f>
        <v>0</v>
      </c>
      <c r="AA178" s="129" t="str" cm="1">
        <f t="array" ref="AA178">_xlfn.IFS(Y178=4,"A",Y178=3,"B",Y178=2,"C",Y178=1,"D")</f>
        <v>D</v>
      </c>
      <c r="AB178" s="129"/>
    </row>
    <row r="179" spans="1:28" s="99" customFormat="1" ht="18.75" customHeight="1">
      <c r="A179" s="11"/>
      <c r="B179" s="95"/>
      <c r="C179" s="96"/>
      <c r="D179" s="97"/>
      <c r="E179" s="440" t="s">
        <v>116</v>
      </c>
      <c r="F179" s="441"/>
      <c r="G179" s="441"/>
      <c r="H179" s="441"/>
      <c r="I179" s="441"/>
      <c r="J179" s="441"/>
      <c r="K179" s="441"/>
      <c r="L179" s="98"/>
      <c r="M179" s="11"/>
      <c r="P179" s="11"/>
      <c r="Q179" s="11"/>
      <c r="R179" s="129">
        <f>IF(E179="地区代表者",COUNTA($D$1:$D179),0)</f>
        <v>0</v>
      </c>
      <c r="S179" s="129">
        <f>IF(F179="実施済",1,0)</f>
        <v>0</v>
      </c>
      <c r="T179" s="258"/>
      <c r="U179" s="129">
        <f>IF(AND(H179="実施済",I179="実施済"),S179*1,0)</f>
        <v>0</v>
      </c>
      <c r="V179" s="129">
        <f>IF(J179="実施済",$U179*1,0)</f>
        <v>0</v>
      </c>
      <c r="W179" s="258"/>
      <c r="X179" s="129">
        <f t="shared" si="92"/>
        <v>0</v>
      </c>
      <c r="Y179" s="129">
        <f>MIN($X$177:$X$181)+1</f>
        <v>1</v>
      </c>
      <c r="Z179" s="129">
        <f t="shared" si="93"/>
        <v>0</v>
      </c>
      <c r="AA179" s="129" t="str" cm="1">
        <f t="array" ref="AA179">_xlfn.IFS(Y179=4,"A",Y179=3,"B",Y179=2,"C",Y179=1,"D")</f>
        <v>D</v>
      </c>
      <c r="AB179" s="129"/>
    </row>
    <row r="180" spans="1:28" s="2" customFormat="1" ht="9" customHeight="1">
      <c r="A180"/>
      <c r="B180" s="65"/>
      <c r="C180" s="4"/>
      <c r="D180" s="307"/>
      <c r="E180" s="308"/>
      <c r="F180" s="308"/>
      <c r="G180" s="308"/>
      <c r="H180" s="308"/>
      <c r="I180" s="308"/>
      <c r="J180" s="308"/>
      <c r="K180" s="308"/>
      <c r="L180" s="9"/>
      <c r="M180"/>
      <c r="P180"/>
      <c r="Q180"/>
      <c r="R180" s="215">
        <f>IF(E180="地区代表者",COUNTA($D$1:$D180),0)</f>
        <v>0</v>
      </c>
      <c r="S180" s="215">
        <f t="shared" ref="S180:S181" si="94">IF(F180="実施済",1,0)</f>
        <v>0</v>
      </c>
      <c r="T180" s="316"/>
      <c r="U180" s="215">
        <f t="shared" ref="U180:U181" si="95">IF(AND(H180="実施済",I180="実施済"),S180*1,0)</f>
        <v>0</v>
      </c>
      <c r="V180" s="215">
        <f t="shared" ref="V180:V181" si="96">IF(J180="実施済",$U180*1,0)</f>
        <v>0</v>
      </c>
      <c r="W180" s="316"/>
      <c r="X180" s="215" t="str">
        <f t="shared" si="92"/>
        <v/>
      </c>
      <c r="Y180" s="215">
        <f>MIN($X$177:$X$181)+1</f>
        <v>1</v>
      </c>
      <c r="Z180" s="215">
        <f t="shared" si="93"/>
        <v>1</v>
      </c>
      <c r="AA180" s="215" t="str" cm="1">
        <f t="array" ref="AA180">_xlfn.IFS(Y180=4,"A",Y180=3,"B",Y180=2,"C",Y180=1,"D")</f>
        <v>D</v>
      </c>
      <c r="AB180" s="215"/>
    </row>
    <row r="181" spans="1:28" s="2" customFormat="1" ht="6" customHeight="1">
      <c r="A181"/>
      <c r="B181"/>
      <c r="C181"/>
      <c r="D181" s="309"/>
      <c r="E181" s="310"/>
      <c r="F181" s="310"/>
      <c r="G181" s="310"/>
      <c r="H181" s="310"/>
      <c r="I181" s="310"/>
      <c r="J181" s="310"/>
      <c r="K181" s="310"/>
      <c r="L181"/>
      <c r="M181"/>
      <c r="P181"/>
      <c r="Q181"/>
      <c r="R181" s="215">
        <f>IF(E181="地区代表者",COUNTA($D$1:$D181),0)</f>
        <v>0</v>
      </c>
      <c r="S181" s="215">
        <f t="shared" si="94"/>
        <v>0</v>
      </c>
      <c r="T181" s="316"/>
      <c r="U181" s="215">
        <f t="shared" si="95"/>
        <v>0</v>
      </c>
      <c r="V181" s="215">
        <f t="shared" si="96"/>
        <v>0</v>
      </c>
      <c r="W181" s="316"/>
      <c r="X181" s="215" t="str">
        <f t="shared" si="92"/>
        <v/>
      </c>
      <c r="Y181" s="215">
        <f>MIN($X$177:$X$181)+1</f>
        <v>1</v>
      </c>
      <c r="Z181" s="215">
        <f t="shared" si="93"/>
        <v>1</v>
      </c>
      <c r="AA181" s="215" t="str" cm="1">
        <f t="array" ref="AA181">_xlfn.IFS(Y181=4,"A",Y181=3,"B",Y181=2,"C",Y181=1,"D")</f>
        <v>D</v>
      </c>
      <c r="AB181" s="215"/>
    </row>
    <row r="182" spans="1:28" ht="96" customHeight="1">
      <c r="C182" s="78"/>
      <c r="D182" s="79"/>
      <c r="E182" s="72" t="s">
        <v>236</v>
      </c>
      <c r="F182" s="1452"/>
      <c r="G182" s="1452"/>
      <c r="H182" s="1452"/>
      <c r="I182" s="1452"/>
      <c r="J182" s="1452"/>
      <c r="K182" s="1452"/>
      <c r="L182" s="80" t="s">
        <v>132</v>
      </c>
      <c r="M182" s="290"/>
    </row>
    <row r="183" spans="1:28" ht="96" customHeight="1">
      <c r="C183" s="75"/>
      <c r="D183" s="68"/>
      <c r="E183" s="72" t="s">
        <v>237</v>
      </c>
      <c r="F183" s="1452"/>
      <c r="G183" s="1452"/>
      <c r="H183" s="1452"/>
      <c r="I183" s="1452"/>
      <c r="J183" s="1452"/>
      <c r="K183" s="1452"/>
    </row>
    <row r="184" spans="1:28" ht="18.5" thickBot="1">
      <c r="A184" s="81"/>
      <c r="B184" s="81"/>
      <c r="C184" s="81"/>
      <c r="D184" s="81"/>
      <c r="E184" s="311"/>
      <c r="F184" s="81"/>
      <c r="G184" s="81"/>
      <c r="H184" s="81"/>
      <c r="I184" s="81"/>
      <c r="J184" s="81"/>
      <c r="K184" s="81"/>
      <c r="L184" s="81"/>
      <c r="M184" s="82"/>
    </row>
    <row r="186" spans="1:28" ht="9" customHeight="1">
      <c r="B186" s="10"/>
      <c r="C186" s="5"/>
      <c r="D186" s="5"/>
      <c r="E186" s="305"/>
      <c r="F186" s="5"/>
      <c r="G186" s="5"/>
      <c r="H186" s="5"/>
      <c r="I186" s="5"/>
      <c r="J186" s="5"/>
      <c r="K186" s="5"/>
      <c r="L186" s="6"/>
      <c r="M186"/>
      <c r="N186"/>
      <c r="O186"/>
      <c r="R186" t="str">
        <f>D187</f>
        <v>(選択してください)</v>
      </c>
    </row>
    <row r="187" spans="1:28">
      <c r="B187" s="7"/>
      <c r="C187" s="77" t="str">
        <f ca="1">IFERROR(OFFSET('4.2民生電力需要量'!$C$1,MATCH(D187,'4.2民生電力需要量'!$E:$E,0)-1,0),"")</f>
        <v/>
      </c>
      <c r="D187" s="94" t="s">
        <v>130</v>
      </c>
      <c r="E187" s="72" t="s">
        <v>131</v>
      </c>
      <c r="F187" s="1446" t="str">
        <f ca="1">IFERROR(OFFSET('4.2民生電力需要量'!$G$1,MATCH($D187,'4.2民生電力需要量'!$E:$E,0)-1,0),"")</f>
        <v/>
      </c>
      <c r="G187" s="1446"/>
      <c r="H187" s="1446"/>
      <c r="I187" s="1446"/>
      <c r="J187" s="1446"/>
      <c r="K187" s="1446"/>
      <c r="L187" s="8"/>
      <c r="M187"/>
      <c r="N187"/>
      <c r="O187"/>
      <c r="R187" s="175" t="str">
        <f ca="1">IFERROR(OFFSET('4.2民生電力需要量'!$G$1,MATCH($D187,'4.2民生電力需要量'!$E:$E,0)-1,0),"")</f>
        <v/>
      </c>
      <c r="S187" s="175"/>
      <c r="T187" s="175"/>
      <c r="U187" s="175"/>
      <c r="V187" s="175"/>
      <c r="W187" s="175"/>
      <c r="X187" s="175"/>
      <c r="Y187" s="175"/>
      <c r="Z187" s="175"/>
      <c r="AA187" s="175"/>
      <c r="AB187" s="175">
        <f ca="1">(F187=R187)*1</f>
        <v>1</v>
      </c>
    </row>
    <row r="188" spans="1:28">
      <c r="B188" s="7"/>
      <c r="C188" s="915"/>
      <c r="D188" s="97"/>
      <c r="E188" s="72" t="s">
        <v>612</v>
      </c>
      <c r="F188" s="1447" t="str">
        <f ca="1">IFERROR(OFFSET('4.2民生電力需要量'!$L$1,MATCH($D187,'4.2民生電力需要量'!$E:$E,0)-1,0),"")</f>
        <v/>
      </c>
      <c r="G188" s="1448"/>
      <c r="H188" s="1448"/>
      <c r="I188" s="1448"/>
      <c r="J188" s="1448"/>
      <c r="K188" s="1449"/>
      <c r="L188" s="8"/>
      <c r="M188"/>
      <c r="N188"/>
      <c r="O188"/>
      <c r="R188" s="175" t="str">
        <f ca="1">IFERROR(OFFSET('4.2民生電力需要量'!$L$1,MATCH($D187,'4.2民生電力需要量'!$E:$E,0)-1,0),"")</f>
        <v/>
      </c>
      <c r="S188" s="175"/>
      <c r="T188" s="175"/>
      <c r="U188" s="175"/>
      <c r="V188" s="175"/>
      <c r="W188" s="175"/>
      <c r="X188" s="175"/>
      <c r="Y188" s="175"/>
      <c r="Z188" s="175"/>
      <c r="AA188" s="175"/>
      <c r="AB188" s="175">
        <f ca="1">(F188=R188)*1</f>
        <v>1</v>
      </c>
    </row>
    <row r="189" spans="1:28">
      <c r="B189" s="7"/>
      <c r="C189" s="74"/>
      <c r="D189" s="66"/>
      <c r="E189" s="72" t="s">
        <v>220</v>
      </c>
      <c r="F189" s="1450" t="str">
        <f ca="1">IFERROR(OFFSET('4.2民生電力需要量'!$I$1,MATCH($D187,'4.2民生電力需要量'!$E:$E,0)-1,0),"")</f>
        <v/>
      </c>
      <c r="G189" s="1450"/>
      <c r="H189" s="1450"/>
      <c r="I189" s="1450"/>
      <c r="J189" s="1450"/>
      <c r="K189" s="1450"/>
      <c r="L189" s="8"/>
      <c r="M189"/>
      <c r="N189"/>
      <c r="O189"/>
      <c r="R189" s="175" t="str">
        <f ca="1">IFERROR(OFFSET('4.2民生電力需要量'!$I$1,MATCH($D187,'4.2民生電力需要量'!$E:$E,0)-1,0),"")</f>
        <v/>
      </c>
      <c r="S189" s="175"/>
      <c r="T189" s="175"/>
      <c r="U189" s="175"/>
      <c r="V189" s="175"/>
      <c r="W189" s="175"/>
      <c r="X189" s="175"/>
      <c r="Y189" s="175"/>
      <c r="Z189" s="175"/>
      <c r="AA189" s="175"/>
      <c r="AB189" s="175">
        <f t="shared" ref="AB189:AB190" ca="1" si="97">(F189=R189)*1</f>
        <v>1</v>
      </c>
    </row>
    <row r="190" spans="1:28">
      <c r="B190" s="7"/>
      <c r="C190" s="74"/>
      <c r="D190" s="66"/>
      <c r="E190" s="72" t="s">
        <v>175</v>
      </c>
      <c r="F190" s="1451" t="str">
        <f>_xlfn.IFNA(R190,"")</f>
        <v/>
      </c>
      <c r="G190" s="1451"/>
      <c r="H190" s="1451"/>
      <c r="I190" s="1451"/>
      <c r="J190" s="1451"/>
      <c r="K190" s="1451"/>
      <c r="L190" s="8"/>
      <c r="M190"/>
      <c r="N190"/>
      <c r="O190"/>
      <c r="R190" s="215" t="str">
        <f>IF(PRODUCT($Z192:$Z196)=1,AA192,"")</f>
        <v/>
      </c>
      <c r="S190" s="175"/>
      <c r="T190" s="175"/>
      <c r="U190" s="175"/>
      <c r="V190" s="175"/>
      <c r="W190" s="175"/>
      <c r="X190" s="175"/>
      <c r="Y190" s="175"/>
      <c r="Z190" s="175"/>
      <c r="AA190" s="175"/>
      <c r="AB190" s="175">
        <f t="shared" si="97"/>
        <v>1</v>
      </c>
    </row>
    <row r="191" spans="1:28" s="2" customFormat="1" ht="60">
      <c r="A191"/>
      <c r="B191" s="7"/>
      <c r="C191" s="74"/>
      <c r="D191" s="66"/>
      <c r="E191" s="306"/>
      <c r="F191" s="312" t="s">
        <v>299</v>
      </c>
      <c r="G191" s="313" t="s">
        <v>300</v>
      </c>
      <c r="H191" s="313" t="s">
        <v>301</v>
      </c>
      <c r="I191" s="313" t="s">
        <v>302</v>
      </c>
      <c r="J191" s="313" t="s">
        <v>429</v>
      </c>
      <c r="K191" s="313" t="s">
        <v>270</v>
      </c>
      <c r="L191" s="8"/>
      <c r="M191"/>
      <c r="P191"/>
      <c r="Q191"/>
      <c r="R191" s="294" t="s">
        <v>298</v>
      </c>
      <c r="S191" s="294" t="s">
        <v>299</v>
      </c>
      <c r="T191" s="314" t="s">
        <v>423</v>
      </c>
      <c r="U191" s="294" t="s">
        <v>424</v>
      </c>
      <c r="V191" s="294" t="s">
        <v>422</v>
      </c>
      <c r="W191" s="315" t="s">
        <v>270</v>
      </c>
      <c r="X191" s="294" t="s">
        <v>426</v>
      </c>
      <c r="Y191" s="215" t="s">
        <v>402</v>
      </c>
      <c r="Z191" s="215" t="s">
        <v>430</v>
      </c>
      <c r="AA191" s="294" t="s">
        <v>425</v>
      </c>
      <c r="AB191" s="294"/>
    </row>
    <row r="192" spans="1:28" s="99" customFormat="1" ht="18.75" hidden="1" customHeight="1">
      <c r="A192" s="11"/>
      <c r="B192" s="95"/>
      <c r="C192" s="96"/>
      <c r="D192" s="97"/>
      <c r="E192" s="438"/>
      <c r="F192" s="439"/>
      <c r="G192" s="439"/>
      <c r="H192" s="439"/>
      <c r="I192" s="439"/>
      <c r="J192" s="439"/>
      <c r="K192" s="439"/>
      <c r="L192" s="98"/>
      <c r="M192" s="11"/>
      <c r="Q192" s="11"/>
      <c r="R192" s="129">
        <f>IF(E192="地区代表者",COUNTA($D$1:$D192),0)</f>
        <v>0</v>
      </c>
      <c r="S192" s="129">
        <f t="shared" ref="S192:S193" si="98">IF(F192="実施済",1,0)</f>
        <v>0</v>
      </c>
      <c r="T192" s="258"/>
      <c r="U192" s="129">
        <f t="shared" ref="U192:U193" si="99">IF(AND(H192="実施済",I192="実施済"),S192*1,0)</f>
        <v>0</v>
      </c>
      <c r="V192" s="129">
        <f>IF(J192="実施済",$U192*1,0)</f>
        <v>0</v>
      </c>
      <c r="W192" s="258"/>
      <c r="X192" s="129" t="str">
        <f>IF(E192="","",IF(R192*S192&gt;0,3,SUM(S192,U192,V192)))</f>
        <v/>
      </c>
      <c r="Y192" s="129">
        <f>MIN($X$192:$X$196)+1</f>
        <v>1</v>
      </c>
      <c r="Z192" s="129">
        <f>IF(E192="",1,IF(R192&gt;0,IF(COUNTA($F192:$K192)=2,1,0),IF(COUNTA($F192:$K192)=6,1,0)))</f>
        <v>1</v>
      </c>
      <c r="AA192" s="129" t="str" cm="1">
        <f t="array" ref="AA192">_xlfn.IFS(Y192=4,"A",Y192=3,"B",Y192=2,"C",Y192=1,"D")</f>
        <v>D</v>
      </c>
      <c r="AB192" s="129" t="str" cm="1">
        <f t="array" ref="AB192">_xlfn.IFS(Z192=4,"A",Z192=3,"B",Z192=2,"C",Z192=1,"D")</f>
        <v>D</v>
      </c>
    </row>
    <row r="193" spans="1:28" s="99" customFormat="1" ht="18.75" customHeight="1">
      <c r="A193" s="11"/>
      <c r="B193" s="95"/>
      <c r="C193" s="96"/>
      <c r="D193" s="97"/>
      <c r="E193" s="440" t="s">
        <v>298</v>
      </c>
      <c r="F193" s="441"/>
      <c r="G193" s="839"/>
      <c r="H193" s="839"/>
      <c r="I193" s="839"/>
      <c r="J193" s="839"/>
      <c r="K193" s="441"/>
      <c r="L193" s="98"/>
      <c r="M193" s="11"/>
      <c r="Q193" s="11"/>
      <c r="R193" s="129">
        <f>IF(E193="地区代表者",COUNTA($D$1:$D193),0)</f>
        <v>13</v>
      </c>
      <c r="S193" s="129">
        <f t="shared" si="98"/>
        <v>0</v>
      </c>
      <c r="T193" s="258"/>
      <c r="U193" s="129">
        <f t="shared" si="99"/>
        <v>0</v>
      </c>
      <c r="V193" s="129">
        <f>IF(J193="実施済",$U193*1,0)</f>
        <v>0</v>
      </c>
      <c r="W193" s="258"/>
      <c r="X193" s="129">
        <f t="shared" ref="X193:X196" si="100">IF(E193="","",IF(R193*S193&gt;0,3,SUM(S193,U193,V193)))</f>
        <v>0</v>
      </c>
      <c r="Y193" s="129">
        <f>MIN($X$192:$X$196)+1</f>
        <v>1</v>
      </c>
      <c r="Z193" s="129">
        <f t="shared" ref="Z193:Z196" si="101">IF(E193="",1,IF(R193&gt;0,IF(COUNTA($F193:$K193)=2,1,0),IF(COUNTA($F193:$K193)=6,1,0)))</f>
        <v>0</v>
      </c>
      <c r="AA193" s="129" t="str" cm="1">
        <f t="array" ref="AA193">_xlfn.IFS(Y193=4,"A",Y193=3,"B",Y193=2,"C",Y193=1,"D")</f>
        <v>D</v>
      </c>
      <c r="AB193" s="129"/>
    </row>
    <row r="194" spans="1:28" s="99" customFormat="1" ht="18.75" customHeight="1">
      <c r="A194" s="11"/>
      <c r="B194" s="95"/>
      <c r="C194" s="96"/>
      <c r="D194" s="97"/>
      <c r="E194" s="440" t="s">
        <v>116</v>
      </c>
      <c r="F194" s="441"/>
      <c r="G194" s="441"/>
      <c r="H194" s="441"/>
      <c r="I194" s="441"/>
      <c r="J194" s="441"/>
      <c r="K194" s="441"/>
      <c r="L194" s="98"/>
      <c r="M194" s="11"/>
      <c r="P194" s="11"/>
      <c r="Q194" s="11"/>
      <c r="R194" s="129">
        <f>IF(E194="地区代表者",COUNTA($D$1:$D194),0)</f>
        <v>0</v>
      </c>
      <c r="S194" s="129">
        <f>IF(F194="実施済",1,0)</f>
        <v>0</v>
      </c>
      <c r="T194" s="258"/>
      <c r="U194" s="129">
        <f>IF(AND(H194="実施済",I194="実施済"),S194*1,0)</f>
        <v>0</v>
      </c>
      <c r="V194" s="129">
        <f>IF(J194="実施済",$U194*1,0)</f>
        <v>0</v>
      </c>
      <c r="W194" s="258"/>
      <c r="X194" s="129">
        <f t="shared" si="100"/>
        <v>0</v>
      </c>
      <c r="Y194" s="129">
        <f>MIN($X$192:$X$196)+1</f>
        <v>1</v>
      </c>
      <c r="Z194" s="129">
        <f t="shared" si="101"/>
        <v>0</v>
      </c>
      <c r="AA194" s="129" t="str" cm="1">
        <f t="array" ref="AA194">_xlfn.IFS(Y194=4,"A",Y194=3,"B",Y194=2,"C",Y194=1,"D")</f>
        <v>D</v>
      </c>
      <c r="AB194" s="129"/>
    </row>
    <row r="195" spans="1:28" s="2" customFormat="1" ht="9" customHeight="1">
      <c r="A195"/>
      <c r="B195" s="65"/>
      <c r="C195" s="4"/>
      <c r="D195" s="307"/>
      <c r="E195" s="308"/>
      <c r="F195" s="308"/>
      <c r="G195" s="308"/>
      <c r="H195" s="308"/>
      <c r="I195" s="308"/>
      <c r="J195" s="308"/>
      <c r="K195" s="308"/>
      <c r="L195" s="9"/>
      <c r="M195"/>
      <c r="P195"/>
      <c r="Q195"/>
      <c r="R195" s="215">
        <f>IF(E195="地区代表者",COUNTA($D$1:$D195),0)</f>
        <v>0</v>
      </c>
      <c r="S195" s="215">
        <f t="shared" ref="S195:S196" si="102">IF(F195="実施済",1,0)</f>
        <v>0</v>
      </c>
      <c r="T195" s="316"/>
      <c r="U195" s="215">
        <f t="shared" ref="U195:U196" si="103">IF(AND(H195="実施済",I195="実施済"),S195*1,0)</f>
        <v>0</v>
      </c>
      <c r="V195" s="215">
        <f t="shared" ref="V195:V196" si="104">IF(J195="実施済",$U195*1,0)</f>
        <v>0</v>
      </c>
      <c r="W195" s="316"/>
      <c r="X195" s="215" t="str">
        <f t="shared" si="100"/>
        <v/>
      </c>
      <c r="Y195" s="215">
        <f>MIN($X$192:$X$196)+1</f>
        <v>1</v>
      </c>
      <c r="Z195" s="215">
        <f t="shared" si="101"/>
        <v>1</v>
      </c>
      <c r="AA195" s="215" t="str" cm="1">
        <f t="array" ref="AA195">_xlfn.IFS(Y195=4,"A",Y195=3,"B",Y195=2,"C",Y195=1,"D")</f>
        <v>D</v>
      </c>
      <c r="AB195" s="215"/>
    </row>
    <row r="196" spans="1:28" s="2" customFormat="1" ht="6" customHeight="1">
      <c r="A196"/>
      <c r="B196"/>
      <c r="C196"/>
      <c r="D196" s="309"/>
      <c r="E196" s="310"/>
      <c r="F196" s="310"/>
      <c r="G196" s="310"/>
      <c r="H196" s="310"/>
      <c r="I196" s="310"/>
      <c r="J196" s="310"/>
      <c r="K196" s="310"/>
      <c r="L196"/>
      <c r="M196"/>
      <c r="P196"/>
      <c r="Q196"/>
      <c r="R196" s="215">
        <f>IF(E196="地区代表者",COUNTA($D$1:$D196),0)</f>
        <v>0</v>
      </c>
      <c r="S196" s="215">
        <f t="shared" si="102"/>
        <v>0</v>
      </c>
      <c r="T196" s="316"/>
      <c r="U196" s="215">
        <f t="shared" si="103"/>
        <v>0</v>
      </c>
      <c r="V196" s="215">
        <f t="shared" si="104"/>
        <v>0</v>
      </c>
      <c r="W196" s="316"/>
      <c r="X196" s="215" t="str">
        <f t="shared" si="100"/>
        <v/>
      </c>
      <c r="Y196" s="215">
        <f>MIN($X$192:$X$196)+1</f>
        <v>1</v>
      </c>
      <c r="Z196" s="215">
        <f t="shared" si="101"/>
        <v>1</v>
      </c>
      <c r="AA196" s="215" t="str" cm="1">
        <f t="array" ref="AA196">_xlfn.IFS(Y196=4,"A",Y196=3,"B",Y196=2,"C",Y196=1,"D")</f>
        <v>D</v>
      </c>
      <c r="AB196" s="215"/>
    </row>
    <row r="197" spans="1:28" ht="96" customHeight="1">
      <c r="C197" s="78"/>
      <c r="D197" s="79"/>
      <c r="E197" s="72" t="s">
        <v>236</v>
      </c>
      <c r="F197" s="1452"/>
      <c r="G197" s="1452"/>
      <c r="H197" s="1452"/>
      <c r="I197" s="1452"/>
      <c r="J197" s="1452"/>
      <c r="K197" s="1452"/>
      <c r="L197" s="80" t="s">
        <v>132</v>
      </c>
      <c r="M197" s="290"/>
    </row>
    <row r="198" spans="1:28" ht="96" customHeight="1">
      <c r="C198" s="75"/>
      <c r="D198" s="68"/>
      <c r="E198" s="72" t="s">
        <v>237</v>
      </c>
      <c r="F198" s="1452"/>
      <c r="G198" s="1452"/>
      <c r="H198" s="1452"/>
      <c r="I198" s="1452"/>
      <c r="J198" s="1452"/>
      <c r="K198" s="1452"/>
    </row>
    <row r="199" spans="1:28" ht="18.5" thickBot="1">
      <c r="A199" s="81"/>
      <c r="B199" s="81"/>
      <c r="C199" s="81"/>
      <c r="D199" s="81"/>
      <c r="E199" s="311"/>
      <c r="F199" s="81"/>
      <c r="G199" s="81"/>
      <c r="H199" s="81"/>
      <c r="I199" s="81"/>
      <c r="J199" s="81"/>
      <c r="K199" s="81"/>
      <c r="L199" s="81"/>
      <c r="M199" s="82"/>
    </row>
    <row r="201" spans="1:28" ht="9" customHeight="1">
      <c r="B201" s="10"/>
      <c r="C201" s="5"/>
      <c r="D201" s="5"/>
      <c r="E201" s="305"/>
      <c r="F201" s="5"/>
      <c r="G201" s="5"/>
      <c r="H201" s="5"/>
      <c r="I201" s="5"/>
      <c r="J201" s="5"/>
      <c r="K201" s="5"/>
      <c r="L201" s="6"/>
      <c r="M201"/>
      <c r="N201"/>
      <c r="O201"/>
      <c r="R201" t="str">
        <f>D202</f>
        <v>(選択してください)</v>
      </c>
    </row>
    <row r="202" spans="1:28">
      <c r="B202" s="7"/>
      <c r="C202" s="77" t="str">
        <f ca="1">IFERROR(OFFSET('4.2民生電力需要量'!$C$1,MATCH(D202,'4.2民生電力需要量'!$E:$E,0)-1,0),"")</f>
        <v/>
      </c>
      <c r="D202" s="94" t="s">
        <v>130</v>
      </c>
      <c r="E202" s="72" t="s">
        <v>131</v>
      </c>
      <c r="F202" s="1446" t="str">
        <f ca="1">IFERROR(OFFSET('4.2民生電力需要量'!$G$1,MATCH($D202,'4.2民生電力需要量'!$E:$E,0)-1,0),"")</f>
        <v/>
      </c>
      <c r="G202" s="1446"/>
      <c r="H202" s="1446"/>
      <c r="I202" s="1446"/>
      <c r="J202" s="1446"/>
      <c r="K202" s="1446"/>
      <c r="L202" s="8"/>
      <c r="M202"/>
      <c r="N202"/>
      <c r="O202"/>
      <c r="R202" s="175" t="str">
        <f ca="1">IFERROR(OFFSET('4.2民生電力需要量'!$G$1,MATCH($D202,'4.2民生電力需要量'!$E:$E,0)-1,0),"")</f>
        <v/>
      </c>
      <c r="S202" s="175"/>
      <c r="T202" s="175"/>
      <c r="U202" s="175"/>
      <c r="V202" s="175"/>
      <c r="W202" s="175"/>
      <c r="X202" s="175"/>
      <c r="Y202" s="175"/>
      <c r="Z202" s="175"/>
      <c r="AA202" s="175"/>
      <c r="AB202" s="175">
        <f ca="1">(F202=R202)*1</f>
        <v>1</v>
      </c>
    </row>
    <row r="203" spans="1:28">
      <c r="B203" s="7"/>
      <c r="C203" s="915"/>
      <c r="D203" s="97"/>
      <c r="E203" s="72" t="s">
        <v>612</v>
      </c>
      <c r="F203" s="1447" t="str">
        <f ca="1">IFERROR(OFFSET('4.2民生電力需要量'!$L$1,MATCH($D202,'4.2民生電力需要量'!$E:$E,0)-1,0),"")</f>
        <v/>
      </c>
      <c r="G203" s="1448"/>
      <c r="H203" s="1448"/>
      <c r="I203" s="1448"/>
      <c r="J203" s="1448"/>
      <c r="K203" s="1449"/>
      <c r="L203" s="8"/>
      <c r="M203"/>
      <c r="N203"/>
      <c r="O203"/>
      <c r="R203" s="175" t="str">
        <f ca="1">IFERROR(OFFSET('4.2民生電力需要量'!$L$1,MATCH($D202,'4.2民生電力需要量'!$E:$E,0)-1,0),"")</f>
        <v/>
      </c>
      <c r="S203" s="175"/>
      <c r="T203" s="175"/>
      <c r="U203" s="175"/>
      <c r="V203" s="175"/>
      <c r="W203" s="175"/>
      <c r="X203" s="175"/>
      <c r="Y203" s="175"/>
      <c r="Z203" s="175"/>
      <c r="AA203" s="175"/>
      <c r="AB203" s="175">
        <f ca="1">(F203=R203)*1</f>
        <v>1</v>
      </c>
    </row>
    <row r="204" spans="1:28">
      <c r="B204" s="7"/>
      <c r="C204" s="74"/>
      <c r="D204" s="66"/>
      <c r="E204" s="72" t="s">
        <v>220</v>
      </c>
      <c r="F204" s="1450" t="str">
        <f ca="1">IFERROR(OFFSET('4.2民生電力需要量'!$I$1,MATCH($D202,'4.2民生電力需要量'!$E:$E,0)-1,0),"")</f>
        <v/>
      </c>
      <c r="G204" s="1450"/>
      <c r="H204" s="1450"/>
      <c r="I204" s="1450"/>
      <c r="J204" s="1450"/>
      <c r="K204" s="1450"/>
      <c r="L204" s="8"/>
      <c r="M204"/>
      <c r="N204"/>
      <c r="O204"/>
      <c r="R204" s="175" t="str">
        <f ca="1">IFERROR(OFFSET('4.2民生電力需要量'!$I$1,MATCH($D202,'4.2民生電力需要量'!$E:$E,0)-1,0),"")</f>
        <v/>
      </c>
      <c r="S204" s="175"/>
      <c r="T204" s="175"/>
      <c r="U204" s="175"/>
      <c r="V204" s="175"/>
      <c r="W204" s="175"/>
      <c r="X204" s="175"/>
      <c r="Y204" s="175"/>
      <c r="Z204" s="175"/>
      <c r="AA204" s="175"/>
      <c r="AB204" s="175">
        <f t="shared" ref="AB204:AB205" ca="1" si="105">(F204=R204)*1</f>
        <v>1</v>
      </c>
    </row>
    <row r="205" spans="1:28">
      <c r="B205" s="7"/>
      <c r="C205" s="74"/>
      <c r="D205" s="66"/>
      <c r="E205" s="72" t="s">
        <v>175</v>
      </c>
      <c r="F205" s="1451" t="str">
        <f>_xlfn.IFNA(R205,"")</f>
        <v/>
      </c>
      <c r="G205" s="1451"/>
      <c r="H205" s="1451"/>
      <c r="I205" s="1451"/>
      <c r="J205" s="1451"/>
      <c r="K205" s="1451"/>
      <c r="L205" s="8"/>
      <c r="M205"/>
      <c r="N205"/>
      <c r="O205"/>
      <c r="R205" s="215" t="str">
        <f>IF(PRODUCT($Z207:$Z211)=1,AA207,"")</f>
        <v/>
      </c>
      <c r="S205" s="175"/>
      <c r="T205" s="175"/>
      <c r="U205" s="175"/>
      <c r="V205" s="175"/>
      <c r="W205" s="175"/>
      <c r="X205" s="175"/>
      <c r="Y205" s="175"/>
      <c r="Z205" s="175"/>
      <c r="AA205" s="175"/>
      <c r="AB205" s="175">
        <f t="shared" si="105"/>
        <v>1</v>
      </c>
    </row>
    <row r="206" spans="1:28" s="2" customFormat="1" ht="60">
      <c r="A206"/>
      <c r="B206" s="7"/>
      <c r="C206" s="74"/>
      <c r="D206" s="66"/>
      <c r="E206" s="306"/>
      <c r="F206" s="312" t="s">
        <v>299</v>
      </c>
      <c r="G206" s="313" t="s">
        <v>300</v>
      </c>
      <c r="H206" s="313" t="s">
        <v>301</v>
      </c>
      <c r="I206" s="313" t="s">
        <v>302</v>
      </c>
      <c r="J206" s="313" t="s">
        <v>429</v>
      </c>
      <c r="K206" s="313" t="s">
        <v>270</v>
      </c>
      <c r="L206" s="8"/>
      <c r="M206"/>
      <c r="P206"/>
      <c r="Q206"/>
      <c r="R206" s="294" t="s">
        <v>298</v>
      </c>
      <c r="S206" s="294" t="s">
        <v>299</v>
      </c>
      <c r="T206" s="314" t="s">
        <v>423</v>
      </c>
      <c r="U206" s="294" t="s">
        <v>424</v>
      </c>
      <c r="V206" s="294" t="s">
        <v>422</v>
      </c>
      <c r="W206" s="315" t="s">
        <v>270</v>
      </c>
      <c r="X206" s="294" t="s">
        <v>426</v>
      </c>
      <c r="Y206" s="215" t="s">
        <v>402</v>
      </c>
      <c r="Z206" s="215" t="s">
        <v>430</v>
      </c>
      <c r="AA206" s="294" t="s">
        <v>425</v>
      </c>
      <c r="AB206" s="294"/>
    </row>
    <row r="207" spans="1:28" s="99" customFormat="1" ht="18.75" hidden="1" customHeight="1">
      <c r="A207" s="11"/>
      <c r="B207" s="95"/>
      <c r="C207" s="96"/>
      <c r="D207" s="97"/>
      <c r="E207" s="438"/>
      <c r="F207" s="439"/>
      <c r="G207" s="439"/>
      <c r="H207" s="439"/>
      <c r="I207" s="439"/>
      <c r="J207" s="439"/>
      <c r="K207" s="439"/>
      <c r="L207" s="98"/>
      <c r="M207" s="11"/>
      <c r="Q207" s="11"/>
      <c r="R207" s="129">
        <f>IF(E207="地区代表者",COUNTA($D$1:$D207),0)</f>
        <v>0</v>
      </c>
      <c r="S207" s="129">
        <f t="shared" ref="S207:S208" si="106">IF(F207="実施済",1,0)</f>
        <v>0</v>
      </c>
      <c r="T207" s="258"/>
      <c r="U207" s="129">
        <f t="shared" ref="U207:U208" si="107">IF(AND(H207="実施済",I207="実施済"),S207*1,0)</f>
        <v>0</v>
      </c>
      <c r="V207" s="129">
        <f>IF(J207="実施済",$U207*1,0)</f>
        <v>0</v>
      </c>
      <c r="W207" s="258"/>
      <c r="X207" s="129" t="str">
        <f>IF(E207="","",IF(R207*S207&gt;0,3,SUM(S207,U207,V207)))</f>
        <v/>
      </c>
      <c r="Y207" s="129">
        <f>MIN($X$207:$X$211)+1</f>
        <v>1</v>
      </c>
      <c r="Z207" s="129">
        <f>IF(E207="",1,IF(R207&gt;0,IF(COUNTA($F207:$K207)=2,1,0),IF(COUNTA($F207:$K207)=6,1,0)))</f>
        <v>1</v>
      </c>
      <c r="AA207" s="129" t="str" cm="1">
        <f t="array" ref="AA207">_xlfn.IFS(Y207=4,"A",Y207=3,"B",Y207=2,"C",Y207=1,"D")</f>
        <v>D</v>
      </c>
      <c r="AB207" s="129" t="str" cm="1">
        <f t="array" ref="AB207">_xlfn.IFS(Z207=4,"A",Z207=3,"B",Z207=2,"C",Z207=1,"D")</f>
        <v>D</v>
      </c>
    </row>
    <row r="208" spans="1:28" s="99" customFormat="1" ht="18.75" customHeight="1">
      <c r="A208" s="11"/>
      <c r="B208" s="95"/>
      <c r="C208" s="96"/>
      <c r="D208" s="97"/>
      <c r="E208" s="440" t="s">
        <v>298</v>
      </c>
      <c r="F208" s="441"/>
      <c r="G208" s="839"/>
      <c r="H208" s="839"/>
      <c r="I208" s="839"/>
      <c r="J208" s="839"/>
      <c r="K208" s="441"/>
      <c r="L208" s="98"/>
      <c r="M208" s="11"/>
      <c r="Q208" s="11"/>
      <c r="R208" s="129">
        <f>IF(E208="地区代表者",COUNTA($D$1:$D208),0)</f>
        <v>14</v>
      </c>
      <c r="S208" s="129">
        <f t="shared" si="106"/>
        <v>0</v>
      </c>
      <c r="T208" s="258"/>
      <c r="U208" s="129">
        <f t="shared" si="107"/>
        <v>0</v>
      </c>
      <c r="V208" s="129">
        <f>IF(J208="実施済",$U208*1,0)</f>
        <v>0</v>
      </c>
      <c r="W208" s="258"/>
      <c r="X208" s="129">
        <f t="shared" ref="X208:X211" si="108">IF(E208="","",IF(R208*S208&gt;0,3,SUM(S208,U208,V208)))</f>
        <v>0</v>
      </c>
      <c r="Y208" s="129">
        <f>MIN($X$207:$X$211)+1</f>
        <v>1</v>
      </c>
      <c r="Z208" s="129">
        <f t="shared" ref="Z208:Z211" si="109">IF(E208="",1,IF(R208&gt;0,IF(COUNTA($F208:$K208)=2,1,0),IF(COUNTA($F208:$K208)=6,1,0)))</f>
        <v>0</v>
      </c>
      <c r="AA208" s="129" t="str" cm="1">
        <f t="array" ref="AA208">_xlfn.IFS(Y208=4,"A",Y208=3,"B",Y208=2,"C",Y208=1,"D")</f>
        <v>D</v>
      </c>
      <c r="AB208" s="129"/>
    </row>
    <row r="209" spans="1:28" s="99" customFormat="1" ht="18.75" customHeight="1">
      <c r="A209" s="11"/>
      <c r="B209" s="95"/>
      <c r="C209" s="96"/>
      <c r="D209" s="97"/>
      <c r="E209" s="440" t="s">
        <v>116</v>
      </c>
      <c r="F209" s="441"/>
      <c r="G209" s="441"/>
      <c r="H209" s="441"/>
      <c r="I209" s="441"/>
      <c r="J209" s="441"/>
      <c r="K209" s="441"/>
      <c r="L209" s="98"/>
      <c r="M209" s="11"/>
      <c r="P209" s="11"/>
      <c r="Q209" s="11"/>
      <c r="R209" s="129">
        <f>IF(E209="地区代表者",COUNTA($D$1:$D209),0)</f>
        <v>0</v>
      </c>
      <c r="S209" s="129">
        <f>IF(F209="実施済",1,0)</f>
        <v>0</v>
      </c>
      <c r="T209" s="258"/>
      <c r="U209" s="129">
        <f>IF(AND(H209="実施済",I209="実施済"),S209*1,0)</f>
        <v>0</v>
      </c>
      <c r="V209" s="129">
        <f>IF(J209="実施済",$U209*1,0)</f>
        <v>0</v>
      </c>
      <c r="W209" s="258"/>
      <c r="X209" s="129">
        <f t="shared" si="108"/>
        <v>0</v>
      </c>
      <c r="Y209" s="129">
        <f>MIN($X$207:$X$211)+1</f>
        <v>1</v>
      </c>
      <c r="Z209" s="129">
        <f t="shared" si="109"/>
        <v>0</v>
      </c>
      <c r="AA209" s="129" t="str" cm="1">
        <f t="array" ref="AA209">_xlfn.IFS(Y209=4,"A",Y209=3,"B",Y209=2,"C",Y209=1,"D")</f>
        <v>D</v>
      </c>
      <c r="AB209" s="129"/>
    </row>
    <row r="210" spans="1:28" s="2" customFormat="1" ht="9" customHeight="1">
      <c r="A210"/>
      <c r="B210" s="65"/>
      <c r="C210" s="4"/>
      <c r="D210" s="307"/>
      <c r="E210" s="308"/>
      <c r="F210" s="308"/>
      <c r="G210" s="308"/>
      <c r="H210" s="308"/>
      <c r="I210" s="308"/>
      <c r="J210" s="308"/>
      <c r="K210" s="308"/>
      <c r="L210" s="9"/>
      <c r="M210"/>
      <c r="P210"/>
      <c r="Q210"/>
      <c r="R210" s="215">
        <f>IF(E210="地区代表者",COUNTA($D$1:$D210),0)</f>
        <v>0</v>
      </c>
      <c r="S210" s="215">
        <f t="shared" ref="S210:S211" si="110">IF(F210="実施済",1,0)</f>
        <v>0</v>
      </c>
      <c r="T210" s="316"/>
      <c r="U210" s="215">
        <f t="shared" ref="U210:U211" si="111">IF(AND(H210="実施済",I210="実施済"),S210*1,0)</f>
        <v>0</v>
      </c>
      <c r="V210" s="215">
        <f t="shared" ref="V210:V211" si="112">IF(J210="実施済",$U210*1,0)</f>
        <v>0</v>
      </c>
      <c r="W210" s="316"/>
      <c r="X210" s="215" t="str">
        <f t="shared" si="108"/>
        <v/>
      </c>
      <c r="Y210" s="215">
        <f>MIN($X$207:$X$211)+1</f>
        <v>1</v>
      </c>
      <c r="Z210" s="215">
        <f t="shared" si="109"/>
        <v>1</v>
      </c>
      <c r="AA210" s="215" t="str" cm="1">
        <f t="array" ref="AA210">_xlfn.IFS(Y210=4,"A",Y210=3,"B",Y210=2,"C",Y210=1,"D")</f>
        <v>D</v>
      </c>
      <c r="AB210" s="215"/>
    </row>
    <row r="211" spans="1:28" s="2" customFormat="1" ht="6" customHeight="1">
      <c r="A211"/>
      <c r="B211"/>
      <c r="C211"/>
      <c r="D211" s="309"/>
      <c r="E211" s="310"/>
      <c r="F211" s="310"/>
      <c r="G211" s="310"/>
      <c r="H211" s="310"/>
      <c r="I211" s="310"/>
      <c r="J211" s="310"/>
      <c r="K211" s="310"/>
      <c r="L211"/>
      <c r="M211"/>
      <c r="P211"/>
      <c r="Q211"/>
      <c r="R211" s="215">
        <f>IF(E211="地区代表者",COUNTA($D$1:$D211),0)</f>
        <v>0</v>
      </c>
      <c r="S211" s="215">
        <f t="shared" si="110"/>
        <v>0</v>
      </c>
      <c r="T211" s="316"/>
      <c r="U211" s="215">
        <f t="shared" si="111"/>
        <v>0</v>
      </c>
      <c r="V211" s="215">
        <f t="shared" si="112"/>
        <v>0</v>
      </c>
      <c r="W211" s="316"/>
      <c r="X211" s="215" t="str">
        <f t="shared" si="108"/>
        <v/>
      </c>
      <c r="Y211" s="215">
        <f>MIN($X$207:$X$211)+1</f>
        <v>1</v>
      </c>
      <c r="Z211" s="215">
        <f t="shared" si="109"/>
        <v>1</v>
      </c>
      <c r="AA211" s="215" t="str" cm="1">
        <f t="array" ref="AA211">_xlfn.IFS(Y211=4,"A",Y211=3,"B",Y211=2,"C",Y211=1,"D")</f>
        <v>D</v>
      </c>
      <c r="AB211" s="215"/>
    </row>
    <row r="212" spans="1:28" ht="96" customHeight="1">
      <c r="C212" s="78"/>
      <c r="D212" s="79"/>
      <c r="E212" s="72" t="s">
        <v>236</v>
      </c>
      <c r="F212" s="1452"/>
      <c r="G212" s="1452"/>
      <c r="H212" s="1452"/>
      <c r="I212" s="1452"/>
      <c r="J212" s="1452"/>
      <c r="K212" s="1452"/>
      <c r="L212" s="80" t="s">
        <v>132</v>
      </c>
      <c r="M212" s="290"/>
    </row>
    <row r="213" spans="1:28" ht="96" customHeight="1">
      <c r="C213" s="75"/>
      <c r="D213" s="68"/>
      <c r="E213" s="72" t="s">
        <v>237</v>
      </c>
      <c r="F213" s="1452"/>
      <c r="G213" s="1452"/>
      <c r="H213" s="1452"/>
      <c r="I213" s="1452"/>
      <c r="J213" s="1452"/>
      <c r="K213" s="1452"/>
    </row>
    <row r="214" spans="1:28" ht="18.5" thickBot="1">
      <c r="A214" s="81"/>
      <c r="B214" s="81"/>
      <c r="C214" s="81"/>
      <c r="D214" s="81"/>
      <c r="E214" s="311"/>
      <c r="F214" s="81"/>
      <c r="G214" s="81"/>
      <c r="H214" s="81"/>
      <c r="I214" s="81"/>
      <c r="J214" s="81"/>
      <c r="K214" s="81"/>
      <c r="L214" s="81"/>
      <c r="M214" s="82"/>
    </row>
    <row r="216" spans="1:28" ht="9" customHeight="1">
      <c r="B216" s="10"/>
      <c r="C216" s="5"/>
      <c r="D216" s="5"/>
      <c r="E216" s="305"/>
      <c r="F216" s="5"/>
      <c r="G216" s="5"/>
      <c r="H216" s="5"/>
      <c r="I216" s="5"/>
      <c r="J216" s="5"/>
      <c r="K216" s="5"/>
      <c r="L216" s="6"/>
      <c r="M216"/>
      <c r="N216"/>
      <c r="O216"/>
      <c r="R216" t="str">
        <f>D217</f>
        <v>(選択してください)</v>
      </c>
    </row>
    <row r="217" spans="1:28">
      <c r="B217" s="7"/>
      <c r="C217" s="77" t="str">
        <f ca="1">IFERROR(OFFSET('4.2民生電力需要量'!$C$1,MATCH(D217,'4.2民生電力需要量'!$E:$E,0)-1,0),"")</f>
        <v/>
      </c>
      <c r="D217" s="94" t="s">
        <v>130</v>
      </c>
      <c r="E217" s="72" t="s">
        <v>131</v>
      </c>
      <c r="F217" s="1446" t="str">
        <f ca="1">IFERROR(OFFSET('4.2民生電力需要量'!$G$1,MATCH($D217,'4.2民生電力需要量'!$E:$E,0)-1,0),"")</f>
        <v/>
      </c>
      <c r="G217" s="1446"/>
      <c r="H217" s="1446"/>
      <c r="I217" s="1446"/>
      <c r="J217" s="1446"/>
      <c r="K217" s="1446"/>
      <c r="L217" s="8"/>
      <c r="M217"/>
      <c r="N217"/>
      <c r="O217"/>
      <c r="R217" s="175" t="str">
        <f ca="1">IFERROR(OFFSET('4.2民生電力需要量'!$G$1,MATCH($D217,'4.2民生電力需要量'!$E:$E,0)-1,0),"")</f>
        <v/>
      </c>
      <c r="S217" s="175"/>
      <c r="T217" s="175"/>
      <c r="U217" s="175"/>
      <c r="V217" s="175"/>
      <c r="W217" s="175"/>
      <c r="X217" s="175"/>
      <c r="Y217" s="175"/>
      <c r="Z217" s="175"/>
      <c r="AA217" s="175"/>
      <c r="AB217" s="175">
        <f ca="1">(F217=R217)*1</f>
        <v>1</v>
      </c>
    </row>
    <row r="218" spans="1:28">
      <c r="B218" s="7"/>
      <c r="C218" s="915"/>
      <c r="D218" s="97"/>
      <c r="E218" s="72" t="s">
        <v>612</v>
      </c>
      <c r="F218" s="1447" t="str">
        <f ca="1">IFERROR(OFFSET('4.2民生電力需要量'!$L$1,MATCH($D217,'4.2民生電力需要量'!$E:$E,0)-1,0),"")</f>
        <v/>
      </c>
      <c r="G218" s="1448"/>
      <c r="H218" s="1448"/>
      <c r="I218" s="1448"/>
      <c r="J218" s="1448"/>
      <c r="K218" s="1449"/>
      <c r="L218" s="8"/>
      <c r="M218"/>
      <c r="N218"/>
      <c r="O218"/>
      <c r="R218" s="175" t="str">
        <f ca="1">IFERROR(OFFSET('4.2民生電力需要量'!$L$1,MATCH($D217,'4.2民生電力需要量'!$E:$E,0)-1,0),"")</f>
        <v/>
      </c>
      <c r="S218" s="175"/>
      <c r="T218" s="175"/>
      <c r="U218" s="175"/>
      <c r="V218" s="175"/>
      <c r="W218" s="175"/>
      <c r="X218" s="175"/>
      <c r="Y218" s="175"/>
      <c r="Z218" s="175"/>
      <c r="AA218" s="175"/>
      <c r="AB218" s="175">
        <f ca="1">(F218=R218)*1</f>
        <v>1</v>
      </c>
    </row>
    <row r="219" spans="1:28">
      <c r="B219" s="7"/>
      <c r="C219" s="74"/>
      <c r="D219" s="66"/>
      <c r="E219" s="72" t="s">
        <v>220</v>
      </c>
      <c r="F219" s="1450" t="str">
        <f ca="1">IFERROR(OFFSET('4.2民生電力需要量'!$I$1,MATCH($D217,'4.2民生電力需要量'!$E:$E,0)-1,0),"")</f>
        <v/>
      </c>
      <c r="G219" s="1450"/>
      <c r="H219" s="1450"/>
      <c r="I219" s="1450"/>
      <c r="J219" s="1450"/>
      <c r="K219" s="1450"/>
      <c r="L219" s="8"/>
      <c r="M219"/>
      <c r="N219"/>
      <c r="O219"/>
      <c r="R219" s="175" t="str">
        <f ca="1">IFERROR(OFFSET('4.2民生電力需要量'!$I$1,MATCH($D217,'4.2民生電力需要量'!$E:$E,0)-1,0),"")</f>
        <v/>
      </c>
      <c r="S219" s="175"/>
      <c r="T219" s="175"/>
      <c r="U219" s="175"/>
      <c r="V219" s="175"/>
      <c r="W219" s="175"/>
      <c r="X219" s="175"/>
      <c r="Y219" s="175"/>
      <c r="Z219" s="175"/>
      <c r="AA219" s="175"/>
      <c r="AB219" s="175">
        <f t="shared" ref="AB219:AB220" ca="1" si="113">(F219=R219)*1</f>
        <v>1</v>
      </c>
    </row>
    <row r="220" spans="1:28">
      <c r="B220" s="7"/>
      <c r="C220" s="74"/>
      <c r="D220" s="66"/>
      <c r="E220" s="72" t="s">
        <v>175</v>
      </c>
      <c r="F220" s="1451" t="str">
        <f>_xlfn.IFNA(R220,"")</f>
        <v/>
      </c>
      <c r="G220" s="1451"/>
      <c r="H220" s="1451"/>
      <c r="I220" s="1451"/>
      <c r="J220" s="1451"/>
      <c r="K220" s="1451"/>
      <c r="L220" s="8"/>
      <c r="M220"/>
      <c r="N220"/>
      <c r="O220"/>
      <c r="R220" s="215" t="str">
        <f>IF(PRODUCT($Z222:$Z226)=1,AA222,"")</f>
        <v/>
      </c>
      <c r="S220" s="175"/>
      <c r="T220" s="175"/>
      <c r="U220" s="175"/>
      <c r="V220" s="175"/>
      <c r="W220" s="175"/>
      <c r="X220" s="175"/>
      <c r="Y220" s="175"/>
      <c r="Z220" s="175"/>
      <c r="AA220" s="175"/>
      <c r="AB220" s="175">
        <f t="shared" si="113"/>
        <v>1</v>
      </c>
    </row>
    <row r="221" spans="1:28" s="2" customFormat="1" ht="60">
      <c r="A221"/>
      <c r="B221" s="7"/>
      <c r="C221" s="74"/>
      <c r="D221" s="66"/>
      <c r="E221" s="306"/>
      <c r="F221" s="312" t="s">
        <v>299</v>
      </c>
      <c r="G221" s="313" t="s">
        <v>300</v>
      </c>
      <c r="H221" s="313" t="s">
        <v>301</v>
      </c>
      <c r="I221" s="313" t="s">
        <v>302</v>
      </c>
      <c r="J221" s="313" t="s">
        <v>429</v>
      </c>
      <c r="K221" s="313" t="s">
        <v>270</v>
      </c>
      <c r="L221" s="8"/>
      <c r="M221"/>
      <c r="P221"/>
      <c r="Q221"/>
      <c r="R221" s="294" t="s">
        <v>298</v>
      </c>
      <c r="S221" s="294" t="s">
        <v>299</v>
      </c>
      <c r="T221" s="314" t="s">
        <v>423</v>
      </c>
      <c r="U221" s="294" t="s">
        <v>424</v>
      </c>
      <c r="V221" s="294" t="s">
        <v>422</v>
      </c>
      <c r="W221" s="315" t="s">
        <v>270</v>
      </c>
      <c r="X221" s="294" t="s">
        <v>426</v>
      </c>
      <c r="Y221" s="215" t="s">
        <v>402</v>
      </c>
      <c r="Z221" s="215" t="s">
        <v>430</v>
      </c>
      <c r="AA221" s="294" t="s">
        <v>425</v>
      </c>
      <c r="AB221" s="294"/>
    </row>
    <row r="222" spans="1:28" s="99" customFormat="1" ht="18.75" hidden="1" customHeight="1">
      <c r="A222" s="11"/>
      <c r="B222" s="95"/>
      <c r="C222" s="96"/>
      <c r="D222" s="97"/>
      <c r="E222" s="438"/>
      <c r="F222" s="439"/>
      <c r="G222" s="439"/>
      <c r="H222" s="439"/>
      <c r="I222" s="439"/>
      <c r="J222" s="439"/>
      <c r="K222" s="439"/>
      <c r="L222" s="98"/>
      <c r="M222" s="11"/>
      <c r="Q222" s="11"/>
      <c r="R222" s="129">
        <f>IF(E222="地区代表者",COUNTA($D$1:$D222),0)</f>
        <v>0</v>
      </c>
      <c r="S222" s="129">
        <f t="shared" ref="S222:S223" si="114">IF(F222="実施済",1,0)</f>
        <v>0</v>
      </c>
      <c r="T222" s="258"/>
      <c r="U222" s="129">
        <f t="shared" ref="U222:U223" si="115">IF(AND(H222="実施済",I222="実施済"),S222*1,0)</f>
        <v>0</v>
      </c>
      <c r="V222" s="129">
        <f>IF(J222="実施済",$U222*1,0)</f>
        <v>0</v>
      </c>
      <c r="W222" s="258"/>
      <c r="X222" s="129" t="str">
        <f>IF(E222="","",IF(R222*S222&gt;0,3,SUM(S222,U222,V222)))</f>
        <v/>
      </c>
      <c r="Y222" s="129">
        <f>MIN($X$222:$X$226)+1</f>
        <v>1</v>
      </c>
      <c r="Z222" s="129">
        <f>IF(E222="",1,IF(R222&gt;0,IF(COUNTA($F222:$K222)=2,1,0),IF(COUNTA($F222:$K222)=6,1,0)))</f>
        <v>1</v>
      </c>
      <c r="AA222" s="129" t="str" cm="1">
        <f t="array" ref="AA222">_xlfn.IFS(Y222=4,"A",Y222=3,"B",Y222=2,"C",Y222=1,"D")</f>
        <v>D</v>
      </c>
      <c r="AB222" s="129" t="str" cm="1">
        <f t="array" ref="AB222">_xlfn.IFS(Z222=4,"A",Z222=3,"B",Z222=2,"C",Z222=1,"D")</f>
        <v>D</v>
      </c>
    </row>
    <row r="223" spans="1:28" s="99" customFormat="1" ht="18.75" customHeight="1">
      <c r="A223" s="11"/>
      <c r="B223" s="95"/>
      <c r="C223" s="96"/>
      <c r="D223" s="97"/>
      <c r="E223" s="440" t="s">
        <v>298</v>
      </c>
      <c r="F223" s="441"/>
      <c r="G223" s="839"/>
      <c r="H223" s="839"/>
      <c r="I223" s="839"/>
      <c r="J223" s="839"/>
      <c r="K223" s="441"/>
      <c r="L223" s="98"/>
      <c r="M223" s="11"/>
      <c r="Q223" s="11"/>
      <c r="R223" s="129">
        <f>IF(E223="地区代表者",COUNTA($D$1:$D223),0)</f>
        <v>15</v>
      </c>
      <c r="S223" s="129">
        <f t="shared" si="114"/>
        <v>0</v>
      </c>
      <c r="T223" s="258"/>
      <c r="U223" s="129">
        <f t="shared" si="115"/>
        <v>0</v>
      </c>
      <c r="V223" s="129">
        <f>IF(J223="実施済",$U223*1,0)</f>
        <v>0</v>
      </c>
      <c r="W223" s="258"/>
      <c r="X223" s="129">
        <f t="shared" ref="X223:X226" si="116">IF(E223="","",IF(R223*S223&gt;0,3,SUM(S223,U223,V223)))</f>
        <v>0</v>
      </c>
      <c r="Y223" s="129">
        <f>MIN($X$222:$X$226)+1</f>
        <v>1</v>
      </c>
      <c r="Z223" s="129">
        <f t="shared" ref="Z223:Z226" si="117">IF(E223="",1,IF(R223&gt;0,IF(COUNTA($F223:$K223)=2,1,0),IF(COUNTA($F223:$K223)=6,1,0)))</f>
        <v>0</v>
      </c>
      <c r="AA223" s="129" t="str" cm="1">
        <f t="array" ref="AA223">_xlfn.IFS(Y223=4,"A",Y223=3,"B",Y223=2,"C",Y223=1,"D")</f>
        <v>D</v>
      </c>
      <c r="AB223" s="129"/>
    </row>
    <row r="224" spans="1:28" s="99" customFormat="1" ht="18.75" customHeight="1">
      <c r="A224" s="11"/>
      <c r="B224" s="95"/>
      <c r="C224" s="96"/>
      <c r="D224" s="97"/>
      <c r="E224" s="440" t="s">
        <v>116</v>
      </c>
      <c r="F224" s="441"/>
      <c r="G224" s="441"/>
      <c r="H224" s="441"/>
      <c r="I224" s="441"/>
      <c r="J224" s="441"/>
      <c r="K224" s="441"/>
      <c r="L224" s="98"/>
      <c r="M224" s="11"/>
      <c r="P224" s="11"/>
      <c r="Q224" s="11"/>
      <c r="R224" s="129">
        <f>IF(E224="地区代表者",COUNTA($D$1:$D224),0)</f>
        <v>0</v>
      </c>
      <c r="S224" s="129">
        <f>IF(F224="実施済",1,0)</f>
        <v>0</v>
      </c>
      <c r="T224" s="258"/>
      <c r="U224" s="129">
        <f>IF(AND(H224="実施済",I224="実施済"),S224*1,0)</f>
        <v>0</v>
      </c>
      <c r="V224" s="129">
        <f>IF(J224="実施済",$U224*1,0)</f>
        <v>0</v>
      </c>
      <c r="W224" s="258"/>
      <c r="X224" s="129">
        <f t="shared" si="116"/>
        <v>0</v>
      </c>
      <c r="Y224" s="129">
        <f>MIN($X$222:$X$226)+1</f>
        <v>1</v>
      </c>
      <c r="Z224" s="129">
        <f t="shared" si="117"/>
        <v>0</v>
      </c>
      <c r="AA224" s="129" t="str" cm="1">
        <f t="array" ref="AA224">_xlfn.IFS(Y224=4,"A",Y224=3,"B",Y224=2,"C",Y224=1,"D")</f>
        <v>D</v>
      </c>
      <c r="AB224" s="129"/>
    </row>
    <row r="225" spans="1:28" s="2" customFormat="1" ht="9" customHeight="1">
      <c r="A225"/>
      <c r="B225" s="65"/>
      <c r="C225" s="4"/>
      <c r="D225" s="307"/>
      <c r="E225" s="308"/>
      <c r="F225" s="308"/>
      <c r="G225" s="308"/>
      <c r="H225" s="308"/>
      <c r="I225" s="308"/>
      <c r="J225" s="308"/>
      <c r="K225" s="308"/>
      <c r="L225" s="9"/>
      <c r="M225"/>
      <c r="P225"/>
      <c r="Q225"/>
      <c r="R225" s="215">
        <f>IF(E225="地区代表者",COUNTA($D$1:$D225),0)</f>
        <v>0</v>
      </c>
      <c r="S225" s="215">
        <f t="shared" ref="S225:S226" si="118">IF(F225="実施済",1,0)</f>
        <v>0</v>
      </c>
      <c r="T225" s="316"/>
      <c r="U225" s="215">
        <f t="shared" ref="U225:U226" si="119">IF(AND(H225="実施済",I225="実施済"),S225*1,0)</f>
        <v>0</v>
      </c>
      <c r="V225" s="215">
        <f t="shared" ref="V225:V226" si="120">IF(J225="実施済",$U225*1,0)</f>
        <v>0</v>
      </c>
      <c r="W225" s="316"/>
      <c r="X225" s="215" t="str">
        <f t="shared" si="116"/>
        <v/>
      </c>
      <c r="Y225" s="215">
        <f>MIN($X$222:$X$226)+1</f>
        <v>1</v>
      </c>
      <c r="Z225" s="215">
        <f t="shared" si="117"/>
        <v>1</v>
      </c>
      <c r="AA225" s="215" t="str" cm="1">
        <f t="array" ref="AA225">_xlfn.IFS(Y225=4,"A",Y225=3,"B",Y225=2,"C",Y225=1,"D")</f>
        <v>D</v>
      </c>
      <c r="AB225" s="215"/>
    </row>
    <row r="226" spans="1:28" s="2" customFormat="1" ht="6" customHeight="1">
      <c r="A226"/>
      <c r="B226"/>
      <c r="C226"/>
      <c r="D226" s="309"/>
      <c r="E226" s="310"/>
      <c r="F226" s="310"/>
      <c r="G226" s="310"/>
      <c r="H226" s="310"/>
      <c r="I226" s="310"/>
      <c r="J226" s="310"/>
      <c r="K226" s="310"/>
      <c r="L226"/>
      <c r="M226"/>
      <c r="P226"/>
      <c r="Q226"/>
      <c r="R226" s="215">
        <f>IF(E226="地区代表者",COUNTA($D$1:$D226),0)</f>
        <v>0</v>
      </c>
      <c r="S226" s="215">
        <f t="shared" si="118"/>
        <v>0</v>
      </c>
      <c r="T226" s="316"/>
      <c r="U226" s="215">
        <f t="shared" si="119"/>
        <v>0</v>
      </c>
      <c r="V226" s="215">
        <f t="shared" si="120"/>
        <v>0</v>
      </c>
      <c r="W226" s="316"/>
      <c r="X226" s="215" t="str">
        <f t="shared" si="116"/>
        <v/>
      </c>
      <c r="Y226" s="215">
        <f>MIN($X$222:$X$226)+1</f>
        <v>1</v>
      </c>
      <c r="Z226" s="215">
        <f t="shared" si="117"/>
        <v>1</v>
      </c>
      <c r="AA226" s="215" t="str" cm="1">
        <f t="array" ref="AA226">_xlfn.IFS(Y226=4,"A",Y226=3,"B",Y226=2,"C",Y226=1,"D")</f>
        <v>D</v>
      </c>
      <c r="AB226" s="215"/>
    </row>
    <row r="227" spans="1:28" ht="96" customHeight="1">
      <c r="C227" s="78"/>
      <c r="D227" s="79"/>
      <c r="E227" s="72" t="s">
        <v>236</v>
      </c>
      <c r="F227" s="1452"/>
      <c r="G227" s="1452"/>
      <c r="H227" s="1452"/>
      <c r="I227" s="1452"/>
      <c r="J227" s="1452"/>
      <c r="K227" s="1452"/>
      <c r="L227" s="80" t="s">
        <v>132</v>
      </c>
      <c r="M227" s="290"/>
    </row>
    <row r="228" spans="1:28" ht="96" customHeight="1">
      <c r="C228" s="75"/>
      <c r="D228" s="68"/>
      <c r="E228" s="72" t="s">
        <v>237</v>
      </c>
      <c r="F228" s="1452"/>
      <c r="G228" s="1452"/>
      <c r="H228" s="1452"/>
      <c r="I228" s="1452"/>
      <c r="J228" s="1452"/>
      <c r="K228" s="1452"/>
    </row>
    <row r="229" spans="1:28" ht="18.5" thickBot="1">
      <c r="A229" s="81"/>
      <c r="B229" s="81"/>
      <c r="C229" s="81"/>
      <c r="D229" s="81"/>
      <c r="E229" s="311"/>
      <c r="F229" s="81"/>
      <c r="G229" s="81"/>
      <c r="H229" s="81"/>
      <c r="I229" s="81"/>
      <c r="J229" s="81"/>
      <c r="K229" s="81"/>
      <c r="L229" s="81"/>
      <c r="M229" s="82"/>
    </row>
    <row r="231" spans="1:28" ht="9" customHeight="1">
      <c r="B231" s="10"/>
      <c r="C231" s="5"/>
      <c r="D231" s="5"/>
      <c r="E231" s="305"/>
      <c r="F231" s="5"/>
      <c r="G231" s="5"/>
      <c r="H231" s="5"/>
      <c r="I231" s="5"/>
      <c r="J231" s="5"/>
      <c r="K231" s="5"/>
      <c r="L231" s="6"/>
      <c r="M231"/>
      <c r="N231"/>
      <c r="O231"/>
      <c r="R231" t="str">
        <f>D232</f>
        <v>(選択してください)</v>
      </c>
    </row>
    <row r="232" spans="1:28">
      <c r="B232" s="7"/>
      <c r="C232" s="77" t="str">
        <f ca="1">IFERROR(OFFSET('4.2民生電力需要量'!$C$1,MATCH(D232,'4.2民生電力需要量'!$E:$E,0)-1,0),"")</f>
        <v/>
      </c>
      <c r="D232" s="94" t="s">
        <v>130</v>
      </c>
      <c r="E232" s="72" t="s">
        <v>131</v>
      </c>
      <c r="F232" s="1446" t="str">
        <f ca="1">IFERROR(OFFSET('4.2民生電力需要量'!$G$1,MATCH($D232,'4.2民生電力需要量'!$E:$E,0)-1,0),"")</f>
        <v/>
      </c>
      <c r="G232" s="1446"/>
      <c r="H232" s="1446"/>
      <c r="I232" s="1446"/>
      <c r="J232" s="1446"/>
      <c r="K232" s="1446"/>
      <c r="L232" s="8"/>
      <c r="M232"/>
      <c r="N232"/>
      <c r="O232"/>
      <c r="R232" s="175" t="str">
        <f ca="1">IFERROR(OFFSET('4.2民生電力需要量'!$G$1,MATCH($D232,'4.2民生電力需要量'!$E:$E,0)-1,0),"")</f>
        <v/>
      </c>
      <c r="S232" s="175"/>
      <c r="T232" s="175"/>
      <c r="U232" s="175"/>
      <c r="V232" s="175"/>
      <c r="W232" s="175"/>
      <c r="X232" s="175"/>
      <c r="Y232" s="175"/>
      <c r="Z232" s="175"/>
      <c r="AA232" s="175"/>
      <c r="AB232" s="175">
        <f ca="1">(F232=R232)*1</f>
        <v>1</v>
      </c>
    </row>
    <row r="233" spans="1:28">
      <c r="B233" s="7"/>
      <c r="C233" s="915"/>
      <c r="D233" s="97"/>
      <c r="E233" s="72" t="s">
        <v>612</v>
      </c>
      <c r="F233" s="1447" t="str">
        <f ca="1">IFERROR(OFFSET('4.2民生電力需要量'!$L$1,MATCH($D232,'4.2民生電力需要量'!$E:$E,0)-1,0),"")</f>
        <v/>
      </c>
      <c r="G233" s="1448"/>
      <c r="H233" s="1448"/>
      <c r="I233" s="1448"/>
      <c r="J233" s="1448"/>
      <c r="K233" s="1449"/>
      <c r="L233" s="8"/>
      <c r="M233"/>
      <c r="N233"/>
      <c r="O233"/>
      <c r="R233" s="175" t="str">
        <f ca="1">IFERROR(OFFSET('4.2民生電力需要量'!$L$1,MATCH($D232,'4.2民生電力需要量'!$E:$E,0)-1,0),"")</f>
        <v/>
      </c>
      <c r="S233" s="175"/>
      <c r="T233" s="175"/>
      <c r="U233" s="175"/>
      <c r="V233" s="175"/>
      <c r="W233" s="175"/>
      <c r="X233" s="175"/>
      <c r="Y233" s="175"/>
      <c r="Z233" s="175"/>
      <c r="AA233" s="175"/>
      <c r="AB233" s="175">
        <f ca="1">(F233=R233)*1</f>
        <v>1</v>
      </c>
    </row>
    <row r="234" spans="1:28">
      <c r="B234" s="7"/>
      <c r="C234" s="74"/>
      <c r="D234" s="66"/>
      <c r="E234" s="72" t="s">
        <v>220</v>
      </c>
      <c r="F234" s="1450" t="str">
        <f ca="1">IFERROR(OFFSET('4.2民生電力需要量'!$I$1,MATCH($D232,'4.2民生電力需要量'!$E:$E,0)-1,0),"")</f>
        <v/>
      </c>
      <c r="G234" s="1450"/>
      <c r="H234" s="1450"/>
      <c r="I234" s="1450"/>
      <c r="J234" s="1450"/>
      <c r="K234" s="1450"/>
      <c r="L234" s="8"/>
      <c r="M234"/>
      <c r="N234"/>
      <c r="O234"/>
      <c r="R234" s="175" t="str">
        <f ca="1">IFERROR(OFFSET('4.2民生電力需要量'!$I$1,MATCH($D232,'4.2民生電力需要量'!$E:$E,0)-1,0),"")</f>
        <v/>
      </c>
      <c r="S234" s="175"/>
      <c r="T234" s="175"/>
      <c r="U234" s="175"/>
      <c r="V234" s="175"/>
      <c r="W234" s="175"/>
      <c r="X234" s="175"/>
      <c r="Y234" s="175"/>
      <c r="Z234" s="175"/>
      <c r="AA234" s="175"/>
      <c r="AB234" s="175">
        <f t="shared" ref="AB234:AB235" ca="1" si="121">(F234=R234)*1</f>
        <v>1</v>
      </c>
    </row>
    <row r="235" spans="1:28">
      <c r="B235" s="7"/>
      <c r="C235" s="74"/>
      <c r="D235" s="66"/>
      <c r="E235" s="72" t="s">
        <v>175</v>
      </c>
      <c r="F235" s="1451" t="str">
        <f>_xlfn.IFNA(R235,"")</f>
        <v/>
      </c>
      <c r="G235" s="1451"/>
      <c r="H235" s="1451"/>
      <c r="I235" s="1451"/>
      <c r="J235" s="1451"/>
      <c r="K235" s="1451"/>
      <c r="L235" s="8"/>
      <c r="M235"/>
      <c r="N235"/>
      <c r="O235"/>
      <c r="R235" s="215" t="str">
        <f>IF(PRODUCT($Z237:$Z241)=1,AA237,"")</f>
        <v/>
      </c>
      <c r="S235" s="175"/>
      <c r="T235" s="175"/>
      <c r="U235" s="175"/>
      <c r="V235" s="175"/>
      <c r="W235" s="175"/>
      <c r="X235" s="175"/>
      <c r="Y235" s="175"/>
      <c r="Z235" s="175"/>
      <c r="AA235" s="175"/>
      <c r="AB235" s="175">
        <f t="shared" si="121"/>
        <v>1</v>
      </c>
    </row>
    <row r="236" spans="1:28" s="2" customFormat="1" ht="60">
      <c r="A236"/>
      <c r="B236" s="7"/>
      <c r="C236" s="74"/>
      <c r="D236" s="66"/>
      <c r="E236" s="306"/>
      <c r="F236" s="312" t="s">
        <v>299</v>
      </c>
      <c r="G236" s="313" t="s">
        <v>300</v>
      </c>
      <c r="H236" s="313" t="s">
        <v>301</v>
      </c>
      <c r="I236" s="313" t="s">
        <v>302</v>
      </c>
      <c r="J236" s="313" t="s">
        <v>429</v>
      </c>
      <c r="K236" s="313" t="s">
        <v>270</v>
      </c>
      <c r="L236" s="8"/>
      <c r="M236"/>
      <c r="P236"/>
      <c r="Q236"/>
      <c r="R236" s="294" t="s">
        <v>298</v>
      </c>
      <c r="S236" s="294" t="s">
        <v>299</v>
      </c>
      <c r="T236" s="314" t="s">
        <v>423</v>
      </c>
      <c r="U236" s="294" t="s">
        <v>424</v>
      </c>
      <c r="V236" s="294" t="s">
        <v>422</v>
      </c>
      <c r="W236" s="315" t="s">
        <v>270</v>
      </c>
      <c r="X236" s="294" t="s">
        <v>426</v>
      </c>
      <c r="Y236" s="215" t="s">
        <v>402</v>
      </c>
      <c r="Z236" s="215" t="s">
        <v>430</v>
      </c>
      <c r="AA236" s="294" t="s">
        <v>425</v>
      </c>
      <c r="AB236" s="294"/>
    </row>
    <row r="237" spans="1:28" s="99" customFormat="1" ht="18.75" hidden="1" customHeight="1">
      <c r="A237" s="11"/>
      <c r="B237" s="95"/>
      <c r="C237" s="96"/>
      <c r="D237" s="97"/>
      <c r="E237" s="438"/>
      <c r="F237" s="439"/>
      <c r="G237" s="439"/>
      <c r="H237" s="439"/>
      <c r="I237" s="439"/>
      <c r="J237" s="439"/>
      <c r="K237" s="439"/>
      <c r="L237" s="98"/>
      <c r="M237" s="11"/>
      <c r="Q237" s="11"/>
      <c r="R237" s="129">
        <f>IF(E237="地区代表者",COUNTA($D$1:$D237),0)</f>
        <v>0</v>
      </c>
      <c r="S237" s="129">
        <f t="shared" ref="S237:S238" si="122">IF(F237="実施済",1,0)</f>
        <v>0</v>
      </c>
      <c r="T237" s="258"/>
      <c r="U237" s="129">
        <f t="shared" ref="U237:U238" si="123">IF(AND(H237="実施済",I237="実施済"),S237*1,0)</f>
        <v>0</v>
      </c>
      <c r="V237" s="129">
        <f>IF(J237="実施済",$U237*1,0)</f>
        <v>0</v>
      </c>
      <c r="W237" s="258"/>
      <c r="X237" s="129" t="str">
        <f>IF(E237="","",IF(R237*S237&gt;0,3,SUM(S237,U237,V237)))</f>
        <v/>
      </c>
      <c r="Y237" s="129">
        <f>MIN($X$237:$X$241)+1</f>
        <v>1</v>
      </c>
      <c r="Z237" s="129">
        <f>IF(E237="",1,IF(R237&gt;0,IF(COUNTA($F237:$K237)=2,1,0),IF(COUNTA($F237:$K237)=6,1,0)))</f>
        <v>1</v>
      </c>
      <c r="AA237" s="129" t="str" cm="1">
        <f t="array" ref="AA237">_xlfn.IFS(Y237=4,"A",Y237=3,"B",Y237=2,"C",Y237=1,"D")</f>
        <v>D</v>
      </c>
      <c r="AB237" s="129" t="str" cm="1">
        <f t="array" ref="AB237">_xlfn.IFS(Z237=4,"A",Z237=3,"B",Z237=2,"C",Z237=1,"D")</f>
        <v>D</v>
      </c>
    </row>
    <row r="238" spans="1:28" s="99" customFormat="1" ht="18.75" customHeight="1">
      <c r="A238" s="11"/>
      <c r="B238" s="95"/>
      <c r="C238" s="96"/>
      <c r="D238" s="97"/>
      <c r="E238" s="440" t="s">
        <v>298</v>
      </c>
      <c r="F238" s="441"/>
      <c r="G238" s="839"/>
      <c r="H238" s="839"/>
      <c r="I238" s="839"/>
      <c r="J238" s="839"/>
      <c r="K238" s="441"/>
      <c r="L238" s="98"/>
      <c r="M238" s="11"/>
      <c r="Q238" s="11"/>
      <c r="R238" s="129">
        <f>IF(E238="地区代表者",COUNTA($D$1:$D238),0)</f>
        <v>16</v>
      </c>
      <c r="S238" s="129">
        <f t="shared" si="122"/>
        <v>0</v>
      </c>
      <c r="T238" s="258"/>
      <c r="U238" s="129">
        <f t="shared" si="123"/>
        <v>0</v>
      </c>
      <c r="V238" s="129">
        <f>IF(J238="実施済",$U238*1,0)</f>
        <v>0</v>
      </c>
      <c r="W238" s="258"/>
      <c r="X238" s="129">
        <f t="shared" ref="X238:X241" si="124">IF(E238="","",IF(R238*S238&gt;0,3,SUM(S238,U238,V238)))</f>
        <v>0</v>
      </c>
      <c r="Y238" s="129">
        <f>MIN($X$237:$X$241)+1</f>
        <v>1</v>
      </c>
      <c r="Z238" s="129">
        <f t="shared" ref="Z238:Z241" si="125">IF(E238="",1,IF(R238&gt;0,IF(COUNTA($F238:$K238)=2,1,0),IF(COUNTA($F238:$K238)=6,1,0)))</f>
        <v>0</v>
      </c>
      <c r="AA238" s="129" t="str" cm="1">
        <f t="array" ref="AA238">_xlfn.IFS(Y238=4,"A",Y238=3,"B",Y238=2,"C",Y238=1,"D")</f>
        <v>D</v>
      </c>
      <c r="AB238" s="129"/>
    </row>
    <row r="239" spans="1:28" s="99" customFormat="1" ht="18.75" customHeight="1">
      <c r="A239" s="11"/>
      <c r="B239" s="95"/>
      <c r="C239" s="96"/>
      <c r="D239" s="97"/>
      <c r="E239" s="440" t="s">
        <v>116</v>
      </c>
      <c r="F239" s="441"/>
      <c r="G239" s="441"/>
      <c r="H239" s="441"/>
      <c r="I239" s="441"/>
      <c r="J239" s="441"/>
      <c r="K239" s="441"/>
      <c r="L239" s="98"/>
      <c r="M239" s="11"/>
      <c r="P239" s="11"/>
      <c r="Q239" s="11"/>
      <c r="R239" s="129">
        <f>IF(E239="地区代表者",COUNTA($D$1:$D239),0)</f>
        <v>0</v>
      </c>
      <c r="S239" s="129">
        <f>IF(F239="実施済",1,0)</f>
        <v>0</v>
      </c>
      <c r="T239" s="258"/>
      <c r="U239" s="129">
        <f>IF(AND(H239="実施済",I239="実施済"),S239*1,0)</f>
        <v>0</v>
      </c>
      <c r="V239" s="129">
        <f>IF(J239="実施済",$U239*1,0)</f>
        <v>0</v>
      </c>
      <c r="W239" s="258"/>
      <c r="X239" s="129">
        <f t="shared" si="124"/>
        <v>0</v>
      </c>
      <c r="Y239" s="129">
        <f>MIN($X$237:$X$241)+1</f>
        <v>1</v>
      </c>
      <c r="Z239" s="129">
        <f t="shared" si="125"/>
        <v>0</v>
      </c>
      <c r="AA239" s="129" t="str" cm="1">
        <f t="array" ref="AA239">_xlfn.IFS(Y239=4,"A",Y239=3,"B",Y239=2,"C",Y239=1,"D")</f>
        <v>D</v>
      </c>
      <c r="AB239" s="129"/>
    </row>
    <row r="240" spans="1:28" s="2" customFormat="1" ht="9" customHeight="1">
      <c r="A240"/>
      <c r="B240" s="65"/>
      <c r="C240" s="4"/>
      <c r="D240" s="307"/>
      <c r="E240" s="308"/>
      <c r="F240" s="308"/>
      <c r="G240" s="308"/>
      <c r="H240" s="308"/>
      <c r="I240" s="308"/>
      <c r="J240" s="308"/>
      <c r="K240" s="308"/>
      <c r="L240" s="9"/>
      <c r="M240"/>
      <c r="P240"/>
      <c r="Q240"/>
      <c r="R240" s="215">
        <f>IF(E240="地区代表者",COUNTA($D$1:$D240),0)</f>
        <v>0</v>
      </c>
      <c r="S240" s="215">
        <f t="shared" ref="S240:S241" si="126">IF(F240="実施済",1,0)</f>
        <v>0</v>
      </c>
      <c r="T240" s="316"/>
      <c r="U240" s="215">
        <f t="shared" ref="U240:U241" si="127">IF(AND(H240="実施済",I240="実施済"),S240*1,0)</f>
        <v>0</v>
      </c>
      <c r="V240" s="215">
        <f t="shared" ref="V240:V241" si="128">IF(J240="実施済",$U240*1,0)</f>
        <v>0</v>
      </c>
      <c r="W240" s="316"/>
      <c r="X240" s="215" t="str">
        <f t="shared" si="124"/>
        <v/>
      </c>
      <c r="Y240" s="215">
        <f>MIN($X$237:$X$241)+1</f>
        <v>1</v>
      </c>
      <c r="Z240" s="215">
        <f t="shared" si="125"/>
        <v>1</v>
      </c>
      <c r="AA240" s="215" t="str" cm="1">
        <f t="array" ref="AA240">_xlfn.IFS(Y240=4,"A",Y240=3,"B",Y240=2,"C",Y240=1,"D")</f>
        <v>D</v>
      </c>
      <c r="AB240" s="215"/>
    </row>
    <row r="241" spans="1:28" s="2" customFormat="1" ht="6" customHeight="1">
      <c r="A241"/>
      <c r="B241"/>
      <c r="C241"/>
      <c r="D241" s="309"/>
      <c r="E241" s="310"/>
      <c r="F241" s="310"/>
      <c r="G241" s="310"/>
      <c r="H241" s="310"/>
      <c r="I241" s="310"/>
      <c r="J241" s="310"/>
      <c r="K241" s="310"/>
      <c r="L241"/>
      <c r="M241"/>
      <c r="P241"/>
      <c r="Q241"/>
      <c r="R241" s="215">
        <f>IF(E241="地区代表者",COUNTA($D$1:$D241),0)</f>
        <v>0</v>
      </c>
      <c r="S241" s="215">
        <f t="shared" si="126"/>
        <v>0</v>
      </c>
      <c r="T241" s="316"/>
      <c r="U241" s="215">
        <f t="shared" si="127"/>
        <v>0</v>
      </c>
      <c r="V241" s="215">
        <f t="shared" si="128"/>
        <v>0</v>
      </c>
      <c r="W241" s="316"/>
      <c r="X241" s="215" t="str">
        <f t="shared" si="124"/>
        <v/>
      </c>
      <c r="Y241" s="215">
        <f>MIN($X$237:$X$241)+1</f>
        <v>1</v>
      </c>
      <c r="Z241" s="215">
        <f t="shared" si="125"/>
        <v>1</v>
      </c>
      <c r="AA241" s="215" t="str" cm="1">
        <f t="array" ref="AA241">_xlfn.IFS(Y241=4,"A",Y241=3,"B",Y241=2,"C",Y241=1,"D")</f>
        <v>D</v>
      </c>
      <c r="AB241" s="215"/>
    </row>
    <row r="242" spans="1:28" ht="96" customHeight="1">
      <c r="C242" s="78"/>
      <c r="D242" s="79"/>
      <c r="E242" s="72" t="s">
        <v>236</v>
      </c>
      <c r="F242" s="1452"/>
      <c r="G242" s="1452"/>
      <c r="H242" s="1452"/>
      <c r="I242" s="1452"/>
      <c r="J242" s="1452"/>
      <c r="K242" s="1452"/>
      <c r="L242" s="80" t="s">
        <v>132</v>
      </c>
      <c r="M242" s="290"/>
    </row>
    <row r="243" spans="1:28" ht="96" customHeight="1">
      <c r="C243" s="75"/>
      <c r="D243" s="68"/>
      <c r="E243" s="72" t="s">
        <v>237</v>
      </c>
      <c r="F243" s="1452"/>
      <c r="G243" s="1452"/>
      <c r="H243" s="1452"/>
      <c r="I243" s="1452"/>
      <c r="J243" s="1452"/>
      <c r="K243" s="1452"/>
    </row>
    <row r="244" spans="1:28" ht="18.5" thickBot="1">
      <c r="A244" s="81"/>
      <c r="B244" s="81"/>
      <c r="C244" s="81"/>
      <c r="D244" s="81"/>
      <c r="E244" s="311"/>
      <c r="F244" s="81"/>
      <c r="G244" s="81"/>
      <c r="H244" s="81"/>
      <c r="I244" s="81"/>
      <c r="J244" s="81"/>
      <c r="K244" s="81"/>
      <c r="L244" s="81"/>
      <c r="M244" s="82"/>
    </row>
    <row r="246" spans="1:28" ht="9" customHeight="1">
      <c r="B246" s="10"/>
      <c r="C246" s="5"/>
      <c r="D246" s="5"/>
      <c r="E246" s="305"/>
      <c r="F246" s="5"/>
      <c r="G246" s="5"/>
      <c r="H246" s="5"/>
      <c r="I246" s="5"/>
      <c r="J246" s="5"/>
      <c r="K246" s="5"/>
      <c r="L246" s="6"/>
      <c r="M246"/>
      <c r="N246"/>
      <c r="O246"/>
      <c r="R246" t="str">
        <f>D247</f>
        <v>(選択してください)</v>
      </c>
    </row>
    <row r="247" spans="1:28">
      <c r="B247" s="7"/>
      <c r="C247" s="77" t="str">
        <f ca="1">IFERROR(OFFSET('4.2民生電力需要量'!$C$1,MATCH(D247,'4.2民生電力需要量'!$E:$E,0)-1,0),"")</f>
        <v/>
      </c>
      <c r="D247" s="94" t="s">
        <v>130</v>
      </c>
      <c r="E247" s="72" t="s">
        <v>131</v>
      </c>
      <c r="F247" s="1446" t="str">
        <f ca="1">IFERROR(OFFSET('4.2民生電力需要量'!$G$1,MATCH($D247,'4.2民生電力需要量'!$E:$E,0)-1,0),"")</f>
        <v/>
      </c>
      <c r="G247" s="1446"/>
      <c r="H247" s="1446"/>
      <c r="I247" s="1446"/>
      <c r="J247" s="1446"/>
      <c r="K247" s="1446"/>
      <c r="L247" s="8"/>
      <c r="M247"/>
      <c r="N247"/>
      <c r="O247"/>
      <c r="R247" s="175" t="str">
        <f ca="1">IFERROR(OFFSET('4.2民生電力需要量'!$G$1,MATCH($D247,'4.2民生電力需要量'!$E:$E,0)-1,0),"")</f>
        <v/>
      </c>
      <c r="S247" s="175"/>
      <c r="T247" s="175"/>
      <c r="U247" s="175"/>
      <c r="V247" s="175"/>
      <c r="W247" s="175"/>
      <c r="X247" s="175"/>
      <c r="Y247" s="175"/>
      <c r="Z247" s="175"/>
      <c r="AA247" s="175"/>
      <c r="AB247" s="175">
        <f ca="1">(F247=R247)*1</f>
        <v>1</v>
      </c>
    </row>
    <row r="248" spans="1:28">
      <c r="B248" s="7"/>
      <c r="C248" s="915"/>
      <c r="D248" s="97"/>
      <c r="E248" s="72" t="s">
        <v>612</v>
      </c>
      <c r="F248" s="1447" t="str">
        <f ca="1">IFERROR(OFFSET('4.2民生電力需要量'!$L$1,MATCH($D247,'4.2民生電力需要量'!$E:$E,0)-1,0),"")</f>
        <v/>
      </c>
      <c r="G248" s="1448"/>
      <c r="H248" s="1448"/>
      <c r="I248" s="1448"/>
      <c r="J248" s="1448"/>
      <c r="K248" s="1449"/>
      <c r="L248" s="8"/>
      <c r="M248"/>
      <c r="N248"/>
      <c r="O248"/>
      <c r="R248" s="175" t="str">
        <f ca="1">IFERROR(OFFSET('4.2民生電力需要量'!$L$1,MATCH($D247,'4.2民生電力需要量'!$E:$E,0)-1,0),"")</f>
        <v/>
      </c>
      <c r="S248" s="175"/>
      <c r="T248" s="175"/>
      <c r="U248" s="175"/>
      <c r="V248" s="175"/>
      <c r="W248" s="175"/>
      <c r="X248" s="175"/>
      <c r="Y248" s="175"/>
      <c r="Z248" s="175"/>
      <c r="AA248" s="175"/>
      <c r="AB248" s="175">
        <f ca="1">(F248=R248)*1</f>
        <v>1</v>
      </c>
    </row>
    <row r="249" spans="1:28">
      <c r="B249" s="7"/>
      <c r="C249" s="74"/>
      <c r="D249" s="66"/>
      <c r="E249" s="72" t="s">
        <v>220</v>
      </c>
      <c r="F249" s="1450" t="str">
        <f ca="1">IFERROR(OFFSET('4.2民生電力需要量'!$I$1,MATCH($D247,'4.2民生電力需要量'!$E:$E,0)-1,0),"")</f>
        <v/>
      </c>
      <c r="G249" s="1450"/>
      <c r="H249" s="1450"/>
      <c r="I249" s="1450"/>
      <c r="J249" s="1450"/>
      <c r="K249" s="1450"/>
      <c r="L249" s="8"/>
      <c r="M249"/>
      <c r="N249"/>
      <c r="O249"/>
      <c r="R249" s="175" t="str">
        <f ca="1">IFERROR(OFFSET('4.2民生電力需要量'!$I$1,MATCH($D247,'4.2民生電力需要量'!$E:$E,0)-1,0),"")</f>
        <v/>
      </c>
      <c r="S249" s="175"/>
      <c r="T249" s="175"/>
      <c r="U249" s="175"/>
      <c r="V249" s="175"/>
      <c r="W249" s="175"/>
      <c r="X249" s="175"/>
      <c r="Y249" s="175"/>
      <c r="Z249" s="175"/>
      <c r="AA249" s="175"/>
      <c r="AB249" s="175">
        <f t="shared" ref="AB249:AB250" ca="1" si="129">(F249=R249)*1</f>
        <v>1</v>
      </c>
    </row>
    <row r="250" spans="1:28">
      <c r="B250" s="7"/>
      <c r="C250" s="74"/>
      <c r="D250" s="66"/>
      <c r="E250" s="72" t="s">
        <v>175</v>
      </c>
      <c r="F250" s="1451" t="str">
        <f>_xlfn.IFNA(R250,"")</f>
        <v/>
      </c>
      <c r="G250" s="1451"/>
      <c r="H250" s="1451"/>
      <c r="I250" s="1451"/>
      <c r="J250" s="1451"/>
      <c r="K250" s="1451"/>
      <c r="L250" s="8"/>
      <c r="M250"/>
      <c r="N250"/>
      <c r="O250"/>
      <c r="R250" s="215" t="str">
        <f>IF(PRODUCT($Z252:$Z256)=1,AA252,"")</f>
        <v/>
      </c>
      <c r="S250" s="175"/>
      <c r="T250" s="175"/>
      <c r="U250" s="175"/>
      <c r="V250" s="175"/>
      <c r="W250" s="175"/>
      <c r="X250" s="175"/>
      <c r="Y250" s="175"/>
      <c r="Z250" s="175"/>
      <c r="AA250" s="175"/>
      <c r="AB250" s="175">
        <f t="shared" si="129"/>
        <v>1</v>
      </c>
    </row>
    <row r="251" spans="1:28" s="2" customFormat="1" ht="60">
      <c r="A251"/>
      <c r="B251" s="7"/>
      <c r="C251" s="74"/>
      <c r="D251" s="66"/>
      <c r="E251" s="306"/>
      <c r="F251" s="312" t="s">
        <v>299</v>
      </c>
      <c r="G251" s="313" t="s">
        <v>300</v>
      </c>
      <c r="H251" s="313" t="s">
        <v>301</v>
      </c>
      <c r="I251" s="313" t="s">
        <v>302</v>
      </c>
      <c r="J251" s="313" t="s">
        <v>429</v>
      </c>
      <c r="K251" s="313" t="s">
        <v>270</v>
      </c>
      <c r="L251" s="8"/>
      <c r="M251"/>
      <c r="P251"/>
      <c r="Q251"/>
      <c r="R251" s="294" t="s">
        <v>298</v>
      </c>
      <c r="S251" s="294" t="s">
        <v>299</v>
      </c>
      <c r="T251" s="314" t="s">
        <v>423</v>
      </c>
      <c r="U251" s="294" t="s">
        <v>424</v>
      </c>
      <c r="V251" s="294" t="s">
        <v>422</v>
      </c>
      <c r="W251" s="315" t="s">
        <v>270</v>
      </c>
      <c r="X251" s="294" t="s">
        <v>426</v>
      </c>
      <c r="Y251" s="215" t="s">
        <v>402</v>
      </c>
      <c r="Z251" s="215" t="s">
        <v>430</v>
      </c>
      <c r="AA251" s="294" t="s">
        <v>425</v>
      </c>
      <c r="AB251" s="294"/>
    </row>
    <row r="252" spans="1:28" s="99" customFormat="1" ht="18.75" hidden="1" customHeight="1">
      <c r="A252" s="11"/>
      <c r="B252" s="95"/>
      <c r="C252" s="96"/>
      <c r="D252" s="97"/>
      <c r="E252" s="438"/>
      <c r="F252" s="439"/>
      <c r="G252" s="439"/>
      <c r="H252" s="439"/>
      <c r="I252" s="439"/>
      <c r="J252" s="439"/>
      <c r="K252" s="439"/>
      <c r="L252" s="98"/>
      <c r="M252" s="11"/>
      <c r="Q252" s="11"/>
      <c r="R252" s="129">
        <f>IF(E252="地区代表者",COUNTA($D$1:$D252),0)</f>
        <v>0</v>
      </c>
      <c r="S252" s="129">
        <f t="shared" ref="S252:S253" si="130">IF(F252="実施済",1,0)</f>
        <v>0</v>
      </c>
      <c r="T252" s="258"/>
      <c r="U252" s="129">
        <f t="shared" ref="U252:U253" si="131">IF(AND(H252="実施済",I252="実施済"),S252*1,0)</f>
        <v>0</v>
      </c>
      <c r="V252" s="129">
        <f>IF(J252="実施済",$U252*1,0)</f>
        <v>0</v>
      </c>
      <c r="W252" s="258"/>
      <c r="X252" s="129" t="str">
        <f>IF(E252="","",IF(R252*S252&gt;0,3,SUM(S252,U252,V252)))</f>
        <v/>
      </c>
      <c r="Y252" s="129">
        <f>MIN($X$252:$X$256)+1</f>
        <v>1</v>
      </c>
      <c r="Z252" s="129">
        <f>IF(E252="",1,IF(R252&gt;0,IF(COUNTA($F252:$K252)=2,1,0),IF(COUNTA($F252:$K252)=6,1,0)))</f>
        <v>1</v>
      </c>
      <c r="AA252" s="129" t="str" cm="1">
        <f t="array" ref="AA252">_xlfn.IFS(Y252=4,"A",Y252=3,"B",Y252=2,"C",Y252=1,"D")</f>
        <v>D</v>
      </c>
      <c r="AB252" s="129" t="str" cm="1">
        <f t="array" ref="AB252">_xlfn.IFS(Z252=4,"A",Z252=3,"B",Z252=2,"C",Z252=1,"D")</f>
        <v>D</v>
      </c>
    </row>
    <row r="253" spans="1:28" s="99" customFormat="1" ht="18.75" customHeight="1">
      <c r="A253" s="11"/>
      <c r="B253" s="95"/>
      <c r="C253" s="96"/>
      <c r="D253" s="97"/>
      <c r="E253" s="440" t="s">
        <v>298</v>
      </c>
      <c r="F253" s="441"/>
      <c r="G253" s="839"/>
      <c r="H253" s="839"/>
      <c r="I253" s="839"/>
      <c r="J253" s="839"/>
      <c r="K253" s="441"/>
      <c r="L253" s="98"/>
      <c r="M253" s="11"/>
      <c r="Q253" s="11"/>
      <c r="R253" s="129">
        <f>IF(E253="地区代表者",COUNTA($D$1:$D253),0)</f>
        <v>17</v>
      </c>
      <c r="S253" s="129">
        <f t="shared" si="130"/>
        <v>0</v>
      </c>
      <c r="T253" s="258"/>
      <c r="U253" s="129">
        <f t="shared" si="131"/>
        <v>0</v>
      </c>
      <c r="V253" s="129">
        <f>IF(J253="実施済",$U253*1,0)</f>
        <v>0</v>
      </c>
      <c r="W253" s="258"/>
      <c r="X253" s="129">
        <f t="shared" ref="X253:X256" si="132">IF(E253="","",IF(R253*S253&gt;0,3,SUM(S253,U253,V253)))</f>
        <v>0</v>
      </c>
      <c r="Y253" s="129">
        <f>MIN($X$252:$X$256)+1</f>
        <v>1</v>
      </c>
      <c r="Z253" s="129">
        <f t="shared" ref="Z253:Z256" si="133">IF(E253="",1,IF(R253&gt;0,IF(COUNTA($F253:$K253)=2,1,0),IF(COUNTA($F253:$K253)=6,1,0)))</f>
        <v>0</v>
      </c>
      <c r="AA253" s="129" t="str" cm="1">
        <f t="array" ref="AA253">_xlfn.IFS(Y253=4,"A",Y253=3,"B",Y253=2,"C",Y253=1,"D")</f>
        <v>D</v>
      </c>
      <c r="AB253" s="129"/>
    </row>
    <row r="254" spans="1:28" s="99" customFormat="1" ht="18.75" customHeight="1">
      <c r="A254" s="11"/>
      <c r="B254" s="95"/>
      <c r="C254" s="96"/>
      <c r="D254" s="97"/>
      <c r="E254" s="440" t="s">
        <v>116</v>
      </c>
      <c r="F254" s="441"/>
      <c r="G254" s="441"/>
      <c r="H254" s="441"/>
      <c r="I254" s="441"/>
      <c r="J254" s="441"/>
      <c r="K254" s="441"/>
      <c r="L254" s="98"/>
      <c r="M254" s="11"/>
      <c r="P254" s="11"/>
      <c r="Q254" s="11"/>
      <c r="R254" s="129">
        <f>IF(E254="地区代表者",COUNTA($D$1:$D254),0)</f>
        <v>0</v>
      </c>
      <c r="S254" s="129">
        <f>IF(F254="実施済",1,0)</f>
        <v>0</v>
      </c>
      <c r="T254" s="258"/>
      <c r="U254" s="129">
        <f>IF(AND(H254="実施済",I254="実施済"),S254*1,0)</f>
        <v>0</v>
      </c>
      <c r="V254" s="129">
        <f>IF(J254="実施済",$U254*1,0)</f>
        <v>0</v>
      </c>
      <c r="W254" s="258"/>
      <c r="X254" s="129">
        <f t="shared" si="132"/>
        <v>0</v>
      </c>
      <c r="Y254" s="129">
        <f>MIN($X$252:$X$256)+1</f>
        <v>1</v>
      </c>
      <c r="Z254" s="129">
        <f t="shared" si="133"/>
        <v>0</v>
      </c>
      <c r="AA254" s="129" t="str" cm="1">
        <f t="array" ref="AA254">_xlfn.IFS(Y254=4,"A",Y254=3,"B",Y254=2,"C",Y254=1,"D")</f>
        <v>D</v>
      </c>
      <c r="AB254" s="129"/>
    </row>
    <row r="255" spans="1:28" s="2" customFormat="1" ht="9" customHeight="1">
      <c r="A255"/>
      <c r="B255" s="65"/>
      <c r="C255" s="4"/>
      <c r="D255" s="307"/>
      <c r="E255" s="308"/>
      <c r="F255" s="308"/>
      <c r="G255" s="308"/>
      <c r="H255" s="308"/>
      <c r="I255" s="308"/>
      <c r="J255" s="308"/>
      <c r="K255" s="308"/>
      <c r="L255" s="9"/>
      <c r="M255"/>
      <c r="P255"/>
      <c r="Q255"/>
      <c r="R255" s="215">
        <f>IF(E255="地区代表者",COUNTA($D$1:$D255),0)</f>
        <v>0</v>
      </c>
      <c r="S255" s="215">
        <f t="shared" ref="S255:S256" si="134">IF(F255="実施済",1,0)</f>
        <v>0</v>
      </c>
      <c r="T255" s="316"/>
      <c r="U255" s="215">
        <f t="shared" ref="U255:U256" si="135">IF(AND(H255="実施済",I255="実施済"),S255*1,0)</f>
        <v>0</v>
      </c>
      <c r="V255" s="215">
        <f t="shared" ref="V255:V256" si="136">IF(J255="実施済",$U255*1,0)</f>
        <v>0</v>
      </c>
      <c r="W255" s="316"/>
      <c r="X255" s="215" t="str">
        <f t="shared" si="132"/>
        <v/>
      </c>
      <c r="Y255" s="215">
        <f>MIN($X$252:$X$256)+1</f>
        <v>1</v>
      </c>
      <c r="Z255" s="215">
        <f t="shared" si="133"/>
        <v>1</v>
      </c>
      <c r="AA255" s="215" t="str" cm="1">
        <f t="array" ref="AA255">_xlfn.IFS(Y255=4,"A",Y255=3,"B",Y255=2,"C",Y255=1,"D")</f>
        <v>D</v>
      </c>
      <c r="AB255" s="215"/>
    </row>
    <row r="256" spans="1:28" s="2" customFormat="1" ht="6" customHeight="1">
      <c r="A256"/>
      <c r="B256"/>
      <c r="C256"/>
      <c r="D256" s="309"/>
      <c r="E256" s="310"/>
      <c r="F256" s="310"/>
      <c r="G256" s="310"/>
      <c r="H256" s="310"/>
      <c r="I256" s="310"/>
      <c r="J256" s="310"/>
      <c r="K256" s="310"/>
      <c r="L256"/>
      <c r="M256"/>
      <c r="P256"/>
      <c r="Q256"/>
      <c r="R256" s="215">
        <f>IF(E256="地区代表者",COUNTA($D$1:$D256),0)</f>
        <v>0</v>
      </c>
      <c r="S256" s="215">
        <f t="shared" si="134"/>
        <v>0</v>
      </c>
      <c r="T256" s="316"/>
      <c r="U256" s="215">
        <f t="shared" si="135"/>
        <v>0</v>
      </c>
      <c r="V256" s="215">
        <f t="shared" si="136"/>
        <v>0</v>
      </c>
      <c r="W256" s="316"/>
      <c r="X256" s="215" t="str">
        <f t="shared" si="132"/>
        <v/>
      </c>
      <c r="Y256" s="215">
        <f>MIN($X$252:$X$256)+1</f>
        <v>1</v>
      </c>
      <c r="Z256" s="215">
        <f t="shared" si="133"/>
        <v>1</v>
      </c>
      <c r="AA256" s="215" t="str" cm="1">
        <f t="array" ref="AA256">_xlfn.IFS(Y256=4,"A",Y256=3,"B",Y256=2,"C",Y256=1,"D")</f>
        <v>D</v>
      </c>
      <c r="AB256" s="215"/>
    </row>
    <row r="257" spans="1:28" ht="96" customHeight="1">
      <c r="C257" s="78"/>
      <c r="D257" s="79"/>
      <c r="E257" s="72" t="s">
        <v>236</v>
      </c>
      <c r="F257" s="1452"/>
      <c r="G257" s="1452"/>
      <c r="H257" s="1452"/>
      <c r="I257" s="1452"/>
      <c r="J257" s="1452"/>
      <c r="K257" s="1452"/>
      <c r="L257" s="80" t="s">
        <v>132</v>
      </c>
      <c r="M257" s="290"/>
    </row>
    <row r="258" spans="1:28" ht="96" customHeight="1">
      <c r="C258" s="75"/>
      <c r="D258" s="68"/>
      <c r="E258" s="72" t="s">
        <v>237</v>
      </c>
      <c r="F258" s="1452"/>
      <c r="G258" s="1452"/>
      <c r="H258" s="1452"/>
      <c r="I258" s="1452"/>
      <c r="J258" s="1452"/>
      <c r="K258" s="1452"/>
    </row>
    <row r="259" spans="1:28" ht="18.5" thickBot="1">
      <c r="A259" s="81"/>
      <c r="B259" s="81"/>
      <c r="C259" s="81"/>
      <c r="D259" s="81"/>
      <c r="E259" s="311"/>
      <c r="F259" s="81"/>
      <c r="G259" s="81"/>
      <c r="H259" s="81"/>
      <c r="I259" s="81"/>
      <c r="J259" s="81"/>
      <c r="K259" s="81"/>
      <c r="L259" s="81"/>
      <c r="M259" s="82"/>
    </row>
    <row r="261" spans="1:28" ht="9" customHeight="1">
      <c r="B261" s="10"/>
      <c r="C261" s="5"/>
      <c r="D261" s="5"/>
      <c r="E261" s="305"/>
      <c r="F261" s="5"/>
      <c r="G261" s="5"/>
      <c r="H261" s="5"/>
      <c r="I261" s="5"/>
      <c r="J261" s="5"/>
      <c r="K261" s="5"/>
      <c r="L261" s="6"/>
      <c r="M261"/>
      <c r="N261"/>
      <c r="O261"/>
      <c r="R261" t="str">
        <f>D262</f>
        <v>(選択してください)</v>
      </c>
    </row>
    <row r="262" spans="1:28">
      <c r="B262" s="7"/>
      <c r="C262" s="77" t="str">
        <f ca="1">IFERROR(OFFSET('4.2民生電力需要量'!$C$1,MATCH(D262,'4.2民生電力需要量'!$E:$E,0)-1,0),"")</f>
        <v/>
      </c>
      <c r="D262" s="94" t="s">
        <v>130</v>
      </c>
      <c r="E262" s="72" t="s">
        <v>131</v>
      </c>
      <c r="F262" s="1446" t="str">
        <f ca="1">IFERROR(OFFSET('4.2民生電力需要量'!$G$1,MATCH($D262,'4.2民生電力需要量'!$E:$E,0)-1,0),"")</f>
        <v/>
      </c>
      <c r="G262" s="1446"/>
      <c r="H262" s="1446"/>
      <c r="I262" s="1446"/>
      <c r="J262" s="1446"/>
      <c r="K262" s="1446"/>
      <c r="L262" s="8"/>
      <c r="M262"/>
      <c r="N262"/>
      <c r="O262"/>
      <c r="R262" s="175" t="str">
        <f ca="1">IFERROR(OFFSET('4.2民生電力需要量'!$G$1,MATCH($D262,'4.2民生電力需要量'!$E:$E,0)-1,0),"")</f>
        <v/>
      </c>
      <c r="S262" s="175"/>
      <c r="T262" s="175"/>
      <c r="U262" s="175"/>
      <c r="V262" s="175"/>
      <c r="W262" s="175"/>
      <c r="X262" s="175"/>
      <c r="Y262" s="175"/>
      <c r="Z262" s="175"/>
      <c r="AA262" s="175"/>
      <c r="AB262" s="175">
        <f ca="1">(F262=R262)*1</f>
        <v>1</v>
      </c>
    </row>
    <row r="263" spans="1:28">
      <c r="B263" s="7"/>
      <c r="C263" s="915"/>
      <c r="D263" s="97"/>
      <c r="E263" s="72" t="s">
        <v>612</v>
      </c>
      <c r="F263" s="1447" t="str">
        <f ca="1">IFERROR(OFFSET('4.2民生電力需要量'!$L$1,MATCH($D262,'4.2民生電力需要量'!$E:$E,0)-1,0),"")</f>
        <v/>
      </c>
      <c r="G263" s="1448"/>
      <c r="H263" s="1448"/>
      <c r="I263" s="1448"/>
      <c r="J263" s="1448"/>
      <c r="K263" s="1449"/>
      <c r="L263" s="8"/>
      <c r="M263"/>
      <c r="N263"/>
      <c r="O263"/>
      <c r="R263" s="175" t="str">
        <f ca="1">IFERROR(OFFSET('4.2民生電力需要量'!$L$1,MATCH($D262,'4.2民生電力需要量'!$E:$E,0)-1,0),"")</f>
        <v/>
      </c>
      <c r="S263" s="175"/>
      <c r="T263" s="175"/>
      <c r="U263" s="175"/>
      <c r="V263" s="175"/>
      <c r="W263" s="175"/>
      <c r="X263" s="175"/>
      <c r="Y263" s="175"/>
      <c r="Z263" s="175"/>
      <c r="AA263" s="175"/>
      <c r="AB263" s="175">
        <f ca="1">(F263=R263)*1</f>
        <v>1</v>
      </c>
    </row>
    <row r="264" spans="1:28">
      <c r="B264" s="7"/>
      <c r="C264" s="74"/>
      <c r="D264" s="66"/>
      <c r="E264" s="72" t="s">
        <v>220</v>
      </c>
      <c r="F264" s="1450" t="str">
        <f ca="1">IFERROR(OFFSET('4.2民生電力需要量'!$I$1,MATCH($D262,'4.2民生電力需要量'!$E:$E,0)-1,0),"")</f>
        <v/>
      </c>
      <c r="G264" s="1450"/>
      <c r="H264" s="1450"/>
      <c r="I264" s="1450"/>
      <c r="J264" s="1450"/>
      <c r="K264" s="1450"/>
      <c r="L264" s="8"/>
      <c r="M264"/>
      <c r="N264"/>
      <c r="O264"/>
      <c r="R264" s="175" t="str">
        <f ca="1">IFERROR(OFFSET('4.2民生電力需要量'!$I$1,MATCH($D262,'4.2民生電力需要量'!$E:$E,0)-1,0),"")</f>
        <v/>
      </c>
      <c r="S264" s="175"/>
      <c r="T264" s="175"/>
      <c r="U264" s="175"/>
      <c r="V264" s="175"/>
      <c r="W264" s="175"/>
      <c r="X264" s="175"/>
      <c r="Y264" s="175"/>
      <c r="Z264" s="175"/>
      <c r="AA264" s="175"/>
      <c r="AB264" s="175">
        <f t="shared" ref="AB264:AB265" ca="1" si="137">(F264=R264)*1</f>
        <v>1</v>
      </c>
    </row>
    <row r="265" spans="1:28">
      <c r="B265" s="7"/>
      <c r="C265" s="74"/>
      <c r="D265" s="66"/>
      <c r="E265" s="72" t="s">
        <v>175</v>
      </c>
      <c r="F265" s="1451" t="str">
        <f>_xlfn.IFNA(R265,"")</f>
        <v/>
      </c>
      <c r="G265" s="1451"/>
      <c r="H265" s="1451"/>
      <c r="I265" s="1451"/>
      <c r="J265" s="1451"/>
      <c r="K265" s="1451"/>
      <c r="L265" s="8"/>
      <c r="M265"/>
      <c r="N265"/>
      <c r="O265"/>
      <c r="R265" s="215" t="str">
        <f>IF(PRODUCT($Z267:$Z271)=1,AA267,"")</f>
        <v/>
      </c>
      <c r="S265" s="175"/>
      <c r="T265" s="175"/>
      <c r="U265" s="175"/>
      <c r="V265" s="175"/>
      <c r="W265" s="175"/>
      <c r="X265" s="175"/>
      <c r="Y265" s="175"/>
      <c r="Z265" s="175"/>
      <c r="AA265" s="175"/>
      <c r="AB265" s="175">
        <f t="shared" si="137"/>
        <v>1</v>
      </c>
    </row>
    <row r="266" spans="1:28" s="2" customFormat="1" ht="60">
      <c r="A266"/>
      <c r="B266" s="7"/>
      <c r="C266" s="74"/>
      <c r="D266" s="66"/>
      <c r="E266" s="306"/>
      <c r="F266" s="312" t="s">
        <v>299</v>
      </c>
      <c r="G266" s="313" t="s">
        <v>300</v>
      </c>
      <c r="H266" s="313" t="s">
        <v>301</v>
      </c>
      <c r="I266" s="313" t="s">
        <v>302</v>
      </c>
      <c r="J266" s="313" t="s">
        <v>429</v>
      </c>
      <c r="K266" s="313" t="s">
        <v>270</v>
      </c>
      <c r="L266" s="8"/>
      <c r="M266"/>
      <c r="P266"/>
      <c r="Q266"/>
      <c r="R266" s="294" t="s">
        <v>298</v>
      </c>
      <c r="S266" s="294" t="s">
        <v>299</v>
      </c>
      <c r="T266" s="314" t="s">
        <v>423</v>
      </c>
      <c r="U266" s="294" t="s">
        <v>424</v>
      </c>
      <c r="V266" s="294" t="s">
        <v>422</v>
      </c>
      <c r="W266" s="315" t="s">
        <v>270</v>
      </c>
      <c r="X266" s="294" t="s">
        <v>426</v>
      </c>
      <c r="Y266" s="215" t="s">
        <v>402</v>
      </c>
      <c r="Z266" s="215" t="s">
        <v>430</v>
      </c>
      <c r="AA266" s="294" t="s">
        <v>425</v>
      </c>
      <c r="AB266" s="294"/>
    </row>
    <row r="267" spans="1:28" s="99" customFormat="1" ht="18.75" hidden="1" customHeight="1">
      <c r="A267" s="11"/>
      <c r="B267" s="95"/>
      <c r="C267" s="96"/>
      <c r="D267" s="97"/>
      <c r="E267" s="438"/>
      <c r="F267" s="439"/>
      <c r="G267" s="439"/>
      <c r="H267" s="439"/>
      <c r="I267" s="439"/>
      <c r="J267" s="439"/>
      <c r="K267" s="439"/>
      <c r="L267" s="98"/>
      <c r="M267" s="11"/>
      <c r="Q267" s="11"/>
      <c r="R267" s="129">
        <f>IF(E267="地区代表者",COUNTA($D$1:$D267),0)</f>
        <v>0</v>
      </c>
      <c r="S267" s="129">
        <f t="shared" ref="S267:S268" si="138">IF(F267="実施済",1,0)</f>
        <v>0</v>
      </c>
      <c r="T267" s="258"/>
      <c r="U267" s="129">
        <f t="shared" ref="U267:U268" si="139">IF(AND(H267="実施済",I267="実施済"),S267*1,0)</f>
        <v>0</v>
      </c>
      <c r="V267" s="129">
        <f>IF(J267="実施済",$U267*1,0)</f>
        <v>0</v>
      </c>
      <c r="W267" s="258"/>
      <c r="X267" s="129" t="str">
        <f>IF(E267="","",IF(R267*S267&gt;0,3,SUM(S267,U267,V267)))</f>
        <v/>
      </c>
      <c r="Y267" s="129">
        <f>MIN($X$267:$X$271)+1</f>
        <v>1</v>
      </c>
      <c r="Z267" s="129">
        <f>IF(E267="",1,IF(R267&gt;0,IF(COUNTA($F267:$K267)=2,1,0),IF(COUNTA($F267:$K267)=6,1,0)))</f>
        <v>1</v>
      </c>
      <c r="AA267" s="129" t="str" cm="1">
        <f t="array" ref="AA267">_xlfn.IFS(Y267=4,"A",Y267=3,"B",Y267=2,"C",Y267=1,"D")</f>
        <v>D</v>
      </c>
      <c r="AB267" s="129" t="str" cm="1">
        <f t="array" ref="AB267">_xlfn.IFS(Z267=4,"A",Z267=3,"B",Z267=2,"C",Z267=1,"D")</f>
        <v>D</v>
      </c>
    </row>
    <row r="268" spans="1:28" s="99" customFormat="1" ht="18.75" customHeight="1">
      <c r="A268" s="11"/>
      <c r="B268" s="95"/>
      <c r="C268" s="96"/>
      <c r="D268" s="97"/>
      <c r="E268" s="440" t="s">
        <v>298</v>
      </c>
      <c r="F268" s="441"/>
      <c r="G268" s="839"/>
      <c r="H268" s="839"/>
      <c r="I268" s="839"/>
      <c r="J268" s="839"/>
      <c r="K268" s="441"/>
      <c r="L268" s="98"/>
      <c r="M268" s="11"/>
      <c r="Q268" s="11"/>
      <c r="R268" s="129">
        <f>IF(E268="地区代表者",COUNTA($D$1:$D268),0)</f>
        <v>18</v>
      </c>
      <c r="S268" s="129">
        <f t="shared" si="138"/>
        <v>0</v>
      </c>
      <c r="T268" s="258"/>
      <c r="U268" s="129">
        <f t="shared" si="139"/>
        <v>0</v>
      </c>
      <c r="V268" s="129">
        <f>IF(J268="実施済",$U268*1,0)</f>
        <v>0</v>
      </c>
      <c r="W268" s="258"/>
      <c r="X268" s="129">
        <f t="shared" ref="X268:X271" si="140">IF(E268="","",IF(R268*S268&gt;0,3,SUM(S268,U268,V268)))</f>
        <v>0</v>
      </c>
      <c r="Y268" s="129">
        <f>MIN($X$267:$X$271)+1</f>
        <v>1</v>
      </c>
      <c r="Z268" s="129">
        <f t="shared" ref="Z268:Z271" si="141">IF(E268="",1,IF(R268&gt;0,IF(COUNTA($F268:$K268)=2,1,0),IF(COUNTA($F268:$K268)=6,1,0)))</f>
        <v>0</v>
      </c>
      <c r="AA268" s="129" t="str" cm="1">
        <f t="array" ref="AA268">_xlfn.IFS(Y268=4,"A",Y268=3,"B",Y268=2,"C",Y268=1,"D")</f>
        <v>D</v>
      </c>
      <c r="AB268" s="129"/>
    </row>
    <row r="269" spans="1:28" s="99" customFormat="1" ht="18.75" customHeight="1">
      <c r="A269" s="11"/>
      <c r="B269" s="95"/>
      <c r="C269" s="96"/>
      <c r="D269" s="97"/>
      <c r="E269" s="440" t="s">
        <v>116</v>
      </c>
      <c r="F269" s="441"/>
      <c r="G269" s="441"/>
      <c r="H269" s="441"/>
      <c r="I269" s="441"/>
      <c r="J269" s="441"/>
      <c r="K269" s="441"/>
      <c r="L269" s="98"/>
      <c r="M269" s="11"/>
      <c r="P269" s="11"/>
      <c r="Q269" s="11"/>
      <c r="R269" s="129">
        <f>IF(E269="地区代表者",COUNTA($D$1:$D269),0)</f>
        <v>0</v>
      </c>
      <c r="S269" s="129">
        <f>IF(F269="実施済",1,0)</f>
        <v>0</v>
      </c>
      <c r="T269" s="258"/>
      <c r="U269" s="129">
        <f>IF(AND(H269="実施済",I269="実施済"),S269*1,0)</f>
        <v>0</v>
      </c>
      <c r="V269" s="129">
        <f>IF(J269="実施済",$U269*1,0)</f>
        <v>0</v>
      </c>
      <c r="W269" s="258"/>
      <c r="X269" s="129">
        <f t="shared" si="140"/>
        <v>0</v>
      </c>
      <c r="Y269" s="129">
        <f>MIN($X$267:$X$271)+1</f>
        <v>1</v>
      </c>
      <c r="Z269" s="129">
        <f t="shared" si="141"/>
        <v>0</v>
      </c>
      <c r="AA269" s="129" t="str" cm="1">
        <f t="array" ref="AA269">_xlfn.IFS(Y269=4,"A",Y269=3,"B",Y269=2,"C",Y269=1,"D")</f>
        <v>D</v>
      </c>
      <c r="AB269" s="129"/>
    </row>
    <row r="270" spans="1:28" s="2" customFormat="1" ht="9" customHeight="1">
      <c r="A270"/>
      <c r="B270" s="65"/>
      <c r="C270" s="4"/>
      <c r="D270" s="307"/>
      <c r="E270" s="308"/>
      <c r="F270" s="308"/>
      <c r="G270" s="308"/>
      <c r="H270" s="308"/>
      <c r="I270" s="308"/>
      <c r="J270" s="308"/>
      <c r="K270" s="308"/>
      <c r="L270" s="9"/>
      <c r="M270"/>
      <c r="P270"/>
      <c r="Q270"/>
      <c r="R270" s="215">
        <f>IF(E270="地区代表者",COUNTA($D$1:$D270),0)</f>
        <v>0</v>
      </c>
      <c r="S270" s="215">
        <f t="shared" ref="S270:S271" si="142">IF(F270="実施済",1,0)</f>
        <v>0</v>
      </c>
      <c r="T270" s="316"/>
      <c r="U270" s="215">
        <f t="shared" ref="U270:U271" si="143">IF(AND(H270="実施済",I270="実施済"),S270*1,0)</f>
        <v>0</v>
      </c>
      <c r="V270" s="215">
        <f t="shared" ref="V270:V271" si="144">IF(J270="実施済",$U270*1,0)</f>
        <v>0</v>
      </c>
      <c r="W270" s="316"/>
      <c r="X270" s="215" t="str">
        <f t="shared" si="140"/>
        <v/>
      </c>
      <c r="Y270" s="215">
        <f>MIN($X$267:$X$271)+1</f>
        <v>1</v>
      </c>
      <c r="Z270" s="215">
        <f t="shared" si="141"/>
        <v>1</v>
      </c>
      <c r="AA270" s="215" t="str" cm="1">
        <f t="array" ref="AA270">_xlfn.IFS(Y270=4,"A",Y270=3,"B",Y270=2,"C",Y270=1,"D")</f>
        <v>D</v>
      </c>
      <c r="AB270" s="215"/>
    </row>
    <row r="271" spans="1:28" s="2" customFormat="1" ht="6" customHeight="1">
      <c r="A271"/>
      <c r="B271"/>
      <c r="C271"/>
      <c r="D271" s="309"/>
      <c r="E271" s="310"/>
      <c r="F271" s="310"/>
      <c r="G271" s="310"/>
      <c r="H271" s="310"/>
      <c r="I271" s="310"/>
      <c r="J271" s="310"/>
      <c r="K271" s="310"/>
      <c r="L271"/>
      <c r="M271"/>
      <c r="P271"/>
      <c r="Q271"/>
      <c r="R271" s="215">
        <f>IF(E271="地区代表者",COUNTA($D$1:$D271),0)</f>
        <v>0</v>
      </c>
      <c r="S271" s="215">
        <f t="shared" si="142"/>
        <v>0</v>
      </c>
      <c r="T271" s="316"/>
      <c r="U271" s="215">
        <f t="shared" si="143"/>
        <v>0</v>
      </c>
      <c r="V271" s="215">
        <f t="shared" si="144"/>
        <v>0</v>
      </c>
      <c r="W271" s="316"/>
      <c r="X271" s="215" t="str">
        <f t="shared" si="140"/>
        <v/>
      </c>
      <c r="Y271" s="215">
        <f>MIN($X$267:$X$271)+1</f>
        <v>1</v>
      </c>
      <c r="Z271" s="215">
        <f t="shared" si="141"/>
        <v>1</v>
      </c>
      <c r="AA271" s="215" t="str" cm="1">
        <f t="array" ref="AA271">_xlfn.IFS(Y271=4,"A",Y271=3,"B",Y271=2,"C",Y271=1,"D")</f>
        <v>D</v>
      </c>
      <c r="AB271" s="215"/>
    </row>
    <row r="272" spans="1:28" ht="96" customHeight="1">
      <c r="C272" s="78"/>
      <c r="D272" s="79"/>
      <c r="E272" s="72" t="s">
        <v>236</v>
      </c>
      <c r="F272" s="1452"/>
      <c r="G272" s="1452"/>
      <c r="H272" s="1452"/>
      <c r="I272" s="1452"/>
      <c r="J272" s="1452"/>
      <c r="K272" s="1452"/>
      <c r="L272" s="80" t="s">
        <v>132</v>
      </c>
      <c r="M272" s="290"/>
    </row>
    <row r="273" spans="1:28" ht="96" customHeight="1">
      <c r="C273" s="75"/>
      <c r="D273" s="68"/>
      <c r="E273" s="72" t="s">
        <v>237</v>
      </c>
      <c r="F273" s="1452"/>
      <c r="G273" s="1452"/>
      <c r="H273" s="1452"/>
      <c r="I273" s="1452"/>
      <c r="J273" s="1452"/>
      <c r="K273" s="1452"/>
    </row>
    <row r="274" spans="1:28" ht="18.5" thickBot="1">
      <c r="A274" s="81"/>
      <c r="B274" s="81"/>
      <c r="C274" s="81"/>
      <c r="D274" s="81"/>
      <c r="E274" s="311"/>
      <c r="F274" s="81"/>
      <c r="G274" s="81"/>
      <c r="H274" s="81"/>
      <c r="I274" s="81"/>
      <c r="J274" s="81"/>
      <c r="K274" s="81"/>
      <c r="L274" s="81"/>
      <c r="M274" s="82"/>
    </row>
    <row r="276" spans="1:28" ht="9" customHeight="1">
      <c r="B276" s="10"/>
      <c r="C276" s="5"/>
      <c r="D276" s="5"/>
      <c r="E276" s="305"/>
      <c r="F276" s="5"/>
      <c r="G276" s="5"/>
      <c r="H276" s="5"/>
      <c r="I276" s="5"/>
      <c r="J276" s="5"/>
      <c r="K276" s="5"/>
      <c r="L276" s="6"/>
      <c r="M276"/>
      <c r="N276"/>
      <c r="O276"/>
      <c r="R276" t="str">
        <f>D277</f>
        <v>(選択してください)</v>
      </c>
    </row>
    <row r="277" spans="1:28">
      <c r="B277" s="7"/>
      <c r="C277" s="77" t="str">
        <f ca="1">IFERROR(OFFSET('4.2民生電力需要量'!$C$1,MATCH(D277,'4.2民生電力需要量'!$E:$E,0)-1,0),"")</f>
        <v/>
      </c>
      <c r="D277" s="94" t="s">
        <v>130</v>
      </c>
      <c r="E277" s="72" t="s">
        <v>131</v>
      </c>
      <c r="F277" s="1446" t="str">
        <f ca="1">IFERROR(OFFSET('4.2民生電力需要量'!$G$1,MATCH($D277,'4.2民生電力需要量'!$E:$E,0)-1,0),"")</f>
        <v/>
      </c>
      <c r="G277" s="1446"/>
      <c r="H277" s="1446"/>
      <c r="I277" s="1446"/>
      <c r="J277" s="1446"/>
      <c r="K277" s="1446"/>
      <c r="L277" s="8"/>
      <c r="M277"/>
      <c r="N277"/>
      <c r="O277"/>
      <c r="R277" s="175" t="str">
        <f ca="1">IFERROR(OFFSET('4.2民生電力需要量'!$G$1,MATCH($D277,'4.2民生電力需要量'!$E:$E,0)-1,0),"")</f>
        <v/>
      </c>
      <c r="S277" s="175"/>
      <c r="T277" s="175"/>
      <c r="U277" s="175"/>
      <c r="V277" s="175"/>
      <c r="W277" s="175"/>
      <c r="X277" s="175"/>
      <c r="Y277" s="175"/>
      <c r="Z277" s="175"/>
      <c r="AA277" s="175"/>
      <c r="AB277" s="175">
        <f ca="1">(F277=R277)*1</f>
        <v>1</v>
      </c>
    </row>
    <row r="278" spans="1:28">
      <c r="B278" s="7"/>
      <c r="C278" s="915"/>
      <c r="D278" s="97"/>
      <c r="E278" s="72" t="s">
        <v>612</v>
      </c>
      <c r="F278" s="1447" t="str">
        <f ca="1">IFERROR(OFFSET('4.2民生電力需要量'!$L$1,MATCH($D277,'4.2民生電力需要量'!$E:$E,0)-1,0),"")</f>
        <v/>
      </c>
      <c r="G278" s="1448"/>
      <c r="H278" s="1448"/>
      <c r="I278" s="1448"/>
      <c r="J278" s="1448"/>
      <c r="K278" s="1449"/>
      <c r="L278" s="8"/>
      <c r="M278"/>
      <c r="N278"/>
      <c r="O278"/>
      <c r="R278" s="175" t="str">
        <f ca="1">IFERROR(OFFSET('4.2民生電力需要量'!$L$1,MATCH($D277,'4.2民生電力需要量'!$E:$E,0)-1,0),"")</f>
        <v/>
      </c>
      <c r="S278" s="175"/>
      <c r="T278" s="175"/>
      <c r="U278" s="175"/>
      <c r="V278" s="175"/>
      <c r="W278" s="175"/>
      <c r="X278" s="175"/>
      <c r="Y278" s="175"/>
      <c r="Z278" s="175"/>
      <c r="AA278" s="175"/>
      <c r="AB278" s="175">
        <f ca="1">(F278=R278)*1</f>
        <v>1</v>
      </c>
    </row>
    <row r="279" spans="1:28">
      <c r="B279" s="7"/>
      <c r="C279" s="74"/>
      <c r="D279" s="66"/>
      <c r="E279" s="72" t="s">
        <v>220</v>
      </c>
      <c r="F279" s="1450" t="str">
        <f ca="1">IFERROR(OFFSET('4.2民生電力需要量'!$I$1,MATCH($D277,'4.2民生電力需要量'!$E:$E,0)-1,0),"")</f>
        <v/>
      </c>
      <c r="G279" s="1450"/>
      <c r="H279" s="1450"/>
      <c r="I279" s="1450"/>
      <c r="J279" s="1450"/>
      <c r="K279" s="1450"/>
      <c r="L279" s="8"/>
      <c r="M279"/>
      <c r="N279"/>
      <c r="O279"/>
      <c r="R279" s="175" t="str">
        <f ca="1">IFERROR(OFFSET('4.2民生電力需要量'!$I$1,MATCH($D277,'4.2民生電力需要量'!$E:$E,0)-1,0),"")</f>
        <v/>
      </c>
      <c r="S279" s="175"/>
      <c r="T279" s="175"/>
      <c r="U279" s="175"/>
      <c r="V279" s="175"/>
      <c r="W279" s="175"/>
      <c r="X279" s="175"/>
      <c r="Y279" s="175"/>
      <c r="Z279" s="175"/>
      <c r="AA279" s="175"/>
      <c r="AB279" s="175">
        <f t="shared" ref="AB279:AB280" ca="1" si="145">(F279=R279)*1</f>
        <v>1</v>
      </c>
    </row>
    <row r="280" spans="1:28">
      <c r="B280" s="7"/>
      <c r="C280" s="74"/>
      <c r="D280" s="66"/>
      <c r="E280" s="72" t="s">
        <v>175</v>
      </c>
      <c r="F280" s="1451" t="str">
        <f>_xlfn.IFNA(R280,"")</f>
        <v/>
      </c>
      <c r="G280" s="1451"/>
      <c r="H280" s="1451"/>
      <c r="I280" s="1451"/>
      <c r="J280" s="1451"/>
      <c r="K280" s="1451"/>
      <c r="L280" s="8"/>
      <c r="M280"/>
      <c r="N280"/>
      <c r="O280"/>
      <c r="R280" s="215" t="str">
        <f>IF(PRODUCT($Z282:$Z286)=1,AA282,"")</f>
        <v/>
      </c>
      <c r="S280" s="175"/>
      <c r="T280" s="175"/>
      <c r="U280" s="175"/>
      <c r="V280" s="175"/>
      <c r="W280" s="175"/>
      <c r="X280" s="175"/>
      <c r="Y280" s="175"/>
      <c r="Z280" s="175"/>
      <c r="AA280" s="175"/>
      <c r="AB280" s="175">
        <f t="shared" si="145"/>
        <v>1</v>
      </c>
    </row>
    <row r="281" spans="1:28" s="2" customFormat="1" ht="60">
      <c r="A281"/>
      <c r="B281" s="7"/>
      <c r="C281" s="74"/>
      <c r="D281" s="66"/>
      <c r="E281" s="306"/>
      <c r="F281" s="312" t="s">
        <v>299</v>
      </c>
      <c r="G281" s="313" t="s">
        <v>300</v>
      </c>
      <c r="H281" s="313" t="s">
        <v>301</v>
      </c>
      <c r="I281" s="313" t="s">
        <v>302</v>
      </c>
      <c r="J281" s="313" t="s">
        <v>429</v>
      </c>
      <c r="K281" s="313" t="s">
        <v>270</v>
      </c>
      <c r="L281" s="8"/>
      <c r="M281"/>
      <c r="P281"/>
      <c r="Q281"/>
      <c r="R281" s="294" t="s">
        <v>298</v>
      </c>
      <c r="S281" s="294" t="s">
        <v>299</v>
      </c>
      <c r="T281" s="314" t="s">
        <v>423</v>
      </c>
      <c r="U281" s="294" t="s">
        <v>424</v>
      </c>
      <c r="V281" s="294" t="s">
        <v>422</v>
      </c>
      <c r="W281" s="315" t="s">
        <v>270</v>
      </c>
      <c r="X281" s="294" t="s">
        <v>426</v>
      </c>
      <c r="Y281" s="215" t="s">
        <v>402</v>
      </c>
      <c r="Z281" s="215" t="s">
        <v>430</v>
      </c>
      <c r="AA281" s="294" t="s">
        <v>425</v>
      </c>
      <c r="AB281" s="294"/>
    </row>
    <row r="282" spans="1:28" s="99" customFormat="1" ht="18.75" hidden="1" customHeight="1">
      <c r="A282" s="11"/>
      <c r="B282" s="95"/>
      <c r="C282" s="96"/>
      <c r="D282" s="97"/>
      <c r="E282" s="438"/>
      <c r="F282" s="439"/>
      <c r="G282" s="439"/>
      <c r="H282" s="439"/>
      <c r="I282" s="439"/>
      <c r="J282" s="439"/>
      <c r="K282" s="439"/>
      <c r="L282" s="98"/>
      <c r="M282" s="11"/>
      <c r="Q282" s="11"/>
      <c r="R282" s="129">
        <f>IF(E282="地区代表者",COUNTA($D$1:$D282),0)</f>
        <v>0</v>
      </c>
      <c r="S282" s="129">
        <f t="shared" ref="S282:S283" si="146">IF(F282="実施済",1,0)</f>
        <v>0</v>
      </c>
      <c r="T282" s="258"/>
      <c r="U282" s="129">
        <f t="shared" ref="U282:U283" si="147">IF(AND(H282="実施済",I282="実施済"),S282*1,0)</f>
        <v>0</v>
      </c>
      <c r="V282" s="129">
        <f>IF(J282="実施済",$U282*1,0)</f>
        <v>0</v>
      </c>
      <c r="W282" s="258"/>
      <c r="X282" s="129" t="str">
        <f>IF(E282="","",IF(R282*S282&gt;0,3,SUM(S282,U282,V282)))</f>
        <v/>
      </c>
      <c r="Y282" s="129">
        <f>MIN($X$282:$X$286)+1</f>
        <v>1</v>
      </c>
      <c r="Z282" s="129">
        <f>IF(E282="",1,IF(R282&gt;0,IF(COUNTA($F282:$K282)=2,1,0),IF(COUNTA($F282:$K282)=6,1,0)))</f>
        <v>1</v>
      </c>
      <c r="AA282" s="129" t="str" cm="1">
        <f t="array" ref="AA282">_xlfn.IFS(Y282=4,"A",Y282=3,"B",Y282=2,"C",Y282=1,"D")</f>
        <v>D</v>
      </c>
      <c r="AB282" s="129" t="str" cm="1">
        <f t="array" ref="AB282">_xlfn.IFS(Z282=4,"A",Z282=3,"B",Z282=2,"C",Z282=1,"D")</f>
        <v>D</v>
      </c>
    </row>
    <row r="283" spans="1:28" s="99" customFormat="1" ht="18.75" customHeight="1">
      <c r="A283" s="11"/>
      <c r="B283" s="95"/>
      <c r="C283" s="96"/>
      <c r="D283" s="97"/>
      <c r="E283" s="440" t="s">
        <v>298</v>
      </c>
      <c r="F283" s="441"/>
      <c r="G283" s="839"/>
      <c r="H283" s="839"/>
      <c r="I283" s="839"/>
      <c r="J283" s="839"/>
      <c r="K283" s="441"/>
      <c r="L283" s="98"/>
      <c r="M283" s="11"/>
      <c r="Q283" s="11"/>
      <c r="R283" s="129">
        <f>IF(E283="地区代表者",COUNTA($D$1:$D283),0)</f>
        <v>19</v>
      </c>
      <c r="S283" s="129">
        <f t="shared" si="146"/>
        <v>0</v>
      </c>
      <c r="T283" s="258"/>
      <c r="U283" s="129">
        <f t="shared" si="147"/>
        <v>0</v>
      </c>
      <c r="V283" s="129">
        <f>IF(J283="実施済",$U283*1,0)</f>
        <v>0</v>
      </c>
      <c r="W283" s="258"/>
      <c r="X283" s="129">
        <f t="shared" ref="X283:X286" si="148">IF(E283="","",IF(R283*S283&gt;0,3,SUM(S283,U283,V283)))</f>
        <v>0</v>
      </c>
      <c r="Y283" s="129">
        <f>MIN($X$282:$X$286)+1</f>
        <v>1</v>
      </c>
      <c r="Z283" s="129">
        <f t="shared" ref="Z283:Z286" si="149">IF(E283="",1,IF(R283&gt;0,IF(COUNTA($F283:$K283)=2,1,0),IF(COUNTA($F283:$K283)=6,1,0)))</f>
        <v>0</v>
      </c>
      <c r="AA283" s="129" t="str" cm="1">
        <f t="array" ref="AA283">_xlfn.IFS(Y283=4,"A",Y283=3,"B",Y283=2,"C",Y283=1,"D")</f>
        <v>D</v>
      </c>
      <c r="AB283" s="129"/>
    </row>
    <row r="284" spans="1:28" s="99" customFormat="1" ht="18.75" customHeight="1">
      <c r="A284" s="11"/>
      <c r="B284" s="95"/>
      <c r="C284" s="96"/>
      <c r="D284" s="97"/>
      <c r="E284" s="440" t="s">
        <v>116</v>
      </c>
      <c r="F284" s="441"/>
      <c r="G284" s="441"/>
      <c r="H284" s="441"/>
      <c r="I284" s="441"/>
      <c r="J284" s="441"/>
      <c r="K284" s="441"/>
      <c r="L284" s="98"/>
      <c r="M284" s="11"/>
      <c r="P284" s="11"/>
      <c r="Q284" s="11"/>
      <c r="R284" s="129">
        <f>IF(E284="地区代表者",COUNTA($D$1:$D284),0)</f>
        <v>0</v>
      </c>
      <c r="S284" s="129">
        <f>IF(F284="実施済",1,0)</f>
        <v>0</v>
      </c>
      <c r="T284" s="258"/>
      <c r="U284" s="129">
        <f>IF(AND(H284="実施済",I284="実施済"),S284*1,0)</f>
        <v>0</v>
      </c>
      <c r="V284" s="129">
        <f>IF(J284="実施済",$U284*1,0)</f>
        <v>0</v>
      </c>
      <c r="W284" s="258"/>
      <c r="X284" s="129">
        <f t="shared" si="148"/>
        <v>0</v>
      </c>
      <c r="Y284" s="129">
        <f>MIN($X$282:$X$286)+1</f>
        <v>1</v>
      </c>
      <c r="Z284" s="129">
        <f t="shared" si="149"/>
        <v>0</v>
      </c>
      <c r="AA284" s="129" t="str" cm="1">
        <f t="array" ref="AA284">_xlfn.IFS(Y284=4,"A",Y284=3,"B",Y284=2,"C",Y284=1,"D")</f>
        <v>D</v>
      </c>
      <c r="AB284" s="129"/>
    </row>
    <row r="285" spans="1:28" s="2" customFormat="1" ht="9" customHeight="1">
      <c r="A285"/>
      <c r="B285" s="65"/>
      <c r="C285" s="4"/>
      <c r="D285" s="307"/>
      <c r="E285" s="308"/>
      <c r="F285" s="308"/>
      <c r="G285" s="308"/>
      <c r="H285" s="308"/>
      <c r="I285" s="308"/>
      <c r="J285" s="308"/>
      <c r="K285" s="308"/>
      <c r="L285" s="9"/>
      <c r="M285"/>
      <c r="P285"/>
      <c r="Q285"/>
      <c r="R285" s="215">
        <f>IF(E285="地区代表者",COUNTA($D$1:$D285),0)</f>
        <v>0</v>
      </c>
      <c r="S285" s="215">
        <f t="shared" ref="S285:S286" si="150">IF(F285="実施済",1,0)</f>
        <v>0</v>
      </c>
      <c r="T285" s="316"/>
      <c r="U285" s="215">
        <f t="shared" ref="U285:U286" si="151">IF(AND(H285="実施済",I285="実施済"),S285*1,0)</f>
        <v>0</v>
      </c>
      <c r="V285" s="215">
        <f t="shared" ref="V285:V286" si="152">IF(J285="実施済",$U285*1,0)</f>
        <v>0</v>
      </c>
      <c r="W285" s="316"/>
      <c r="X285" s="215" t="str">
        <f t="shared" si="148"/>
        <v/>
      </c>
      <c r="Y285" s="215">
        <f>MIN($X$282:$X$286)+1</f>
        <v>1</v>
      </c>
      <c r="Z285" s="215">
        <f t="shared" si="149"/>
        <v>1</v>
      </c>
      <c r="AA285" s="215" t="str" cm="1">
        <f t="array" ref="AA285">_xlfn.IFS(Y285=4,"A",Y285=3,"B",Y285=2,"C",Y285=1,"D")</f>
        <v>D</v>
      </c>
      <c r="AB285" s="215"/>
    </row>
    <row r="286" spans="1:28" s="2" customFormat="1" ht="6" customHeight="1">
      <c r="A286"/>
      <c r="B286"/>
      <c r="C286"/>
      <c r="D286" s="309"/>
      <c r="E286" s="310"/>
      <c r="F286" s="310"/>
      <c r="G286" s="310"/>
      <c r="H286" s="310"/>
      <c r="I286" s="310"/>
      <c r="J286" s="310"/>
      <c r="K286" s="310"/>
      <c r="L286"/>
      <c r="M286"/>
      <c r="P286"/>
      <c r="Q286"/>
      <c r="R286" s="215">
        <f>IF(E286="地区代表者",COUNTA($D$1:$D286),0)</f>
        <v>0</v>
      </c>
      <c r="S286" s="215">
        <f t="shared" si="150"/>
        <v>0</v>
      </c>
      <c r="T286" s="316"/>
      <c r="U286" s="215">
        <f t="shared" si="151"/>
        <v>0</v>
      </c>
      <c r="V286" s="215">
        <f t="shared" si="152"/>
        <v>0</v>
      </c>
      <c r="W286" s="316"/>
      <c r="X286" s="215" t="str">
        <f t="shared" si="148"/>
        <v/>
      </c>
      <c r="Y286" s="215">
        <f>MIN($X$282:$X$286)+1</f>
        <v>1</v>
      </c>
      <c r="Z286" s="215">
        <f t="shared" si="149"/>
        <v>1</v>
      </c>
      <c r="AA286" s="215" t="str" cm="1">
        <f t="array" ref="AA286">_xlfn.IFS(Y286=4,"A",Y286=3,"B",Y286=2,"C",Y286=1,"D")</f>
        <v>D</v>
      </c>
      <c r="AB286" s="215"/>
    </row>
    <row r="287" spans="1:28" ht="96" customHeight="1">
      <c r="C287" s="78"/>
      <c r="D287" s="79"/>
      <c r="E287" s="72" t="s">
        <v>236</v>
      </c>
      <c r="F287" s="1452"/>
      <c r="G287" s="1452"/>
      <c r="H287" s="1452"/>
      <c r="I287" s="1452"/>
      <c r="J287" s="1452"/>
      <c r="K287" s="1452"/>
      <c r="L287" s="80" t="s">
        <v>132</v>
      </c>
      <c r="M287" s="290"/>
    </row>
    <row r="288" spans="1:28" ht="96" customHeight="1">
      <c r="C288" s="75"/>
      <c r="D288" s="68"/>
      <c r="E288" s="72" t="s">
        <v>237</v>
      </c>
      <c r="F288" s="1452"/>
      <c r="G288" s="1452"/>
      <c r="H288" s="1452"/>
      <c r="I288" s="1452"/>
      <c r="J288" s="1452"/>
      <c r="K288" s="1452"/>
    </row>
    <row r="289" spans="1:28" ht="18.5" thickBot="1">
      <c r="A289" s="81"/>
      <c r="B289" s="81"/>
      <c r="C289" s="81"/>
      <c r="D289" s="81"/>
      <c r="E289" s="311"/>
      <c r="F289" s="81"/>
      <c r="G289" s="81"/>
      <c r="H289" s="81"/>
      <c r="I289" s="81"/>
      <c r="J289" s="81"/>
      <c r="K289" s="81"/>
      <c r="L289" s="81"/>
      <c r="M289" s="82"/>
    </row>
    <row r="291" spans="1:28" ht="9" customHeight="1">
      <c r="B291" s="10"/>
      <c r="C291" s="5"/>
      <c r="D291" s="5"/>
      <c r="E291" s="305"/>
      <c r="F291" s="5"/>
      <c r="G291" s="5"/>
      <c r="H291" s="5"/>
      <c r="I291" s="5"/>
      <c r="J291" s="5"/>
      <c r="K291" s="5"/>
      <c r="L291" s="6"/>
      <c r="M291"/>
      <c r="N291"/>
      <c r="O291"/>
      <c r="R291" t="str">
        <f>D292</f>
        <v>(選択してください)</v>
      </c>
    </row>
    <row r="292" spans="1:28">
      <c r="B292" s="7"/>
      <c r="C292" s="77" t="str">
        <f ca="1">IFERROR(OFFSET('4.2民生電力需要量'!$C$1,MATCH(D292,'4.2民生電力需要量'!$E:$E,0)-1,0),"")</f>
        <v/>
      </c>
      <c r="D292" s="94" t="s">
        <v>130</v>
      </c>
      <c r="E292" s="72" t="s">
        <v>131</v>
      </c>
      <c r="F292" s="1446" t="str">
        <f ca="1">IFERROR(OFFSET('4.2民生電力需要量'!$G$1,MATCH($D292,'4.2民生電力需要量'!$E:$E,0)-1,0),"")</f>
        <v/>
      </c>
      <c r="G292" s="1446"/>
      <c r="H292" s="1446"/>
      <c r="I292" s="1446"/>
      <c r="J292" s="1446"/>
      <c r="K292" s="1446"/>
      <c r="L292" s="8"/>
      <c r="M292"/>
      <c r="N292"/>
      <c r="O292"/>
      <c r="R292" s="175" t="str">
        <f ca="1">IFERROR(OFFSET('4.2民生電力需要量'!$G$1,MATCH($D292,'4.2民生電力需要量'!$E:$E,0)-1,0),"")</f>
        <v/>
      </c>
      <c r="S292" s="175"/>
      <c r="T292" s="175"/>
      <c r="U292" s="175"/>
      <c r="V292" s="175"/>
      <c r="W292" s="175"/>
      <c r="X292" s="175"/>
      <c r="Y292" s="175"/>
      <c r="Z292" s="175"/>
      <c r="AA292" s="175"/>
      <c r="AB292" s="175">
        <f ca="1">(F292=R292)*1</f>
        <v>1</v>
      </c>
    </row>
    <row r="293" spans="1:28">
      <c r="B293" s="7"/>
      <c r="C293" s="915"/>
      <c r="D293" s="97"/>
      <c r="E293" s="72" t="s">
        <v>612</v>
      </c>
      <c r="F293" s="1447" t="str">
        <f ca="1">IFERROR(OFFSET('4.2民生電力需要量'!$L$1,MATCH($D292,'4.2民生電力需要量'!$E:$E,0)-1,0),"")</f>
        <v/>
      </c>
      <c r="G293" s="1448"/>
      <c r="H293" s="1448"/>
      <c r="I293" s="1448"/>
      <c r="J293" s="1448"/>
      <c r="K293" s="1449"/>
      <c r="L293" s="8"/>
      <c r="M293"/>
      <c r="N293"/>
      <c r="O293"/>
      <c r="R293" s="175" t="str">
        <f ca="1">IFERROR(OFFSET('4.2民生電力需要量'!$L$1,MATCH($D292,'4.2民生電力需要量'!$E:$E,0)-1,0),"")</f>
        <v/>
      </c>
      <c r="S293" s="175"/>
      <c r="T293" s="175"/>
      <c r="U293" s="175"/>
      <c r="V293" s="175"/>
      <c r="W293" s="175"/>
      <c r="X293" s="175"/>
      <c r="Y293" s="175"/>
      <c r="Z293" s="175"/>
      <c r="AA293" s="175"/>
      <c r="AB293" s="175">
        <f ca="1">(F293=R293)*1</f>
        <v>1</v>
      </c>
    </row>
    <row r="294" spans="1:28">
      <c r="B294" s="7"/>
      <c r="C294" s="74"/>
      <c r="D294" s="66"/>
      <c r="E294" s="72" t="s">
        <v>220</v>
      </c>
      <c r="F294" s="1450" t="str">
        <f ca="1">IFERROR(OFFSET('4.2民生電力需要量'!$I$1,MATCH($D292,'4.2民生電力需要量'!$E:$E,0)-1,0),"")</f>
        <v/>
      </c>
      <c r="G294" s="1450"/>
      <c r="H294" s="1450"/>
      <c r="I294" s="1450"/>
      <c r="J294" s="1450"/>
      <c r="K294" s="1450"/>
      <c r="L294" s="8"/>
      <c r="M294"/>
      <c r="N294"/>
      <c r="O294"/>
      <c r="R294" s="175" t="str">
        <f ca="1">IFERROR(OFFSET('4.2民生電力需要量'!$I$1,MATCH($D292,'4.2民生電力需要量'!$E:$E,0)-1,0),"")</f>
        <v/>
      </c>
      <c r="S294" s="175"/>
      <c r="T294" s="175"/>
      <c r="U294" s="175"/>
      <c r="V294" s="175"/>
      <c r="W294" s="175"/>
      <c r="X294" s="175"/>
      <c r="Y294" s="175"/>
      <c r="Z294" s="175"/>
      <c r="AA294" s="175"/>
      <c r="AB294" s="175">
        <f t="shared" ref="AB294:AB295" ca="1" si="153">(F294=R294)*1</f>
        <v>1</v>
      </c>
    </row>
    <row r="295" spans="1:28">
      <c r="B295" s="7"/>
      <c r="C295" s="74"/>
      <c r="D295" s="66"/>
      <c r="E295" s="72" t="s">
        <v>175</v>
      </c>
      <c r="F295" s="1451" t="str">
        <f>_xlfn.IFNA(R295,"")</f>
        <v/>
      </c>
      <c r="G295" s="1451"/>
      <c r="H295" s="1451"/>
      <c r="I295" s="1451"/>
      <c r="J295" s="1451"/>
      <c r="K295" s="1451"/>
      <c r="L295" s="8"/>
      <c r="M295"/>
      <c r="N295"/>
      <c r="O295"/>
      <c r="R295" s="215" t="str">
        <f>IF(PRODUCT($Z297:$Z301)=1,AA297,"")</f>
        <v/>
      </c>
      <c r="S295" s="175"/>
      <c r="T295" s="175"/>
      <c r="U295" s="175"/>
      <c r="V295" s="175"/>
      <c r="W295" s="175"/>
      <c r="X295" s="175"/>
      <c r="Y295" s="175"/>
      <c r="Z295" s="175"/>
      <c r="AA295" s="175"/>
      <c r="AB295" s="175">
        <f t="shared" si="153"/>
        <v>1</v>
      </c>
    </row>
    <row r="296" spans="1:28" s="2" customFormat="1" ht="60">
      <c r="A296"/>
      <c r="B296" s="7"/>
      <c r="C296" s="74"/>
      <c r="D296" s="66"/>
      <c r="E296" s="306"/>
      <c r="F296" s="312" t="s">
        <v>299</v>
      </c>
      <c r="G296" s="313" t="s">
        <v>300</v>
      </c>
      <c r="H296" s="313" t="s">
        <v>301</v>
      </c>
      <c r="I296" s="313" t="s">
        <v>302</v>
      </c>
      <c r="J296" s="313" t="s">
        <v>429</v>
      </c>
      <c r="K296" s="313" t="s">
        <v>270</v>
      </c>
      <c r="L296" s="8"/>
      <c r="M296"/>
      <c r="P296"/>
      <c r="Q296"/>
      <c r="R296" s="294" t="s">
        <v>298</v>
      </c>
      <c r="S296" s="294" t="s">
        <v>299</v>
      </c>
      <c r="T296" s="314" t="s">
        <v>423</v>
      </c>
      <c r="U296" s="294" t="s">
        <v>424</v>
      </c>
      <c r="V296" s="294" t="s">
        <v>422</v>
      </c>
      <c r="W296" s="315" t="s">
        <v>270</v>
      </c>
      <c r="X296" s="294" t="s">
        <v>426</v>
      </c>
      <c r="Y296" s="215" t="s">
        <v>402</v>
      </c>
      <c r="Z296" s="215" t="s">
        <v>430</v>
      </c>
      <c r="AA296" s="294" t="s">
        <v>425</v>
      </c>
      <c r="AB296" s="294"/>
    </row>
    <row r="297" spans="1:28" s="99" customFormat="1" ht="18.75" hidden="1" customHeight="1">
      <c r="A297" s="11"/>
      <c r="B297" s="95"/>
      <c r="C297" s="96"/>
      <c r="D297" s="97"/>
      <c r="E297" s="438"/>
      <c r="F297" s="439"/>
      <c r="G297" s="439"/>
      <c r="H297" s="439"/>
      <c r="I297" s="439"/>
      <c r="J297" s="439"/>
      <c r="K297" s="439"/>
      <c r="L297" s="98"/>
      <c r="M297" s="11"/>
      <c r="Q297" s="11"/>
      <c r="R297" s="129">
        <f>IF(E297="地区代表者",COUNTA($D$1:$D297),0)</f>
        <v>0</v>
      </c>
      <c r="S297" s="129">
        <f t="shared" ref="S297:S298" si="154">IF(F297="実施済",1,0)</f>
        <v>0</v>
      </c>
      <c r="T297" s="258"/>
      <c r="U297" s="129">
        <f t="shared" ref="U297:U298" si="155">IF(AND(H297="実施済",I297="実施済"),S297*1,0)</f>
        <v>0</v>
      </c>
      <c r="V297" s="129">
        <f>IF(J297="実施済",$U297*1,0)</f>
        <v>0</v>
      </c>
      <c r="W297" s="258"/>
      <c r="X297" s="129" t="str">
        <f>IF(E297="","",IF(R297*S297&gt;0,3,SUM(S297,U297,V297)))</f>
        <v/>
      </c>
      <c r="Y297" s="129">
        <f>MIN($X$297:$X$301)+1</f>
        <v>1</v>
      </c>
      <c r="Z297" s="129">
        <f>IF(E297="",1,IF(R297&gt;0,IF(COUNTA($F297:$K297)=2,1,0),IF(COUNTA($F297:$K297)=6,1,0)))</f>
        <v>1</v>
      </c>
      <c r="AA297" s="129" t="str" cm="1">
        <f t="array" ref="AA297">_xlfn.IFS(Y297=4,"A",Y297=3,"B",Y297=2,"C",Y297=1,"D")</f>
        <v>D</v>
      </c>
      <c r="AB297" s="129" t="str" cm="1">
        <f t="array" ref="AB297">_xlfn.IFS(Z297=4,"A",Z297=3,"B",Z297=2,"C",Z297=1,"D")</f>
        <v>D</v>
      </c>
    </row>
    <row r="298" spans="1:28" s="99" customFormat="1" ht="18.75" customHeight="1">
      <c r="A298" s="11"/>
      <c r="B298" s="95"/>
      <c r="C298" s="96"/>
      <c r="D298" s="97"/>
      <c r="E298" s="440" t="s">
        <v>298</v>
      </c>
      <c r="F298" s="441"/>
      <c r="G298" s="839"/>
      <c r="H298" s="839"/>
      <c r="I298" s="839"/>
      <c r="J298" s="839"/>
      <c r="K298" s="441"/>
      <c r="L298" s="98"/>
      <c r="M298" s="11"/>
      <c r="Q298" s="11"/>
      <c r="R298" s="129">
        <f>IF(E298="地区代表者",COUNTA($D$1:$D298),0)</f>
        <v>20</v>
      </c>
      <c r="S298" s="129">
        <f t="shared" si="154"/>
        <v>0</v>
      </c>
      <c r="T298" s="258"/>
      <c r="U298" s="129">
        <f t="shared" si="155"/>
        <v>0</v>
      </c>
      <c r="V298" s="129">
        <f>IF(J298="実施済",$U298*1,0)</f>
        <v>0</v>
      </c>
      <c r="W298" s="258"/>
      <c r="X298" s="129">
        <f t="shared" ref="X298:X301" si="156">IF(E298="","",IF(R298*S298&gt;0,3,SUM(S298,U298,V298)))</f>
        <v>0</v>
      </c>
      <c r="Y298" s="129">
        <f>MIN($X$297:$X$301)+1</f>
        <v>1</v>
      </c>
      <c r="Z298" s="129">
        <f t="shared" ref="Z298:Z301" si="157">IF(E298="",1,IF(R298&gt;0,IF(COUNTA($F298:$K298)=2,1,0),IF(COUNTA($F298:$K298)=6,1,0)))</f>
        <v>0</v>
      </c>
      <c r="AA298" s="129" t="str" cm="1">
        <f t="array" ref="AA298">_xlfn.IFS(Y298=4,"A",Y298=3,"B",Y298=2,"C",Y298=1,"D")</f>
        <v>D</v>
      </c>
      <c r="AB298" s="129"/>
    </row>
    <row r="299" spans="1:28" s="99" customFormat="1" ht="18.75" customHeight="1">
      <c r="A299" s="11"/>
      <c r="B299" s="95"/>
      <c r="C299" s="96"/>
      <c r="D299" s="97"/>
      <c r="E299" s="440" t="s">
        <v>116</v>
      </c>
      <c r="F299" s="441"/>
      <c r="G299" s="441"/>
      <c r="H299" s="441"/>
      <c r="I299" s="441"/>
      <c r="J299" s="441"/>
      <c r="K299" s="441"/>
      <c r="L299" s="98"/>
      <c r="M299" s="11"/>
      <c r="P299" s="11"/>
      <c r="Q299" s="11"/>
      <c r="R299" s="129">
        <f>IF(E299="地区代表者",COUNTA($D$1:$D299),0)</f>
        <v>0</v>
      </c>
      <c r="S299" s="129">
        <f>IF(F299="実施済",1,0)</f>
        <v>0</v>
      </c>
      <c r="T299" s="258"/>
      <c r="U299" s="129">
        <f>IF(AND(H299="実施済",I299="実施済"),S299*1,0)</f>
        <v>0</v>
      </c>
      <c r="V299" s="129">
        <f>IF(J299="実施済",$U299*1,0)</f>
        <v>0</v>
      </c>
      <c r="W299" s="258"/>
      <c r="X299" s="129">
        <f t="shared" si="156"/>
        <v>0</v>
      </c>
      <c r="Y299" s="129">
        <f>MIN($X$297:$X$301)+1</f>
        <v>1</v>
      </c>
      <c r="Z299" s="129">
        <f t="shared" si="157"/>
        <v>0</v>
      </c>
      <c r="AA299" s="129" t="str" cm="1">
        <f t="array" ref="AA299">_xlfn.IFS(Y299=4,"A",Y299=3,"B",Y299=2,"C",Y299=1,"D")</f>
        <v>D</v>
      </c>
      <c r="AB299" s="129"/>
    </row>
    <row r="300" spans="1:28" s="2" customFormat="1" ht="9" customHeight="1">
      <c r="A300"/>
      <c r="B300" s="65"/>
      <c r="C300" s="4"/>
      <c r="D300" s="307"/>
      <c r="E300" s="308"/>
      <c r="F300" s="308"/>
      <c r="G300" s="308"/>
      <c r="H300" s="308"/>
      <c r="I300" s="308"/>
      <c r="J300" s="308"/>
      <c r="K300" s="308"/>
      <c r="L300" s="9"/>
      <c r="M300"/>
      <c r="P300"/>
      <c r="Q300"/>
      <c r="R300" s="215">
        <f>IF(E300="地区代表者",COUNTA($D$1:$D300),0)</f>
        <v>0</v>
      </c>
      <c r="S300" s="215">
        <f t="shared" ref="S300:S301" si="158">IF(F300="実施済",1,0)</f>
        <v>0</v>
      </c>
      <c r="T300" s="316"/>
      <c r="U300" s="215">
        <f t="shared" ref="U300:U301" si="159">IF(AND(H300="実施済",I300="実施済"),S300*1,0)</f>
        <v>0</v>
      </c>
      <c r="V300" s="215">
        <f t="shared" ref="V300:V301" si="160">IF(J300="実施済",$U300*1,0)</f>
        <v>0</v>
      </c>
      <c r="W300" s="316"/>
      <c r="X300" s="215" t="str">
        <f t="shared" si="156"/>
        <v/>
      </c>
      <c r="Y300" s="215">
        <f>MIN($X$297:$X$301)+1</f>
        <v>1</v>
      </c>
      <c r="Z300" s="215">
        <f t="shared" si="157"/>
        <v>1</v>
      </c>
      <c r="AA300" s="215" t="str" cm="1">
        <f t="array" ref="AA300">_xlfn.IFS(Y300=4,"A",Y300=3,"B",Y300=2,"C",Y300=1,"D")</f>
        <v>D</v>
      </c>
      <c r="AB300" s="215"/>
    </row>
    <row r="301" spans="1:28" s="2" customFormat="1" ht="6" customHeight="1">
      <c r="A301"/>
      <c r="B301"/>
      <c r="C301"/>
      <c r="D301" s="309"/>
      <c r="E301" s="310"/>
      <c r="F301" s="310"/>
      <c r="G301" s="310"/>
      <c r="H301" s="310"/>
      <c r="I301" s="310"/>
      <c r="J301" s="310"/>
      <c r="K301" s="310"/>
      <c r="L301"/>
      <c r="M301"/>
      <c r="P301"/>
      <c r="Q301"/>
      <c r="R301" s="215">
        <f>IF(E301="地区代表者",COUNTA($D$1:$D301),0)</f>
        <v>0</v>
      </c>
      <c r="S301" s="215">
        <f t="shared" si="158"/>
        <v>0</v>
      </c>
      <c r="T301" s="316"/>
      <c r="U301" s="215">
        <f t="shared" si="159"/>
        <v>0</v>
      </c>
      <c r="V301" s="215">
        <f t="shared" si="160"/>
        <v>0</v>
      </c>
      <c r="W301" s="316"/>
      <c r="X301" s="215" t="str">
        <f t="shared" si="156"/>
        <v/>
      </c>
      <c r="Y301" s="215">
        <f>MIN($X$297:$X$301)+1</f>
        <v>1</v>
      </c>
      <c r="Z301" s="215">
        <f t="shared" si="157"/>
        <v>1</v>
      </c>
      <c r="AA301" s="215" t="str" cm="1">
        <f t="array" ref="AA301">_xlfn.IFS(Y301=4,"A",Y301=3,"B",Y301=2,"C",Y301=1,"D")</f>
        <v>D</v>
      </c>
      <c r="AB301" s="215"/>
    </row>
    <row r="302" spans="1:28" ht="96" customHeight="1">
      <c r="C302" s="78"/>
      <c r="D302" s="79"/>
      <c r="E302" s="72" t="s">
        <v>236</v>
      </c>
      <c r="F302" s="1452"/>
      <c r="G302" s="1452"/>
      <c r="H302" s="1452"/>
      <c r="I302" s="1452"/>
      <c r="J302" s="1452"/>
      <c r="K302" s="1452"/>
      <c r="L302" s="80" t="s">
        <v>132</v>
      </c>
      <c r="M302" s="290"/>
    </row>
    <row r="303" spans="1:28" ht="96" customHeight="1">
      <c r="C303" s="75"/>
      <c r="D303" s="68"/>
      <c r="E303" s="72" t="s">
        <v>237</v>
      </c>
      <c r="F303" s="1452"/>
      <c r="G303" s="1452"/>
      <c r="H303" s="1452"/>
      <c r="I303" s="1452"/>
      <c r="J303" s="1452"/>
      <c r="K303" s="1452"/>
    </row>
    <row r="304" spans="1:28" ht="18.5" thickBot="1">
      <c r="A304" s="81"/>
      <c r="B304" s="81"/>
      <c r="C304" s="81"/>
      <c r="D304" s="81"/>
      <c r="E304" s="311"/>
      <c r="F304" s="81"/>
      <c r="G304" s="81"/>
      <c r="H304" s="81"/>
      <c r="I304" s="81"/>
      <c r="J304" s="81"/>
      <c r="K304" s="81"/>
      <c r="L304" s="81"/>
      <c r="M304" s="82"/>
    </row>
    <row r="306" spans="1:28" ht="9" customHeight="1">
      <c r="B306" s="10"/>
      <c r="C306" s="5"/>
      <c r="D306" s="5"/>
      <c r="E306" s="305"/>
      <c r="F306" s="5"/>
      <c r="G306" s="5"/>
      <c r="H306" s="5"/>
      <c r="I306" s="5"/>
      <c r="J306" s="5"/>
      <c r="K306" s="5"/>
      <c r="L306" s="6"/>
      <c r="M306"/>
      <c r="N306"/>
      <c r="O306"/>
      <c r="R306" t="str">
        <f>D307</f>
        <v>(選択してください)</v>
      </c>
    </row>
    <row r="307" spans="1:28">
      <c r="B307" s="7"/>
      <c r="C307" s="77" t="str">
        <f ca="1">IFERROR(OFFSET('4.2民生電力需要量'!$C$1,MATCH(D307,'4.2民生電力需要量'!$E:$E,0)-1,0),"")</f>
        <v/>
      </c>
      <c r="D307" s="94" t="s">
        <v>130</v>
      </c>
      <c r="E307" s="72" t="s">
        <v>131</v>
      </c>
      <c r="F307" s="1446" t="str">
        <f ca="1">IFERROR(OFFSET('4.2民生電力需要量'!$G$1,MATCH($D307,'4.2民生電力需要量'!$E:$E,0)-1,0),"")</f>
        <v/>
      </c>
      <c r="G307" s="1446"/>
      <c r="H307" s="1446"/>
      <c r="I307" s="1446"/>
      <c r="J307" s="1446"/>
      <c r="K307" s="1446"/>
      <c r="L307" s="8"/>
      <c r="M307"/>
      <c r="N307"/>
      <c r="O307"/>
      <c r="R307" s="175" t="str">
        <f ca="1">IFERROR(OFFSET('4.2民生電力需要量'!$G$1,MATCH($D307,'4.2民生電力需要量'!$E:$E,0)-1,0),"")</f>
        <v/>
      </c>
      <c r="S307" s="175"/>
      <c r="T307" s="175"/>
      <c r="U307" s="175"/>
      <c r="V307" s="175"/>
      <c r="W307" s="175"/>
      <c r="X307" s="175"/>
      <c r="Y307" s="175"/>
      <c r="Z307" s="175"/>
      <c r="AA307" s="175"/>
      <c r="AB307" s="175">
        <f ca="1">(F307=R307)*1</f>
        <v>1</v>
      </c>
    </row>
    <row r="308" spans="1:28">
      <c r="B308" s="7"/>
      <c r="C308" s="915"/>
      <c r="D308" s="97"/>
      <c r="E308" s="72" t="s">
        <v>612</v>
      </c>
      <c r="F308" s="1447" t="str">
        <f ca="1">IFERROR(OFFSET('4.2民生電力需要量'!$L$1,MATCH($D307,'4.2民生電力需要量'!$E:$E,0)-1,0),"")</f>
        <v/>
      </c>
      <c r="G308" s="1448"/>
      <c r="H308" s="1448"/>
      <c r="I308" s="1448"/>
      <c r="J308" s="1448"/>
      <c r="K308" s="1449"/>
      <c r="L308" s="8"/>
      <c r="M308"/>
      <c r="N308"/>
      <c r="O308"/>
      <c r="R308" s="175" t="str">
        <f ca="1">IFERROR(OFFSET('4.2民生電力需要量'!$L$1,MATCH($D307,'4.2民生電力需要量'!$E:$E,0)-1,0),"")</f>
        <v/>
      </c>
      <c r="S308" s="175"/>
      <c r="T308" s="175"/>
      <c r="U308" s="175"/>
      <c r="V308" s="175"/>
      <c r="W308" s="175"/>
      <c r="X308" s="175"/>
      <c r="Y308" s="175"/>
      <c r="Z308" s="175"/>
      <c r="AA308" s="175"/>
      <c r="AB308" s="175">
        <f ca="1">(F308=R308)*1</f>
        <v>1</v>
      </c>
    </row>
    <row r="309" spans="1:28">
      <c r="B309" s="7"/>
      <c r="C309" s="74"/>
      <c r="D309" s="66"/>
      <c r="E309" s="72" t="s">
        <v>220</v>
      </c>
      <c r="F309" s="1450" t="str">
        <f ca="1">IFERROR(OFFSET('4.2民生電力需要量'!$I$1,MATCH($D307,'4.2民生電力需要量'!$E:$E,0)-1,0),"")</f>
        <v/>
      </c>
      <c r="G309" s="1450"/>
      <c r="H309" s="1450"/>
      <c r="I309" s="1450"/>
      <c r="J309" s="1450"/>
      <c r="K309" s="1450"/>
      <c r="L309" s="8"/>
      <c r="M309"/>
      <c r="N309"/>
      <c r="O309"/>
      <c r="R309" s="175" t="str">
        <f ca="1">IFERROR(OFFSET('4.2民生電力需要量'!$I$1,MATCH($D307,'4.2民生電力需要量'!$E:$E,0)-1,0),"")</f>
        <v/>
      </c>
      <c r="S309" s="175"/>
      <c r="T309" s="175"/>
      <c r="U309" s="175"/>
      <c r="V309" s="175"/>
      <c r="W309" s="175"/>
      <c r="X309" s="175"/>
      <c r="Y309" s="175"/>
      <c r="Z309" s="175"/>
      <c r="AA309" s="175"/>
      <c r="AB309" s="175">
        <f t="shared" ref="AB309:AB310" ca="1" si="161">(F309=R309)*1</f>
        <v>1</v>
      </c>
    </row>
    <row r="310" spans="1:28">
      <c r="B310" s="7"/>
      <c r="C310" s="74"/>
      <c r="D310" s="66"/>
      <c r="E310" s="72" t="s">
        <v>175</v>
      </c>
      <c r="F310" s="1451" t="str">
        <f>_xlfn.IFNA(R310,"")</f>
        <v/>
      </c>
      <c r="G310" s="1451"/>
      <c r="H310" s="1451"/>
      <c r="I310" s="1451"/>
      <c r="J310" s="1451"/>
      <c r="K310" s="1451"/>
      <c r="L310" s="8"/>
      <c r="M310"/>
      <c r="N310"/>
      <c r="O310"/>
      <c r="R310" s="215" t="str">
        <f>IF(PRODUCT($Z312:$Z316)=1,AA312,"")</f>
        <v/>
      </c>
      <c r="S310" s="175"/>
      <c r="T310" s="175"/>
      <c r="U310" s="175"/>
      <c r="V310" s="175"/>
      <c r="W310" s="175"/>
      <c r="X310" s="175"/>
      <c r="Y310" s="175"/>
      <c r="Z310" s="175"/>
      <c r="AA310" s="175"/>
      <c r="AB310" s="175">
        <f t="shared" si="161"/>
        <v>1</v>
      </c>
    </row>
    <row r="311" spans="1:28" s="2" customFormat="1" ht="60">
      <c r="A311"/>
      <c r="B311" s="7"/>
      <c r="C311" s="74"/>
      <c r="D311" s="66"/>
      <c r="E311" s="306"/>
      <c r="F311" s="312" t="s">
        <v>299</v>
      </c>
      <c r="G311" s="313" t="s">
        <v>300</v>
      </c>
      <c r="H311" s="313" t="s">
        <v>301</v>
      </c>
      <c r="I311" s="313" t="s">
        <v>302</v>
      </c>
      <c r="J311" s="313" t="s">
        <v>429</v>
      </c>
      <c r="K311" s="313" t="s">
        <v>270</v>
      </c>
      <c r="L311" s="8"/>
      <c r="M311"/>
      <c r="P311"/>
      <c r="Q311"/>
      <c r="R311" s="294" t="s">
        <v>298</v>
      </c>
      <c r="S311" s="294" t="s">
        <v>299</v>
      </c>
      <c r="T311" s="314" t="s">
        <v>423</v>
      </c>
      <c r="U311" s="294" t="s">
        <v>424</v>
      </c>
      <c r="V311" s="294" t="s">
        <v>422</v>
      </c>
      <c r="W311" s="315" t="s">
        <v>270</v>
      </c>
      <c r="X311" s="294" t="s">
        <v>426</v>
      </c>
      <c r="Y311" s="215" t="s">
        <v>402</v>
      </c>
      <c r="Z311" s="215" t="s">
        <v>430</v>
      </c>
      <c r="AA311" s="294" t="s">
        <v>425</v>
      </c>
      <c r="AB311" s="294"/>
    </row>
    <row r="312" spans="1:28" s="99" customFormat="1" ht="18.75" hidden="1" customHeight="1">
      <c r="A312" s="11"/>
      <c r="B312" s="95"/>
      <c r="C312" s="96"/>
      <c r="D312" s="97"/>
      <c r="E312" s="438"/>
      <c r="F312" s="439"/>
      <c r="G312" s="439"/>
      <c r="H312" s="439"/>
      <c r="I312" s="439"/>
      <c r="J312" s="439"/>
      <c r="K312" s="439"/>
      <c r="L312" s="98"/>
      <c r="M312" s="11"/>
      <c r="Q312" s="11"/>
      <c r="R312" s="129">
        <f>IF(E312="地区代表者",COUNTA($D$1:$D312),0)</f>
        <v>0</v>
      </c>
      <c r="S312" s="129">
        <f t="shared" ref="S312:S313" si="162">IF(F312="実施済",1,0)</f>
        <v>0</v>
      </c>
      <c r="T312" s="258"/>
      <c r="U312" s="129">
        <f t="shared" ref="U312:U313" si="163">IF(AND(H312="実施済",I312="実施済"),S312*1,0)</f>
        <v>0</v>
      </c>
      <c r="V312" s="129">
        <f>IF(J312="実施済",$U312*1,0)</f>
        <v>0</v>
      </c>
      <c r="W312" s="258"/>
      <c r="X312" s="129" t="str">
        <f>IF(E312="","",IF(R312*S312&gt;0,3,SUM(S312,U312,V312)))</f>
        <v/>
      </c>
      <c r="Y312" s="129">
        <f>MIN($X$312:$X$316)+1</f>
        <v>1</v>
      </c>
      <c r="Z312" s="129">
        <f>IF(E312="",1,IF(R312&gt;0,IF(COUNTA($F312:$K312)=2,1,0),IF(COUNTA($F312:$K312)=6,1,0)))</f>
        <v>1</v>
      </c>
      <c r="AA312" s="129" t="str" cm="1">
        <f t="array" ref="AA312">_xlfn.IFS(Y312=4,"A",Y312=3,"B",Y312=2,"C",Y312=1,"D")</f>
        <v>D</v>
      </c>
      <c r="AB312" s="129" t="str" cm="1">
        <f t="array" ref="AB312">_xlfn.IFS(Z312=4,"A",Z312=3,"B",Z312=2,"C",Z312=1,"D")</f>
        <v>D</v>
      </c>
    </row>
    <row r="313" spans="1:28" s="99" customFormat="1" ht="18.75" customHeight="1">
      <c r="A313" s="11"/>
      <c r="B313" s="95"/>
      <c r="C313" s="96"/>
      <c r="D313" s="97"/>
      <c r="E313" s="440" t="s">
        <v>298</v>
      </c>
      <c r="F313" s="441"/>
      <c r="G313" s="839"/>
      <c r="H313" s="839"/>
      <c r="I313" s="839"/>
      <c r="J313" s="839"/>
      <c r="K313" s="441"/>
      <c r="L313" s="98"/>
      <c r="M313" s="11"/>
      <c r="Q313" s="11"/>
      <c r="R313" s="129">
        <f>IF(E313="地区代表者",COUNTA($D$1:$D313),0)</f>
        <v>21</v>
      </c>
      <c r="S313" s="129">
        <f t="shared" si="162"/>
        <v>0</v>
      </c>
      <c r="T313" s="258"/>
      <c r="U313" s="129">
        <f t="shared" si="163"/>
        <v>0</v>
      </c>
      <c r="V313" s="129">
        <f>IF(J313="実施済",$U313*1,0)</f>
        <v>0</v>
      </c>
      <c r="W313" s="258"/>
      <c r="X313" s="129">
        <f t="shared" ref="X313:X316" si="164">IF(E313="","",IF(R313*S313&gt;0,3,SUM(S313,U313,V313)))</f>
        <v>0</v>
      </c>
      <c r="Y313" s="129">
        <f>MIN($X$312:$X$316)+1</f>
        <v>1</v>
      </c>
      <c r="Z313" s="129">
        <f t="shared" ref="Z313:Z316" si="165">IF(E313="",1,IF(R313&gt;0,IF(COUNTA($F313:$K313)=2,1,0),IF(COUNTA($F313:$K313)=6,1,0)))</f>
        <v>0</v>
      </c>
      <c r="AA313" s="129" t="str" cm="1">
        <f t="array" ref="AA313">_xlfn.IFS(Y313=4,"A",Y313=3,"B",Y313=2,"C",Y313=1,"D")</f>
        <v>D</v>
      </c>
      <c r="AB313" s="129"/>
    </row>
    <row r="314" spans="1:28" s="99" customFormat="1" ht="18.75" customHeight="1">
      <c r="A314" s="11"/>
      <c r="B314" s="95"/>
      <c r="C314" s="96"/>
      <c r="D314" s="97"/>
      <c r="E314" s="440" t="s">
        <v>116</v>
      </c>
      <c r="F314" s="441"/>
      <c r="G314" s="441"/>
      <c r="H314" s="441"/>
      <c r="I314" s="441"/>
      <c r="J314" s="441"/>
      <c r="K314" s="441"/>
      <c r="L314" s="98"/>
      <c r="M314" s="11"/>
      <c r="P314" s="11"/>
      <c r="Q314" s="11"/>
      <c r="R314" s="129">
        <f>IF(E314="地区代表者",COUNTA($D$1:$D314),0)</f>
        <v>0</v>
      </c>
      <c r="S314" s="129">
        <f>IF(F314="実施済",1,0)</f>
        <v>0</v>
      </c>
      <c r="T314" s="258"/>
      <c r="U314" s="129">
        <f>IF(AND(H314="実施済",I314="実施済"),S314*1,0)</f>
        <v>0</v>
      </c>
      <c r="V314" s="129">
        <f>IF(J314="実施済",$U314*1,0)</f>
        <v>0</v>
      </c>
      <c r="W314" s="258"/>
      <c r="X314" s="129">
        <f t="shared" si="164"/>
        <v>0</v>
      </c>
      <c r="Y314" s="129">
        <f>MIN($X$312:$X$316)+1</f>
        <v>1</v>
      </c>
      <c r="Z314" s="129">
        <f t="shared" si="165"/>
        <v>0</v>
      </c>
      <c r="AA314" s="129" t="str" cm="1">
        <f t="array" ref="AA314">_xlfn.IFS(Y314=4,"A",Y314=3,"B",Y314=2,"C",Y314=1,"D")</f>
        <v>D</v>
      </c>
      <c r="AB314" s="129"/>
    </row>
    <row r="315" spans="1:28" s="2" customFormat="1" ht="9" customHeight="1">
      <c r="A315"/>
      <c r="B315" s="65"/>
      <c r="C315" s="4"/>
      <c r="D315" s="307"/>
      <c r="E315" s="308"/>
      <c r="F315" s="308"/>
      <c r="G315" s="308"/>
      <c r="H315" s="308"/>
      <c r="I315" s="308"/>
      <c r="J315" s="308"/>
      <c r="K315" s="308"/>
      <c r="L315" s="9"/>
      <c r="M315"/>
      <c r="P315"/>
      <c r="Q315"/>
      <c r="R315" s="215">
        <f>IF(E315="地区代表者",COUNTA($D$1:$D315),0)</f>
        <v>0</v>
      </c>
      <c r="S315" s="215">
        <f t="shared" ref="S315:S316" si="166">IF(F315="実施済",1,0)</f>
        <v>0</v>
      </c>
      <c r="T315" s="316"/>
      <c r="U315" s="215">
        <f t="shared" ref="U315:U316" si="167">IF(AND(H315="実施済",I315="実施済"),S315*1,0)</f>
        <v>0</v>
      </c>
      <c r="V315" s="215">
        <f t="shared" ref="V315:V316" si="168">IF(J315="実施済",$U315*1,0)</f>
        <v>0</v>
      </c>
      <c r="W315" s="316"/>
      <c r="X315" s="215" t="str">
        <f t="shared" si="164"/>
        <v/>
      </c>
      <c r="Y315" s="215">
        <f>MIN($X$312:$X$316)+1</f>
        <v>1</v>
      </c>
      <c r="Z315" s="215">
        <f t="shared" si="165"/>
        <v>1</v>
      </c>
      <c r="AA315" s="215" t="str" cm="1">
        <f t="array" ref="AA315">_xlfn.IFS(Y315=4,"A",Y315=3,"B",Y315=2,"C",Y315=1,"D")</f>
        <v>D</v>
      </c>
      <c r="AB315" s="215"/>
    </row>
    <row r="316" spans="1:28" s="2" customFormat="1" ht="6" customHeight="1">
      <c r="A316"/>
      <c r="B316"/>
      <c r="C316"/>
      <c r="D316" s="309"/>
      <c r="E316" s="310"/>
      <c r="F316" s="310"/>
      <c r="G316" s="310"/>
      <c r="H316" s="310"/>
      <c r="I316" s="310"/>
      <c r="J316" s="310"/>
      <c r="K316" s="310"/>
      <c r="L316"/>
      <c r="M316"/>
      <c r="P316"/>
      <c r="Q316"/>
      <c r="R316" s="215">
        <f>IF(E316="地区代表者",COUNTA($D$1:$D316),0)</f>
        <v>0</v>
      </c>
      <c r="S316" s="215">
        <f t="shared" si="166"/>
        <v>0</v>
      </c>
      <c r="T316" s="316"/>
      <c r="U316" s="215">
        <f t="shared" si="167"/>
        <v>0</v>
      </c>
      <c r="V316" s="215">
        <f t="shared" si="168"/>
        <v>0</v>
      </c>
      <c r="W316" s="316"/>
      <c r="X316" s="215" t="str">
        <f t="shared" si="164"/>
        <v/>
      </c>
      <c r="Y316" s="215">
        <f>MIN($X$312:$X$316)+1</f>
        <v>1</v>
      </c>
      <c r="Z316" s="215">
        <f t="shared" si="165"/>
        <v>1</v>
      </c>
      <c r="AA316" s="215" t="str" cm="1">
        <f t="array" ref="AA316">_xlfn.IFS(Y316=4,"A",Y316=3,"B",Y316=2,"C",Y316=1,"D")</f>
        <v>D</v>
      </c>
      <c r="AB316" s="215"/>
    </row>
    <row r="317" spans="1:28" ht="96" customHeight="1">
      <c r="C317" s="78"/>
      <c r="D317" s="79"/>
      <c r="E317" s="72" t="s">
        <v>236</v>
      </c>
      <c r="F317" s="1452"/>
      <c r="G317" s="1452"/>
      <c r="H317" s="1452"/>
      <c r="I317" s="1452"/>
      <c r="J317" s="1452"/>
      <c r="K317" s="1452"/>
      <c r="L317" s="80" t="s">
        <v>132</v>
      </c>
      <c r="M317" s="290"/>
    </row>
    <row r="318" spans="1:28" ht="96" customHeight="1">
      <c r="C318" s="75"/>
      <c r="D318" s="68"/>
      <c r="E318" s="72" t="s">
        <v>237</v>
      </c>
      <c r="F318" s="1452"/>
      <c r="G318" s="1452"/>
      <c r="H318" s="1452"/>
      <c r="I318" s="1452"/>
      <c r="J318" s="1452"/>
      <c r="K318" s="1452"/>
    </row>
    <row r="319" spans="1:28" ht="18.5" thickBot="1">
      <c r="A319" s="81"/>
      <c r="B319" s="81"/>
      <c r="C319" s="81"/>
      <c r="D319" s="81"/>
      <c r="E319" s="311"/>
      <c r="F319" s="81"/>
      <c r="G319" s="81"/>
      <c r="H319" s="81"/>
      <c r="I319" s="81"/>
      <c r="J319" s="81"/>
      <c r="K319" s="81"/>
      <c r="L319" s="81"/>
      <c r="M319" s="82"/>
    </row>
    <row r="321" spans="1:28" ht="9" customHeight="1">
      <c r="B321" s="10"/>
      <c r="C321" s="5"/>
      <c r="D321" s="5"/>
      <c r="E321" s="305"/>
      <c r="F321" s="5"/>
      <c r="G321" s="5"/>
      <c r="H321" s="5"/>
      <c r="I321" s="5"/>
      <c r="J321" s="5"/>
      <c r="K321" s="5"/>
      <c r="L321" s="6"/>
      <c r="M321"/>
      <c r="N321"/>
      <c r="O321"/>
      <c r="R321" t="str">
        <f>D322</f>
        <v>(選択してください)</v>
      </c>
    </row>
    <row r="322" spans="1:28">
      <c r="B322" s="7"/>
      <c r="C322" s="77" t="str">
        <f ca="1">IFERROR(OFFSET('4.2民生電力需要量'!$C$1,MATCH(D322,'4.2民生電力需要量'!$E:$E,0)-1,0),"")</f>
        <v/>
      </c>
      <c r="D322" s="94" t="s">
        <v>130</v>
      </c>
      <c r="E322" s="72" t="s">
        <v>131</v>
      </c>
      <c r="F322" s="1446" t="str">
        <f ca="1">IFERROR(OFFSET('4.2民生電力需要量'!$G$1,MATCH($D322,'4.2民生電力需要量'!$E:$E,0)-1,0),"")</f>
        <v/>
      </c>
      <c r="G322" s="1446"/>
      <c r="H322" s="1446"/>
      <c r="I322" s="1446"/>
      <c r="J322" s="1446"/>
      <c r="K322" s="1446"/>
      <c r="L322" s="8"/>
      <c r="M322"/>
      <c r="N322"/>
      <c r="O322"/>
      <c r="R322" s="175" t="str">
        <f ca="1">IFERROR(OFFSET('4.2民生電力需要量'!$G$1,MATCH($D322,'4.2民生電力需要量'!$E:$E,0)-1,0),"")</f>
        <v/>
      </c>
      <c r="S322" s="175"/>
      <c r="T322" s="175"/>
      <c r="U322" s="175"/>
      <c r="V322" s="175"/>
      <c r="W322" s="175"/>
      <c r="X322" s="175"/>
      <c r="Y322" s="175"/>
      <c r="Z322" s="175"/>
      <c r="AA322" s="175"/>
      <c r="AB322" s="175">
        <f ca="1">(F322=R322)*1</f>
        <v>1</v>
      </c>
    </row>
    <row r="323" spans="1:28">
      <c r="B323" s="7"/>
      <c r="C323" s="915"/>
      <c r="D323" s="97"/>
      <c r="E323" s="72" t="s">
        <v>612</v>
      </c>
      <c r="F323" s="1447" t="str">
        <f ca="1">IFERROR(OFFSET('4.2民生電力需要量'!$L$1,MATCH($D322,'4.2民生電力需要量'!$E:$E,0)-1,0),"")</f>
        <v/>
      </c>
      <c r="G323" s="1448"/>
      <c r="H323" s="1448"/>
      <c r="I323" s="1448"/>
      <c r="J323" s="1448"/>
      <c r="K323" s="1449"/>
      <c r="L323" s="8"/>
      <c r="M323"/>
      <c r="N323"/>
      <c r="O323"/>
      <c r="R323" s="175" t="str">
        <f ca="1">IFERROR(OFFSET('4.2民生電力需要量'!$L$1,MATCH($D322,'4.2民生電力需要量'!$E:$E,0)-1,0),"")</f>
        <v/>
      </c>
      <c r="S323" s="175"/>
      <c r="T323" s="175"/>
      <c r="U323" s="175"/>
      <c r="V323" s="175"/>
      <c r="W323" s="175"/>
      <c r="X323" s="175"/>
      <c r="Y323" s="175"/>
      <c r="Z323" s="175"/>
      <c r="AA323" s="175"/>
      <c r="AB323" s="175">
        <f ca="1">(F323=R323)*1</f>
        <v>1</v>
      </c>
    </row>
    <row r="324" spans="1:28">
      <c r="B324" s="7"/>
      <c r="C324" s="74"/>
      <c r="D324" s="66"/>
      <c r="E324" s="72" t="s">
        <v>220</v>
      </c>
      <c r="F324" s="1450" t="str">
        <f ca="1">IFERROR(OFFSET('4.2民生電力需要量'!$I$1,MATCH($D322,'4.2民生電力需要量'!$E:$E,0)-1,0),"")</f>
        <v/>
      </c>
      <c r="G324" s="1450"/>
      <c r="H324" s="1450"/>
      <c r="I324" s="1450"/>
      <c r="J324" s="1450"/>
      <c r="K324" s="1450"/>
      <c r="L324" s="8"/>
      <c r="M324"/>
      <c r="N324"/>
      <c r="O324"/>
      <c r="R324" s="175" t="str">
        <f ca="1">IFERROR(OFFSET('4.2民生電力需要量'!$I$1,MATCH($D322,'4.2民生電力需要量'!$E:$E,0)-1,0),"")</f>
        <v/>
      </c>
      <c r="S324" s="175"/>
      <c r="T324" s="175"/>
      <c r="U324" s="175"/>
      <c r="V324" s="175"/>
      <c r="W324" s="175"/>
      <c r="X324" s="175"/>
      <c r="Y324" s="175"/>
      <c r="Z324" s="175"/>
      <c r="AA324" s="175"/>
      <c r="AB324" s="175">
        <f t="shared" ref="AB324:AB325" ca="1" si="169">(F324=R324)*1</f>
        <v>1</v>
      </c>
    </row>
    <row r="325" spans="1:28">
      <c r="B325" s="7"/>
      <c r="C325" s="74"/>
      <c r="D325" s="66"/>
      <c r="E325" s="72" t="s">
        <v>175</v>
      </c>
      <c r="F325" s="1451" t="str">
        <f>_xlfn.IFNA(R325,"")</f>
        <v/>
      </c>
      <c r="G325" s="1451"/>
      <c r="H325" s="1451"/>
      <c r="I325" s="1451"/>
      <c r="J325" s="1451"/>
      <c r="K325" s="1451"/>
      <c r="L325" s="8"/>
      <c r="M325"/>
      <c r="N325"/>
      <c r="O325"/>
      <c r="R325" s="215" t="str">
        <f>IF(PRODUCT($Z327:$Z331)=1,AA327,"")</f>
        <v/>
      </c>
      <c r="S325" s="175"/>
      <c r="T325" s="175"/>
      <c r="U325" s="175"/>
      <c r="V325" s="175"/>
      <c r="W325" s="175"/>
      <c r="X325" s="175"/>
      <c r="Y325" s="175"/>
      <c r="Z325" s="175"/>
      <c r="AA325" s="175"/>
      <c r="AB325" s="175">
        <f t="shared" si="169"/>
        <v>1</v>
      </c>
    </row>
    <row r="326" spans="1:28" s="2" customFormat="1" ht="60">
      <c r="A326"/>
      <c r="B326" s="7"/>
      <c r="C326" s="74"/>
      <c r="D326" s="66"/>
      <c r="E326" s="306"/>
      <c r="F326" s="312" t="s">
        <v>299</v>
      </c>
      <c r="G326" s="313" t="s">
        <v>300</v>
      </c>
      <c r="H326" s="313" t="s">
        <v>301</v>
      </c>
      <c r="I326" s="313" t="s">
        <v>302</v>
      </c>
      <c r="J326" s="313" t="s">
        <v>429</v>
      </c>
      <c r="K326" s="313" t="s">
        <v>270</v>
      </c>
      <c r="L326" s="8"/>
      <c r="M326"/>
      <c r="P326"/>
      <c r="Q326"/>
      <c r="R326" s="294" t="s">
        <v>298</v>
      </c>
      <c r="S326" s="294" t="s">
        <v>299</v>
      </c>
      <c r="T326" s="314" t="s">
        <v>423</v>
      </c>
      <c r="U326" s="294" t="s">
        <v>424</v>
      </c>
      <c r="V326" s="294" t="s">
        <v>422</v>
      </c>
      <c r="W326" s="315" t="s">
        <v>270</v>
      </c>
      <c r="X326" s="294" t="s">
        <v>426</v>
      </c>
      <c r="Y326" s="215" t="s">
        <v>402</v>
      </c>
      <c r="Z326" s="215" t="s">
        <v>430</v>
      </c>
      <c r="AA326" s="294" t="s">
        <v>425</v>
      </c>
      <c r="AB326" s="294"/>
    </row>
    <row r="327" spans="1:28" s="99" customFormat="1" ht="18.75" hidden="1" customHeight="1">
      <c r="A327" s="11"/>
      <c r="B327" s="95"/>
      <c r="C327" s="96"/>
      <c r="D327" s="97"/>
      <c r="E327" s="438"/>
      <c r="F327" s="439"/>
      <c r="G327" s="439"/>
      <c r="H327" s="439"/>
      <c r="I327" s="439"/>
      <c r="J327" s="439"/>
      <c r="K327" s="439"/>
      <c r="L327" s="98"/>
      <c r="M327" s="11"/>
      <c r="Q327" s="11"/>
      <c r="R327" s="129">
        <f>IF(E327="地区代表者",COUNTA($D$1:$D327),0)</f>
        <v>0</v>
      </c>
      <c r="S327" s="129">
        <f t="shared" ref="S327:S328" si="170">IF(F327="実施済",1,0)</f>
        <v>0</v>
      </c>
      <c r="T327" s="258"/>
      <c r="U327" s="129">
        <f t="shared" ref="U327:U328" si="171">IF(AND(H327="実施済",I327="実施済"),S327*1,0)</f>
        <v>0</v>
      </c>
      <c r="V327" s="129">
        <f>IF(J327="実施済",$U327*1,0)</f>
        <v>0</v>
      </c>
      <c r="W327" s="258"/>
      <c r="X327" s="129" t="str">
        <f>IF(E327="","",IF(R327*S327&gt;0,3,SUM(S327,U327,V327)))</f>
        <v/>
      </c>
      <c r="Y327" s="129">
        <f>MIN($X$327:$X$331)+1</f>
        <v>1</v>
      </c>
      <c r="Z327" s="129">
        <f>IF(E327="",1,IF(R327&gt;0,IF(COUNTA($F327:$K327)=2,1,0),IF(COUNTA($F327:$K327)=6,1,0)))</f>
        <v>1</v>
      </c>
      <c r="AA327" s="129" t="str" cm="1">
        <f t="array" ref="AA327">_xlfn.IFS(Y327=4,"A",Y327=3,"B",Y327=2,"C",Y327=1,"D")</f>
        <v>D</v>
      </c>
      <c r="AB327" s="129" t="str" cm="1">
        <f t="array" ref="AB327">_xlfn.IFS(Z327=4,"A",Z327=3,"B",Z327=2,"C",Z327=1,"D")</f>
        <v>D</v>
      </c>
    </row>
    <row r="328" spans="1:28" s="99" customFormat="1" ht="18.75" customHeight="1">
      <c r="A328" s="11"/>
      <c r="B328" s="95"/>
      <c r="C328" s="96"/>
      <c r="D328" s="97"/>
      <c r="E328" s="440" t="s">
        <v>298</v>
      </c>
      <c r="F328" s="441"/>
      <c r="G328" s="839"/>
      <c r="H328" s="839"/>
      <c r="I328" s="839"/>
      <c r="J328" s="839"/>
      <c r="K328" s="441"/>
      <c r="L328" s="98"/>
      <c r="M328" s="11"/>
      <c r="Q328" s="11"/>
      <c r="R328" s="129">
        <f>IF(E328="地区代表者",COUNTA($D$1:$D328),0)</f>
        <v>22</v>
      </c>
      <c r="S328" s="129">
        <f t="shared" si="170"/>
        <v>0</v>
      </c>
      <c r="T328" s="258"/>
      <c r="U328" s="129">
        <f t="shared" si="171"/>
        <v>0</v>
      </c>
      <c r="V328" s="129">
        <f>IF(J328="実施済",$U328*1,0)</f>
        <v>0</v>
      </c>
      <c r="W328" s="258"/>
      <c r="X328" s="129">
        <f t="shared" ref="X328:X331" si="172">IF(E328="","",IF(R328*S328&gt;0,3,SUM(S328,U328,V328)))</f>
        <v>0</v>
      </c>
      <c r="Y328" s="129">
        <f>MIN($X$327:$X$331)+1</f>
        <v>1</v>
      </c>
      <c r="Z328" s="129">
        <f t="shared" ref="Z328:Z331" si="173">IF(E328="",1,IF(R328&gt;0,IF(COUNTA($F328:$K328)=2,1,0),IF(COUNTA($F328:$K328)=6,1,0)))</f>
        <v>0</v>
      </c>
      <c r="AA328" s="129" t="str" cm="1">
        <f t="array" ref="AA328">_xlfn.IFS(Y328=4,"A",Y328=3,"B",Y328=2,"C",Y328=1,"D")</f>
        <v>D</v>
      </c>
      <c r="AB328" s="129"/>
    </row>
    <row r="329" spans="1:28" s="99" customFormat="1" ht="18.75" customHeight="1">
      <c r="A329" s="11"/>
      <c r="B329" s="95"/>
      <c r="C329" s="96"/>
      <c r="D329" s="97"/>
      <c r="E329" s="440" t="s">
        <v>116</v>
      </c>
      <c r="F329" s="441"/>
      <c r="G329" s="441"/>
      <c r="H329" s="441"/>
      <c r="I329" s="441"/>
      <c r="J329" s="441"/>
      <c r="K329" s="441"/>
      <c r="L329" s="98"/>
      <c r="M329" s="11"/>
      <c r="P329" s="11"/>
      <c r="Q329" s="11"/>
      <c r="R329" s="129">
        <f>IF(E329="地区代表者",COUNTA($D$1:$D329),0)</f>
        <v>0</v>
      </c>
      <c r="S329" s="129">
        <f>IF(F329="実施済",1,0)</f>
        <v>0</v>
      </c>
      <c r="T329" s="258"/>
      <c r="U329" s="129">
        <f>IF(AND(H329="実施済",I329="実施済"),S329*1,0)</f>
        <v>0</v>
      </c>
      <c r="V329" s="129">
        <f>IF(J329="実施済",$U329*1,0)</f>
        <v>0</v>
      </c>
      <c r="W329" s="258"/>
      <c r="X329" s="129">
        <f t="shared" si="172"/>
        <v>0</v>
      </c>
      <c r="Y329" s="129">
        <f>MIN($X$327:$X$331)+1</f>
        <v>1</v>
      </c>
      <c r="Z329" s="129">
        <f t="shared" si="173"/>
        <v>0</v>
      </c>
      <c r="AA329" s="129" t="str" cm="1">
        <f t="array" ref="AA329">_xlfn.IFS(Y329=4,"A",Y329=3,"B",Y329=2,"C",Y329=1,"D")</f>
        <v>D</v>
      </c>
      <c r="AB329" s="129"/>
    </row>
    <row r="330" spans="1:28" s="2" customFormat="1" ht="9" customHeight="1">
      <c r="A330"/>
      <c r="B330" s="65"/>
      <c r="C330" s="4"/>
      <c r="D330" s="307"/>
      <c r="E330" s="308"/>
      <c r="F330" s="308"/>
      <c r="G330" s="308"/>
      <c r="H330" s="308"/>
      <c r="I330" s="308"/>
      <c r="J330" s="308"/>
      <c r="K330" s="308"/>
      <c r="L330" s="9"/>
      <c r="M330"/>
      <c r="P330"/>
      <c r="Q330"/>
      <c r="R330" s="215">
        <f>IF(E330="地区代表者",COUNTA($D$1:$D330),0)</f>
        <v>0</v>
      </c>
      <c r="S330" s="215">
        <f t="shared" ref="S330:S331" si="174">IF(F330="実施済",1,0)</f>
        <v>0</v>
      </c>
      <c r="T330" s="316"/>
      <c r="U330" s="215">
        <f t="shared" ref="U330:U331" si="175">IF(AND(H330="実施済",I330="実施済"),S330*1,0)</f>
        <v>0</v>
      </c>
      <c r="V330" s="215">
        <f t="shared" ref="V330:V331" si="176">IF(J330="実施済",$U330*1,0)</f>
        <v>0</v>
      </c>
      <c r="W330" s="316"/>
      <c r="X330" s="215" t="str">
        <f t="shared" si="172"/>
        <v/>
      </c>
      <c r="Y330" s="215">
        <f>MIN($X$327:$X$331)+1</f>
        <v>1</v>
      </c>
      <c r="Z330" s="215">
        <f t="shared" si="173"/>
        <v>1</v>
      </c>
      <c r="AA330" s="215" t="str" cm="1">
        <f t="array" ref="AA330">_xlfn.IFS(Y330=4,"A",Y330=3,"B",Y330=2,"C",Y330=1,"D")</f>
        <v>D</v>
      </c>
      <c r="AB330" s="215"/>
    </row>
    <row r="331" spans="1:28" s="2" customFormat="1" ht="6" customHeight="1">
      <c r="A331"/>
      <c r="B331"/>
      <c r="C331"/>
      <c r="D331" s="309"/>
      <c r="E331" s="310"/>
      <c r="F331" s="310"/>
      <c r="G331" s="310"/>
      <c r="H331" s="310"/>
      <c r="I331" s="310"/>
      <c r="J331" s="310"/>
      <c r="K331" s="310"/>
      <c r="L331"/>
      <c r="M331"/>
      <c r="P331"/>
      <c r="Q331"/>
      <c r="R331" s="215">
        <f>IF(E331="地区代表者",COUNTA($D$1:$D331),0)</f>
        <v>0</v>
      </c>
      <c r="S331" s="215">
        <f t="shared" si="174"/>
        <v>0</v>
      </c>
      <c r="T331" s="316"/>
      <c r="U331" s="215">
        <f t="shared" si="175"/>
        <v>0</v>
      </c>
      <c r="V331" s="215">
        <f t="shared" si="176"/>
        <v>0</v>
      </c>
      <c r="W331" s="316"/>
      <c r="X331" s="215" t="str">
        <f t="shared" si="172"/>
        <v/>
      </c>
      <c r="Y331" s="215">
        <f>MIN($X$327:$X$331)+1</f>
        <v>1</v>
      </c>
      <c r="Z331" s="215">
        <f t="shared" si="173"/>
        <v>1</v>
      </c>
      <c r="AA331" s="215" t="str" cm="1">
        <f t="array" ref="AA331">_xlfn.IFS(Y331=4,"A",Y331=3,"B",Y331=2,"C",Y331=1,"D")</f>
        <v>D</v>
      </c>
      <c r="AB331" s="215"/>
    </row>
    <row r="332" spans="1:28" ht="96" customHeight="1">
      <c r="C332" s="78"/>
      <c r="D332" s="79"/>
      <c r="E332" s="72" t="s">
        <v>236</v>
      </c>
      <c r="F332" s="1452"/>
      <c r="G332" s="1452"/>
      <c r="H332" s="1452"/>
      <c r="I332" s="1452"/>
      <c r="J332" s="1452"/>
      <c r="K332" s="1452"/>
      <c r="L332" s="80" t="s">
        <v>132</v>
      </c>
      <c r="M332" s="290"/>
    </row>
    <row r="333" spans="1:28" ht="96" customHeight="1">
      <c r="C333" s="75"/>
      <c r="D333" s="68"/>
      <c r="E333" s="72" t="s">
        <v>237</v>
      </c>
      <c r="F333" s="1452"/>
      <c r="G333" s="1452"/>
      <c r="H333" s="1452"/>
      <c r="I333" s="1452"/>
      <c r="J333" s="1452"/>
      <c r="K333" s="1452"/>
    </row>
    <row r="334" spans="1:28" ht="18.5" thickBot="1">
      <c r="A334" s="81"/>
      <c r="B334" s="81"/>
      <c r="C334" s="81"/>
      <c r="D334" s="81"/>
      <c r="E334" s="311"/>
      <c r="F334" s="81"/>
      <c r="G334" s="81"/>
      <c r="H334" s="81"/>
      <c r="I334" s="81"/>
      <c r="J334" s="81"/>
      <c r="K334" s="81"/>
      <c r="L334" s="81"/>
      <c r="M334" s="82"/>
    </row>
    <row r="336" spans="1:28" ht="9" customHeight="1">
      <c r="B336" s="10"/>
      <c r="C336" s="5"/>
      <c r="D336" s="5"/>
      <c r="E336" s="305"/>
      <c r="F336" s="5"/>
      <c r="G336" s="5"/>
      <c r="H336" s="5"/>
      <c r="I336" s="5"/>
      <c r="J336" s="5"/>
      <c r="K336" s="5"/>
      <c r="L336" s="6"/>
      <c r="M336"/>
      <c r="N336"/>
      <c r="O336"/>
      <c r="R336" t="str">
        <f>D337</f>
        <v>(選択してください)</v>
      </c>
    </row>
    <row r="337" spans="1:28">
      <c r="B337" s="7"/>
      <c r="C337" s="77" t="str">
        <f ca="1">IFERROR(OFFSET('4.2民生電力需要量'!$C$1,MATCH(D337,'4.2民生電力需要量'!$E:$E,0)-1,0),"")</f>
        <v/>
      </c>
      <c r="D337" s="94" t="s">
        <v>130</v>
      </c>
      <c r="E337" s="72" t="s">
        <v>131</v>
      </c>
      <c r="F337" s="1446" t="str">
        <f ca="1">IFERROR(OFFSET('4.2民生電力需要量'!$G$1,MATCH($D337,'4.2民生電力需要量'!$E:$E,0)-1,0),"")</f>
        <v/>
      </c>
      <c r="G337" s="1446"/>
      <c r="H337" s="1446"/>
      <c r="I337" s="1446"/>
      <c r="J337" s="1446"/>
      <c r="K337" s="1446"/>
      <c r="L337" s="8"/>
      <c r="M337"/>
      <c r="N337"/>
      <c r="O337"/>
      <c r="R337" s="175" t="str">
        <f ca="1">IFERROR(OFFSET('4.2民生電力需要量'!$G$1,MATCH($D337,'4.2民生電力需要量'!$E:$E,0)-1,0),"")</f>
        <v/>
      </c>
      <c r="S337" s="175"/>
      <c r="T337" s="175"/>
      <c r="U337" s="175"/>
      <c r="V337" s="175"/>
      <c r="W337" s="175"/>
      <c r="X337" s="175"/>
      <c r="Y337" s="175"/>
      <c r="Z337" s="175"/>
      <c r="AA337" s="175"/>
      <c r="AB337" s="175">
        <f ca="1">(F337=R337)*1</f>
        <v>1</v>
      </c>
    </row>
    <row r="338" spans="1:28">
      <c r="B338" s="7"/>
      <c r="C338" s="915"/>
      <c r="D338" s="97"/>
      <c r="E338" s="72" t="s">
        <v>612</v>
      </c>
      <c r="F338" s="1447" t="str">
        <f ca="1">IFERROR(OFFSET('4.2民生電力需要量'!$L$1,MATCH($D337,'4.2民生電力需要量'!$E:$E,0)-1,0),"")</f>
        <v/>
      </c>
      <c r="G338" s="1448"/>
      <c r="H338" s="1448"/>
      <c r="I338" s="1448"/>
      <c r="J338" s="1448"/>
      <c r="K338" s="1449"/>
      <c r="L338" s="8"/>
      <c r="M338"/>
      <c r="N338"/>
      <c r="O338"/>
      <c r="R338" s="175" t="str">
        <f ca="1">IFERROR(OFFSET('4.2民生電力需要量'!$L$1,MATCH($D337,'4.2民生電力需要量'!$E:$E,0)-1,0),"")</f>
        <v/>
      </c>
      <c r="S338" s="175"/>
      <c r="T338" s="175"/>
      <c r="U338" s="175"/>
      <c r="V338" s="175"/>
      <c r="W338" s="175"/>
      <c r="X338" s="175"/>
      <c r="Y338" s="175"/>
      <c r="Z338" s="175"/>
      <c r="AA338" s="175"/>
      <c r="AB338" s="175">
        <f ca="1">(F338=R338)*1</f>
        <v>1</v>
      </c>
    </row>
    <row r="339" spans="1:28">
      <c r="B339" s="7"/>
      <c r="C339" s="74"/>
      <c r="D339" s="66"/>
      <c r="E339" s="72" t="s">
        <v>220</v>
      </c>
      <c r="F339" s="1450" t="str">
        <f ca="1">IFERROR(OFFSET('4.2民生電力需要量'!$I$1,MATCH($D337,'4.2民生電力需要量'!$E:$E,0)-1,0),"")</f>
        <v/>
      </c>
      <c r="G339" s="1450"/>
      <c r="H339" s="1450"/>
      <c r="I339" s="1450"/>
      <c r="J339" s="1450"/>
      <c r="K339" s="1450"/>
      <c r="L339" s="8"/>
      <c r="M339"/>
      <c r="N339"/>
      <c r="O339"/>
      <c r="R339" s="175" t="str">
        <f ca="1">IFERROR(OFFSET('4.2民生電力需要量'!$I$1,MATCH($D337,'4.2民生電力需要量'!$E:$E,0)-1,0),"")</f>
        <v/>
      </c>
      <c r="S339" s="175"/>
      <c r="T339" s="175"/>
      <c r="U339" s="175"/>
      <c r="V339" s="175"/>
      <c r="W339" s="175"/>
      <c r="X339" s="175"/>
      <c r="Y339" s="175"/>
      <c r="Z339" s="175"/>
      <c r="AA339" s="175"/>
      <c r="AB339" s="175">
        <f t="shared" ref="AB339:AB340" ca="1" si="177">(F339=R339)*1</f>
        <v>1</v>
      </c>
    </row>
    <row r="340" spans="1:28">
      <c r="B340" s="7"/>
      <c r="C340" s="74"/>
      <c r="D340" s="66"/>
      <c r="E340" s="72" t="s">
        <v>175</v>
      </c>
      <c r="F340" s="1451" t="str">
        <f>_xlfn.IFNA(R340,"")</f>
        <v/>
      </c>
      <c r="G340" s="1451"/>
      <c r="H340" s="1451"/>
      <c r="I340" s="1451"/>
      <c r="J340" s="1451"/>
      <c r="K340" s="1451"/>
      <c r="L340" s="8"/>
      <c r="M340"/>
      <c r="N340"/>
      <c r="O340"/>
      <c r="R340" s="215" t="str">
        <f>IF(PRODUCT($Z342:$Z346)=1,AA342,"")</f>
        <v/>
      </c>
      <c r="S340" s="175"/>
      <c r="T340" s="175"/>
      <c r="U340" s="175"/>
      <c r="V340" s="175"/>
      <c r="W340" s="175"/>
      <c r="X340" s="175"/>
      <c r="Y340" s="175"/>
      <c r="Z340" s="175"/>
      <c r="AA340" s="175"/>
      <c r="AB340" s="175">
        <f t="shared" si="177"/>
        <v>1</v>
      </c>
    </row>
    <row r="341" spans="1:28" s="2" customFormat="1" ht="60">
      <c r="A341"/>
      <c r="B341" s="7"/>
      <c r="C341" s="74"/>
      <c r="D341" s="66"/>
      <c r="E341" s="306"/>
      <c r="F341" s="312" t="s">
        <v>299</v>
      </c>
      <c r="G341" s="313" t="s">
        <v>300</v>
      </c>
      <c r="H341" s="313" t="s">
        <v>301</v>
      </c>
      <c r="I341" s="313" t="s">
        <v>302</v>
      </c>
      <c r="J341" s="313" t="s">
        <v>429</v>
      </c>
      <c r="K341" s="313" t="s">
        <v>270</v>
      </c>
      <c r="L341" s="8"/>
      <c r="M341"/>
      <c r="P341"/>
      <c r="Q341"/>
      <c r="R341" s="294" t="s">
        <v>298</v>
      </c>
      <c r="S341" s="294" t="s">
        <v>299</v>
      </c>
      <c r="T341" s="314" t="s">
        <v>423</v>
      </c>
      <c r="U341" s="294" t="s">
        <v>424</v>
      </c>
      <c r="V341" s="294" t="s">
        <v>422</v>
      </c>
      <c r="W341" s="315" t="s">
        <v>270</v>
      </c>
      <c r="X341" s="294" t="s">
        <v>426</v>
      </c>
      <c r="Y341" s="215" t="s">
        <v>402</v>
      </c>
      <c r="Z341" s="215" t="s">
        <v>430</v>
      </c>
      <c r="AA341" s="294" t="s">
        <v>425</v>
      </c>
      <c r="AB341" s="294"/>
    </row>
    <row r="342" spans="1:28" s="99" customFormat="1" ht="18.75" hidden="1" customHeight="1">
      <c r="A342" s="11"/>
      <c r="B342" s="95"/>
      <c r="C342" s="96"/>
      <c r="D342" s="97"/>
      <c r="E342" s="438"/>
      <c r="F342" s="439"/>
      <c r="G342" s="439"/>
      <c r="H342" s="439"/>
      <c r="I342" s="439"/>
      <c r="J342" s="439"/>
      <c r="K342" s="439"/>
      <c r="L342" s="98"/>
      <c r="M342" s="11"/>
      <c r="Q342" s="11"/>
      <c r="R342" s="129">
        <f>IF(E342="地区代表者",COUNTA($D$1:$D342),0)</f>
        <v>0</v>
      </c>
      <c r="S342" s="129">
        <f t="shared" ref="S342:S343" si="178">IF(F342="実施済",1,0)</f>
        <v>0</v>
      </c>
      <c r="T342" s="258"/>
      <c r="U342" s="129">
        <f t="shared" ref="U342:U343" si="179">IF(AND(H342="実施済",I342="実施済"),S342*1,0)</f>
        <v>0</v>
      </c>
      <c r="V342" s="129">
        <f>IF(J342="実施済",$U342*1,0)</f>
        <v>0</v>
      </c>
      <c r="W342" s="258"/>
      <c r="X342" s="129" t="str">
        <f>IF(E342="","",IF(R342*S342&gt;0,3,SUM(S342,U342,V342)))</f>
        <v/>
      </c>
      <c r="Y342" s="129">
        <f>MIN($X$342:$X$346)+1</f>
        <v>1</v>
      </c>
      <c r="Z342" s="129">
        <f>IF(E342="",1,IF(R342&gt;0,IF(COUNTA($F342:$K342)=2,1,0),IF(COUNTA($F342:$K342)=6,1,0)))</f>
        <v>1</v>
      </c>
      <c r="AA342" s="129" t="str" cm="1">
        <f t="array" ref="AA342">_xlfn.IFS(Y342=4,"A",Y342=3,"B",Y342=2,"C",Y342=1,"D")</f>
        <v>D</v>
      </c>
      <c r="AB342" s="129" t="str" cm="1">
        <f t="array" ref="AB342">_xlfn.IFS(Z342=4,"A",Z342=3,"B",Z342=2,"C",Z342=1,"D")</f>
        <v>D</v>
      </c>
    </row>
    <row r="343" spans="1:28" s="99" customFormat="1" ht="18.75" customHeight="1">
      <c r="A343" s="11"/>
      <c r="B343" s="95"/>
      <c r="C343" s="96"/>
      <c r="D343" s="97"/>
      <c r="E343" s="440" t="s">
        <v>298</v>
      </c>
      <c r="F343" s="441"/>
      <c r="G343" s="839"/>
      <c r="H343" s="839"/>
      <c r="I343" s="839"/>
      <c r="J343" s="839"/>
      <c r="K343" s="441"/>
      <c r="L343" s="98"/>
      <c r="M343" s="11"/>
      <c r="Q343" s="11"/>
      <c r="R343" s="129">
        <f>IF(E343="地区代表者",COUNTA($D$1:$D343),0)</f>
        <v>23</v>
      </c>
      <c r="S343" s="129">
        <f t="shared" si="178"/>
        <v>0</v>
      </c>
      <c r="T343" s="258"/>
      <c r="U343" s="129">
        <f t="shared" si="179"/>
        <v>0</v>
      </c>
      <c r="V343" s="129">
        <f>IF(J343="実施済",$U343*1,0)</f>
        <v>0</v>
      </c>
      <c r="W343" s="258"/>
      <c r="X343" s="129">
        <f t="shared" ref="X343:X346" si="180">IF(E343="","",IF(R343*S343&gt;0,3,SUM(S343,U343,V343)))</f>
        <v>0</v>
      </c>
      <c r="Y343" s="129">
        <f>MIN($X$342:$X$346)+1</f>
        <v>1</v>
      </c>
      <c r="Z343" s="129">
        <f t="shared" ref="Z343:Z346" si="181">IF(E343="",1,IF(R343&gt;0,IF(COUNTA($F343:$K343)=2,1,0),IF(COUNTA($F343:$K343)=6,1,0)))</f>
        <v>0</v>
      </c>
      <c r="AA343" s="129" t="str" cm="1">
        <f t="array" ref="AA343">_xlfn.IFS(Y343=4,"A",Y343=3,"B",Y343=2,"C",Y343=1,"D")</f>
        <v>D</v>
      </c>
      <c r="AB343" s="129"/>
    </row>
    <row r="344" spans="1:28" s="99" customFormat="1" ht="18.75" customHeight="1">
      <c r="A344" s="11"/>
      <c r="B344" s="95"/>
      <c r="C344" s="96"/>
      <c r="D344" s="97"/>
      <c r="E344" s="440" t="s">
        <v>116</v>
      </c>
      <c r="F344" s="441"/>
      <c r="G344" s="441"/>
      <c r="H344" s="441"/>
      <c r="I344" s="441"/>
      <c r="J344" s="441"/>
      <c r="K344" s="441"/>
      <c r="L344" s="98"/>
      <c r="M344" s="11"/>
      <c r="P344" s="11"/>
      <c r="Q344" s="11"/>
      <c r="R344" s="129">
        <f>IF(E344="地区代表者",COUNTA($D$1:$D344),0)</f>
        <v>0</v>
      </c>
      <c r="S344" s="129">
        <f>IF(F344="実施済",1,0)</f>
        <v>0</v>
      </c>
      <c r="T344" s="258"/>
      <c r="U344" s="129">
        <f>IF(AND(H344="実施済",I344="実施済"),S344*1,0)</f>
        <v>0</v>
      </c>
      <c r="V344" s="129">
        <f>IF(J344="実施済",$U344*1,0)</f>
        <v>0</v>
      </c>
      <c r="W344" s="258"/>
      <c r="X344" s="129">
        <f t="shared" si="180"/>
        <v>0</v>
      </c>
      <c r="Y344" s="129">
        <f>MIN($X$342:$X$346)+1</f>
        <v>1</v>
      </c>
      <c r="Z344" s="129">
        <f t="shared" si="181"/>
        <v>0</v>
      </c>
      <c r="AA344" s="129" t="str" cm="1">
        <f t="array" ref="AA344">_xlfn.IFS(Y344=4,"A",Y344=3,"B",Y344=2,"C",Y344=1,"D")</f>
        <v>D</v>
      </c>
      <c r="AB344" s="129"/>
    </row>
    <row r="345" spans="1:28" s="2" customFormat="1" ht="9" customHeight="1">
      <c r="A345"/>
      <c r="B345" s="65"/>
      <c r="C345" s="4"/>
      <c r="D345" s="307"/>
      <c r="E345" s="308"/>
      <c r="F345" s="308"/>
      <c r="G345" s="308"/>
      <c r="H345" s="308"/>
      <c r="I345" s="308"/>
      <c r="J345" s="308"/>
      <c r="K345" s="308"/>
      <c r="L345" s="9"/>
      <c r="M345"/>
      <c r="P345"/>
      <c r="Q345"/>
      <c r="R345" s="215">
        <f>IF(E345="地区代表者",COUNTA($D$1:$D345),0)</f>
        <v>0</v>
      </c>
      <c r="S345" s="215">
        <f t="shared" ref="S345:S346" si="182">IF(F345="実施済",1,0)</f>
        <v>0</v>
      </c>
      <c r="T345" s="316"/>
      <c r="U345" s="215">
        <f t="shared" ref="U345:U346" si="183">IF(AND(H345="実施済",I345="実施済"),S345*1,0)</f>
        <v>0</v>
      </c>
      <c r="V345" s="215">
        <f t="shared" ref="V345:V346" si="184">IF(J345="実施済",$U345*1,0)</f>
        <v>0</v>
      </c>
      <c r="W345" s="316"/>
      <c r="X345" s="215" t="str">
        <f t="shared" si="180"/>
        <v/>
      </c>
      <c r="Y345" s="215">
        <f>MIN($X$342:$X$346)+1</f>
        <v>1</v>
      </c>
      <c r="Z345" s="215">
        <f t="shared" si="181"/>
        <v>1</v>
      </c>
      <c r="AA345" s="215" t="str" cm="1">
        <f t="array" ref="AA345">_xlfn.IFS(Y345=4,"A",Y345=3,"B",Y345=2,"C",Y345=1,"D")</f>
        <v>D</v>
      </c>
      <c r="AB345" s="215"/>
    </row>
    <row r="346" spans="1:28" s="2" customFormat="1" ht="6" customHeight="1">
      <c r="A346"/>
      <c r="B346"/>
      <c r="C346"/>
      <c r="D346" s="309"/>
      <c r="E346" s="310"/>
      <c r="F346" s="310"/>
      <c r="G346" s="310"/>
      <c r="H346" s="310"/>
      <c r="I346" s="310"/>
      <c r="J346" s="310"/>
      <c r="K346" s="310"/>
      <c r="L346"/>
      <c r="M346"/>
      <c r="P346"/>
      <c r="Q346"/>
      <c r="R346" s="215">
        <f>IF(E346="地区代表者",COUNTA($D$1:$D346),0)</f>
        <v>0</v>
      </c>
      <c r="S346" s="215">
        <f t="shared" si="182"/>
        <v>0</v>
      </c>
      <c r="T346" s="316"/>
      <c r="U346" s="215">
        <f t="shared" si="183"/>
        <v>0</v>
      </c>
      <c r="V346" s="215">
        <f t="shared" si="184"/>
        <v>0</v>
      </c>
      <c r="W346" s="316"/>
      <c r="X346" s="215" t="str">
        <f t="shared" si="180"/>
        <v/>
      </c>
      <c r="Y346" s="215">
        <f>MIN($X$342:$X$346)+1</f>
        <v>1</v>
      </c>
      <c r="Z346" s="215">
        <f t="shared" si="181"/>
        <v>1</v>
      </c>
      <c r="AA346" s="215" t="str" cm="1">
        <f t="array" ref="AA346">_xlfn.IFS(Y346=4,"A",Y346=3,"B",Y346=2,"C",Y346=1,"D")</f>
        <v>D</v>
      </c>
      <c r="AB346" s="215"/>
    </row>
    <row r="347" spans="1:28" ht="96" customHeight="1">
      <c r="C347" s="78"/>
      <c r="D347" s="79"/>
      <c r="E347" s="72" t="s">
        <v>236</v>
      </c>
      <c r="F347" s="1452"/>
      <c r="G347" s="1452"/>
      <c r="H347" s="1452"/>
      <c r="I347" s="1452"/>
      <c r="J347" s="1452"/>
      <c r="K347" s="1452"/>
      <c r="L347" s="80" t="s">
        <v>132</v>
      </c>
      <c r="M347" s="290"/>
    </row>
    <row r="348" spans="1:28" ht="96" customHeight="1">
      <c r="C348" s="75"/>
      <c r="D348" s="68"/>
      <c r="E348" s="72" t="s">
        <v>237</v>
      </c>
      <c r="F348" s="1452"/>
      <c r="G348" s="1452"/>
      <c r="H348" s="1452"/>
      <c r="I348" s="1452"/>
      <c r="J348" s="1452"/>
      <c r="K348" s="1452"/>
    </row>
    <row r="349" spans="1:28" ht="18.5" thickBot="1">
      <c r="A349" s="81"/>
      <c r="B349" s="81"/>
      <c r="C349" s="81"/>
      <c r="D349" s="81"/>
      <c r="E349" s="311"/>
      <c r="F349" s="81"/>
      <c r="G349" s="81"/>
      <c r="H349" s="81"/>
      <c r="I349" s="81"/>
      <c r="J349" s="81"/>
      <c r="K349" s="81"/>
      <c r="L349" s="81"/>
      <c r="M349" s="82"/>
    </row>
    <row r="351" spans="1:28" ht="9" customHeight="1">
      <c r="B351" s="10"/>
      <c r="C351" s="5"/>
      <c r="D351" s="5"/>
      <c r="E351" s="305"/>
      <c r="F351" s="5"/>
      <c r="G351" s="5"/>
      <c r="H351" s="5"/>
      <c r="I351" s="5"/>
      <c r="J351" s="5"/>
      <c r="K351" s="5"/>
      <c r="L351" s="6"/>
      <c r="M351"/>
      <c r="N351"/>
      <c r="O351"/>
      <c r="R351" t="str">
        <f>D352</f>
        <v>(選択してください)</v>
      </c>
    </row>
    <row r="352" spans="1:28">
      <c r="B352" s="7"/>
      <c r="C352" s="77" t="str">
        <f ca="1">IFERROR(OFFSET('4.2民生電力需要量'!$C$1,MATCH(D352,'4.2民生電力需要量'!$E:$E,0)-1,0),"")</f>
        <v/>
      </c>
      <c r="D352" s="94" t="s">
        <v>130</v>
      </c>
      <c r="E352" s="72" t="s">
        <v>131</v>
      </c>
      <c r="F352" s="1446" t="str">
        <f ca="1">IFERROR(OFFSET('4.2民生電力需要量'!$G$1,MATCH($D352,'4.2民生電力需要量'!$E:$E,0)-1,0),"")</f>
        <v/>
      </c>
      <c r="G352" s="1446"/>
      <c r="H352" s="1446"/>
      <c r="I352" s="1446"/>
      <c r="J352" s="1446"/>
      <c r="K352" s="1446"/>
      <c r="L352" s="8"/>
      <c r="M352"/>
      <c r="N352"/>
      <c r="O352"/>
      <c r="R352" s="175" t="str">
        <f ca="1">IFERROR(OFFSET('4.2民生電力需要量'!$G$1,MATCH($D352,'4.2民生電力需要量'!$E:$E,0)-1,0),"")</f>
        <v/>
      </c>
      <c r="S352" s="175"/>
      <c r="T352" s="175"/>
      <c r="U352" s="175"/>
      <c r="V352" s="175"/>
      <c r="W352" s="175"/>
      <c r="X352" s="175"/>
      <c r="Y352" s="175"/>
      <c r="Z352" s="175"/>
      <c r="AA352" s="175"/>
      <c r="AB352" s="175">
        <f ca="1">(F352=R352)*1</f>
        <v>1</v>
      </c>
    </row>
    <row r="353" spans="1:28">
      <c r="B353" s="7"/>
      <c r="C353" s="915"/>
      <c r="D353" s="97"/>
      <c r="E353" s="72" t="s">
        <v>612</v>
      </c>
      <c r="F353" s="1447" t="str">
        <f ca="1">IFERROR(OFFSET('4.2民生電力需要量'!$L$1,MATCH($D352,'4.2民生電力需要量'!$E:$E,0)-1,0),"")</f>
        <v/>
      </c>
      <c r="G353" s="1448"/>
      <c r="H353" s="1448"/>
      <c r="I353" s="1448"/>
      <c r="J353" s="1448"/>
      <c r="K353" s="1449"/>
      <c r="L353" s="8"/>
      <c r="M353"/>
      <c r="N353"/>
      <c r="O353"/>
      <c r="R353" s="175" t="str">
        <f ca="1">IFERROR(OFFSET('4.2民生電力需要量'!$L$1,MATCH($D352,'4.2民生電力需要量'!$E:$E,0)-1,0),"")</f>
        <v/>
      </c>
      <c r="S353" s="175"/>
      <c r="T353" s="175"/>
      <c r="U353" s="175"/>
      <c r="V353" s="175"/>
      <c r="W353" s="175"/>
      <c r="X353" s="175"/>
      <c r="Y353" s="175"/>
      <c r="Z353" s="175"/>
      <c r="AA353" s="175"/>
      <c r="AB353" s="175">
        <f ca="1">(F353=R353)*1</f>
        <v>1</v>
      </c>
    </row>
    <row r="354" spans="1:28">
      <c r="B354" s="7"/>
      <c r="C354" s="74"/>
      <c r="D354" s="66"/>
      <c r="E354" s="72" t="s">
        <v>220</v>
      </c>
      <c r="F354" s="1450" t="str">
        <f ca="1">IFERROR(OFFSET('4.2民生電力需要量'!$I$1,MATCH($D352,'4.2民生電力需要量'!$E:$E,0)-1,0),"")</f>
        <v/>
      </c>
      <c r="G354" s="1450"/>
      <c r="H354" s="1450"/>
      <c r="I354" s="1450"/>
      <c r="J354" s="1450"/>
      <c r="K354" s="1450"/>
      <c r="L354" s="8"/>
      <c r="M354"/>
      <c r="N354"/>
      <c r="O354"/>
      <c r="R354" s="175" t="str">
        <f ca="1">IFERROR(OFFSET('4.2民生電力需要量'!$I$1,MATCH($D352,'4.2民生電力需要量'!$E:$E,0)-1,0),"")</f>
        <v/>
      </c>
      <c r="S354" s="175"/>
      <c r="T354" s="175"/>
      <c r="U354" s="175"/>
      <c r="V354" s="175"/>
      <c r="W354" s="175"/>
      <c r="X354" s="175"/>
      <c r="Y354" s="175"/>
      <c r="Z354" s="175"/>
      <c r="AA354" s="175"/>
      <c r="AB354" s="175">
        <f t="shared" ref="AB354:AB355" ca="1" si="185">(F354=R354)*1</f>
        <v>1</v>
      </c>
    </row>
    <row r="355" spans="1:28">
      <c r="B355" s="7"/>
      <c r="C355" s="74"/>
      <c r="D355" s="66"/>
      <c r="E355" s="72" t="s">
        <v>175</v>
      </c>
      <c r="F355" s="1451" t="str">
        <f>_xlfn.IFNA(R355,"")</f>
        <v/>
      </c>
      <c r="G355" s="1451"/>
      <c r="H355" s="1451"/>
      <c r="I355" s="1451"/>
      <c r="J355" s="1451"/>
      <c r="K355" s="1451"/>
      <c r="L355" s="8"/>
      <c r="M355"/>
      <c r="N355"/>
      <c r="O355"/>
      <c r="R355" s="215" t="str">
        <f>IF(PRODUCT($Z357:$Z361)=1,AA357,"")</f>
        <v/>
      </c>
      <c r="S355" s="175"/>
      <c r="T355" s="175"/>
      <c r="U355" s="175"/>
      <c r="V355" s="175"/>
      <c r="W355" s="175"/>
      <c r="X355" s="175"/>
      <c r="Y355" s="175"/>
      <c r="Z355" s="175"/>
      <c r="AA355" s="175"/>
      <c r="AB355" s="175">
        <f t="shared" si="185"/>
        <v>1</v>
      </c>
    </row>
    <row r="356" spans="1:28" s="2" customFormat="1" ht="60">
      <c r="A356"/>
      <c r="B356" s="7"/>
      <c r="C356" s="74"/>
      <c r="D356" s="66"/>
      <c r="E356" s="306"/>
      <c r="F356" s="312" t="s">
        <v>299</v>
      </c>
      <c r="G356" s="313" t="s">
        <v>300</v>
      </c>
      <c r="H356" s="313" t="s">
        <v>301</v>
      </c>
      <c r="I356" s="313" t="s">
        <v>302</v>
      </c>
      <c r="J356" s="313" t="s">
        <v>429</v>
      </c>
      <c r="K356" s="313" t="s">
        <v>270</v>
      </c>
      <c r="L356" s="8"/>
      <c r="M356"/>
      <c r="P356"/>
      <c r="Q356"/>
      <c r="R356" s="294" t="s">
        <v>298</v>
      </c>
      <c r="S356" s="294" t="s">
        <v>299</v>
      </c>
      <c r="T356" s="314" t="s">
        <v>423</v>
      </c>
      <c r="U356" s="294" t="s">
        <v>424</v>
      </c>
      <c r="V356" s="294" t="s">
        <v>422</v>
      </c>
      <c r="W356" s="315" t="s">
        <v>270</v>
      </c>
      <c r="X356" s="294" t="s">
        <v>426</v>
      </c>
      <c r="Y356" s="215" t="s">
        <v>402</v>
      </c>
      <c r="Z356" s="215" t="s">
        <v>430</v>
      </c>
      <c r="AA356" s="294" t="s">
        <v>425</v>
      </c>
      <c r="AB356" s="294"/>
    </row>
    <row r="357" spans="1:28" s="99" customFormat="1" ht="18.75" hidden="1" customHeight="1">
      <c r="A357" s="11"/>
      <c r="B357" s="95"/>
      <c r="C357" s="96"/>
      <c r="D357" s="97"/>
      <c r="E357" s="438"/>
      <c r="F357" s="439"/>
      <c r="G357" s="439"/>
      <c r="H357" s="439"/>
      <c r="I357" s="439"/>
      <c r="J357" s="439"/>
      <c r="K357" s="439"/>
      <c r="L357" s="98"/>
      <c r="M357" s="11"/>
      <c r="Q357" s="11"/>
      <c r="R357" s="129">
        <f>IF(E357="地区代表者",COUNTA($D$1:$D357),0)</f>
        <v>0</v>
      </c>
      <c r="S357" s="129">
        <f t="shared" ref="S357:S358" si="186">IF(F357="実施済",1,0)</f>
        <v>0</v>
      </c>
      <c r="T357" s="258"/>
      <c r="U357" s="129">
        <f t="shared" ref="U357:U358" si="187">IF(AND(H357="実施済",I357="実施済"),S357*1,0)</f>
        <v>0</v>
      </c>
      <c r="V357" s="129">
        <f>IF(J357="実施済",$U357*1,0)</f>
        <v>0</v>
      </c>
      <c r="W357" s="258"/>
      <c r="X357" s="129" t="str">
        <f>IF(E357="","",IF(R357*S357&gt;0,3,SUM(S357,U357,V357)))</f>
        <v/>
      </c>
      <c r="Y357" s="129">
        <f>MIN($X$357:$X$361)+1</f>
        <v>1</v>
      </c>
      <c r="Z357" s="129">
        <f>IF(E357="",1,IF(R357&gt;0,IF(COUNTA($F357:$K357)=2,1,0),IF(COUNTA($F357:$K357)=6,1,0)))</f>
        <v>1</v>
      </c>
      <c r="AA357" s="129" t="str" cm="1">
        <f t="array" ref="AA357">_xlfn.IFS(Y357=4,"A",Y357=3,"B",Y357=2,"C",Y357=1,"D")</f>
        <v>D</v>
      </c>
      <c r="AB357" s="129" t="str" cm="1">
        <f t="array" ref="AB357">_xlfn.IFS(Z357=4,"A",Z357=3,"B",Z357=2,"C",Z357=1,"D")</f>
        <v>D</v>
      </c>
    </row>
    <row r="358" spans="1:28" s="99" customFormat="1" ht="18.75" customHeight="1">
      <c r="A358" s="11"/>
      <c r="B358" s="95"/>
      <c r="C358" s="96"/>
      <c r="D358" s="97"/>
      <c r="E358" s="440" t="s">
        <v>298</v>
      </c>
      <c r="F358" s="441"/>
      <c r="G358" s="839"/>
      <c r="H358" s="839"/>
      <c r="I358" s="839"/>
      <c r="J358" s="839"/>
      <c r="K358" s="441"/>
      <c r="L358" s="98"/>
      <c r="M358" s="11"/>
      <c r="Q358" s="11"/>
      <c r="R358" s="129">
        <f>IF(E358="地区代表者",COUNTA($D$1:$D358),0)</f>
        <v>24</v>
      </c>
      <c r="S358" s="129">
        <f t="shared" si="186"/>
        <v>0</v>
      </c>
      <c r="T358" s="258"/>
      <c r="U358" s="129">
        <f t="shared" si="187"/>
        <v>0</v>
      </c>
      <c r="V358" s="129">
        <f>IF(J358="実施済",$U358*1,0)</f>
        <v>0</v>
      </c>
      <c r="W358" s="258"/>
      <c r="X358" s="129">
        <f t="shared" ref="X358:X361" si="188">IF(E358="","",IF(R358*S358&gt;0,3,SUM(S358,U358,V358)))</f>
        <v>0</v>
      </c>
      <c r="Y358" s="129">
        <f>MIN($X$357:$X$361)+1</f>
        <v>1</v>
      </c>
      <c r="Z358" s="129">
        <f t="shared" ref="Z358:Z361" si="189">IF(E358="",1,IF(R358&gt;0,IF(COUNTA($F358:$K358)=2,1,0),IF(COUNTA($F358:$K358)=6,1,0)))</f>
        <v>0</v>
      </c>
      <c r="AA358" s="129" t="str" cm="1">
        <f t="array" ref="AA358">_xlfn.IFS(Y358=4,"A",Y358=3,"B",Y358=2,"C",Y358=1,"D")</f>
        <v>D</v>
      </c>
      <c r="AB358" s="129"/>
    </row>
    <row r="359" spans="1:28" s="99" customFormat="1" ht="18.75" customHeight="1">
      <c r="A359" s="11"/>
      <c r="B359" s="95"/>
      <c r="C359" s="96"/>
      <c r="D359" s="97"/>
      <c r="E359" s="440" t="s">
        <v>116</v>
      </c>
      <c r="F359" s="441"/>
      <c r="G359" s="441"/>
      <c r="H359" s="441"/>
      <c r="I359" s="441"/>
      <c r="J359" s="441"/>
      <c r="K359" s="441"/>
      <c r="L359" s="98"/>
      <c r="M359" s="11"/>
      <c r="P359" s="11"/>
      <c r="Q359" s="11"/>
      <c r="R359" s="129">
        <f>IF(E359="地区代表者",COUNTA($D$1:$D359),0)</f>
        <v>0</v>
      </c>
      <c r="S359" s="129">
        <f>IF(F359="実施済",1,0)</f>
        <v>0</v>
      </c>
      <c r="T359" s="258"/>
      <c r="U359" s="129">
        <f>IF(AND(H359="実施済",I359="実施済"),S359*1,0)</f>
        <v>0</v>
      </c>
      <c r="V359" s="129">
        <f>IF(J359="実施済",$U359*1,0)</f>
        <v>0</v>
      </c>
      <c r="W359" s="258"/>
      <c r="X359" s="129">
        <f t="shared" si="188"/>
        <v>0</v>
      </c>
      <c r="Y359" s="129">
        <f>MIN($X$357:$X$361)+1</f>
        <v>1</v>
      </c>
      <c r="Z359" s="129">
        <f t="shared" si="189"/>
        <v>0</v>
      </c>
      <c r="AA359" s="129" t="str" cm="1">
        <f t="array" ref="AA359">_xlfn.IFS(Y359=4,"A",Y359=3,"B",Y359=2,"C",Y359=1,"D")</f>
        <v>D</v>
      </c>
      <c r="AB359" s="129"/>
    </row>
    <row r="360" spans="1:28" s="2" customFormat="1" ht="9" customHeight="1">
      <c r="A360"/>
      <c r="B360" s="65"/>
      <c r="C360" s="4"/>
      <c r="D360" s="307"/>
      <c r="E360" s="308"/>
      <c r="F360" s="308"/>
      <c r="G360" s="308"/>
      <c r="H360" s="308"/>
      <c r="I360" s="308"/>
      <c r="J360" s="308"/>
      <c r="K360" s="308"/>
      <c r="L360" s="9"/>
      <c r="M360"/>
      <c r="P360"/>
      <c r="Q360"/>
      <c r="R360" s="215">
        <f>IF(E360="地区代表者",COUNTA($D$1:$D360),0)</f>
        <v>0</v>
      </c>
      <c r="S360" s="215">
        <f t="shared" ref="S360:S361" si="190">IF(F360="実施済",1,0)</f>
        <v>0</v>
      </c>
      <c r="T360" s="316"/>
      <c r="U360" s="215">
        <f t="shared" ref="U360:U361" si="191">IF(AND(H360="実施済",I360="実施済"),S360*1,0)</f>
        <v>0</v>
      </c>
      <c r="V360" s="215">
        <f t="shared" ref="V360:V361" si="192">IF(J360="実施済",$U360*1,0)</f>
        <v>0</v>
      </c>
      <c r="W360" s="316"/>
      <c r="X360" s="215" t="str">
        <f t="shared" si="188"/>
        <v/>
      </c>
      <c r="Y360" s="215">
        <f>MIN($X$357:$X$361)+1</f>
        <v>1</v>
      </c>
      <c r="Z360" s="215">
        <f t="shared" si="189"/>
        <v>1</v>
      </c>
      <c r="AA360" s="215" t="str" cm="1">
        <f t="array" ref="AA360">_xlfn.IFS(Y360=4,"A",Y360=3,"B",Y360=2,"C",Y360=1,"D")</f>
        <v>D</v>
      </c>
      <c r="AB360" s="215"/>
    </row>
    <row r="361" spans="1:28" s="2" customFormat="1" ht="6" customHeight="1">
      <c r="A361"/>
      <c r="B361"/>
      <c r="C361"/>
      <c r="D361" s="309"/>
      <c r="E361" s="310"/>
      <c r="F361" s="310"/>
      <c r="G361" s="310"/>
      <c r="H361" s="310"/>
      <c r="I361" s="310"/>
      <c r="J361" s="310"/>
      <c r="K361" s="310"/>
      <c r="L361"/>
      <c r="M361"/>
      <c r="P361"/>
      <c r="Q361"/>
      <c r="R361" s="215">
        <f>IF(E361="地区代表者",COUNTA($D$1:$D361),0)</f>
        <v>0</v>
      </c>
      <c r="S361" s="215">
        <f t="shared" si="190"/>
        <v>0</v>
      </c>
      <c r="T361" s="316"/>
      <c r="U361" s="215">
        <f t="shared" si="191"/>
        <v>0</v>
      </c>
      <c r="V361" s="215">
        <f t="shared" si="192"/>
        <v>0</v>
      </c>
      <c r="W361" s="316"/>
      <c r="X361" s="215" t="str">
        <f t="shared" si="188"/>
        <v/>
      </c>
      <c r="Y361" s="215">
        <f>MIN($X$357:$X$361)+1</f>
        <v>1</v>
      </c>
      <c r="Z361" s="215">
        <f t="shared" si="189"/>
        <v>1</v>
      </c>
      <c r="AA361" s="215" t="str" cm="1">
        <f t="array" ref="AA361">_xlfn.IFS(Y361=4,"A",Y361=3,"B",Y361=2,"C",Y361=1,"D")</f>
        <v>D</v>
      </c>
      <c r="AB361" s="215"/>
    </row>
    <row r="362" spans="1:28" ht="96" customHeight="1">
      <c r="C362" s="78"/>
      <c r="D362" s="79"/>
      <c r="E362" s="72" t="s">
        <v>236</v>
      </c>
      <c r="F362" s="1452"/>
      <c r="G362" s="1452"/>
      <c r="H362" s="1452"/>
      <c r="I362" s="1452"/>
      <c r="J362" s="1452"/>
      <c r="K362" s="1452"/>
      <c r="L362" s="80" t="s">
        <v>132</v>
      </c>
      <c r="M362" s="290"/>
    </row>
    <row r="363" spans="1:28" ht="96" customHeight="1">
      <c r="C363" s="75"/>
      <c r="D363" s="68"/>
      <c r="E363" s="72" t="s">
        <v>237</v>
      </c>
      <c r="F363" s="1452"/>
      <c r="G363" s="1452"/>
      <c r="H363" s="1452"/>
      <c r="I363" s="1452"/>
      <c r="J363" s="1452"/>
      <c r="K363" s="1452"/>
    </row>
    <row r="364" spans="1:28" ht="18.5" thickBot="1">
      <c r="A364" s="81"/>
      <c r="B364" s="81"/>
      <c r="C364" s="81"/>
      <c r="D364" s="81"/>
      <c r="E364" s="311"/>
      <c r="F364" s="81"/>
      <c r="G364" s="81"/>
      <c r="H364" s="81"/>
      <c r="I364" s="81"/>
      <c r="J364" s="81"/>
      <c r="K364" s="81"/>
      <c r="L364" s="81"/>
      <c r="M364" s="82"/>
    </row>
    <row r="366" spans="1:28" ht="9" customHeight="1">
      <c r="B366" s="10"/>
      <c r="C366" s="5"/>
      <c r="D366" s="5"/>
      <c r="E366" s="305"/>
      <c r="F366" s="5"/>
      <c r="G366" s="5"/>
      <c r="H366" s="5"/>
      <c r="I366" s="5"/>
      <c r="J366" s="5"/>
      <c r="K366" s="5"/>
      <c r="L366" s="6"/>
      <c r="M366"/>
      <c r="N366"/>
      <c r="O366"/>
      <c r="R366" t="str">
        <f>D367</f>
        <v>(選択してください)</v>
      </c>
    </row>
    <row r="367" spans="1:28">
      <c r="B367" s="7"/>
      <c r="C367" s="77" t="str">
        <f ca="1">IFERROR(OFFSET('4.2民生電力需要量'!$C$1,MATCH(D367,'4.2民生電力需要量'!$E:$E,0)-1,0),"")</f>
        <v/>
      </c>
      <c r="D367" s="94" t="s">
        <v>130</v>
      </c>
      <c r="E367" s="72" t="s">
        <v>131</v>
      </c>
      <c r="F367" s="1446" t="str">
        <f ca="1">IFERROR(OFFSET('4.2民生電力需要量'!$G$1,MATCH($D367,'4.2民生電力需要量'!$E:$E,0)-1,0),"")</f>
        <v/>
      </c>
      <c r="G367" s="1446"/>
      <c r="H367" s="1446"/>
      <c r="I367" s="1446"/>
      <c r="J367" s="1446"/>
      <c r="K367" s="1446"/>
      <c r="L367" s="8"/>
      <c r="M367"/>
      <c r="N367"/>
      <c r="O367"/>
      <c r="R367" s="175" t="str">
        <f ca="1">IFERROR(OFFSET('4.2民生電力需要量'!$G$1,MATCH($D367,'4.2民生電力需要量'!$E:$E,0)-1,0),"")</f>
        <v/>
      </c>
      <c r="S367" s="175"/>
      <c r="T367" s="175"/>
      <c r="U367" s="175"/>
      <c r="V367" s="175"/>
      <c r="W367" s="175"/>
      <c r="X367" s="175"/>
      <c r="Y367" s="175"/>
      <c r="Z367" s="175"/>
      <c r="AA367" s="175"/>
      <c r="AB367" s="175">
        <f ca="1">(F367=R367)*1</f>
        <v>1</v>
      </c>
    </row>
    <row r="368" spans="1:28">
      <c r="B368" s="7"/>
      <c r="C368" s="915"/>
      <c r="D368" s="97"/>
      <c r="E368" s="72" t="s">
        <v>612</v>
      </c>
      <c r="F368" s="1447" t="str">
        <f ca="1">IFERROR(OFFSET('4.2民生電力需要量'!$L$1,MATCH($D367,'4.2民生電力需要量'!$E:$E,0)-1,0),"")</f>
        <v/>
      </c>
      <c r="G368" s="1448"/>
      <c r="H368" s="1448"/>
      <c r="I368" s="1448"/>
      <c r="J368" s="1448"/>
      <c r="K368" s="1449"/>
      <c r="L368" s="8"/>
      <c r="M368"/>
      <c r="N368"/>
      <c r="O368"/>
      <c r="R368" s="175" t="str">
        <f ca="1">IFERROR(OFFSET('4.2民生電力需要量'!$L$1,MATCH($D367,'4.2民生電力需要量'!$E:$E,0)-1,0),"")</f>
        <v/>
      </c>
      <c r="S368" s="175"/>
      <c r="T368" s="175"/>
      <c r="U368" s="175"/>
      <c r="V368" s="175"/>
      <c r="W368" s="175"/>
      <c r="X368" s="175"/>
      <c r="Y368" s="175"/>
      <c r="Z368" s="175"/>
      <c r="AA368" s="175"/>
      <c r="AB368" s="175">
        <f ca="1">(F368=R368)*1</f>
        <v>1</v>
      </c>
    </row>
    <row r="369" spans="1:28">
      <c r="B369" s="7"/>
      <c r="C369" s="74"/>
      <c r="D369" s="66"/>
      <c r="E369" s="72" t="s">
        <v>220</v>
      </c>
      <c r="F369" s="1450" t="str">
        <f ca="1">IFERROR(OFFSET('4.2民生電力需要量'!$I$1,MATCH($D367,'4.2民生電力需要量'!$E:$E,0)-1,0),"")</f>
        <v/>
      </c>
      <c r="G369" s="1450"/>
      <c r="H369" s="1450"/>
      <c r="I369" s="1450"/>
      <c r="J369" s="1450"/>
      <c r="K369" s="1450"/>
      <c r="L369" s="8"/>
      <c r="M369"/>
      <c r="N369"/>
      <c r="O369"/>
      <c r="R369" s="175" t="str">
        <f ca="1">IFERROR(OFFSET('4.2民生電力需要量'!$I$1,MATCH($D367,'4.2民生電力需要量'!$E:$E,0)-1,0),"")</f>
        <v/>
      </c>
      <c r="S369" s="175"/>
      <c r="T369" s="175"/>
      <c r="U369" s="175"/>
      <c r="V369" s="175"/>
      <c r="W369" s="175"/>
      <c r="X369" s="175"/>
      <c r="Y369" s="175"/>
      <c r="Z369" s="175"/>
      <c r="AA369" s="175"/>
      <c r="AB369" s="175">
        <f t="shared" ref="AB369:AB370" ca="1" si="193">(F369=R369)*1</f>
        <v>1</v>
      </c>
    </row>
    <row r="370" spans="1:28">
      <c r="B370" s="7"/>
      <c r="C370" s="74"/>
      <c r="D370" s="66"/>
      <c r="E370" s="72" t="s">
        <v>175</v>
      </c>
      <c r="F370" s="1451" t="str">
        <f>_xlfn.IFNA(R370,"")</f>
        <v/>
      </c>
      <c r="G370" s="1451"/>
      <c r="H370" s="1451"/>
      <c r="I370" s="1451"/>
      <c r="J370" s="1451"/>
      <c r="K370" s="1451"/>
      <c r="L370" s="8"/>
      <c r="M370"/>
      <c r="N370"/>
      <c r="O370"/>
      <c r="R370" s="215" t="str">
        <f>IF(PRODUCT($Z372:$Z376)=1,AA372,"")</f>
        <v/>
      </c>
      <c r="S370" s="175"/>
      <c r="T370" s="175"/>
      <c r="U370" s="175"/>
      <c r="V370" s="175"/>
      <c r="W370" s="175"/>
      <c r="X370" s="175"/>
      <c r="Y370" s="175"/>
      <c r="Z370" s="175"/>
      <c r="AA370" s="175"/>
      <c r="AB370" s="175">
        <f t="shared" si="193"/>
        <v>1</v>
      </c>
    </row>
    <row r="371" spans="1:28" s="2" customFormat="1" ht="60">
      <c r="A371"/>
      <c r="B371" s="7"/>
      <c r="C371" s="74"/>
      <c r="D371" s="66"/>
      <c r="E371" s="306"/>
      <c r="F371" s="312" t="s">
        <v>299</v>
      </c>
      <c r="G371" s="313" t="s">
        <v>300</v>
      </c>
      <c r="H371" s="313" t="s">
        <v>301</v>
      </c>
      <c r="I371" s="313" t="s">
        <v>302</v>
      </c>
      <c r="J371" s="313" t="s">
        <v>429</v>
      </c>
      <c r="K371" s="313" t="s">
        <v>270</v>
      </c>
      <c r="L371" s="8"/>
      <c r="M371"/>
      <c r="P371"/>
      <c r="Q371"/>
      <c r="R371" s="294" t="s">
        <v>298</v>
      </c>
      <c r="S371" s="294" t="s">
        <v>299</v>
      </c>
      <c r="T371" s="314" t="s">
        <v>423</v>
      </c>
      <c r="U371" s="294" t="s">
        <v>424</v>
      </c>
      <c r="V371" s="294" t="s">
        <v>422</v>
      </c>
      <c r="W371" s="315" t="s">
        <v>270</v>
      </c>
      <c r="X371" s="294" t="s">
        <v>426</v>
      </c>
      <c r="Y371" s="215" t="s">
        <v>402</v>
      </c>
      <c r="Z371" s="215" t="s">
        <v>430</v>
      </c>
      <c r="AA371" s="294" t="s">
        <v>425</v>
      </c>
      <c r="AB371" s="294"/>
    </row>
    <row r="372" spans="1:28" s="99" customFormat="1" ht="18.75" hidden="1" customHeight="1">
      <c r="A372" s="11"/>
      <c r="B372" s="95"/>
      <c r="C372" s="96"/>
      <c r="D372" s="97"/>
      <c r="E372" s="438"/>
      <c r="F372" s="439"/>
      <c r="G372" s="439"/>
      <c r="H372" s="439"/>
      <c r="I372" s="439"/>
      <c r="J372" s="439"/>
      <c r="K372" s="439"/>
      <c r="L372" s="98"/>
      <c r="M372" s="11"/>
      <c r="Q372" s="11"/>
      <c r="R372" s="129">
        <f>IF(E372="地区代表者",COUNTA($D$1:$D372),0)</f>
        <v>0</v>
      </c>
      <c r="S372" s="129">
        <f t="shared" ref="S372:S373" si="194">IF(F372="実施済",1,0)</f>
        <v>0</v>
      </c>
      <c r="T372" s="258"/>
      <c r="U372" s="129">
        <f t="shared" ref="U372:U373" si="195">IF(AND(H372="実施済",I372="実施済"),S372*1,0)</f>
        <v>0</v>
      </c>
      <c r="V372" s="129">
        <f>IF(J372="実施済",$U372*1,0)</f>
        <v>0</v>
      </c>
      <c r="W372" s="258"/>
      <c r="X372" s="129" t="str">
        <f>IF(E372="","",IF(R372*S372&gt;0,3,SUM(S372,U372,V372)))</f>
        <v/>
      </c>
      <c r="Y372" s="129">
        <f>MIN($X$372:$X$376)+1</f>
        <v>1</v>
      </c>
      <c r="Z372" s="129">
        <f>IF(E372="",1,IF(R372&gt;0,IF(COUNTA($F372:$K372)=2,1,0),IF(COUNTA($F372:$K372)=6,1,0)))</f>
        <v>1</v>
      </c>
      <c r="AA372" s="129" t="str" cm="1">
        <f t="array" ref="AA372">_xlfn.IFS(Y372=4,"A",Y372=3,"B",Y372=2,"C",Y372=1,"D")</f>
        <v>D</v>
      </c>
      <c r="AB372" s="129" t="str" cm="1">
        <f t="array" ref="AB372">_xlfn.IFS(Z372=4,"A",Z372=3,"B",Z372=2,"C",Z372=1,"D")</f>
        <v>D</v>
      </c>
    </row>
    <row r="373" spans="1:28" s="99" customFormat="1" ht="18.75" customHeight="1">
      <c r="A373" s="11"/>
      <c r="B373" s="95"/>
      <c r="C373" s="96"/>
      <c r="D373" s="97"/>
      <c r="E373" s="440" t="s">
        <v>298</v>
      </c>
      <c r="F373" s="441"/>
      <c r="G373" s="839"/>
      <c r="H373" s="839"/>
      <c r="I373" s="839"/>
      <c r="J373" s="839"/>
      <c r="K373" s="441"/>
      <c r="L373" s="98"/>
      <c r="M373" s="11"/>
      <c r="Q373" s="11"/>
      <c r="R373" s="129">
        <f>IF(E373="地区代表者",COUNTA($D$1:$D373),0)</f>
        <v>25</v>
      </c>
      <c r="S373" s="129">
        <f t="shared" si="194"/>
        <v>0</v>
      </c>
      <c r="T373" s="258"/>
      <c r="U373" s="129">
        <f t="shared" si="195"/>
        <v>0</v>
      </c>
      <c r="V373" s="129">
        <f>IF(J373="実施済",$U373*1,0)</f>
        <v>0</v>
      </c>
      <c r="W373" s="258"/>
      <c r="X373" s="129">
        <f t="shared" ref="X373:X376" si="196">IF(E373="","",IF(R373*S373&gt;0,3,SUM(S373,U373,V373)))</f>
        <v>0</v>
      </c>
      <c r="Y373" s="129">
        <f>MIN($X$372:$X$376)+1</f>
        <v>1</v>
      </c>
      <c r="Z373" s="129">
        <f t="shared" ref="Z373:Z376" si="197">IF(E373="",1,IF(R373&gt;0,IF(COUNTA($F373:$K373)=2,1,0),IF(COUNTA($F373:$K373)=6,1,0)))</f>
        <v>0</v>
      </c>
      <c r="AA373" s="129" t="str" cm="1">
        <f t="array" ref="AA373">_xlfn.IFS(Y373=4,"A",Y373=3,"B",Y373=2,"C",Y373=1,"D")</f>
        <v>D</v>
      </c>
      <c r="AB373" s="129"/>
    </row>
    <row r="374" spans="1:28" s="99" customFormat="1" ht="18.75" customHeight="1">
      <c r="A374" s="11"/>
      <c r="B374" s="95"/>
      <c r="C374" s="96"/>
      <c r="D374" s="97"/>
      <c r="E374" s="440" t="s">
        <v>116</v>
      </c>
      <c r="F374" s="441"/>
      <c r="G374" s="441"/>
      <c r="H374" s="441"/>
      <c r="I374" s="441"/>
      <c r="J374" s="441"/>
      <c r="K374" s="441"/>
      <c r="L374" s="98"/>
      <c r="M374" s="11"/>
      <c r="P374" s="11"/>
      <c r="Q374" s="11"/>
      <c r="R374" s="129">
        <f>IF(E374="地区代表者",COUNTA($D$1:$D374),0)</f>
        <v>0</v>
      </c>
      <c r="S374" s="129">
        <f>IF(F374="実施済",1,0)</f>
        <v>0</v>
      </c>
      <c r="T374" s="258"/>
      <c r="U374" s="129">
        <f>IF(AND(H374="実施済",I374="実施済"),S374*1,0)</f>
        <v>0</v>
      </c>
      <c r="V374" s="129">
        <f>IF(J374="実施済",$U374*1,0)</f>
        <v>0</v>
      </c>
      <c r="W374" s="258"/>
      <c r="X374" s="129">
        <f t="shared" si="196"/>
        <v>0</v>
      </c>
      <c r="Y374" s="129">
        <f>MIN($X$372:$X$376)+1</f>
        <v>1</v>
      </c>
      <c r="Z374" s="129">
        <f t="shared" si="197"/>
        <v>0</v>
      </c>
      <c r="AA374" s="129" t="str" cm="1">
        <f t="array" ref="AA374">_xlfn.IFS(Y374=4,"A",Y374=3,"B",Y374=2,"C",Y374=1,"D")</f>
        <v>D</v>
      </c>
      <c r="AB374" s="129"/>
    </row>
    <row r="375" spans="1:28" s="2" customFormat="1" ht="9" customHeight="1">
      <c r="A375"/>
      <c r="B375" s="65"/>
      <c r="C375" s="4"/>
      <c r="D375" s="307"/>
      <c r="E375" s="308"/>
      <c r="F375" s="308"/>
      <c r="G375" s="308"/>
      <c r="H375" s="308"/>
      <c r="I375" s="308"/>
      <c r="J375" s="308"/>
      <c r="K375" s="308"/>
      <c r="L375" s="9"/>
      <c r="M375"/>
      <c r="P375"/>
      <c r="Q375"/>
      <c r="R375" s="215">
        <f>IF(E375="地区代表者",COUNTA($D$1:$D375),0)</f>
        <v>0</v>
      </c>
      <c r="S375" s="215">
        <f t="shared" ref="S375:S376" si="198">IF(F375="実施済",1,0)</f>
        <v>0</v>
      </c>
      <c r="T375" s="316"/>
      <c r="U375" s="215">
        <f t="shared" ref="U375:U376" si="199">IF(AND(H375="実施済",I375="実施済"),S375*1,0)</f>
        <v>0</v>
      </c>
      <c r="V375" s="215">
        <f t="shared" ref="V375:V376" si="200">IF(J375="実施済",$U375*1,0)</f>
        <v>0</v>
      </c>
      <c r="W375" s="316"/>
      <c r="X375" s="215" t="str">
        <f t="shared" si="196"/>
        <v/>
      </c>
      <c r="Y375" s="215">
        <f>MIN($X$372:$X$376)+1</f>
        <v>1</v>
      </c>
      <c r="Z375" s="215">
        <f t="shared" si="197"/>
        <v>1</v>
      </c>
      <c r="AA375" s="215" t="str" cm="1">
        <f t="array" ref="AA375">_xlfn.IFS(Y375=4,"A",Y375=3,"B",Y375=2,"C",Y375=1,"D")</f>
        <v>D</v>
      </c>
      <c r="AB375" s="215"/>
    </row>
    <row r="376" spans="1:28" s="2" customFormat="1" ht="6" customHeight="1">
      <c r="A376"/>
      <c r="B376"/>
      <c r="C376"/>
      <c r="D376" s="309"/>
      <c r="E376" s="310"/>
      <c r="F376" s="310"/>
      <c r="G376" s="310"/>
      <c r="H376" s="310"/>
      <c r="I376" s="310"/>
      <c r="J376" s="310"/>
      <c r="K376" s="310"/>
      <c r="L376"/>
      <c r="M376"/>
      <c r="P376"/>
      <c r="Q376"/>
      <c r="R376" s="215">
        <f>IF(E376="地区代表者",COUNTA($D$1:$D376),0)</f>
        <v>0</v>
      </c>
      <c r="S376" s="215">
        <f t="shared" si="198"/>
        <v>0</v>
      </c>
      <c r="T376" s="316"/>
      <c r="U376" s="215">
        <f t="shared" si="199"/>
        <v>0</v>
      </c>
      <c r="V376" s="215">
        <f t="shared" si="200"/>
        <v>0</v>
      </c>
      <c r="W376" s="316"/>
      <c r="X376" s="215" t="str">
        <f t="shared" si="196"/>
        <v/>
      </c>
      <c r="Y376" s="215">
        <f>MIN($X$372:$X$376)+1</f>
        <v>1</v>
      </c>
      <c r="Z376" s="215">
        <f t="shared" si="197"/>
        <v>1</v>
      </c>
      <c r="AA376" s="215" t="str" cm="1">
        <f t="array" ref="AA376">_xlfn.IFS(Y376=4,"A",Y376=3,"B",Y376=2,"C",Y376=1,"D")</f>
        <v>D</v>
      </c>
      <c r="AB376" s="215"/>
    </row>
    <row r="377" spans="1:28" ht="96" customHeight="1">
      <c r="C377" s="78"/>
      <c r="D377" s="79"/>
      <c r="E377" s="72" t="s">
        <v>236</v>
      </c>
      <c r="F377" s="1452"/>
      <c r="G377" s="1452"/>
      <c r="H377" s="1452"/>
      <c r="I377" s="1452"/>
      <c r="J377" s="1452"/>
      <c r="K377" s="1452"/>
      <c r="L377" s="80" t="s">
        <v>132</v>
      </c>
      <c r="M377" s="290"/>
    </row>
    <row r="378" spans="1:28" ht="96" customHeight="1">
      <c r="C378" s="75"/>
      <c r="D378" s="68"/>
      <c r="E378" s="72" t="s">
        <v>237</v>
      </c>
      <c r="F378" s="1452"/>
      <c r="G378" s="1452"/>
      <c r="H378" s="1452"/>
      <c r="I378" s="1452"/>
      <c r="J378" s="1452"/>
      <c r="K378" s="1452"/>
    </row>
    <row r="379" spans="1:28" ht="18.5" thickBot="1">
      <c r="A379" s="81"/>
      <c r="B379" s="81"/>
      <c r="C379" s="81"/>
      <c r="D379" s="81"/>
      <c r="E379" s="311"/>
      <c r="F379" s="81"/>
      <c r="G379" s="81"/>
      <c r="H379" s="81"/>
      <c r="I379" s="81"/>
      <c r="J379" s="81"/>
      <c r="K379" s="81"/>
      <c r="L379" s="81"/>
      <c r="M379" s="82"/>
    </row>
    <row r="381" spans="1:28" ht="9" customHeight="1">
      <c r="B381" s="10"/>
      <c r="C381" s="5"/>
      <c r="D381" s="5"/>
      <c r="E381" s="305"/>
      <c r="F381" s="5"/>
      <c r="G381" s="5"/>
      <c r="H381" s="5"/>
      <c r="I381" s="5"/>
      <c r="J381" s="5"/>
      <c r="K381" s="5"/>
      <c r="L381" s="6"/>
      <c r="M381"/>
      <c r="N381"/>
      <c r="O381"/>
      <c r="R381" t="str">
        <f>D382</f>
        <v>(選択してください)</v>
      </c>
    </row>
    <row r="382" spans="1:28">
      <c r="B382" s="7"/>
      <c r="C382" s="77" t="str">
        <f ca="1">IFERROR(OFFSET('4.2民生電力需要量'!$C$1,MATCH(D382,'4.2民生電力需要量'!$E:$E,0)-1,0),"")</f>
        <v/>
      </c>
      <c r="D382" s="94" t="s">
        <v>130</v>
      </c>
      <c r="E382" s="72" t="s">
        <v>131</v>
      </c>
      <c r="F382" s="1446" t="str">
        <f ca="1">IFERROR(OFFSET('4.2民生電力需要量'!$G$1,MATCH($D382,'4.2民生電力需要量'!$E:$E,0)-1,0),"")</f>
        <v/>
      </c>
      <c r="G382" s="1446"/>
      <c r="H382" s="1446"/>
      <c r="I382" s="1446"/>
      <c r="J382" s="1446"/>
      <c r="K382" s="1446"/>
      <c r="L382" s="8"/>
      <c r="M382"/>
      <c r="N382"/>
      <c r="O382"/>
      <c r="R382" s="175" t="str">
        <f ca="1">IFERROR(OFFSET('4.2民生電力需要量'!$G$1,MATCH($D382,'4.2民生電力需要量'!$E:$E,0)-1,0),"")</f>
        <v/>
      </c>
      <c r="S382" s="175"/>
      <c r="T382" s="175"/>
      <c r="U382" s="175"/>
      <c r="V382" s="175"/>
      <c r="W382" s="175"/>
      <c r="X382" s="175"/>
      <c r="Y382" s="175"/>
      <c r="Z382" s="175"/>
      <c r="AA382" s="175"/>
      <c r="AB382" s="175">
        <f ca="1">(F382=R382)*1</f>
        <v>1</v>
      </c>
    </row>
    <row r="383" spans="1:28">
      <c r="B383" s="7"/>
      <c r="C383" s="915"/>
      <c r="D383" s="97"/>
      <c r="E383" s="72" t="s">
        <v>612</v>
      </c>
      <c r="F383" s="1447" t="str">
        <f ca="1">IFERROR(OFFSET('4.2民生電力需要量'!$L$1,MATCH($D382,'4.2民生電力需要量'!$E:$E,0)-1,0),"")</f>
        <v/>
      </c>
      <c r="G383" s="1448"/>
      <c r="H383" s="1448"/>
      <c r="I383" s="1448"/>
      <c r="J383" s="1448"/>
      <c r="K383" s="1449"/>
      <c r="L383" s="8"/>
      <c r="M383"/>
      <c r="N383"/>
      <c r="O383"/>
      <c r="R383" s="175" t="str">
        <f ca="1">IFERROR(OFFSET('4.2民生電力需要量'!$L$1,MATCH($D382,'4.2民生電力需要量'!$E:$E,0)-1,0),"")</f>
        <v/>
      </c>
      <c r="S383" s="175"/>
      <c r="T383" s="175"/>
      <c r="U383" s="175"/>
      <c r="V383" s="175"/>
      <c r="W383" s="175"/>
      <c r="X383" s="175"/>
      <c r="Y383" s="175"/>
      <c r="Z383" s="175"/>
      <c r="AA383" s="175"/>
      <c r="AB383" s="175">
        <f ca="1">(F383=R383)*1</f>
        <v>1</v>
      </c>
    </row>
    <row r="384" spans="1:28">
      <c r="B384" s="7"/>
      <c r="C384" s="74"/>
      <c r="D384" s="66"/>
      <c r="E384" s="72" t="s">
        <v>220</v>
      </c>
      <c r="F384" s="1450" t="str">
        <f ca="1">IFERROR(OFFSET('4.2民生電力需要量'!$I$1,MATCH($D382,'4.2民生電力需要量'!$E:$E,0)-1,0),"")</f>
        <v/>
      </c>
      <c r="G384" s="1450"/>
      <c r="H384" s="1450"/>
      <c r="I384" s="1450"/>
      <c r="J384" s="1450"/>
      <c r="K384" s="1450"/>
      <c r="L384" s="8"/>
      <c r="M384"/>
      <c r="N384"/>
      <c r="O384"/>
      <c r="R384" s="175" t="str">
        <f ca="1">IFERROR(OFFSET('4.2民生電力需要量'!$I$1,MATCH($D382,'4.2民生電力需要量'!$E:$E,0)-1,0),"")</f>
        <v/>
      </c>
      <c r="S384" s="175"/>
      <c r="T384" s="175"/>
      <c r="U384" s="175"/>
      <c r="V384" s="175"/>
      <c r="W384" s="175"/>
      <c r="X384" s="175"/>
      <c r="Y384" s="175"/>
      <c r="Z384" s="175"/>
      <c r="AA384" s="175"/>
      <c r="AB384" s="175">
        <f t="shared" ref="AB384:AB385" ca="1" si="201">(F384=R384)*1</f>
        <v>1</v>
      </c>
    </row>
    <row r="385" spans="1:28">
      <c r="B385" s="7"/>
      <c r="C385" s="74"/>
      <c r="D385" s="66"/>
      <c r="E385" s="72" t="s">
        <v>175</v>
      </c>
      <c r="F385" s="1451" t="str">
        <f>_xlfn.IFNA(R385,"")</f>
        <v/>
      </c>
      <c r="G385" s="1451"/>
      <c r="H385" s="1451"/>
      <c r="I385" s="1451"/>
      <c r="J385" s="1451"/>
      <c r="K385" s="1451"/>
      <c r="L385" s="8"/>
      <c r="M385"/>
      <c r="N385"/>
      <c r="O385"/>
      <c r="R385" s="215" t="str">
        <f>IF(PRODUCT($Z387:$Z391)=1,AA387,"")</f>
        <v/>
      </c>
      <c r="S385" s="175"/>
      <c r="T385" s="175"/>
      <c r="U385" s="175"/>
      <c r="V385" s="175"/>
      <c r="W385" s="175"/>
      <c r="X385" s="175"/>
      <c r="Y385" s="175"/>
      <c r="Z385" s="175"/>
      <c r="AA385" s="175"/>
      <c r="AB385" s="175">
        <f t="shared" si="201"/>
        <v>1</v>
      </c>
    </row>
    <row r="386" spans="1:28" s="2" customFormat="1" ht="60">
      <c r="A386"/>
      <c r="B386" s="7"/>
      <c r="C386" s="74"/>
      <c r="D386" s="66"/>
      <c r="E386" s="306"/>
      <c r="F386" s="312" t="s">
        <v>299</v>
      </c>
      <c r="G386" s="313" t="s">
        <v>300</v>
      </c>
      <c r="H386" s="313" t="s">
        <v>301</v>
      </c>
      <c r="I386" s="313" t="s">
        <v>302</v>
      </c>
      <c r="J386" s="313" t="s">
        <v>429</v>
      </c>
      <c r="K386" s="313" t="s">
        <v>270</v>
      </c>
      <c r="L386" s="8"/>
      <c r="M386"/>
      <c r="P386"/>
      <c r="Q386"/>
      <c r="R386" s="294" t="s">
        <v>298</v>
      </c>
      <c r="S386" s="294" t="s">
        <v>299</v>
      </c>
      <c r="T386" s="314" t="s">
        <v>423</v>
      </c>
      <c r="U386" s="294" t="s">
        <v>424</v>
      </c>
      <c r="V386" s="294" t="s">
        <v>422</v>
      </c>
      <c r="W386" s="315" t="s">
        <v>270</v>
      </c>
      <c r="X386" s="294" t="s">
        <v>426</v>
      </c>
      <c r="Y386" s="215" t="s">
        <v>402</v>
      </c>
      <c r="Z386" s="215" t="s">
        <v>430</v>
      </c>
      <c r="AA386" s="294" t="s">
        <v>425</v>
      </c>
      <c r="AB386" s="294"/>
    </row>
    <row r="387" spans="1:28" s="99" customFormat="1" ht="0.75" hidden="1" customHeight="1">
      <c r="A387" s="11"/>
      <c r="B387" s="95"/>
      <c r="C387" s="96"/>
      <c r="D387" s="97"/>
      <c r="E387" s="438"/>
      <c r="F387" s="439"/>
      <c r="G387" s="439"/>
      <c r="H387" s="439"/>
      <c r="I387" s="439"/>
      <c r="J387" s="439"/>
      <c r="K387" s="439"/>
      <c r="L387" s="98"/>
      <c r="M387" s="11"/>
      <c r="Q387" s="11"/>
      <c r="R387" s="129">
        <f>IF(E387="地区代表者",COUNTA($D$1:$D387),0)</f>
        <v>0</v>
      </c>
      <c r="S387" s="129">
        <f t="shared" ref="S387:S388" si="202">IF(F387="実施済",1,0)</f>
        <v>0</v>
      </c>
      <c r="T387" s="258"/>
      <c r="U387" s="129">
        <f t="shared" ref="U387:U388" si="203">IF(AND(H387="実施済",I387="実施済"),S387*1,0)</f>
        <v>0</v>
      </c>
      <c r="V387" s="129">
        <f>IF(J387="実施済",$U387*1,0)</f>
        <v>0</v>
      </c>
      <c r="W387" s="258"/>
      <c r="X387" s="129" t="str">
        <f>IF(E387="","",IF(R387*S387&gt;0,3,SUM(S387,U387,V387)))</f>
        <v/>
      </c>
      <c r="Y387" s="129">
        <f>MIN($X$387:$X$391)+1</f>
        <v>1</v>
      </c>
      <c r="Z387" s="129">
        <f>IF(E387="",1,IF(R387&gt;0,IF(COUNTA($F387:$K387)=2,1,0),IF(COUNTA($F387:$K387)=6,1,0)))</f>
        <v>1</v>
      </c>
      <c r="AA387" s="129" t="str" cm="1">
        <f t="array" ref="AA387">_xlfn.IFS(Y387=4,"A",Y387=3,"B",Y387=2,"C",Y387=1,"D")</f>
        <v>D</v>
      </c>
      <c r="AB387" s="129" t="str" cm="1">
        <f t="array" ref="AB387">_xlfn.IFS(Z387=4,"A",Z387=3,"B",Z387=2,"C",Z387=1,"D")</f>
        <v>D</v>
      </c>
    </row>
    <row r="388" spans="1:28" s="99" customFormat="1" ht="18.75" customHeight="1">
      <c r="A388" s="11"/>
      <c r="B388" s="95"/>
      <c r="C388" s="96"/>
      <c r="D388" s="97"/>
      <c r="E388" s="440" t="s">
        <v>298</v>
      </c>
      <c r="F388" s="441"/>
      <c r="G388" s="839"/>
      <c r="H388" s="839"/>
      <c r="I388" s="839"/>
      <c r="J388" s="839"/>
      <c r="K388" s="441"/>
      <c r="L388" s="98"/>
      <c r="M388" s="11"/>
      <c r="Q388" s="11"/>
      <c r="R388" s="129">
        <f>IF(E388="地区代表者",COUNTA($D$1:$D388),0)</f>
        <v>26</v>
      </c>
      <c r="S388" s="129">
        <f t="shared" si="202"/>
        <v>0</v>
      </c>
      <c r="T388" s="258"/>
      <c r="U388" s="129">
        <f t="shared" si="203"/>
        <v>0</v>
      </c>
      <c r="V388" s="129">
        <f>IF(J388="実施済",$U388*1,0)</f>
        <v>0</v>
      </c>
      <c r="W388" s="258"/>
      <c r="X388" s="129">
        <f t="shared" ref="X388:X391" si="204">IF(E388="","",IF(R388*S388&gt;0,3,SUM(S388,U388,V388)))</f>
        <v>0</v>
      </c>
      <c r="Y388" s="129">
        <f>MIN($X$387:$X$391)+1</f>
        <v>1</v>
      </c>
      <c r="Z388" s="129">
        <f t="shared" ref="Z388:Z391" si="205">IF(E388="",1,IF(R388&gt;0,IF(COUNTA($F388:$K388)=2,1,0),IF(COUNTA($F388:$K388)=6,1,0)))</f>
        <v>0</v>
      </c>
      <c r="AA388" s="129" t="str" cm="1">
        <f t="array" ref="AA388">_xlfn.IFS(Y388=4,"A",Y388=3,"B",Y388=2,"C",Y388=1,"D")</f>
        <v>D</v>
      </c>
      <c r="AB388" s="129"/>
    </row>
    <row r="389" spans="1:28" s="99" customFormat="1" ht="18.75" customHeight="1">
      <c r="A389" s="11"/>
      <c r="B389" s="95"/>
      <c r="C389" s="96"/>
      <c r="D389" s="97"/>
      <c r="E389" s="440" t="s">
        <v>116</v>
      </c>
      <c r="F389" s="441"/>
      <c r="G389" s="441"/>
      <c r="H389" s="441"/>
      <c r="I389" s="441"/>
      <c r="J389" s="441"/>
      <c r="K389" s="441"/>
      <c r="L389" s="98"/>
      <c r="M389" s="11"/>
      <c r="P389" s="11"/>
      <c r="Q389" s="11"/>
      <c r="R389" s="129">
        <f>IF(E389="地区代表者",COUNTA($D$1:$D389),0)</f>
        <v>0</v>
      </c>
      <c r="S389" s="129">
        <f>IF(F389="実施済",1,0)</f>
        <v>0</v>
      </c>
      <c r="T389" s="258"/>
      <c r="U389" s="129">
        <f>IF(AND(H389="実施済",I389="実施済"),S389*1,0)</f>
        <v>0</v>
      </c>
      <c r="V389" s="129">
        <f>IF(J389="実施済",$U389*1,0)</f>
        <v>0</v>
      </c>
      <c r="W389" s="258"/>
      <c r="X389" s="129">
        <f t="shared" si="204"/>
        <v>0</v>
      </c>
      <c r="Y389" s="129">
        <f>MIN($X$387:$X$391)+1</f>
        <v>1</v>
      </c>
      <c r="Z389" s="129">
        <f t="shared" si="205"/>
        <v>0</v>
      </c>
      <c r="AA389" s="129" t="str" cm="1">
        <f t="array" ref="AA389">_xlfn.IFS(Y389=4,"A",Y389=3,"B",Y389=2,"C",Y389=1,"D")</f>
        <v>D</v>
      </c>
      <c r="AB389" s="129"/>
    </row>
    <row r="390" spans="1:28" s="2" customFormat="1" ht="9" customHeight="1">
      <c r="A390"/>
      <c r="B390" s="65"/>
      <c r="C390" s="4"/>
      <c r="D390" s="307"/>
      <c r="E390" s="308"/>
      <c r="F390" s="308"/>
      <c r="G390" s="308"/>
      <c r="H390" s="308"/>
      <c r="I390" s="308"/>
      <c r="J390" s="308"/>
      <c r="K390" s="308"/>
      <c r="L390" s="9"/>
      <c r="M390"/>
      <c r="P390"/>
      <c r="Q390"/>
      <c r="R390" s="215">
        <f>IF(E390="地区代表者",COUNTA($D$1:$D390),0)</f>
        <v>0</v>
      </c>
      <c r="S390" s="215">
        <f t="shared" ref="S390:S391" si="206">IF(F390="実施済",1,0)</f>
        <v>0</v>
      </c>
      <c r="T390" s="316"/>
      <c r="U390" s="215">
        <f t="shared" ref="U390:U391" si="207">IF(AND(H390="実施済",I390="実施済"),S390*1,0)</f>
        <v>0</v>
      </c>
      <c r="V390" s="215">
        <f t="shared" ref="V390:V391" si="208">IF(J390="実施済",$U390*1,0)</f>
        <v>0</v>
      </c>
      <c r="W390" s="316"/>
      <c r="X390" s="215" t="str">
        <f t="shared" si="204"/>
        <v/>
      </c>
      <c r="Y390" s="215">
        <f>MIN($X$387:$X$391)+1</f>
        <v>1</v>
      </c>
      <c r="Z390" s="215">
        <f t="shared" si="205"/>
        <v>1</v>
      </c>
      <c r="AA390" s="215" t="str" cm="1">
        <f t="array" ref="AA390">_xlfn.IFS(Y390=4,"A",Y390=3,"B",Y390=2,"C",Y390=1,"D")</f>
        <v>D</v>
      </c>
      <c r="AB390" s="215"/>
    </row>
    <row r="391" spans="1:28" s="2" customFormat="1" ht="6" customHeight="1">
      <c r="A391"/>
      <c r="B391"/>
      <c r="C391"/>
      <c r="D391" s="309"/>
      <c r="E391" s="310"/>
      <c r="F391" s="310"/>
      <c r="G391" s="310"/>
      <c r="H391" s="310"/>
      <c r="I391" s="310"/>
      <c r="J391" s="310"/>
      <c r="K391" s="310"/>
      <c r="L391"/>
      <c r="M391"/>
      <c r="P391"/>
      <c r="Q391"/>
      <c r="R391" s="215">
        <f>IF(E391="地区代表者",COUNTA($D$1:$D391),0)</f>
        <v>0</v>
      </c>
      <c r="S391" s="215">
        <f t="shared" si="206"/>
        <v>0</v>
      </c>
      <c r="T391" s="316"/>
      <c r="U391" s="215">
        <f t="shared" si="207"/>
        <v>0</v>
      </c>
      <c r="V391" s="215">
        <f t="shared" si="208"/>
        <v>0</v>
      </c>
      <c r="W391" s="316"/>
      <c r="X391" s="215" t="str">
        <f t="shared" si="204"/>
        <v/>
      </c>
      <c r="Y391" s="215">
        <f>MIN($X$387:$X$391)+1</f>
        <v>1</v>
      </c>
      <c r="Z391" s="215">
        <f t="shared" si="205"/>
        <v>1</v>
      </c>
      <c r="AA391" s="215" t="str" cm="1">
        <f t="array" ref="AA391">_xlfn.IFS(Y391=4,"A",Y391=3,"B",Y391=2,"C",Y391=1,"D")</f>
        <v>D</v>
      </c>
      <c r="AB391" s="215"/>
    </row>
    <row r="392" spans="1:28" ht="96" customHeight="1">
      <c r="C392" s="78"/>
      <c r="D392" s="79"/>
      <c r="E392" s="72" t="s">
        <v>236</v>
      </c>
      <c r="F392" s="1452"/>
      <c r="G392" s="1452"/>
      <c r="H392" s="1452"/>
      <c r="I392" s="1452"/>
      <c r="J392" s="1452"/>
      <c r="K392" s="1452"/>
      <c r="L392" s="80" t="s">
        <v>132</v>
      </c>
      <c r="M392" s="290"/>
    </row>
    <row r="393" spans="1:28" ht="96" customHeight="1">
      <c r="C393" s="75"/>
      <c r="D393" s="68"/>
      <c r="E393" s="72" t="s">
        <v>237</v>
      </c>
      <c r="F393" s="1452"/>
      <c r="G393" s="1452"/>
      <c r="H393" s="1452"/>
      <c r="I393" s="1452"/>
      <c r="J393" s="1452"/>
      <c r="K393" s="1452"/>
    </row>
    <row r="394" spans="1:28" ht="18.5" thickBot="1">
      <c r="A394" s="81"/>
      <c r="B394" s="81"/>
      <c r="C394" s="81"/>
      <c r="D394" s="81"/>
      <c r="E394" s="311"/>
      <c r="F394" s="81"/>
      <c r="G394" s="81"/>
      <c r="H394" s="81"/>
      <c r="I394" s="81"/>
      <c r="J394" s="81"/>
      <c r="K394" s="81"/>
      <c r="L394" s="81"/>
      <c r="M394" s="82"/>
    </row>
    <row r="396" spans="1:28" ht="9" customHeight="1">
      <c r="B396" s="10"/>
      <c r="C396" s="5"/>
      <c r="D396" s="5"/>
      <c r="E396" s="305"/>
      <c r="F396" s="5"/>
      <c r="G396" s="5"/>
      <c r="H396" s="5"/>
      <c r="I396" s="5"/>
      <c r="J396" s="5"/>
      <c r="K396" s="5"/>
      <c r="L396" s="6"/>
      <c r="M396"/>
      <c r="N396"/>
      <c r="O396"/>
      <c r="R396" t="str">
        <f>D397</f>
        <v>(選択してください)</v>
      </c>
    </row>
    <row r="397" spans="1:28">
      <c r="B397" s="7"/>
      <c r="C397" s="77" t="str">
        <f ca="1">IFERROR(OFFSET('4.2民生電力需要量'!$C$1,MATCH(D397,'4.2民生電力需要量'!$E:$E,0)-1,0),"")</f>
        <v/>
      </c>
      <c r="D397" s="94" t="s">
        <v>130</v>
      </c>
      <c r="E397" s="72" t="s">
        <v>131</v>
      </c>
      <c r="F397" s="1446" t="str">
        <f ca="1">IFERROR(OFFSET('4.2民生電力需要量'!$G$1,MATCH($D397,'4.2民生電力需要量'!$E:$E,0)-1,0),"")</f>
        <v/>
      </c>
      <c r="G397" s="1446"/>
      <c r="H397" s="1446"/>
      <c r="I397" s="1446"/>
      <c r="J397" s="1446"/>
      <c r="K397" s="1446"/>
      <c r="L397" s="8"/>
      <c r="M397"/>
      <c r="N397"/>
      <c r="O397"/>
      <c r="R397" s="175" t="str">
        <f ca="1">IFERROR(OFFSET('4.2民生電力需要量'!$G$1,MATCH($D397,'4.2民生電力需要量'!$E:$E,0)-1,0),"")</f>
        <v/>
      </c>
      <c r="S397" s="175"/>
      <c r="T397" s="175"/>
      <c r="U397" s="175"/>
      <c r="V397" s="175"/>
      <c r="W397" s="175"/>
      <c r="X397" s="175"/>
      <c r="Y397" s="175"/>
      <c r="Z397" s="175"/>
      <c r="AA397" s="175"/>
      <c r="AB397" s="175">
        <f ca="1">(F397=R397)*1</f>
        <v>1</v>
      </c>
    </row>
    <row r="398" spans="1:28">
      <c r="B398" s="7"/>
      <c r="C398" s="915"/>
      <c r="D398" s="97"/>
      <c r="E398" s="72" t="s">
        <v>612</v>
      </c>
      <c r="F398" s="1447" t="str">
        <f ca="1">IFERROR(OFFSET('4.2民生電力需要量'!$L$1,MATCH($D397,'4.2民生電力需要量'!$E:$E,0)-1,0),"")</f>
        <v/>
      </c>
      <c r="G398" s="1448"/>
      <c r="H398" s="1448"/>
      <c r="I398" s="1448"/>
      <c r="J398" s="1448"/>
      <c r="K398" s="1449"/>
      <c r="L398" s="8"/>
      <c r="M398"/>
      <c r="N398"/>
      <c r="O398"/>
      <c r="R398" s="175" t="str">
        <f ca="1">IFERROR(OFFSET('4.2民生電力需要量'!$L$1,MATCH($D397,'4.2民生電力需要量'!$E:$E,0)-1,0),"")</f>
        <v/>
      </c>
      <c r="S398" s="175"/>
      <c r="T398" s="175"/>
      <c r="U398" s="175"/>
      <c r="V398" s="175"/>
      <c r="W398" s="175"/>
      <c r="X398" s="175"/>
      <c r="Y398" s="175"/>
      <c r="Z398" s="175"/>
      <c r="AA398" s="175"/>
      <c r="AB398" s="175">
        <f ca="1">(F398=R398)*1</f>
        <v>1</v>
      </c>
    </row>
    <row r="399" spans="1:28">
      <c r="B399" s="7"/>
      <c r="C399" s="74"/>
      <c r="D399" s="66"/>
      <c r="E399" s="72" t="s">
        <v>220</v>
      </c>
      <c r="F399" s="1450" t="str">
        <f ca="1">IFERROR(OFFSET('4.2民生電力需要量'!$I$1,MATCH($D397,'4.2民生電力需要量'!$E:$E,0)-1,0),"")</f>
        <v/>
      </c>
      <c r="G399" s="1450"/>
      <c r="H399" s="1450"/>
      <c r="I399" s="1450"/>
      <c r="J399" s="1450"/>
      <c r="K399" s="1450"/>
      <c r="L399" s="8"/>
      <c r="M399"/>
      <c r="N399"/>
      <c r="O399"/>
      <c r="R399" s="175" t="str">
        <f ca="1">IFERROR(OFFSET('4.2民生電力需要量'!$I$1,MATCH($D397,'4.2民生電力需要量'!$E:$E,0)-1,0),"")</f>
        <v/>
      </c>
      <c r="S399" s="175"/>
      <c r="T399" s="175"/>
      <c r="U399" s="175"/>
      <c r="V399" s="175"/>
      <c r="W399" s="175"/>
      <c r="X399" s="175"/>
      <c r="Y399" s="175"/>
      <c r="Z399" s="175"/>
      <c r="AA399" s="175"/>
      <c r="AB399" s="175">
        <f t="shared" ref="AB399:AB400" ca="1" si="209">(F399=R399)*1</f>
        <v>1</v>
      </c>
    </row>
    <row r="400" spans="1:28">
      <c r="B400" s="7"/>
      <c r="C400" s="74"/>
      <c r="D400" s="66"/>
      <c r="E400" s="72" t="s">
        <v>175</v>
      </c>
      <c r="F400" s="1451" t="str">
        <f>_xlfn.IFNA(R400,"")</f>
        <v/>
      </c>
      <c r="G400" s="1451"/>
      <c r="H400" s="1451"/>
      <c r="I400" s="1451"/>
      <c r="J400" s="1451"/>
      <c r="K400" s="1451"/>
      <c r="L400" s="8"/>
      <c r="M400"/>
      <c r="N400"/>
      <c r="O400"/>
      <c r="R400" s="215" t="str">
        <f>IF(PRODUCT($Z402:$Z406)=1,AA402,"")</f>
        <v/>
      </c>
      <c r="S400" s="175"/>
      <c r="T400" s="175"/>
      <c r="U400" s="175"/>
      <c r="V400" s="175"/>
      <c r="W400" s="175"/>
      <c r="X400" s="175"/>
      <c r="Y400" s="175"/>
      <c r="Z400" s="175"/>
      <c r="AA400" s="175"/>
      <c r="AB400" s="175">
        <f t="shared" si="209"/>
        <v>1</v>
      </c>
    </row>
    <row r="401" spans="1:28" s="2" customFormat="1" ht="60">
      <c r="A401"/>
      <c r="B401" s="7"/>
      <c r="C401" s="74"/>
      <c r="D401" s="66"/>
      <c r="E401" s="306"/>
      <c r="F401" s="312" t="s">
        <v>299</v>
      </c>
      <c r="G401" s="313" t="s">
        <v>300</v>
      </c>
      <c r="H401" s="313" t="s">
        <v>301</v>
      </c>
      <c r="I401" s="313" t="s">
        <v>302</v>
      </c>
      <c r="J401" s="313" t="s">
        <v>429</v>
      </c>
      <c r="K401" s="313" t="s">
        <v>270</v>
      </c>
      <c r="L401" s="8"/>
      <c r="M401"/>
      <c r="P401"/>
      <c r="Q401"/>
      <c r="R401" s="294" t="s">
        <v>298</v>
      </c>
      <c r="S401" s="294" t="s">
        <v>299</v>
      </c>
      <c r="T401" s="314" t="s">
        <v>423</v>
      </c>
      <c r="U401" s="294" t="s">
        <v>424</v>
      </c>
      <c r="V401" s="294" t="s">
        <v>422</v>
      </c>
      <c r="W401" s="315" t="s">
        <v>270</v>
      </c>
      <c r="X401" s="294" t="s">
        <v>426</v>
      </c>
      <c r="Y401" s="215" t="s">
        <v>402</v>
      </c>
      <c r="Z401" s="215" t="s">
        <v>430</v>
      </c>
      <c r="AA401" s="294" t="s">
        <v>425</v>
      </c>
      <c r="AB401" s="294"/>
    </row>
    <row r="402" spans="1:28" s="99" customFormat="1" ht="18.75" hidden="1" customHeight="1">
      <c r="A402" s="11"/>
      <c r="B402" s="95"/>
      <c r="C402" s="96"/>
      <c r="D402" s="97"/>
      <c r="E402" s="438"/>
      <c r="F402" s="439"/>
      <c r="G402" s="439"/>
      <c r="H402" s="439"/>
      <c r="I402" s="439"/>
      <c r="J402" s="439"/>
      <c r="K402" s="439"/>
      <c r="L402" s="98"/>
      <c r="M402" s="11"/>
      <c r="Q402" s="11"/>
      <c r="R402" s="129">
        <f>IF(E402="地区代表者",COUNTA($D$1:$D402),0)</f>
        <v>0</v>
      </c>
      <c r="S402" s="129">
        <f t="shared" ref="S402:S403" si="210">IF(F402="実施済",1,0)</f>
        <v>0</v>
      </c>
      <c r="T402" s="258"/>
      <c r="U402" s="129">
        <f t="shared" ref="U402:U403" si="211">IF(AND(H402="実施済",I402="実施済"),S402*1,0)</f>
        <v>0</v>
      </c>
      <c r="V402" s="129">
        <f>IF(J402="実施済",$U402*1,0)</f>
        <v>0</v>
      </c>
      <c r="W402" s="258"/>
      <c r="X402" s="129" t="str">
        <f>IF(E402="","",IF(R402*S402&gt;0,3,SUM(S402,U402,V402)))</f>
        <v/>
      </c>
      <c r="Y402" s="129">
        <f>MIN($X$402:$X$406)+1</f>
        <v>1</v>
      </c>
      <c r="Z402" s="129">
        <f>IF(E402="",1,IF(R402&gt;0,IF(COUNTA($F402:$K402)=2,1,0),IF(COUNTA($F402:$K402)=6,1,0)))</f>
        <v>1</v>
      </c>
      <c r="AA402" s="129" t="str" cm="1">
        <f t="array" ref="AA402">_xlfn.IFS(Y402=4,"A",Y402=3,"B",Y402=2,"C",Y402=1,"D")</f>
        <v>D</v>
      </c>
      <c r="AB402" s="129" t="str" cm="1">
        <f t="array" ref="AB402">_xlfn.IFS(Z402=4,"A",Z402=3,"B",Z402=2,"C",Z402=1,"D")</f>
        <v>D</v>
      </c>
    </row>
    <row r="403" spans="1:28" s="99" customFormat="1" ht="18.75" customHeight="1">
      <c r="A403" s="11"/>
      <c r="B403" s="95"/>
      <c r="C403" s="96"/>
      <c r="D403" s="97"/>
      <c r="E403" s="440" t="s">
        <v>298</v>
      </c>
      <c r="F403" s="441"/>
      <c r="G403" s="839"/>
      <c r="H403" s="839"/>
      <c r="I403" s="839"/>
      <c r="J403" s="839"/>
      <c r="K403" s="441"/>
      <c r="L403" s="98"/>
      <c r="M403" s="11"/>
      <c r="Q403" s="11"/>
      <c r="R403" s="129">
        <f>IF(E403="地区代表者",COUNTA($D$1:$D403),0)</f>
        <v>27</v>
      </c>
      <c r="S403" s="129">
        <f t="shared" si="210"/>
        <v>0</v>
      </c>
      <c r="T403" s="258"/>
      <c r="U403" s="129">
        <f t="shared" si="211"/>
        <v>0</v>
      </c>
      <c r="V403" s="129">
        <f>IF(J403="実施済",$U403*1,0)</f>
        <v>0</v>
      </c>
      <c r="W403" s="258"/>
      <c r="X403" s="129">
        <f t="shared" ref="X403:X406" si="212">IF(E403="","",IF(R403*S403&gt;0,3,SUM(S403,U403,V403)))</f>
        <v>0</v>
      </c>
      <c r="Y403" s="129">
        <f>MIN($X$402:$X$406)+1</f>
        <v>1</v>
      </c>
      <c r="Z403" s="129">
        <f t="shared" ref="Z403:Z406" si="213">IF(E403="",1,IF(R403&gt;0,IF(COUNTA($F403:$K403)=2,1,0),IF(COUNTA($F403:$K403)=6,1,0)))</f>
        <v>0</v>
      </c>
      <c r="AA403" s="129" t="str" cm="1">
        <f t="array" ref="AA403">_xlfn.IFS(Y403=4,"A",Y403=3,"B",Y403=2,"C",Y403=1,"D")</f>
        <v>D</v>
      </c>
      <c r="AB403" s="129"/>
    </row>
    <row r="404" spans="1:28" s="99" customFormat="1" ht="18.75" customHeight="1">
      <c r="A404" s="11"/>
      <c r="B404" s="95"/>
      <c r="C404" s="96"/>
      <c r="D404" s="97"/>
      <c r="E404" s="440" t="s">
        <v>116</v>
      </c>
      <c r="F404" s="441"/>
      <c r="G404" s="441"/>
      <c r="H404" s="441"/>
      <c r="I404" s="441"/>
      <c r="J404" s="441"/>
      <c r="K404" s="441"/>
      <c r="L404" s="98"/>
      <c r="M404" s="11"/>
      <c r="P404" s="11"/>
      <c r="Q404" s="11"/>
      <c r="R404" s="129">
        <f>IF(E404="地区代表者",COUNTA($D$1:$D404),0)</f>
        <v>0</v>
      </c>
      <c r="S404" s="129">
        <f>IF(F404="実施済",1,0)</f>
        <v>0</v>
      </c>
      <c r="T404" s="258"/>
      <c r="U404" s="129">
        <f>IF(AND(H404="実施済",I404="実施済"),S404*1,0)</f>
        <v>0</v>
      </c>
      <c r="V404" s="129">
        <f>IF(J404="実施済",$U404*1,0)</f>
        <v>0</v>
      </c>
      <c r="W404" s="258"/>
      <c r="X404" s="129">
        <f t="shared" si="212"/>
        <v>0</v>
      </c>
      <c r="Y404" s="129">
        <f>MIN($X$402:$X$406)+1</f>
        <v>1</v>
      </c>
      <c r="Z404" s="129">
        <f t="shared" si="213"/>
        <v>0</v>
      </c>
      <c r="AA404" s="129" t="str" cm="1">
        <f t="array" ref="AA404">_xlfn.IFS(Y404=4,"A",Y404=3,"B",Y404=2,"C",Y404=1,"D")</f>
        <v>D</v>
      </c>
      <c r="AB404" s="129"/>
    </row>
    <row r="405" spans="1:28" s="2" customFormat="1" ht="9" customHeight="1">
      <c r="A405"/>
      <c r="B405" s="65"/>
      <c r="C405" s="4"/>
      <c r="D405" s="307"/>
      <c r="E405" s="308"/>
      <c r="F405" s="308"/>
      <c r="G405" s="308"/>
      <c r="H405" s="308"/>
      <c r="I405" s="308"/>
      <c r="J405" s="308"/>
      <c r="K405" s="308"/>
      <c r="L405" s="9"/>
      <c r="M405"/>
      <c r="P405"/>
      <c r="Q405"/>
      <c r="R405" s="215">
        <f>IF(E405="地区代表者",COUNTA($D$1:$D405),0)</f>
        <v>0</v>
      </c>
      <c r="S405" s="215">
        <f t="shared" ref="S405:S406" si="214">IF(F405="実施済",1,0)</f>
        <v>0</v>
      </c>
      <c r="T405" s="316"/>
      <c r="U405" s="215">
        <f t="shared" ref="U405:U406" si="215">IF(AND(H405="実施済",I405="実施済"),S405*1,0)</f>
        <v>0</v>
      </c>
      <c r="V405" s="215">
        <f t="shared" ref="V405:V406" si="216">IF(J405="実施済",$U405*1,0)</f>
        <v>0</v>
      </c>
      <c r="W405" s="316"/>
      <c r="X405" s="215" t="str">
        <f t="shared" si="212"/>
        <v/>
      </c>
      <c r="Y405" s="215">
        <f>MIN($X$402:$X$406)+1</f>
        <v>1</v>
      </c>
      <c r="Z405" s="215">
        <f t="shared" si="213"/>
        <v>1</v>
      </c>
      <c r="AA405" s="215" t="str" cm="1">
        <f t="array" ref="AA405">_xlfn.IFS(Y405=4,"A",Y405=3,"B",Y405=2,"C",Y405=1,"D")</f>
        <v>D</v>
      </c>
      <c r="AB405" s="215"/>
    </row>
    <row r="406" spans="1:28" s="2" customFormat="1" ht="6" customHeight="1">
      <c r="A406"/>
      <c r="B406"/>
      <c r="C406"/>
      <c r="D406" s="309"/>
      <c r="E406" s="310"/>
      <c r="F406" s="310"/>
      <c r="G406" s="310"/>
      <c r="H406" s="310"/>
      <c r="I406" s="310"/>
      <c r="J406" s="310"/>
      <c r="K406" s="310"/>
      <c r="L406"/>
      <c r="M406"/>
      <c r="P406"/>
      <c r="Q406"/>
      <c r="R406" s="215">
        <f>IF(E406="地区代表者",COUNTA($D$1:$D406),0)</f>
        <v>0</v>
      </c>
      <c r="S406" s="215">
        <f t="shared" si="214"/>
        <v>0</v>
      </c>
      <c r="T406" s="316"/>
      <c r="U406" s="215">
        <f t="shared" si="215"/>
        <v>0</v>
      </c>
      <c r="V406" s="215">
        <f t="shared" si="216"/>
        <v>0</v>
      </c>
      <c r="W406" s="316"/>
      <c r="X406" s="215" t="str">
        <f t="shared" si="212"/>
        <v/>
      </c>
      <c r="Y406" s="215">
        <f>MIN($X$402:$X$406)+1</f>
        <v>1</v>
      </c>
      <c r="Z406" s="215">
        <f t="shared" si="213"/>
        <v>1</v>
      </c>
      <c r="AA406" s="215" t="str" cm="1">
        <f t="array" ref="AA406">_xlfn.IFS(Y406=4,"A",Y406=3,"B",Y406=2,"C",Y406=1,"D")</f>
        <v>D</v>
      </c>
      <c r="AB406" s="215"/>
    </row>
    <row r="407" spans="1:28" ht="96" customHeight="1">
      <c r="C407" s="78"/>
      <c r="D407" s="79"/>
      <c r="E407" s="72" t="s">
        <v>236</v>
      </c>
      <c r="F407" s="1452"/>
      <c r="G407" s="1452"/>
      <c r="H407" s="1452"/>
      <c r="I407" s="1452"/>
      <c r="J407" s="1452"/>
      <c r="K407" s="1452"/>
      <c r="L407" s="80" t="s">
        <v>132</v>
      </c>
      <c r="M407" s="290"/>
    </row>
    <row r="408" spans="1:28" ht="96" customHeight="1">
      <c r="C408" s="75"/>
      <c r="D408" s="68"/>
      <c r="E408" s="72" t="s">
        <v>237</v>
      </c>
      <c r="F408" s="1452"/>
      <c r="G408" s="1452"/>
      <c r="H408" s="1452"/>
      <c r="I408" s="1452"/>
      <c r="J408" s="1452"/>
      <c r="K408" s="1452"/>
    </row>
    <row r="409" spans="1:28" ht="18.5" thickBot="1">
      <c r="A409" s="81"/>
      <c r="B409" s="81"/>
      <c r="C409" s="81"/>
      <c r="D409" s="81"/>
      <c r="E409" s="311"/>
      <c r="F409" s="81"/>
      <c r="G409" s="81"/>
      <c r="H409" s="81"/>
      <c r="I409" s="81"/>
      <c r="J409" s="81"/>
      <c r="K409" s="81"/>
      <c r="L409" s="81"/>
      <c r="M409" s="82"/>
    </row>
    <row r="411" spans="1:28" ht="9" customHeight="1">
      <c r="B411" s="10"/>
      <c r="C411" s="5"/>
      <c r="D411" s="5"/>
      <c r="E411" s="305"/>
      <c r="F411" s="5"/>
      <c r="G411" s="5"/>
      <c r="H411" s="5"/>
      <c r="I411" s="5"/>
      <c r="J411" s="5"/>
      <c r="K411" s="5"/>
      <c r="L411" s="6"/>
      <c r="M411"/>
      <c r="N411"/>
      <c r="O411"/>
      <c r="R411" t="str">
        <f>D412</f>
        <v>(選択してください)</v>
      </c>
    </row>
    <row r="412" spans="1:28">
      <c r="B412" s="7"/>
      <c r="C412" s="77" t="str">
        <f ca="1">IFERROR(OFFSET('4.2民生電力需要量'!$C$1,MATCH(D412,'4.2民生電力需要量'!$E:$E,0)-1,0),"")</f>
        <v/>
      </c>
      <c r="D412" s="94" t="s">
        <v>130</v>
      </c>
      <c r="E412" s="72" t="s">
        <v>131</v>
      </c>
      <c r="F412" s="1446" t="str">
        <f ca="1">IFERROR(OFFSET('4.2民生電力需要量'!$G$1,MATCH($D412,'4.2民生電力需要量'!$E:$E,0)-1,0),"")</f>
        <v/>
      </c>
      <c r="G412" s="1446"/>
      <c r="H412" s="1446"/>
      <c r="I412" s="1446"/>
      <c r="J412" s="1446"/>
      <c r="K412" s="1446"/>
      <c r="L412" s="8"/>
      <c r="M412"/>
      <c r="N412"/>
      <c r="O412"/>
      <c r="R412" s="175" t="str">
        <f ca="1">IFERROR(OFFSET('4.2民生電力需要量'!$G$1,MATCH($D412,'4.2民生電力需要量'!$E:$E,0)-1,0),"")</f>
        <v/>
      </c>
      <c r="S412" s="175"/>
      <c r="T412" s="175"/>
      <c r="U412" s="175"/>
      <c r="V412" s="175"/>
      <c r="W412" s="175"/>
      <c r="X412" s="175"/>
      <c r="Y412" s="175"/>
      <c r="Z412" s="175"/>
      <c r="AA412" s="175"/>
      <c r="AB412" s="175">
        <f ca="1">(F412=R412)*1</f>
        <v>1</v>
      </c>
    </row>
    <row r="413" spans="1:28">
      <c r="B413" s="7"/>
      <c r="C413" s="915"/>
      <c r="D413" s="97"/>
      <c r="E413" s="72" t="s">
        <v>612</v>
      </c>
      <c r="F413" s="1447" t="str">
        <f ca="1">IFERROR(OFFSET('4.2民生電力需要量'!$L$1,MATCH($D412,'4.2民生電力需要量'!$E:$E,0)-1,0),"")</f>
        <v/>
      </c>
      <c r="G413" s="1448"/>
      <c r="H413" s="1448"/>
      <c r="I413" s="1448"/>
      <c r="J413" s="1448"/>
      <c r="K413" s="1449"/>
      <c r="L413" s="8"/>
      <c r="M413"/>
      <c r="N413"/>
      <c r="O413"/>
      <c r="R413" s="175" t="str">
        <f ca="1">IFERROR(OFFSET('4.2民生電力需要量'!$L$1,MATCH($D412,'4.2民生電力需要量'!$E:$E,0)-1,0),"")</f>
        <v/>
      </c>
      <c r="S413" s="175"/>
      <c r="T413" s="175"/>
      <c r="U413" s="175"/>
      <c r="V413" s="175"/>
      <c r="W413" s="175"/>
      <c r="X413" s="175"/>
      <c r="Y413" s="175"/>
      <c r="Z413" s="175"/>
      <c r="AA413" s="175"/>
      <c r="AB413" s="175">
        <f ca="1">(F413=R413)*1</f>
        <v>1</v>
      </c>
    </row>
    <row r="414" spans="1:28">
      <c r="B414" s="7"/>
      <c r="C414" s="74"/>
      <c r="D414" s="66"/>
      <c r="E414" s="72" t="s">
        <v>220</v>
      </c>
      <c r="F414" s="1450" t="str">
        <f ca="1">IFERROR(OFFSET('4.2民生電力需要量'!$I$1,MATCH($D412,'4.2民生電力需要量'!$E:$E,0)-1,0),"")</f>
        <v/>
      </c>
      <c r="G414" s="1450"/>
      <c r="H414" s="1450"/>
      <c r="I414" s="1450"/>
      <c r="J414" s="1450"/>
      <c r="K414" s="1450"/>
      <c r="L414" s="8"/>
      <c r="M414"/>
      <c r="N414"/>
      <c r="O414"/>
      <c r="R414" s="175" t="str">
        <f ca="1">IFERROR(OFFSET('4.2民生電力需要量'!$I$1,MATCH($D412,'4.2民生電力需要量'!$E:$E,0)-1,0),"")</f>
        <v/>
      </c>
      <c r="S414" s="175"/>
      <c r="T414" s="175"/>
      <c r="U414" s="175"/>
      <c r="V414" s="175"/>
      <c r="W414" s="175"/>
      <c r="X414" s="175"/>
      <c r="Y414" s="175"/>
      <c r="Z414" s="175"/>
      <c r="AA414" s="175"/>
      <c r="AB414" s="175">
        <f t="shared" ref="AB414:AB415" ca="1" si="217">(F414=R414)*1</f>
        <v>1</v>
      </c>
    </row>
    <row r="415" spans="1:28">
      <c r="B415" s="7"/>
      <c r="C415" s="74"/>
      <c r="D415" s="66"/>
      <c r="E415" s="72" t="s">
        <v>175</v>
      </c>
      <c r="F415" s="1451" t="str">
        <f>_xlfn.IFNA(R415,"")</f>
        <v/>
      </c>
      <c r="G415" s="1451"/>
      <c r="H415" s="1451"/>
      <c r="I415" s="1451"/>
      <c r="J415" s="1451"/>
      <c r="K415" s="1451"/>
      <c r="L415" s="8"/>
      <c r="M415"/>
      <c r="N415"/>
      <c r="O415"/>
      <c r="R415" s="215" t="str">
        <f>IF(PRODUCT($Z417:$Z421)=1,AA417,"")</f>
        <v/>
      </c>
      <c r="S415" s="175"/>
      <c r="T415" s="175"/>
      <c r="U415" s="175"/>
      <c r="V415" s="175"/>
      <c r="W415" s="175"/>
      <c r="X415" s="175"/>
      <c r="Y415" s="175"/>
      <c r="Z415" s="175"/>
      <c r="AA415" s="175"/>
      <c r="AB415" s="175">
        <f t="shared" si="217"/>
        <v>1</v>
      </c>
    </row>
    <row r="416" spans="1:28" s="2" customFormat="1" ht="60">
      <c r="A416"/>
      <c r="B416" s="7"/>
      <c r="C416" s="74"/>
      <c r="D416" s="66"/>
      <c r="E416" s="306"/>
      <c r="F416" s="312" t="s">
        <v>299</v>
      </c>
      <c r="G416" s="313" t="s">
        <v>300</v>
      </c>
      <c r="H416" s="313" t="s">
        <v>301</v>
      </c>
      <c r="I416" s="313" t="s">
        <v>302</v>
      </c>
      <c r="J416" s="313" t="s">
        <v>429</v>
      </c>
      <c r="K416" s="313" t="s">
        <v>270</v>
      </c>
      <c r="L416" s="8"/>
      <c r="M416"/>
      <c r="P416"/>
      <c r="Q416"/>
      <c r="R416" s="294" t="s">
        <v>298</v>
      </c>
      <c r="S416" s="294" t="s">
        <v>299</v>
      </c>
      <c r="T416" s="314" t="s">
        <v>423</v>
      </c>
      <c r="U416" s="294" t="s">
        <v>424</v>
      </c>
      <c r="V416" s="294" t="s">
        <v>422</v>
      </c>
      <c r="W416" s="315" t="s">
        <v>270</v>
      </c>
      <c r="X416" s="294" t="s">
        <v>426</v>
      </c>
      <c r="Y416" s="215" t="s">
        <v>402</v>
      </c>
      <c r="Z416" s="215" t="s">
        <v>430</v>
      </c>
      <c r="AA416" s="294" t="s">
        <v>425</v>
      </c>
      <c r="AB416" s="294"/>
    </row>
    <row r="417" spans="1:28" s="99" customFormat="1" ht="18.75" hidden="1" customHeight="1">
      <c r="A417" s="11"/>
      <c r="B417" s="95"/>
      <c r="C417" s="96"/>
      <c r="D417" s="97"/>
      <c r="E417" s="438"/>
      <c r="F417" s="439"/>
      <c r="G417" s="439"/>
      <c r="H417" s="439"/>
      <c r="I417" s="439"/>
      <c r="J417" s="439"/>
      <c r="K417" s="439"/>
      <c r="L417" s="98"/>
      <c r="M417" s="11"/>
      <c r="Q417" s="11"/>
      <c r="R417" s="129">
        <f>IF(E417="地区代表者",COUNTA($D$1:$D417),0)</f>
        <v>0</v>
      </c>
      <c r="S417" s="129">
        <f t="shared" ref="S417:S418" si="218">IF(F417="実施済",1,0)</f>
        <v>0</v>
      </c>
      <c r="T417" s="258"/>
      <c r="U417" s="129">
        <f t="shared" ref="U417:U418" si="219">IF(AND(H417="実施済",I417="実施済"),S417*1,0)</f>
        <v>0</v>
      </c>
      <c r="V417" s="129">
        <f>IF(J417="実施済",$U417*1,0)</f>
        <v>0</v>
      </c>
      <c r="W417" s="258"/>
      <c r="X417" s="129" t="str">
        <f>IF(E417="","",IF(R417*S417&gt;0,3,SUM(S417,U417,V417)))</f>
        <v/>
      </c>
      <c r="Y417" s="129">
        <f>MIN($X$417:$X$421)+1</f>
        <v>1</v>
      </c>
      <c r="Z417" s="129">
        <f>IF(E417="",1,IF(R417&gt;0,IF(COUNTA($F417:$K417)=2,1,0),IF(COUNTA($F417:$K417)=6,1,0)))</f>
        <v>1</v>
      </c>
      <c r="AA417" s="129" t="str" cm="1">
        <f t="array" ref="AA417">_xlfn.IFS(Y417=4,"A",Y417=3,"B",Y417=2,"C",Y417=1,"D")</f>
        <v>D</v>
      </c>
      <c r="AB417" s="129" t="str" cm="1">
        <f t="array" ref="AB417">_xlfn.IFS(Z417=4,"A",Z417=3,"B",Z417=2,"C",Z417=1,"D")</f>
        <v>D</v>
      </c>
    </row>
    <row r="418" spans="1:28" s="99" customFormat="1" ht="18.75" customHeight="1">
      <c r="A418" s="11"/>
      <c r="B418" s="95"/>
      <c r="C418" s="96"/>
      <c r="D418" s="97"/>
      <c r="E418" s="440" t="s">
        <v>298</v>
      </c>
      <c r="F418" s="441"/>
      <c r="G418" s="839"/>
      <c r="H418" s="839"/>
      <c r="I418" s="839"/>
      <c r="J418" s="839"/>
      <c r="K418" s="441"/>
      <c r="L418" s="98"/>
      <c r="M418" s="11"/>
      <c r="Q418" s="11"/>
      <c r="R418" s="129">
        <f>IF(E418="地区代表者",COUNTA($D$1:$D418),0)</f>
        <v>28</v>
      </c>
      <c r="S418" s="129">
        <f t="shared" si="218"/>
        <v>0</v>
      </c>
      <c r="T418" s="258"/>
      <c r="U418" s="129">
        <f t="shared" si="219"/>
        <v>0</v>
      </c>
      <c r="V418" s="129">
        <f>IF(J418="実施済",$U418*1,0)</f>
        <v>0</v>
      </c>
      <c r="W418" s="258"/>
      <c r="X418" s="129">
        <f t="shared" ref="X418:X421" si="220">IF(E418="","",IF(R418*S418&gt;0,3,SUM(S418,U418,V418)))</f>
        <v>0</v>
      </c>
      <c r="Y418" s="129">
        <f>MIN($X$417:$X$421)+1</f>
        <v>1</v>
      </c>
      <c r="Z418" s="129">
        <f t="shared" ref="Z418:Z421" si="221">IF(E418="",1,IF(R418&gt;0,IF(COUNTA($F418:$K418)=2,1,0),IF(COUNTA($F418:$K418)=6,1,0)))</f>
        <v>0</v>
      </c>
      <c r="AA418" s="129" t="str" cm="1">
        <f t="array" ref="AA418">_xlfn.IFS(Y418=4,"A",Y418=3,"B",Y418=2,"C",Y418=1,"D")</f>
        <v>D</v>
      </c>
      <c r="AB418" s="129"/>
    </row>
    <row r="419" spans="1:28" s="99" customFormat="1" ht="18.75" customHeight="1">
      <c r="A419" s="11"/>
      <c r="B419" s="95"/>
      <c r="C419" s="96"/>
      <c r="D419" s="97"/>
      <c r="E419" s="440" t="s">
        <v>116</v>
      </c>
      <c r="F419" s="441"/>
      <c r="G419" s="441"/>
      <c r="H419" s="441"/>
      <c r="I419" s="441"/>
      <c r="J419" s="441"/>
      <c r="K419" s="441"/>
      <c r="L419" s="98"/>
      <c r="M419" s="11"/>
      <c r="P419" s="11"/>
      <c r="Q419" s="11"/>
      <c r="R419" s="129">
        <f>IF(E419="地区代表者",COUNTA($D$1:$D419),0)</f>
        <v>0</v>
      </c>
      <c r="S419" s="129">
        <f>IF(F419="実施済",1,0)</f>
        <v>0</v>
      </c>
      <c r="T419" s="258"/>
      <c r="U419" s="129">
        <f>IF(AND(H419="実施済",I419="実施済"),S419*1,0)</f>
        <v>0</v>
      </c>
      <c r="V419" s="129">
        <f>IF(J419="実施済",$U419*1,0)</f>
        <v>0</v>
      </c>
      <c r="W419" s="258"/>
      <c r="X419" s="129">
        <f t="shared" si="220"/>
        <v>0</v>
      </c>
      <c r="Y419" s="129">
        <f>MIN($X$417:$X$421)+1</f>
        <v>1</v>
      </c>
      <c r="Z419" s="129">
        <f t="shared" si="221"/>
        <v>0</v>
      </c>
      <c r="AA419" s="129" t="str" cm="1">
        <f t="array" ref="AA419">_xlfn.IFS(Y419=4,"A",Y419=3,"B",Y419=2,"C",Y419=1,"D")</f>
        <v>D</v>
      </c>
      <c r="AB419" s="129"/>
    </row>
    <row r="420" spans="1:28" s="2" customFormat="1" ht="9" customHeight="1">
      <c r="A420"/>
      <c r="B420" s="65"/>
      <c r="C420" s="4"/>
      <c r="D420" s="307"/>
      <c r="E420" s="308"/>
      <c r="F420" s="308"/>
      <c r="G420" s="308"/>
      <c r="H420" s="308"/>
      <c r="I420" s="308"/>
      <c r="J420" s="308"/>
      <c r="K420" s="308"/>
      <c r="L420" s="9"/>
      <c r="M420"/>
      <c r="P420"/>
      <c r="Q420"/>
      <c r="R420" s="215">
        <f>IF(E420="地区代表者",COUNTA($D$1:$D420),0)</f>
        <v>0</v>
      </c>
      <c r="S420" s="215">
        <f t="shared" ref="S420:S421" si="222">IF(F420="実施済",1,0)</f>
        <v>0</v>
      </c>
      <c r="T420" s="316"/>
      <c r="U420" s="215">
        <f t="shared" ref="U420:U421" si="223">IF(AND(H420="実施済",I420="実施済"),S420*1,0)</f>
        <v>0</v>
      </c>
      <c r="V420" s="215">
        <f t="shared" ref="V420:V421" si="224">IF(J420="実施済",$U420*1,0)</f>
        <v>0</v>
      </c>
      <c r="W420" s="316"/>
      <c r="X420" s="215" t="str">
        <f t="shared" si="220"/>
        <v/>
      </c>
      <c r="Y420" s="215">
        <f>MIN($X$417:$X$421)+1</f>
        <v>1</v>
      </c>
      <c r="Z420" s="215">
        <f t="shared" si="221"/>
        <v>1</v>
      </c>
      <c r="AA420" s="215" t="str" cm="1">
        <f t="array" ref="AA420">_xlfn.IFS(Y420=4,"A",Y420=3,"B",Y420=2,"C",Y420=1,"D")</f>
        <v>D</v>
      </c>
      <c r="AB420" s="215"/>
    </row>
    <row r="421" spans="1:28" s="2" customFormat="1" ht="6" customHeight="1">
      <c r="A421"/>
      <c r="B421"/>
      <c r="C421"/>
      <c r="D421" s="309"/>
      <c r="E421" s="310"/>
      <c r="F421" s="310"/>
      <c r="G421" s="310"/>
      <c r="H421" s="310"/>
      <c r="I421" s="310"/>
      <c r="J421" s="310"/>
      <c r="K421" s="310"/>
      <c r="L421"/>
      <c r="M421"/>
      <c r="P421"/>
      <c r="Q421"/>
      <c r="R421" s="215">
        <f>IF(E421="地区代表者",COUNTA($D$1:$D421),0)</f>
        <v>0</v>
      </c>
      <c r="S421" s="215">
        <f t="shared" si="222"/>
        <v>0</v>
      </c>
      <c r="T421" s="316"/>
      <c r="U421" s="215">
        <f t="shared" si="223"/>
        <v>0</v>
      </c>
      <c r="V421" s="215">
        <f t="shared" si="224"/>
        <v>0</v>
      </c>
      <c r="W421" s="316"/>
      <c r="X421" s="215" t="str">
        <f t="shared" si="220"/>
        <v/>
      </c>
      <c r="Y421" s="215">
        <f>MIN($X$417:$X$421)+1</f>
        <v>1</v>
      </c>
      <c r="Z421" s="215">
        <f t="shared" si="221"/>
        <v>1</v>
      </c>
      <c r="AA421" s="215" t="str" cm="1">
        <f t="array" ref="AA421">_xlfn.IFS(Y421=4,"A",Y421=3,"B",Y421=2,"C",Y421=1,"D")</f>
        <v>D</v>
      </c>
      <c r="AB421" s="215"/>
    </row>
    <row r="422" spans="1:28" ht="96" customHeight="1">
      <c r="C422" s="78"/>
      <c r="D422" s="79"/>
      <c r="E422" s="72" t="s">
        <v>236</v>
      </c>
      <c r="F422" s="1452"/>
      <c r="G422" s="1452"/>
      <c r="H422" s="1452"/>
      <c r="I422" s="1452"/>
      <c r="J422" s="1452"/>
      <c r="K422" s="1452"/>
      <c r="L422" s="80" t="s">
        <v>132</v>
      </c>
      <c r="M422" s="290"/>
    </row>
    <row r="423" spans="1:28" ht="96" customHeight="1">
      <c r="C423" s="75"/>
      <c r="D423" s="68"/>
      <c r="E423" s="72" t="s">
        <v>237</v>
      </c>
      <c r="F423" s="1452"/>
      <c r="G423" s="1452"/>
      <c r="H423" s="1452"/>
      <c r="I423" s="1452"/>
      <c r="J423" s="1452"/>
      <c r="K423" s="1452"/>
    </row>
    <row r="424" spans="1:28" ht="18.5" thickBot="1">
      <c r="A424" s="81"/>
      <c r="B424" s="81"/>
      <c r="C424" s="81"/>
      <c r="D424" s="81"/>
      <c r="E424" s="311"/>
      <c r="F424" s="81"/>
      <c r="G424" s="81"/>
      <c r="H424" s="81"/>
      <c r="I424" s="81"/>
      <c r="J424" s="81"/>
      <c r="K424" s="81"/>
      <c r="L424" s="81"/>
      <c r="M424" s="82"/>
    </row>
    <row r="426" spans="1:28" ht="9" customHeight="1">
      <c r="B426" s="10"/>
      <c r="C426" s="5"/>
      <c r="D426" s="5"/>
      <c r="E426" s="305"/>
      <c r="F426" s="5"/>
      <c r="G426" s="5"/>
      <c r="H426" s="5"/>
      <c r="I426" s="5"/>
      <c r="J426" s="5"/>
      <c r="K426" s="5"/>
      <c r="L426" s="6"/>
      <c r="M426"/>
      <c r="N426"/>
      <c r="O426"/>
      <c r="R426" t="str">
        <f>D427</f>
        <v>(選択してください)</v>
      </c>
    </row>
    <row r="427" spans="1:28">
      <c r="B427" s="7"/>
      <c r="C427" s="77" t="str">
        <f ca="1">IFERROR(OFFSET('4.2民生電力需要量'!$C$1,MATCH(D427,'4.2民生電力需要量'!$E:$E,0)-1,0),"")</f>
        <v/>
      </c>
      <c r="D427" s="94" t="s">
        <v>130</v>
      </c>
      <c r="E427" s="72" t="s">
        <v>131</v>
      </c>
      <c r="F427" s="1446" t="str">
        <f ca="1">IFERROR(OFFSET('4.2民生電力需要量'!$G$1,MATCH($D427,'4.2民生電力需要量'!$E:$E,0)-1,0),"")</f>
        <v/>
      </c>
      <c r="G427" s="1446"/>
      <c r="H427" s="1446"/>
      <c r="I427" s="1446"/>
      <c r="J427" s="1446"/>
      <c r="K427" s="1446"/>
      <c r="L427" s="8"/>
      <c r="M427"/>
      <c r="N427"/>
      <c r="O427"/>
      <c r="R427" s="175" t="str">
        <f ca="1">IFERROR(OFFSET('4.2民生電力需要量'!$G$1,MATCH($D427,'4.2民生電力需要量'!$E:$E,0)-1,0),"")</f>
        <v/>
      </c>
      <c r="S427" s="175"/>
      <c r="T427" s="175"/>
      <c r="U427" s="175"/>
      <c r="V427" s="175"/>
      <c r="W427" s="175"/>
      <c r="X427" s="175"/>
      <c r="Y427" s="175"/>
      <c r="Z427" s="175"/>
      <c r="AA427" s="175"/>
      <c r="AB427" s="175">
        <f ca="1">(F427=R427)*1</f>
        <v>1</v>
      </c>
    </row>
    <row r="428" spans="1:28">
      <c r="B428" s="7"/>
      <c r="C428" s="915"/>
      <c r="D428" s="97"/>
      <c r="E428" s="72" t="s">
        <v>612</v>
      </c>
      <c r="F428" s="1447" t="str">
        <f ca="1">IFERROR(OFFSET('4.2民生電力需要量'!$L$1,MATCH($D427,'4.2民生電力需要量'!$E:$E,0)-1,0),"")</f>
        <v/>
      </c>
      <c r="G428" s="1448"/>
      <c r="H428" s="1448"/>
      <c r="I428" s="1448"/>
      <c r="J428" s="1448"/>
      <c r="K428" s="1449"/>
      <c r="L428" s="8"/>
      <c r="M428"/>
      <c r="N428"/>
      <c r="O428"/>
      <c r="R428" s="175" t="str">
        <f ca="1">IFERROR(OFFSET('4.2民生電力需要量'!$L$1,MATCH($D427,'4.2民生電力需要量'!$E:$E,0)-1,0),"")</f>
        <v/>
      </c>
      <c r="S428" s="175"/>
      <c r="T428" s="175"/>
      <c r="U428" s="175"/>
      <c r="V428" s="175"/>
      <c r="W428" s="175"/>
      <c r="X428" s="175"/>
      <c r="Y428" s="175"/>
      <c r="Z428" s="175"/>
      <c r="AA428" s="175"/>
      <c r="AB428" s="175">
        <f ca="1">(F428=R428)*1</f>
        <v>1</v>
      </c>
    </row>
    <row r="429" spans="1:28">
      <c r="B429" s="7"/>
      <c r="C429" s="74"/>
      <c r="D429" s="66"/>
      <c r="E429" s="72" t="s">
        <v>220</v>
      </c>
      <c r="F429" s="1450" t="str">
        <f ca="1">IFERROR(OFFSET('4.2民生電力需要量'!$I$1,MATCH($D427,'4.2民生電力需要量'!$E:$E,0)-1,0),"")</f>
        <v/>
      </c>
      <c r="G429" s="1450"/>
      <c r="H429" s="1450"/>
      <c r="I429" s="1450"/>
      <c r="J429" s="1450"/>
      <c r="K429" s="1450"/>
      <c r="L429" s="8"/>
      <c r="M429"/>
      <c r="N429"/>
      <c r="O429"/>
      <c r="R429" s="175" t="str">
        <f ca="1">IFERROR(OFFSET('4.2民生電力需要量'!$I$1,MATCH($D427,'4.2民生電力需要量'!$E:$E,0)-1,0),"")</f>
        <v/>
      </c>
      <c r="S429" s="175"/>
      <c r="T429" s="175"/>
      <c r="U429" s="175"/>
      <c r="V429" s="175"/>
      <c r="W429" s="175"/>
      <c r="X429" s="175"/>
      <c r="Y429" s="175"/>
      <c r="Z429" s="175"/>
      <c r="AA429" s="175"/>
      <c r="AB429" s="175">
        <f t="shared" ref="AB429:AB430" ca="1" si="225">(F429=R429)*1</f>
        <v>1</v>
      </c>
    </row>
    <row r="430" spans="1:28">
      <c r="B430" s="7"/>
      <c r="C430" s="74"/>
      <c r="D430" s="66"/>
      <c r="E430" s="72" t="s">
        <v>175</v>
      </c>
      <c r="F430" s="1451" t="str">
        <f>_xlfn.IFNA(R430,"")</f>
        <v/>
      </c>
      <c r="G430" s="1451"/>
      <c r="H430" s="1451"/>
      <c r="I430" s="1451"/>
      <c r="J430" s="1451"/>
      <c r="K430" s="1451"/>
      <c r="L430" s="8"/>
      <c r="M430"/>
      <c r="N430"/>
      <c r="O430"/>
      <c r="R430" s="215" t="str">
        <f>IF(PRODUCT($Z432:$Z436)=1,AA432,"")</f>
        <v/>
      </c>
      <c r="S430" s="175"/>
      <c r="T430" s="175"/>
      <c r="U430" s="175"/>
      <c r="V430" s="175"/>
      <c r="W430" s="175"/>
      <c r="X430" s="175"/>
      <c r="Y430" s="175"/>
      <c r="Z430" s="175"/>
      <c r="AA430" s="175"/>
      <c r="AB430" s="175">
        <f t="shared" si="225"/>
        <v>1</v>
      </c>
    </row>
    <row r="431" spans="1:28" s="2" customFormat="1" ht="60">
      <c r="A431"/>
      <c r="B431" s="7"/>
      <c r="C431" s="74"/>
      <c r="D431" s="66"/>
      <c r="E431" s="306"/>
      <c r="F431" s="312" t="s">
        <v>299</v>
      </c>
      <c r="G431" s="313" t="s">
        <v>300</v>
      </c>
      <c r="H431" s="313" t="s">
        <v>301</v>
      </c>
      <c r="I431" s="313" t="s">
        <v>302</v>
      </c>
      <c r="J431" s="313" t="s">
        <v>429</v>
      </c>
      <c r="K431" s="313" t="s">
        <v>270</v>
      </c>
      <c r="L431" s="8"/>
      <c r="M431"/>
      <c r="P431"/>
      <c r="Q431"/>
      <c r="R431" s="294" t="s">
        <v>298</v>
      </c>
      <c r="S431" s="294" t="s">
        <v>299</v>
      </c>
      <c r="T431" s="314" t="s">
        <v>423</v>
      </c>
      <c r="U431" s="294" t="s">
        <v>424</v>
      </c>
      <c r="V431" s="294" t="s">
        <v>422</v>
      </c>
      <c r="W431" s="315" t="s">
        <v>270</v>
      </c>
      <c r="X431" s="294" t="s">
        <v>426</v>
      </c>
      <c r="Y431" s="215" t="s">
        <v>402</v>
      </c>
      <c r="Z431" s="215" t="s">
        <v>430</v>
      </c>
      <c r="AA431" s="294" t="s">
        <v>425</v>
      </c>
      <c r="AB431" s="294"/>
    </row>
    <row r="432" spans="1:28" s="99" customFormat="1" ht="18.75" hidden="1" customHeight="1">
      <c r="A432" s="11"/>
      <c r="B432" s="95"/>
      <c r="C432" s="96"/>
      <c r="D432" s="97"/>
      <c r="E432" s="438"/>
      <c r="F432" s="439"/>
      <c r="G432" s="439"/>
      <c r="H432" s="439"/>
      <c r="I432" s="439"/>
      <c r="J432" s="439"/>
      <c r="K432" s="439"/>
      <c r="L432" s="98"/>
      <c r="M432" s="11"/>
      <c r="Q432" s="11"/>
      <c r="R432" s="129">
        <f>IF(E432="地区代表者",COUNTA($D$1:$D432),0)</f>
        <v>0</v>
      </c>
      <c r="S432" s="129">
        <f t="shared" ref="S432:S433" si="226">IF(F432="実施済",1,0)</f>
        <v>0</v>
      </c>
      <c r="T432" s="258"/>
      <c r="U432" s="129">
        <f t="shared" ref="U432:U433" si="227">IF(AND(H432="実施済",I432="実施済"),S432*1,0)</f>
        <v>0</v>
      </c>
      <c r="V432" s="129">
        <f>IF(J432="実施済",$U432*1,0)</f>
        <v>0</v>
      </c>
      <c r="W432" s="258"/>
      <c r="X432" s="129" t="str">
        <f>IF(E432="","",IF(R432*S432&gt;0,3,SUM(S432,U432,V432)))</f>
        <v/>
      </c>
      <c r="Y432" s="129">
        <f>MIN($X$432:$X$436)+1</f>
        <v>1</v>
      </c>
      <c r="Z432" s="129">
        <f>IF(E432="",1,IF(R432&gt;0,IF(COUNTA($F432:$K432)=2,1,0),IF(COUNTA($F432:$K432)=6,1,0)))</f>
        <v>1</v>
      </c>
      <c r="AA432" s="129" t="str" cm="1">
        <f t="array" ref="AA432">_xlfn.IFS(Y432=4,"A",Y432=3,"B",Y432=2,"C",Y432=1,"D")</f>
        <v>D</v>
      </c>
      <c r="AB432" s="129" t="str" cm="1">
        <f t="array" ref="AB432">_xlfn.IFS(Z432=4,"A",Z432=3,"B",Z432=2,"C",Z432=1,"D")</f>
        <v>D</v>
      </c>
    </row>
    <row r="433" spans="1:28" s="99" customFormat="1" ht="18.75" customHeight="1">
      <c r="A433" s="11"/>
      <c r="B433" s="95"/>
      <c r="C433" s="96"/>
      <c r="D433" s="97"/>
      <c r="E433" s="440" t="s">
        <v>298</v>
      </c>
      <c r="F433" s="441"/>
      <c r="G433" s="839"/>
      <c r="H433" s="839"/>
      <c r="I433" s="839"/>
      <c r="J433" s="839"/>
      <c r="K433" s="441"/>
      <c r="L433" s="98"/>
      <c r="M433" s="11"/>
      <c r="Q433" s="11"/>
      <c r="R433" s="129">
        <f>IF(E433="地区代表者",COUNTA($D$1:$D433),0)</f>
        <v>29</v>
      </c>
      <c r="S433" s="129">
        <f t="shared" si="226"/>
        <v>0</v>
      </c>
      <c r="T433" s="258"/>
      <c r="U433" s="129">
        <f t="shared" si="227"/>
        <v>0</v>
      </c>
      <c r="V433" s="129">
        <f>IF(J433="実施済",$U433*1,0)</f>
        <v>0</v>
      </c>
      <c r="W433" s="258"/>
      <c r="X433" s="129">
        <f t="shared" ref="X433:X436" si="228">IF(E433="","",IF(R433*S433&gt;0,3,SUM(S433,U433,V433)))</f>
        <v>0</v>
      </c>
      <c r="Y433" s="129">
        <f>MIN($X$432:$X$436)+1</f>
        <v>1</v>
      </c>
      <c r="Z433" s="129">
        <f t="shared" ref="Z433:Z436" si="229">IF(E433="",1,IF(R433&gt;0,IF(COUNTA($F433:$K433)=2,1,0),IF(COUNTA($F433:$K433)=6,1,0)))</f>
        <v>0</v>
      </c>
      <c r="AA433" s="129" t="str" cm="1">
        <f t="array" ref="AA433">_xlfn.IFS(Y433=4,"A",Y433=3,"B",Y433=2,"C",Y433=1,"D")</f>
        <v>D</v>
      </c>
      <c r="AB433" s="129"/>
    </row>
    <row r="434" spans="1:28" s="99" customFormat="1" ht="18.75" customHeight="1">
      <c r="A434" s="11"/>
      <c r="B434" s="95"/>
      <c r="C434" s="96"/>
      <c r="D434" s="97"/>
      <c r="E434" s="440" t="s">
        <v>116</v>
      </c>
      <c r="F434" s="441"/>
      <c r="G434" s="441"/>
      <c r="H434" s="441"/>
      <c r="I434" s="441"/>
      <c r="J434" s="441"/>
      <c r="K434" s="441"/>
      <c r="L434" s="98"/>
      <c r="M434" s="11"/>
      <c r="P434" s="11"/>
      <c r="Q434" s="11"/>
      <c r="R434" s="129">
        <f>IF(E434="地区代表者",COUNTA($D$1:$D434),0)</f>
        <v>0</v>
      </c>
      <c r="S434" s="129">
        <f>IF(F434="実施済",1,0)</f>
        <v>0</v>
      </c>
      <c r="T434" s="258"/>
      <c r="U434" s="129">
        <f>IF(AND(H434="実施済",I434="実施済"),S434*1,0)</f>
        <v>0</v>
      </c>
      <c r="V434" s="129">
        <f>IF(J434="実施済",$U434*1,0)</f>
        <v>0</v>
      </c>
      <c r="W434" s="258"/>
      <c r="X434" s="129">
        <f t="shared" si="228"/>
        <v>0</v>
      </c>
      <c r="Y434" s="129">
        <f>MIN($X$432:$X$436)+1</f>
        <v>1</v>
      </c>
      <c r="Z434" s="129">
        <f t="shared" si="229"/>
        <v>0</v>
      </c>
      <c r="AA434" s="129" t="str" cm="1">
        <f t="array" ref="AA434">_xlfn.IFS(Y434=4,"A",Y434=3,"B",Y434=2,"C",Y434=1,"D")</f>
        <v>D</v>
      </c>
      <c r="AB434" s="129"/>
    </row>
    <row r="435" spans="1:28" s="2" customFormat="1" ht="9" customHeight="1">
      <c r="A435"/>
      <c r="B435" s="65"/>
      <c r="C435" s="4"/>
      <c r="D435" s="307"/>
      <c r="E435" s="308"/>
      <c r="F435" s="308"/>
      <c r="G435" s="308"/>
      <c r="H435" s="308"/>
      <c r="I435" s="308"/>
      <c r="J435" s="308"/>
      <c r="K435" s="308"/>
      <c r="L435" s="9"/>
      <c r="M435"/>
      <c r="P435"/>
      <c r="Q435"/>
      <c r="R435" s="215">
        <f>IF(E435="地区代表者",COUNTA($D$1:$D435),0)</f>
        <v>0</v>
      </c>
      <c r="S435" s="215">
        <f t="shared" ref="S435:S436" si="230">IF(F435="実施済",1,0)</f>
        <v>0</v>
      </c>
      <c r="T435" s="316"/>
      <c r="U435" s="215">
        <f t="shared" ref="U435:U436" si="231">IF(AND(H435="実施済",I435="実施済"),S435*1,0)</f>
        <v>0</v>
      </c>
      <c r="V435" s="215">
        <f t="shared" ref="V435:V436" si="232">IF(J435="実施済",$U435*1,0)</f>
        <v>0</v>
      </c>
      <c r="W435" s="316"/>
      <c r="X435" s="215" t="str">
        <f t="shared" si="228"/>
        <v/>
      </c>
      <c r="Y435" s="215">
        <f>MIN($X$432:$X$436)+1</f>
        <v>1</v>
      </c>
      <c r="Z435" s="215">
        <f t="shared" si="229"/>
        <v>1</v>
      </c>
      <c r="AA435" s="215" t="str" cm="1">
        <f t="array" ref="AA435">_xlfn.IFS(Y435=4,"A",Y435=3,"B",Y435=2,"C",Y435=1,"D")</f>
        <v>D</v>
      </c>
      <c r="AB435" s="215"/>
    </row>
    <row r="436" spans="1:28" s="2" customFormat="1" ht="6" customHeight="1">
      <c r="A436"/>
      <c r="B436"/>
      <c r="C436"/>
      <c r="D436" s="309"/>
      <c r="E436" s="310"/>
      <c r="F436" s="310"/>
      <c r="G436" s="310"/>
      <c r="H436" s="310"/>
      <c r="I436" s="310"/>
      <c r="J436" s="310"/>
      <c r="K436" s="310"/>
      <c r="L436"/>
      <c r="M436"/>
      <c r="P436"/>
      <c r="Q436"/>
      <c r="R436" s="215">
        <f>IF(E436="地区代表者",COUNTA($D$1:$D436),0)</f>
        <v>0</v>
      </c>
      <c r="S436" s="215">
        <f t="shared" si="230"/>
        <v>0</v>
      </c>
      <c r="T436" s="316"/>
      <c r="U436" s="215">
        <f t="shared" si="231"/>
        <v>0</v>
      </c>
      <c r="V436" s="215">
        <f t="shared" si="232"/>
        <v>0</v>
      </c>
      <c r="W436" s="316"/>
      <c r="X436" s="215" t="str">
        <f t="shared" si="228"/>
        <v/>
      </c>
      <c r="Y436" s="215">
        <f>MIN($X$432:$X$436)+1</f>
        <v>1</v>
      </c>
      <c r="Z436" s="215">
        <f t="shared" si="229"/>
        <v>1</v>
      </c>
      <c r="AA436" s="215" t="str" cm="1">
        <f t="array" ref="AA436">_xlfn.IFS(Y436=4,"A",Y436=3,"B",Y436=2,"C",Y436=1,"D")</f>
        <v>D</v>
      </c>
      <c r="AB436" s="215"/>
    </row>
    <row r="437" spans="1:28" ht="96" customHeight="1">
      <c r="C437" s="78"/>
      <c r="D437" s="79"/>
      <c r="E437" s="72" t="s">
        <v>236</v>
      </c>
      <c r="F437" s="1452"/>
      <c r="G437" s="1452"/>
      <c r="H437" s="1452"/>
      <c r="I437" s="1452"/>
      <c r="J437" s="1452"/>
      <c r="K437" s="1452"/>
      <c r="L437" s="80" t="s">
        <v>132</v>
      </c>
      <c r="M437" s="290"/>
    </row>
    <row r="438" spans="1:28" ht="96" customHeight="1">
      <c r="C438" s="75"/>
      <c r="D438" s="68"/>
      <c r="E438" s="72" t="s">
        <v>237</v>
      </c>
      <c r="F438" s="1452"/>
      <c r="G438" s="1452"/>
      <c r="H438" s="1452"/>
      <c r="I438" s="1452"/>
      <c r="J438" s="1452"/>
      <c r="K438" s="1452"/>
    </row>
    <row r="439" spans="1:28" ht="18.5" thickBot="1">
      <c r="A439" s="81"/>
      <c r="B439" s="81"/>
      <c r="C439" s="81"/>
      <c r="D439" s="81"/>
      <c r="E439" s="311"/>
      <c r="F439" s="81"/>
      <c r="G439" s="81"/>
      <c r="H439" s="81"/>
      <c r="I439" s="81"/>
      <c r="J439" s="81"/>
      <c r="K439" s="81"/>
      <c r="L439" s="81"/>
      <c r="M439" s="82"/>
    </row>
    <row r="441" spans="1:28" ht="9" customHeight="1">
      <c r="B441" s="10"/>
      <c r="C441" s="5"/>
      <c r="D441" s="5"/>
      <c r="E441" s="305"/>
      <c r="F441" s="5"/>
      <c r="G441" s="5"/>
      <c r="H441" s="5"/>
      <c r="I441" s="5"/>
      <c r="J441" s="5"/>
      <c r="K441" s="5"/>
      <c r="L441" s="6"/>
      <c r="M441"/>
      <c r="N441"/>
      <c r="O441"/>
      <c r="R441" t="str">
        <f>D442</f>
        <v>(選択してください)</v>
      </c>
    </row>
    <row r="442" spans="1:28">
      <c r="B442" s="7"/>
      <c r="C442" s="77" t="str">
        <f ca="1">IFERROR(OFFSET('4.2民生電力需要量'!$C$1,MATCH(D442,'4.2民生電力需要量'!$E:$E,0)-1,0),"")</f>
        <v/>
      </c>
      <c r="D442" s="94" t="s">
        <v>130</v>
      </c>
      <c r="E442" s="72" t="s">
        <v>131</v>
      </c>
      <c r="F442" s="1446" t="str">
        <f ca="1">IFERROR(OFFSET('4.2民生電力需要量'!$G$1,MATCH($D442,'4.2民生電力需要量'!$E:$E,0)-1,0),"")</f>
        <v/>
      </c>
      <c r="G442" s="1446"/>
      <c r="H442" s="1446"/>
      <c r="I442" s="1446"/>
      <c r="J442" s="1446"/>
      <c r="K442" s="1446"/>
      <c r="L442" s="8"/>
      <c r="M442"/>
      <c r="N442"/>
      <c r="O442"/>
      <c r="R442" s="175" t="str">
        <f ca="1">IFERROR(OFFSET('4.2民生電力需要量'!$G$1,MATCH($D442,'4.2民生電力需要量'!$E:$E,0)-1,0),"")</f>
        <v/>
      </c>
      <c r="S442" s="175"/>
      <c r="T442" s="175"/>
      <c r="U442" s="175"/>
      <c r="V442" s="175"/>
      <c r="W442" s="175"/>
      <c r="X442" s="175"/>
      <c r="Y442" s="175"/>
      <c r="Z442" s="175"/>
      <c r="AA442" s="175"/>
      <c r="AB442" s="175">
        <f ca="1">(F442=R442)*1</f>
        <v>1</v>
      </c>
    </row>
    <row r="443" spans="1:28">
      <c r="B443" s="7"/>
      <c r="C443" s="915"/>
      <c r="D443" s="97"/>
      <c r="E443" s="72" t="s">
        <v>612</v>
      </c>
      <c r="F443" s="1447" t="str">
        <f ca="1">IFERROR(OFFSET('4.2民生電力需要量'!$L$1,MATCH($D442,'4.2民生電力需要量'!$E:$E,0)-1,0),"")</f>
        <v/>
      </c>
      <c r="G443" s="1448"/>
      <c r="H443" s="1448"/>
      <c r="I443" s="1448"/>
      <c r="J443" s="1448"/>
      <c r="K443" s="1449"/>
      <c r="L443" s="8"/>
      <c r="M443"/>
      <c r="N443"/>
      <c r="O443"/>
      <c r="R443" s="175" t="str">
        <f ca="1">IFERROR(OFFSET('4.2民生電力需要量'!$L$1,MATCH($D442,'4.2民生電力需要量'!$E:$E,0)-1,0),"")</f>
        <v/>
      </c>
      <c r="S443" s="175"/>
      <c r="T443" s="175"/>
      <c r="U443" s="175"/>
      <c r="V443" s="175"/>
      <c r="W443" s="175"/>
      <c r="X443" s="175"/>
      <c r="Y443" s="175"/>
      <c r="Z443" s="175"/>
      <c r="AA443" s="175"/>
      <c r="AB443" s="175">
        <f ca="1">(F443=R443)*1</f>
        <v>1</v>
      </c>
    </row>
    <row r="444" spans="1:28">
      <c r="B444" s="7"/>
      <c r="C444" s="74"/>
      <c r="D444" s="66"/>
      <c r="E444" s="72" t="s">
        <v>220</v>
      </c>
      <c r="F444" s="1450" t="str">
        <f ca="1">IFERROR(OFFSET('4.2民生電力需要量'!$I$1,MATCH($D442,'4.2民生電力需要量'!$E:$E,0)-1,0),"")</f>
        <v/>
      </c>
      <c r="G444" s="1450"/>
      <c r="H444" s="1450"/>
      <c r="I444" s="1450"/>
      <c r="J444" s="1450"/>
      <c r="K444" s="1450"/>
      <c r="L444" s="8"/>
      <c r="M444"/>
      <c r="N444"/>
      <c r="O444"/>
      <c r="R444" s="175" t="str">
        <f ca="1">IFERROR(OFFSET('4.2民生電力需要量'!$I$1,MATCH($D442,'4.2民生電力需要量'!$E:$E,0)-1,0),"")</f>
        <v/>
      </c>
      <c r="S444" s="175"/>
      <c r="T444" s="175"/>
      <c r="U444" s="175"/>
      <c r="V444" s="175"/>
      <c r="W444" s="175"/>
      <c r="X444" s="175"/>
      <c r="Y444" s="175"/>
      <c r="Z444" s="175"/>
      <c r="AA444" s="175"/>
      <c r="AB444" s="175">
        <f t="shared" ref="AB444:AB445" ca="1" si="233">(F444=R444)*1</f>
        <v>1</v>
      </c>
    </row>
    <row r="445" spans="1:28">
      <c r="B445" s="7"/>
      <c r="C445" s="74"/>
      <c r="D445" s="66"/>
      <c r="E445" s="72" t="s">
        <v>175</v>
      </c>
      <c r="F445" s="1451" t="str">
        <f>_xlfn.IFNA(R445,"")</f>
        <v/>
      </c>
      <c r="G445" s="1451"/>
      <c r="H445" s="1451"/>
      <c r="I445" s="1451"/>
      <c r="J445" s="1451"/>
      <c r="K445" s="1451"/>
      <c r="L445" s="8"/>
      <c r="M445"/>
      <c r="N445"/>
      <c r="O445"/>
      <c r="R445" s="215" t="str">
        <f>IF(PRODUCT($Z447:$Z451)=1,AA447,"")</f>
        <v/>
      </c>
      <c r="S445" s="175"/>
      <c r="T445" s="175"/>
      <c r="U445" s="175"/>
      <c r="V445" s="175"/>
      <c r="W445" s="175"/>
      <c r="X445" s="175"/>
      <c r="Y445" s="175"/>
      <c r="Z445" s="175"/>
      <c r="AA445" s="175"/>
      <c r="AB445" s="175">
        <f t="shared" si="233"/>
        <v>1</v>
      </c>
    </row>
    <row r="446" spans="1:28" s="2" customFormat="1" ht="60">
      <c r="A446"/>
      <c r="B446" s="7"/>
      <c r="C446" s="74"/>
      <c r="D446" s="66"/>
      <c r="E446" s="306"/>
      <c r="F446" s="312" t="s">
        <v>299</v>
      </c>
      <c r="G446" s="313" t="s">
        <v>300</v>
      </c>
      <c r="H446" s="313" t="s">
        <v>301</v>
      </c>
      <c r="I446" s="313" t="s">
        <v>302</v>
      </c>
      <c r="J446" s="313" t="s">
        <v>429</v>
      </c>
      <c r="K446" s="313" t="s">
        <v>270</v>
      </c>
      <c r="L446" s="8"/>
      <c r="M446"/>
      <c r="P446"/>
      <c r="Q446"/>
      <c r="R446" s="294" t="s">
        <v>298</v>
      </c>
      <c r="S446" s="294" t="s">
        <v>299</v>
      </c>
      <c r="T446" s="314" t="s">
        <v>423</v>
      </c>
      <c r="U446" s="294" t="s">
        <v>424</v>
      </c>
      <c r="V446" s="294" t="s">
        <v>422</v>
      </c>
      <c r="W446" s="315" t="s">
        <v>270</v>
      </c>
      <c r="X446" s="294" t="s">
        <v>426</v>
      </c>
      <c r="Y446" s="215" t="s">
        <v>402</v>
      </c>
      <c r="Z446" s="215" t="s">
        <v>430</v>
      </c>
      <c r="AA446" s="294" t="s">
        <v>425</v>
      </c>
      <c r="AB446" s="294"/>
    </row>
    <row r="447" spans="1:28" s="99" customFormat="1" ht="18.75" hidden="1" customHeight="1">
      <c r="A447" s="11"/>
      <c r="B447" s="95"/>
      <c r="C447" s="96"/>
      <c r="D447" s="97"/>
      <c r="E447" s="438"/>
      <c r="F447" s="439"/>
      <c r="G447" s="439"/>
      <c r="H447" s="439"/>
      <c r="I447" s="439"/>
      <c r="J447" s="439"/>
      <c r="K447" s="439"/>
      <c r="L447" s="98"/>
      <c r="M447" s="11"/>
      <c r="Q447" s="11"/>
      <c r="R447" s="129">
        <f>IF(E447="地区代表者",COUNTA($D$1:$D447),0)</f>
        <v>0</v>
      </c>
      <c r="S447" s="129">
        <f t="shared" ref="S447:S448" si="234">IF(F447="実施済",1,0)</f>
        <v>0</v>
      </c>
      <c r="T447" s="258"/>
      <c r="U447" s="129">
        <f t="shared" ref="U447:U448" si="235">IF(AND(H447="実施済",I447="実施済"),S447*1,0)</f>
        <v>0</v>
      </c>
      <c r="V447" s="129">
        <f>IF(J447="実施済",$U447*1,0)</f>
        <v>0</v>
      </c>
      <c r="W447" s="258"/>
      <c r="X447" s="129" t="str">
        <f>IF(E447="","",IF(R447*S447&gt;0,3,SUM(S447,U447,V447)))</f>
        <v/>
      </c>
      <c r="Y447" s="129">
        <f>MIN($X$447:$X$451)+1</f>
        <v>1</v>
      </c>
      <c r="Z447" s="129">
        <f>IF(E447="",1,IF(R447&gt;0,IF(COUNTA($F447:$K447)=2,1,0),IF(COUNTA($F447:$K447)=6,1,0)))</f>
        <v>1</v>
      </c>
      <c r="AA447" s="129" t="str" cm="1">
        <f t="array" ref="AA447">_xlfn.IFS(Y447=4,"A",Y447=3,"B",Y447=2,"C",Y447=1,"D")</f>
        <v>D</v>
      </c>
      <c r="AB447" s="129" t="str" cm="1">
        <f t="array" ref="AB447">_xlfn.IFS(Z447=4,"A",Z447=3,"B",Z447=2,"C",Z447=1,"D")</f>
        <v>D</v>
      </c>
    </row>
    <row r="448" spans="1:28" s="99" customFormat="1" ht="18.75" customHeight="1">
      <c r="A448" s="11"/>
      <c r="B448" s="95"/>
      <c r="C448" s="96"/>
      <c r="D448" s="97"/>
      <c r="E448" s="440" t="s">
        <v>298</v>
      </c>
      <c r="F448" s="441"/>
      <c r="G448" s="839"/>
      <c r="H448" s="839"/>
      <c r="I448" s="839"/>
      <c r="J448" s="839"/>
      <c r="K448" s="441"/>
      <c r="L448" s="98"/>
      <c r="M448" s="11"/>
      <c r="Q448" s="11"/>
      <c r="R448" s="129">
        <f>IF(E448="地区代表者",COUNTA($D$1:$D448),0)</f>
        <v>30</v>
      </c>
      <c r="S448" s="129">
        <f t="shared" si="234"/>
        <v>0</v>
      </c>
      <c r="T448" s="258"/>
      <c r="U448" s="129">
        <f t="shared" si="235"/>
        <v>0</v>
      </c>
      <c r="V448" s="129">
        <f>IF(J448="実施済",$U448*1,0)</f>
        <v>0</v>
      </c>
      <c r="W448" s="258"/>
      <c r="X448" s="129">
        <f t="shared" ref="X448:X451" si="236">IF(E448="","",IF(R448*S448&gt;0,3,SUM(S448,U448,V448)))</f>
        <v>0</v>
      </c>
      <c r="Y448" s="129">
        <f>MIN($X$447:$X$451)+1</f>
        <v>1</v>
      </c>
      <c r="Z448" s="129">
        <f t="shared" ref="Z448:Z451" si="237">IF(E448="",1,IF(R448&gt;0,IF(COUNTA($F448:$K448)=2,1,0),IF(COUNTA($F448:$K448)=6,1,0)))</f>
        <v>0</v>
      </c>
      <c r="AA448" s="129" t="str" cm="1">
        <f t="array" ref="AA448">_xlfn.IFS(Y448=4,"A",Y448=3,"B",Y448=2,"C",Y448=1,"D")</f>
        <v>D</v>
      </c>
      <c r="AB448" s="129"/>
    </row>
    <row r="449" spans="1:28" s="99" customFormat="1" ht="18.75" customHeight="1">
      <c r="A449" s="11"/>
      <c r="B449" s="95"/>
      <c r="C449" s="96"/>
      <c r="D449" s="97"/>
      <c r="E449" s="440" t="s">
        <v>116</v>
      </c>
      <c r="F449" s="441"/>
      <c r="G449" s="441"/>
      <c r="H449" s="441"/>
      <c r="I449" s="441"/>
      <c r="J449" s="441"/>
      <c r="K449" s="441"/>
      <c r="L449" s="98"/>
      <c r="M449" s="11"/>
      <c r="P449" s="11"/>
      <c r="Q449" s="11"/>
      <c r="R449" s="129">
        <f>IF(E449="地区代表者",COUNTA($D$1:$D449),0)</f>
        <v>0</v>
      </c>
      <c r="S449" s="129">
        <f>IF(F449="実施済",1,0)</f>
        <v>0</v>
      </c>
      <c r="T449" s="258"/>
      <c r="U449" s="129">
        <f>IF(AND(H449="実施済",I449="実施済"),S449*1,0)</f>
        <v>0</v>
      </c>
      <c r="V449" s="129">
        <f>IF(J449="実施済",$U449*1,0)</f>
        <v>0</v>
      </c>
      <c r="W449" s="258"/>
      <c r="X449" s="129">
        <f t="shared" si="236"/>
        <v>0</v>
      </c>
      <c r="Y449" s="129">
        <f>MIN($X$447:$X$451)+1</f>
        <v>1</v>
      </c>
      <c r="Z449" s="129">
        <f t="shared" si="237"/>
        <v>0</v>
      </c>
      <c r="AA449" s="129" t="str" cm="1">
        <f t="array" ref="AA449">_xlfn.IFS(Y449=4,"A",Y449=3,"B",Y449=2,"C",Y449=1,"D")</f>
        <v>D</v>
      </c>
      <c r="AB449" s="129"/>
    </row>
    <row r="450" spans="1:28" s="2" customFormat="1" ht="9" customHeight="1">
      <c r="A450"/>
      <c r="B450" s="65"/>
      <c r="C450" s="4"/>
      <c r="D450" s="307"/>
      <c r="E450" s="308"/>
      <c r="F450" s="308"/>
      <c r="G450" s="308"/>
      <c r="H450" s="308"/>
      <c r="I450" s="308"/>
      <c r="J450" s="308"/>
      <c r="K450" s="308"/>
      <c r="L450" s="9"/>
      <c r="M450"/>
      <c r="P450"/>
      <c r="Q450"/>
      <c r="R450" s="215">
        <f>IF(E450="地区代表者",COUNTA($D$1:$D450),0)</f>
        <v>0</v>
      </c>
      <c r="S450" s="215">
        <f t="shared" ref="S450:S451" si="238">IF(F450="実施済",1,0)</f>
        <v>0</v>
      </c>
      <c r="T450" s="316"/>
      <c r="U450" s="215">
        <f t="shared" ref="U450:U451" si="239">IF(AND(H450="実施済",I450="実施済"),S450*1,0)</f>
        <v>0</v>
      </c>
      <c r="V450" s="215">
        <f t="shared" ref="V450:V451" si="240">IF(J450="実施済",$U450*1,0)</f>
        <v>0</v>
      </c>
      <c r="W450" s="316"/>
      <c r="X450" s="215" t="str">
        <f t="shared" si="236"/>
        <v/>
      </c>
      <c r="Y450" s="215">
        <f>MIN($X$447:$X$451)+1</f>
        <v>1</v>
      </c>
      <c r="Z450" s="215">
        <f t="shared" si="237"/>
        <v>1</v>
      </c>
      <c r="AA450" s="215" t="str" cm="1">
        <f t="array" ref="AA450">_xlfn.IFS(Y450=4,"A",Y450=3,"B",Y450=2,"C",Y450=1,"D")</f>
        <v>D</v>
      </c>
      <c r="AB450" s="215"/>
    </row>
    <row r="451" spans="1:28" s="2" customFormat="1" ht="6" customHeight="1">
      <c r="A451"/>
      <c r="B451"/>
      <c r="C451"/>
      <c r="D451" s="309"/>
      <c r="E451" s="310"/>
      <c r="F451" s="310"/>
      <c r="G451" s="310"/>
      <c r="H451" s="310"/>
      <c r="I451" s="310"/>
      <c r="J451" s="310"/>
      <c r="K451" s="310"/>
      <c r="L451"/>
      <c r="M451"/>
      <c r="P451"/>
      <c r="Q451"/>
      <c r="R451" s="215">
        <f>IF(E451="地区代表者",COUNTA($D$1:$D451),0)</f>
        <v>0</v>
      </c>
      <c r="S451" s="215">
        <f t="shared" si="238"/>
        <v>0</v>
      </c>
      <c r="T451" s="316"/>
      <c r="U451" s="215">
        <f t="shared" si="239"/>
        <v>0</v>
      </c>
      <c r="V451" s="215">
        <f t="shared" si="240"/>
        <v>0</v>
      </c>
      <c r="W451" s="316"/>
      <c r="X451" s="215" t="str">
        <f t="shared" si="236"/>
        <v/>
      </c>
      <c r="Y451" s="215">
        <f>MIN($X$447:$X$451)+1</f>
        <v>1</v>
      </c>
      <c r="Z451" s="215">
        <f t="shared" si="237"/>
        <v>1</v>
      </c>
      <c r="AA451" s="215" t="str" cm="1">
        <f t="array" ref="AA451">_xlfn.IFS(Y451=4,"A",Y451=3,"B",Y451=2,"C",Y451=1,"D")</f>
        <v>D</v>
      </c>
      <c r="AB451" s="215"/>
    </row>
    <row r="452" spans="1:28" ht="96" customHeight="1">
      <c r="C452" s="78"/>
      <c r="D452" s="79"/>
      <c r="E452" s="72" t="s">
        <v>236</v>
      </c>
      <c r="F452" s="1452"/>
      <c r="G452" s="1452"/>
      <c r="H452" s="1452"/>
      <c r="I452" s="1452"/>
      <c r="J452" s="1452"/>
      <c r="K452" s="1452"/>
      <c r="L452" s="80" t="s">
        <v>132</v>
      </c>
      <c r="M452" s="290"/>
    </row>
    <row r="453" spans="1:28" ht="96" customHeight="1">
      <c r="C453" s="75"/>
      <c r="D453" s="68"/>
      <c r="E453" s="72" t="s">
        <v>237</v>
      </c>
      <c r="F453" s="1452"/>
      <c r="G453" s="1452"/>
      <c r="H453" s="1452"/>
      <c r="I453" s="1452"/>
      <c r="J453" s="1452"/>
      <c r="K453" s="1452"/>
    </row>
    <row r="454" spans="1:28" ht="18.5" thickBot="1">
      <c r="A454" s="81"/>
      <c r="B454" s="81"/>
      <c r="C454" s="81"/>
      <c r="D454" s="81"/>
      <c r="E454" s="311"/>
      <c r="F454" s="81"/>
      <c r="G454" s="81"/>
      <c r="H454" s="81"/>
      <c r="I454" s="81"/>
      <c r="J454" s="81"/>
      <c r="K454" s="81"/>
      <c r="L454" s="81"/>
      <c r="M454" s="82"/>
    </row>
    <row r="456" spans="1:28" ht="9" customHeight="1">
      <c r="B456" s="10"/>
      <c r="C456" s="5"/>
      <c r="D456" s="5"/>
      <c r="E456" s="305"/>
      <c r="F456" s="5"/>
      <c r="G456" s="5"/>
      <c r="H456" s="5"/>
      <c r="I456" s="5"/>
      <c r="J456" s="5"/>
      <c r="K456" s="5"/>
      <c r="L456" s="6"/>
      <c r="M456"/>
      <c r="N456"/>
      <c r="O456"/>
      <c r="R456" t="str">
        <f>D457</f>
        <v>(選択してください)</v>
      </c>
    </row>
    <row r="457" spans="1:28">
      <c r="B457" s="7"/>
      <c r="C457" s="77" t="str">
        <f ca="1">IFERROR(OFFSET('4.2民生電力需要量'!$C$1,MATCH(D457,'4.2民生電力需要量'!$E:$E,0)-1,0),"")</f>
        <v/>
      </c>
      <c r="D457" s="94" t="s">
        <v>130</v>
      </c>
      <c r="E457" s="72" t="s">
        <v>131</v>
      </c>
      <c r="F457" s="1446" t="str">
        <f ca="1">IFERROR(OFFSET('4.2民生電力需要量'!$G$1,MATCH($D457,'4.2民生電力需要量'!$E:$E,0)-1,0),"")</f>
        <v/>
      </c>
      <c r="G457" s="1446"/>
      <c r="H457" s="1446"/>
      <c r="I457" s="1446"/>
      <c r="J457" s="1446"/>
      <c r="K457" s="1446"/>
      <c r="L457" s="8"/>
      <c r="M457"/>
      <c r="N457"/>
      <c r="O457"/>
      <c r="R457" s="175" t="str">
        <f ca="1">IFERROR(OFFSET('4.2民生電力需要量'!$G$1,MATCH($D457,'4.2民生電力需要量'!$E:$E,0)-1,0),"")</f>
        <v/>
      </c>
      <c r="S457" s="175"/>
      <c r="T457" s="175"/>
      <c r="U457" s="175"/>
      <c r="V457" s="175"/>
      <c r="W457" s="175"/>
      <c r="X457" s="175"/>
      <c r="Y457" s="175"/>
      <c r="Z457" s="175"/>
      <c r="AA457" s="175"/>
      <c r="AB457" s="175">
        <f ca="1">(F457=R457)*1</f>
        <v>1</v>
      </c>
    </row>
    <row r="458" spans="1:28">
      <c r="B458" s="7"/>
      <c r="C458" s="915"/>
      <c r="D458" s="97"/>
      <c r="E458" s="72" t="s">
        <v>612</v>
      </c>
      <c r="F458" s="1447" t="str">
        <f ca="1">IFERROR(OFFSET('4.2民生電力需要量'!$L$1,MATCH($D457,'4.2民生電力需要量'!$E:$E,0)-1,0),"")</f>
        <v/>
      </c>
      <c r="G458" s="1448"/>
      <c r="H458" s="1448"/>
      <c r="I458" s="1448"/>
      <c r="J458" s="1448"/>
      <c r="K458" s="1449"/>
      <c r="L458" s="8"/>
      <c r="M458"/>
      <c r="N458"/>
      <c r="O458"/>
      <c r="R458" s="175" t="str">
        <f ca="1">IFERROR(OFFSET('4.2民生電力需要量'!$L$1,MATCH($D457,'4.2民生電力需要量'!$E:$E,0)-1,0),"")</f>
        <v/>
      </c>
      <c r="S458" s="175"/>
      <c r="T458" s="175"/>
      <c r="U458" s="175"/>
      <c r="V458" s="175"/>
      <c r="W458" s="175"/>
      <c r="X458" s="175"/>
      <c r="Y458" s="175"/>
      <c r="Z458" s="175"/>
      <c r="AA458" s="175"/>
      <c r="AB458" s="175">
        <f ca="1">(F458=R458)*1</f>
        <v>1</v>
      </c>
    </row>
    <row r="459" spans="1:28">
      <c r="B459" s="7"/>
      <c r="C459" s="74"/>
      <c r="D459" s="66"/>
      <c r="E459" s="72" t="s">
        <v>220</v>
      </c>
      <c r="F459" s="1450" t="str">
        <f ca="1">IFERROR(OFFSET('4.2民生電力需要量'!$I$1,MATCH($D457,'4.2民生電力需要量'!$E:$E,0)-1,0),"")</f>
        <v/>
      </c>
      <c r="G459" s="1450"/>
      <c r="H459" s="1450"/>
      <c r="I459" s="1450"/>
      <c r="J459" s="1450"/>
      <c r="K459" s="1450"/>
      <c r="L459" s="8"/>
      <c r="M459"/>
      <c r="N459"/>
      <c r="O459"/>
      <c r="R459" s="175" t="str">
        <f ca="1">IFERROR(OFFSET('4.2民生電力需要量'!$I$1,MATCH($D457,'4.2民生電力需要量'!$E:$E,0)-1,0),"")</f>
        <v/>
      </c>
      <c r="S459" s="175"/>
      <c r="T459" s="175"/>
      <c r="U459" s="175"/>
      <c r="V459" s="175"/>
      <c r="W459" s="175"/>
      <c r="X459" s="175"/>
      <c r="Y459" s="175"/>
      <c r="Z459" s="175"/>
      <c r="AA459" s="175"/>
      <c r="AB459" s="175">
        <f t="shared" ref="AB459:AB460" ca="1" si="241">(F459=R459)*1</f>
        <v>1</v>
      </c>
    </row>
    <row r="460" spans="1:28">
      <c r="B460" s="7"/>
      <c r="C460" s="74"/>
      <c r="D460" s="66"/>
      <c r="E460" s="72" t="s">
        <v>175</v>
      </c>
      <c r="F460" s="1451" t="str">
        <f>_xlfn.IFNA(R460,"")</f>
        <v/>
      </c>
      <c r="G460" s="1451"/>
      <c r="H460" s="1451"/>
      <c r="I460" s="1451"/>
      <c r="J460" s="1451"/>
      <c r="K460" s="1451"/>
      <c r="L460" s="8"/>
      <c r="M460"/>
      <c r="N460"/>
      <c r="O460"/>
      <c r="R460" s="215" t="str">
        <f>IF(PRODUCT($Z462:$Z466)=1,AA462,"")</f>
        <v/>
      </c>
      <c r="S460" s="175"/>
      <c r="T460" s="175"/>
      <c r="U460" s="175"/>
      <c r="V460" s="175"/>
      <c r="W460" s="175"/>
      <c r="X460" s="175"/>
      <c r="Y460" s="175"/>
      <c r="Z460" s="175"/>
      <c r="AA460" s="175"/>
      <c r="AB460" s="175">
        <f t="shared" si="241"/>
        <v>1</v>
      </c>
    </row>
    <row r="461" spans="1:28" s="2" customFormat="1" ht="60">
      <c r="A461"/>
      <c r="B461" s="7"/>
      <c r="C461" s="74"/>
      <c r="D461" s="66"/>
      <c r="E461" s="306"/>
      <c r="F461" s="312" t="s">
        <v>299</v>
      </c>
      <c r="G461" s="313" t="s">
        <v>300</v>
      </c>
      <c r="H461" s="313" t="s">
        <v>301</v>
      </c>
      <c r="I461" s="313" t="s">
        <v>302</v>
      </c>
      <c r="J461" s="313" t="s">
        <v>429</v>
      </c>
      <c r="K461" s="313" t="s">
        <v>270</v>
      </c>
      <c r="L461" s="8"/>
      <c r="M461"/>
      <c r="P461"/>
      <c r="Q461"/>
      <c r="R461" s="294" t="s">
        <v>298</v>
      </c>
      <c r="S461" s="294" t="s">
        <v>299</v>
      </c>
      <c r="T461" s="314" t="s">
        <v>423</v>
      </c>
      <c r="U461" s="294" t="s">
        <v>424</v>
      </c>
      <c r="V461" s="294" t="s">
        <v>422</v>
      </c>
      <c r="W461" s="315" t="s">
        <v>270</v>
      </c>
      <c r="X461" s="294" t="s">
        <v>426</v>
      </c>
      <c r="Y461" s="215" t="s">
        <v>402</v>
      </c>
      <c r="Z461" s="215" t="s">
        <v>430</v>
      </c>
      <c r="AA461" s="294" t="s">
        <v>425</v>
      </c>
      <c r="AB461" s="294"/>
    </row>
    <row r="462" spans="1:28" s="99" customFormat="1" ht="18.75" hidden="1" customHeight="1">
      <c r="A462" s="11"/>
      <c r="B462" s="95"/>
      <c r="C462" s="96"/>
      <c r="D462" s="97"/>
      <c r="E462" s="438"/>
      <c r="F462" s="439"/>
      <c r="G462" s="439"/>
      <c r="H462" s="439"/>
      <c r="I462" s="439"/>
      <c r="J462" s="439"/>
      <c r="K462" s="439"/>
      <c r="L462" s="98"/>
      <c r="M462" s="11"/>
      <c r="Q462" s="11"/>
      <c r="R462" s="129">
        <f>IF(E462="地区代表者",COUNTA($D$1:$D462),0)</f>
        <v>0</v>
      </c>
      <c r="S462" s="129">
        <f t="shared" ref="S462:S463" si="242">IF(F462="実施済",1,0)</f>
        <v>0</v>
      </c>
      <c r="T462" s="258"/>
      <c r="U462" s="129">
        <f t="shared" ref="U462:U463" si="243">IF(AND(H462="実施済",I462="実施済"),S462*1,0)</f>
        <v>0</v>
      </c>
      <c r="V462" s="129">
        <f>IF(J462="実施済",$U462*1,0)</f>
        <v>0</v>
      </c>
      <c r="W462" s="258"/>
      <c r="X462" s="129" t="str">
        <f>IF(E462="","",IF(R462*S462&gt;0,3,SUM(S462,U462,V462)))</f>
        <v/>
      </c>
      <c r="Y462" s="129">
        <f>MIN($X$462:$X$466)+1</f>
        <v>1</v>
      </c>
      <c r="Z462" s="129">
        <f>IF(E462="",1,IF(R462&gt;0,IF(COUNTA($F462:$K462)=2,1,0),IF(COUNTA($F462:$K462)=6,1,0)))</f>
        <v>1</v>
      </c>
      <c r="AA462" s="129" t="str" cm="1">
        <f t="array" ref="AA462">_xlfn.IFS(Y462=4,"A",Y462=3,"B",Y462=2,"C",Y462=1,"D")</f>
        <v>D</v>
      </c>
      <c r="AB462" s="129" t="str" cm="1">
        <f t="array" ref="AB462">_xlfn.IFS(Z462=4,"A",Z462=3,"B",Z462=2,"C",Z462=1,"D")</f>
        <v>D</v>
      </c>
    </row>
    <row r="463" spans="1:28" s="99" customFormat="1" ht="18.75" customHeight="1">
      <c r="A463" s="11"/>
      <c r="B463" s="95"/>
      <c r="C463" s="96"/>
      <c r="D463" s="97"/>
      <c r="E463" s="440" t="s">
        <v>298</v>
      </c>
      <c r="F463" s="441"/>
      <c r="G463" s="839"/>
      <c r="H463" s="839"/>
      <c r="I463" s="839"/>
      <c r="J463" s="839"/>
      <c r="K463" s="441"/>
      <c r="L463" s="98"/>
      <c r="M463" s="11"/>
      <c r="Q463" s="11"/>
      <c r="R463" s="129">
        <f>IF(E463="地区代表者",COUNTA($D$1:$D463),0)</f>
        <v>31</v>
      </c>
      <c r="S463" s="129">
        <f t="shared" si="242"/>
        <v>0</v>
      </c>
      <c r="T463" s="258"/>
      <c r="U463" s="129">
        <f t="shared" si="243"/>
        <v>0</v>
      </c>
      <c r="V463" s="129">
        <f>IF(J463="実施済",$U463*1,0)</f>
        <v>0</v>
      </c>
      <c r="W463" s="258"/>
      <c r="X463" s="129">
        <f t="shared" ref="X463:X466" si="244">IF(E463="","",IF(R463*S463&gt;0,3,SUM(S463,U463,V463)))</f>
        <v>0</v>
      </c>
      <c r="Y463" s="129">
        <f>MIN($X$462:$X$466)+1</f>
        <v>1</v>
      </c>
      <c r="Z463" s="129">
        <f t="shared" ref="Z463:Z466" si="245">IF(E463="",1,IF(R463&gt;0,IF(COUNTA($F463:$K463)=2,1,0),IF(COUNTA($F463:$K463)=6,1,0)))</f>
        <v>0</v>
      </c>
      <c r="AA463" s="129" t="str" cm="1">
        <f t="array" ref="AA463">_xlfn.IFS(Y463=4,"A",Y463=3,"B",Y463=2,"C",Y463=1,"D")</f>
        <v>D</v>
      </c>
      <c r="AB463" s="129"/>
    </row>
    <row r="464" spans="1:28" s="99" customFormat="1" ht="18.75" customHeight="1">
      <c r="A464" s="11"/>
      <c r="B464" s="95"/>
      <c r="C464" s="96"/>
      <c r="D464" s="97"/>
      <c r="E464" s="440" t="s">
        <v>116</v>
      </c>
      <c r="F464" s="441"/>
      <c r="G464" s="441"/>
      <c r="H464" s="441"/>
      <c r="I464" s="441"/>
      <c r="J464" s="441"/>
      <c r="K464" s="441"/>
      <c r="L464" s="98"/>
      <c r="M464" s="11"/>
      <c r="P464" s="11"/>
      <c r="Q464" s="11"/>
      <c r="R464" s="129">
        <f>IF(E464="地区代表者",COUNTA($D$1:$D464),0)</f>
        <v>0</v>
      </c>
      <c r="S464" s="129">
        <f>IF(F464="実施済",1,0)</f>
        <v>0</v>
      </c>
      <c r="T464" s="258"/>
      <c r="U464" s="129">
        <f>IF(AND(H464="実施済",I464="実施済"),S464*1,0)</f>
        <v>0</v>
      </c>
      <c r="V464" s="129">
        <f>IF(J464="実施済",$U464*1,0)</f>
        <v>0</v>
      </c>
      <c r="W464" s="258"/>
      <c r="X464" s="129">
        <f t="shared" si="244"/>
        <v>0</v>
      </c>
      <c r="Y464" s="129">
        <f>MIN($X$462:$X$466)+1</f>
        <v>1</v>
      </c>
      <c r="Z464" s="129">
        <f t="shared" si="245"/>
        <v>0</v>
      </c>
      <c r="AA464" s="129" t="str" cm="1">
        <f t="array" ref="AA464">_xlfn.IFS(Y464=4,"A",Y464=3,"B",Y464=2,"C",Y464=1,"D")</f>
        <v>D</v>
      </c>
      <c r="AB464" s="129"/>
    </row>
    <row r="465" spans="1:28" s="2" customFormat="1" ht="9" customHeight="1">
      <c r="A465"/>
      <c r="B465" s="65"/>
      <c r="C465" s="4"/>
      <c r="D465" s="307"/>
      <c r="E465" s="308"/>
      <c r="F465" s="308"/>
      <c r="G465" s="308"/>
      <c r="H465" s="308"/>
      <c r="I465" s="308"/>
      <c r="J465" s="308"/>
      <c r="K465" s="308"/>
      <c r="L465" s="9"/>
      <c r="M465"/>
      <c r="P465"/>
      <c r="Q465"/>
      <c r="R465" s="215">
        <f>IF(E465="地区代表者",COUNTA($D$1:$D465),0)</f>
        <v>0</v>
      </c>
      <c r="S465" s="215">
        <f t="shared" ref="S465:S466" si="246">IF(F465="実施済",1,0)</f>
        <v>0</v>
      </c>
      <c r="T465" s="316"/>
      <c r="U465" s="215">
        <f t="shared" ref="U465:U466" si="247">IF(AND(H465="実施済",I465="実施済"),S465*1,0)</f>
        <v>0</v>
      </c>
      <c r="V465" s="215">
        <f t="shared" ref="V465:V466" si="248">IF(J465="実施済",$U465*1,0)</f>
        <v>0</v>
      </c>
      <c r="W465" s="316"/>
      <c r="X465" s="215" t="str">
        <f t="shared" si="244"/>
        <v/>
      </c>
      <c r="Y465" s="215">
        <f>MIN($X$462:$X$466)+1</f>
        <v>1</v>
      </c>
      <c r="Z465" s="215">
        <f t="shared" si="245"/>
        <v>1</v>
      </c>
      <c r="AA465" s="215" t="str" cm="1">
        <f t="array" ref="AA465">_xlfn.IFS(Y465=4,"A",Y465=3,"B",Y465=2,"C",Y465=1,"D")</f>
        <v>D</v>
      </c>
      <c r="AB465" s="215"/>
    </row>
    <row r="466" spans="1:28" s="2" customFormat="1" ht="6" customHeight="1">
      <c r="A466"/>
      <c r="B466"/>
      <c r="C466"/>
      <c r="D466" s="309"/>
      <c r="E466" s="310"/>
      <c r="F466" s="310"/>
      <c r="G466" s="310"/>
      <c r="H466" s="310"/>
      <c r="I466" s="310"/>
      <c r="J466" s="310"/>
      <c r="K466" s="310"/>
      <c r="L466"/>
      <c r="M466"/>
      <c r="P466"/>
      <c r="Q466"/>
      <c r="R466" s="215">
        <f>IF(E466="地区代表者",COUNTA($D$1:$D466),0)</f>
        <v>0</v>
      </c>
      <c r="S466" s="215">
        <f t="shared" si="246"/>
        <v>0</v>
      </c>
      <c r="T466" s="316"/>
      <c r="U466" s="215">
        <f t="shared" si="247"/>
        <v>0</v>
      </c>
      <c r="V466" s="215">
        <f t="shared" si="248"/>
        <v>0</v>
      </c>
      <c r="W466" s="316"/>
      <c r="X466" s="215" t="str">
        <f t="shared" si="244"/>
        <v/>
      </c>
      <c r="Y466" s="215">
        <f>MIN($X$462:$X$466)+1</f>
        <v>1</v>
      </c>
      <c r="Z466" s="215">
        <f t="shared" si="245"/>
        <v>1</v>
      </c>
      <c r="AA466" s="215" t="str" cm="1">
        <f t="array" ref="AA466">_xlfn.IFS(Y466=4,"A",Y466=3,"B",Y466=2,"C",Y466=1,"D")</f>
        <v>D</v>
      </c>
      <c r="AB466" s="215"/>
    </row>
    <row r="467" spans="1:28" ht="96" customHeight="1">
      <c r="C467" s="78"/>
      <c r="D467" s="79"/>
      <c r="E467" s="72" t="s">
        <v>236</v>
      </c>
      <c r="F467" s="1452"/>
      <c r="G467" s="1452"/>
      <c r="H467" s="1452"/>
      <c r="I467" s="1452"/>
      <c r="J467" s="1452"/>
      <c r="K467" s="1452"/>
      <c r="L467" s="80" t="s">
        <v>132</v>
      </c>
      <c r="M467" s="290"/>
    </row>
    <row r="468" spans="1:28" ht="96" customHeight="1">
      <c r="C468" s="75"/>
      <c r="D468" s="68"/>
      <c r="E468" s="72" t="s">
        <v>237</v>
      </c>
      <c r="F468" s="1452"/>
      <c r="G468" s="1452"/>
      <c r="H468" s="1452"/>
      <c r="I468" s="1452"/>
      <c r="J468" s="1452"/>
      <c r="K468" s="1452"/>
    </row>
    <row r="469" spans="1:28" ht="18.5" thickBot="1">
      <c r="A469" s="81"/>
      <c r="B469" s="81"/>
      <c r="C469" s="81"/>
      <c r="D469" s="81"/>
      <c r="E469" s="311"/>
      <c r="F469" s="81"/>
      <c r="G469" s="81"/>
      <c r="H469" s="81"/>
      <c r="I469" s="81"/>
      <c r="J469" s="81"/>
      <c r="K469" s="81"/>
      <c r="L469" s="81"/>
      <c r="M469" s="82"/>
    </row>
    <row r="471" spans="1:28" ht="9" customHeight="1">
      <c r="B471" s="10"/>
      <c r="C471" s="5"/>
      <c r="D471" s="5"/>
      <c r="E471" s="305"/>
      <c r="F471" s="5"/>
      <c r="G471" s="5"/>
      <c r="H471" s="5"/>
      <c r="I471" s="5"/>
      <c r="J471" s="5"/>
      <c r="K471" s="5"/>
      <c r="L471" s="6"/>
      <c r="M471"/>
      <c r="N471"/>
      <c r="O471"/>
      <c r="R471" t="str">
        <f>D472</f>
        <v>(選択してください)</v>
      </c>
    </row>
    <row r="472" spans="1:28">
      <c r="B472" s="7"/>
      <c r="C472" s="77" t="str">
        <f ca="1">IFERROR(OFFSET('4.2民生電力需要量'!$C$1,MATCH(D472,'4.2民生電力需要量'!$E:$E,0)-1,0),"")</f>
        <v/>
      </c>
      <c r="D472" s="94" t="s">
        <v>130</v>
      </c>
      <c r="E472" s="72" t="s">
        <v>131</v>
      </c>
      <c r="F472" s="1446" t="str">
        <f ca="1">IFERROR(OFFSET('4.2民生電力需要量'!$G$1,MATCH($D472,'4.2民生電力需要量'!$E:$E,0)-1,0),"")</f>
        <v/>
      </c>
      <c r="G472" s="1446"/>
      <c r="H472" s="1446"/>
      <c r="I472" s="1446"/>
      <c r="J472" s="1446"/>
      <c r="K472" s="1446"/>
      <c r="L472" s="8"/>
      <c r="M472"/>
      <c r="N472"/>
      <c r="O472"/>
      <c r="R472" s="175" t="str">
        <f ca="1">IFERROR(OFFSET('4.2民生電力需要量'!$G$1,MATCH($D472,'4.2民生電力需要量'!$E:$E,0)-1,0),"")</f>
        <v/>
      </c>
      <c r="S472" s="175"/>
      <c r="T472" s="175"/>
      <c r="U472" s="175"/>
      <c r="V472" s="175"/>
      <c r="W472" s="175"/>
      <c r="X472" s="175"/>
      <c r="Y472" s="175"/>
      <c r="Z472" s="175"/>
      <c r="AA472" s="175"/>
      <c r="AB472" s="175">
        <f ca="1">(F472=R472)*1</f>
        <v>1</v>
      </c>
    </row>
    <row r="473" spans="1:28">
      <c r="B473" s="7"/>
      <c r="C473" s="915"/>
      <c r="D473" s="97"/>
      <c r="E473" s="72" t="s">
        <v>612</v>
      </c>
      <c r="F473" s="1447" t="str">
        <f ca="1">IFERROR(OFFSET('4.2民生電力需要量'!$L$1,MATCH($D472,'4.2民生電力需要量'!$E:$E,0)-1,0),"")</f>
        <v/>
      </c>
      <c r="G473" s="1448"/>
      <c r="H473" s="1448"/>
      <c r="I473" s="1448"/>
      <c r="J473" s="1448"/>
      <c r="K473" s="1449"/>
      <c r="L473" s="8"/>
      <c r="M473"/>
      <c r="N473"/>
      <c r="O473"/>
      <c r="R473" s="175" t="str">
        <f ca="1">IFERROR(OFFSET('4.2民生電力需要量'!$L$1,MATCH($D472,'4.2民生電力需要量'!$E:$E,0)-1,0),"")</f>
        <v/>
      </c>
      <c r="S473" s="175"/>
      <c r="T473" s="175"/>
      <c r="U473" s="175"/>
      <c r="V473" s="175"/>
      <c r="W473" s="175"/>
      <c r="X473" s="175"/>
      <c r="Y473" s="175"/>
      <c r="Z473" s="175"/>
      <c r="AA473" s="175"/>
      <c r="AB473" s="175">
        <f ca="1">(F473=R473)*1</f>
        <v>1</v>
      </c>
    </row>
    <row r="474" spans="1:28">
      <c r="B474" s="7"/>
      <c r="C474" s="74"/>
      <c r="D474" s="66"/>
      <c r="E474" s="72" t="s">
        <v>220</v>
      </c>
      <c r="F474" s="1450" t="str">
        <f ca="1">IFERROR(OFFSET('4.2民生電力需要量'!$I$1,MATCH($D472,'4.2民生電力需要量'!$E:$E,0)-1,0),"")</f>
        <v/>
      </c>
      <c r="G474" s="1450"/>
      <c r="H474" s="1450"/>
      <c r="I474" s="1450"/>
      <c r="J474" s="1450"/>
      <c r="K474" s="1450"/>
      <c r="L474" s="8"/>
      <c r="M474"/>
      <c r="N474"/>
      <c r="O474"/>
      <c r="R474" s="175" t="str">
        <f ca="1">IFERROR(OFFSET('4.2民生電力需要量'!$I$1,MATCH($D472,'4.2民生電力需要量'!$E:$E,0)-1,0),"")</f>
        <v/>
      </c>
      <c r="S474" s="175"/>
      <c r="T474" s="175"/>
      <c r="U474" s="175"/>
      <c r="V474" s="175"/>
      <c r="W474" s="175"/>
      <c r="X474" s="175"/>
      <c r="Y474" s="175"/>
      <c r="Z474" s="175"/>
      <c r="AA474" s="175"/>
      <c r="AB474" s="175">
        <f t="shared" ref="AB474:AB475" ca="1" si="249">(F474=R474)*1</f>
        <v>1</v>
      </c>
    </row>
    <row r="475" spans="1:28">
      <c r="B475" s="7"/>
      <c r="C475" s="74"/>
      <c r="D475" s="66"/>
      <c r="E475" s="72" t="s">
        <v>175</v>
      </c>
      <c r="F475" s="1451" t="str">
        <f>_xlfn.IFNA(R475,"")</f>
        <v/>
      </c>
      <c r="G475" s="1451"/>
      <c r="H475" s="1451"/>
      <c r="I475" s="1451"/>
      <c r="J475" s="1451"/>
      <c r="K475" s="1451"/>
      <c r="L475" s="8"/>
      <c r="M475"/>
      <c r="N475"/>
      <c r="O475"/>
      <c r="R475" s="215" t="str">
        <f>IF(PRODUCT($Z477:$Z481)=1,AA477,"")</f>
        <v/>
      </c>
      <c r="S475" s="175"/>
      <c r="T475" s="175"/>
      <c r="U475" s="175"/>
      <c r="V475" s="175"/>
      <c r="W475" s="175"/>
      <c r="X475" s="175"/>
      <c r="Y475" s="175"/>
      <c r="Z475" s="175"/>
      <c r="AA475" s="175"/>
      <c r="AB475" s="175">
        <f t="shared" si="249"/>
        <v>1</v>
      </c>
    </row>
    <row r="476" spans="1:28" s="2" customFormat="1" ht="60">
      <c r="A476"/>
      <c r="B476" s="7"/>
      <c r="C476" s="74"/>
      <c r="D476" s="66"/>
      <c r="E476" s="306"/>
      <c r="F476" s="312" t="s">
        <v>299</v>
      </c>
      <c r="G476" s="313" t="s">
        <v>300</v>
      </c>
      <c r="H476" s="313" t="s">
        <v>301</v>
      </c>
      <c r="I476" s="313" t="s">
        <v>302</v>
      </c>
      <c r="J476" s="313" t="s">
        <v>429</v>
      </c>
      <c r="K476" s="313" t="s">
        <v>270</v>
      </c>
      <c r="L476" s="8"/>
      <c r="M476"/>
      <c r="P476"/>
      <c r="Q476"/>
      <c r="R476" s="294" t="s">
        <v>298</v>
      </c>
      <c r="S476" s="294" t="s">
        <v>299</v>
      </c>
      <c r="T476" s="314" t="s">
        <v>423</v>
      </c>
      <c r="U476" s="294" t="s">
        <v>424</v>
      </c>
      <c r="V476" s="294" t="s">
        <v>422</v>
      </c>
      <c r="W476" s="315" t="s">
        <v>270</v>
      </c>
      <c r="X476" s="294" t="s">
        <v>426</v>
      </c>
      <c r="Y476" s="215" t="s">
        <v>402</v>
      </c>
      <c r="Z476" s="215" t="s">
        <v>430</v>
      </c>
      <c r="AA476" s="294" t="s">
        <v>425</v>
      </c>
      <c r="AB476" s="294"/>
    </row>
    <row r="477" spans="1:28" s="99" customFormat="1" ht="18.75" hidden="1" customHeight="1">
      <c r="A477" s="11"/>
      <c r="B477" s="95"/>
      <c r="C477" s="96"/>
      <c r="D477" s="97"/>
      <c r="E477" s="438"/>
      <c r="F477" s="439"/>
      <c r="G477" s="439"/>
      <c r="H477" s="439"/>
      <c r="I477" s="439"/>
      <c r="J477" s="439"/>
      <c r="K477" s="439"/>
      <c r="L477" s="98"/>
      <c r="M477" s="11"/>
      <c r="Q477" s="11"/>
      <c r="R477" s="129">
        <f>IF(E477="地区代表者",COUNTA($D$1:$D477),0)</f>
        <v>0</v>
      </c>
      <c r="S477" s="129">
        <f t="shared" ref="S477:S478" si="250">IF(F477="実施済",1,0)</f>
        <v>0</v>
      </c>
      <c r="T477" s="258"/>
      <c r="U477" s="129">
        <f t="shared" ref="U477:U478" si="251">IF(AND(H477="実施済",I477="実施済"),S477*1,0)</f>
        <v>0</v>
      </c>
      <c r="V477" s="129">
        <f>IF(J477="実施済",$U477*1,0)</f>
        <v>0</v>
      </c>
      <c r="W477" s="258"/>
      <c r="X477" s="129" t="str">
        <f>IF(E477="","",IF(R477*S477&gt;0,3,SUM(S477,U477,V477)))</f>
        <v/>
      </c>
      <c r="Y477" s="129">
        <f>MIN($X$477:$X$481)+1</f>
        <v>1</v>
      </c>
      <c r="Z477" s="129">
        <f>IF(E477="",1,IF(R477&gt;0,IF(COUNTA($F477:$K477)=2,1,0),IF(COUNTA($F477:$K477)=6,1,0)))</f>
        <v>1</v>
      </c>
      <c r="AA477" s="129" t="str" cm="1">
        <f t="array" ref="AA477">_xlfn.IFS(Y477=4,"A",Y477=3,"B",Y477=2,"C",Y477=1,"D")</f>
        <v>D</v>
      </c>
      <c r="AB477" s="129" t="str" cm="1">
        <f t="array" ref="AB477">_xlfn.IFS(Z477=4,"A",Z477=3,"B",Z477=2,"C",Z477=1,"D")</f>
        <v>D</v>
      </c>
    </row>
    <row r="478" spans="1:28" s="99" customFormat="1" ht="18.75" customHeight="1">
      <c r="A478" s="11"/>
      <c r="B478" s="95"/>
      <c r="C478" s="96"/>
      <c r="D478" s="97"/>
      <c r="E478" s="440" t="s">
        <v>298</v>
      </c>
      <c r="F478" s="441"/>
      <c r="G478" s="839"/>
      <c r="H478" s="839"/>
      <c r="I478" s="839"/>
      <c r="J478" s="839"/>
      <c r="K478" s="441"/>
      <c r="L478" s="98"/>
      <c r="M478" s="11"/>
      <c r="Q478" s="11"/>
      <c r="R478" s="129">
        <f>IF(E478="地区代表者",COUNTA($D$1:$D478),0)</f>
        <v>32</v>
      </c>
      <c r="S478" s="129">
        <f t="shared" si="250"/>
        <v>0</v>
      </c>
      <c r="T478" s="258"/>
      <c r="U478" s="129">
        <f t="shared" si="251"/>
        <v>0</v>
      </c>
      <c r="V478" s="129">
        <f>IF(J478="実施済",$U478*1,0)</f>
        <v>0</v>
      </c>
      <c r="W478" s="258"/>
      <c r="X478" s="129">
        <f t="shared" ref="X478:X481" si="252">IF(E478="","",IF(R478*S478&gt;0,3,SUM(S478,U478,V478)))</f>
        <v>0</v>
      </c>
      <c r="Y478" s="129">
        <f>MIN($X$477:$X$481)+1</f>
        <v>1</v>
      </c>
      <c r="Z478" s="129">
        <f t="shared" ref="Z478:Z481" si="253">IF(E478="",1,IF(R478&gt;0,IF(COUNTA($F478:$K478)=2,1,0),IF(COUNTA($F478:$K478)=6,1,0)))</f>
        <v>0</v>
      </c>
      <c r="AA478" s="129" t="str" cm="1">
        <f t="array" ref="AA478">_xlfn.IFS(Y478=4,"A",Y478=3,"B",Y478=2,"C",Y478=1,"D")</f>
        <v>D</v>
      </c>
      <c r="AB478" s="129"/>
    </row>
    <row r="479" spans="1:28" s="99" customFormat="1" ht="18.75" customHeight="1">
      <c r="A479" s="11"/>
      <c r="B479" s="95"/>
      <c r="C479" s="96"/>
      <c r="D479" s="97"/>
      <c r="E479" s="440" t="s">
        <v>116</v>
      </c>
      <c r="F479" s="441"/>
      <c r="G479" s="441"/>
      <c r="H479" s="441"/>
      <c r="I479" s="441"/>
      <c r="J479" s="441"/>
      <c r="K479" s="441"/>
      <c r="L479" s="98"/>
      <c r="M479" s="11"/>
      <c r="P479" s="11"/>
      <c r="Q479" s="11"/>
      <c r="R479" s="129">
        <f>IF(E479="地区代表者",COUNTA($D$1:$D479),0)</f>
        <v>0</v>
      </c>
      <c r="S479" s="129">
        <f>IF(F479="実施済",1,0)</f>
        <v>0</v>
      </c>
      <c r="T479" s="258"/>
      <c r="U479" s="129">
        <f>IF(AND(H479="実施済",I479="実施済"),S479*1,0)</f>
        <v>0</v>
      </c>
      <c r="V479" s="129">
        <f>IF(J479="実施済",$U479*1,0)</f>
        <v>0</v>
      </c>
      <c r="W479" s="258"/>
      <c r="X479" s="129">
        <f t="shared" si="252"/>
        <v>0</v>
      </c>
      <c r="Y479" s="129">
        <f>MIN($X$477:$X$481)+1</f>
        <v>1</v>
      </c>
      <c r="Z479" s="129">
        <f t="shared" si="253"/>
        <v>0</v>
      </c>
      <c r="AA479" s="129" t="str" cm="1">
        <f t="array" ref="AA479">_xlfn.IFS(Y479=4,"A",Y479=3,"B",Y479=2,"C",Y479=1,"D")</f>
        <v>D</v>
      </c>
      <c r="AB479" s="129"/>
    </row>
    <row r="480" spans="1:28" s="2" customFormat="1" ht="9" customHeight="1">
      <c r="A480"/>
      <c r="B480" s="65"/>
      <c r="C480" s="4"/>
      <c r="D480" s="307"/>
      <c r="E480" s="308"/>
      <c r="F480" s="308"/>
      <c r="G480" s="308"/>
      <c r="H480" s="308"/>
      <c r="I480" s="308"/>
      <c r="J480" s="308"/>
      <c r="K480" s="308"/>
      <c r="L480" s="9"/>
      <c r="M480"/>
      <c r="P480"/>
      <c r="Q480"/>
      <c r="R480" s="215">
        <f>IF(E480="地区代表者",COUNTA($D$1:$D480),0)</f>
        <v>0</v>
      </c>
      <c r="S480" s="215">
        <f t="shared" ref="S480:S481" si="254">IF(F480="実施済",1,0)</f>
        <v>0</v>
      </c>
      <c r="T480" s="316"/>
      <c r="U480" s="215">
        <f t="shared" ref="U480:U481" si="255">IF(AND(H480="実施済",I480="実施済"),S480*1,0)</f>
        <v>0</v>
      </c>
      <c r="V480" s="215">
        <f t="shared" ref="V480:V481" si="256">IF(J480="実施済",$U480*1,0)</f>
        <v>0</v>
      </c>
      <c r="W480" s="316"/>
      <c r="X480" s="215" t="str">
        <f t="shared" si="252"/>
        <v/>
      </c>
      <c r="Y480" s="215">
        <f>MIN($X$477:$X$481)+1</f>
        <v>1</v>
      </c>
      <c r="Z480" s="215">
        <f t="shared" si="253"/>
        <v>1</v>
      </c>
      <c r="AA480" s="215" t="str" cm="1">
        <f t="array" ref="AA480">_xlfn.IFS(Y480=4,"A",Y480=3,"B",Y480=2,"C",Y480=1,"D")</f>
        <v>D</v>
      </c>
      <c r="AB480" s="215"/>
    </row>
    <row r="481" spans="1:28" s="2" customFormat="1" ht="6" customHeight="1">
      <c r="A481"/>
      <c r="B481"/>
      <c r="C481"/>
      <c r="D481" s="309"/>
      <c r="E481" s="310"/>
      <c r="F481" s="310"/>
      <c r="G481" s="310"/>
      <c r="H481" s="310"/>
      <c r="I481" s="310"/>
      <c r="J481" s="310"/>
      <c r="K481" s="310"/>
      <c r="L481"/>
      <c r="M481"/>
      <c r="P481"/>
      <c r="Q481"/>
      <c r="R481" s="215">
        <f>IF(E481="地区代表者",COUNTA($D$1:$D481),0)</f>
        <v>0</v>
      </c>
      <c r="S481" s="215">
        <f t="shared" si="254"/>
        <v>0</v>
      </c>
      <c r="T481" s="316"/>
      <c r="U481" s="215">
        <f t="shared" si="255"/>
        <v>0</v>
      </c>
      <c r="V481" s="215">
        <f t="shared" si="256"/>
        <v>0</v>
      </c>
      <c r="W481" s="316"/>
      <c r="X481" s="215" t="str">
        <f t="shared" si="252"/>
        <v/>
      </c>
      <c r="Y481" s="215">
        <f>MIN($X$477:$X$481)+1</f>
        <v>1</v>
      </c>
      <c r="Z481" s="215">
        <f t="shared" si="253"/>
        <v>1</v>
      </c>
      <c r="AA481" s="215" t="str" cm="1">
        <f t="array" ref="AA481">_xlfn.IFS(Y481=4,"A",Y481=3,"B",Y481=2,"C",Y481=1,"D")</f>
        <v>D</v>
      </c>
      <c r="AB481" s="215"/>
    </row>
    <row r="482" spans="1:28" ht="96" customHeight="1">
      <c r="C482" s="78"/>
      <c r="D482" s="79"/>
      <c r="E482" s="72" t="s">
        <v>236</v>
      </c>
      <c r="F482" s="1452"/>
      <c r="G482" s="1452"/>
      <c r="H482" s="1452"/>
      <c r="I482" s="1452"/>
      <c r="J482" s="1452"/>
      <c r="K482" s="1452"/>
      <c r="L482" s="80" t="s">
        <v>132</v>
      </c>
      <c r="M482" s="290"/>
    </row>
    <row r="483" spans="1:28" ht="96" customHeight="1">
      <c r="C483" s="75"/>
      <c r="D483" s="68"/>
      <c r="E483" s="72" t="s">
        <v>237</v>
      </c>
      <c r="F483" s="1452"/>
      <c r="G483" s="1452"/>
      <c r="H483" s="1452"/>
      <c r="I483" s="1452"/>
      <c r="J483" s="1452"/>
      <c r="K483" s="1452"/>
    </row>
    <row r="484" spans="1:28" ht="18.5" thickBot="1">
      <c r="A484" s="81"/>
      <c r="B484" s="81"/>
      <c r="C484" s="81"/>
      <c r="D484" s="81"/>
      <c r="E484" s="311"/>
      <c r="F484" s="81"/>
      <c r="G484" s="81"/>
      <c r="H484" s="81"/>
      <c r="I484" s="81"/>
      <c r="J484" s="81"/>
      <c r="K484" s="81"/>
      <c r="L484" s="81"/>
      <c r="M484" s="82"/>
    </row>
    <row r="486" spans="1:28" ht="9" customHeight="1">
      <c r="B486" s="10"/>
      <c r="C486" s="5"/>
      <c r="D486" s="5"/>
      <c r="E486" s="305"/>
      <c r="F486" s="5"/>
      <c r="G486" s="5"/>
      <c r="H486" s="5"/>
      <c r="I486" s="5"/>
      <c r="J486" s="5"/>
      <c r="K486" s="5"/>
      <c r="L486" s="6"/>
      <c r="M486"/>
      <c r="N486"/>
      <c r="O486"/>
      <c r="R486" t="str">
        <f>D487</f>
        <v>(選択してください)</v>
      </c>
    </row>
    <row r="487" spans="1:28">
      <c r="B487" s="7"/>
      <c r="C487" s="77" t="str">
        <f ca="1">IFERROR(OFFSET('4.2民生電力需要量'!$C$1,MATCH(D487,'4.2民生電力需要量'!$E:$E,0)-1,0),"")</f>
        <v/>
      </c>
      <c r="D487" s="94" t="s">
        <v>130</v>
      </c>
      <c r="E487" s="72" t="s">
        <v>131</v>
      </c>
      <c r="F487" s="1446" t="str">
        <f ca="1">IFERROR(OFFSET('4.2民生電力需要量'!$G$1,MATCH($D487,'4.2民生電力需要量'!$E:$E,0)-1,0),"")</f>
        <v/>
      </c>
      <c r="G487" s="1446"/>
      <c r="H487" s="1446"/>
      <c r="I487" s="1446"/>
      <c r="J487" s="1446"/>
      <c r="K487" s="1446"/>
      <c r="L487" s="8"/>
      <c r="M487"/>
      <c r="N487"/>
      <c r="O487"/>
      <c r="R487" s="175" t="str">
        <f ca="1">IFERROR(OFFSET('4.2民生電力需要量'!$G$1,MATCH($D487,'4.2民生電力需要量'!$E:$E,0)-1,0),"")</f>
        <v/>
      </c>
      <c r="S487" s="175"/>
      <c r="T487" s="175"/>
      <c r="U487" s="175"/>
      <c r="V487" s="175"/>
      <c r="W487" s="175"/>
      <c r="X487" s="175"/>
      <c r="Y487" s="175"/>
      <c r="Z487" s="175"/>
      <c r="AA487" s="175"/>
      <c r="AB487" s="175">
        <f ca="1">(F487=R487)*1</f>
        <v>1</v>
      </c>
    </row>
    <row r="488" spans="1:28">
      <c r="B488" s="7"/>
      <c r="C488" s="915"/>
      <c r="D488" s="97"/>
      <c r="E488" s="72" t="s">
        <v>612</v>
      </c>
      <c r="F488" s="1447" t="str">
        <f ca="1">IFERROR(OFFSET('4.2民生電力需要量'!$L$1,MATCH($D487,'4.2民生電力需要量'!$E:$E,0)-1,0),"")</f>
        <v/>
      </c>
      <c r="G488" s="1448"/>
      <c r="H488" s="1448"/>
      <c r="I488" s="1448"/>
      <c r="J488" s="1448"/>
      <c r="K488" s="1449"/>
      <c r="L488" s="8"/>
      <c r="M488"/>
      <c r="N488"/>
      <c r="O488"/>
      <c r="R488" s="175" t="str">
        <f ca="1">IFERROR(OFFSET('4.2民生電力需要量'!$L$1,MATCH($D487,'4.2民生電力需要量'!$E:$E,0)-1,0),"")</f>
        <v/>
      </c>
      <c r="S488" s="175"/>
      <c r="T488" s="175"/>
      <c r="U488" s="175"/>
      <c r="V488" s="175"/>
      <c r="W488" s="175"/>
      <c r="X488" s="175"/>
      <c r="Y488" s="175"/>
      <c r="Z488" s="175"/>
      <c r="AA488" s="175"/>
      <c r="AB488" s="175">
        <f ca="1">(F488=R488)*1</f>
        <v>1</v>
      </c>
    </row>
    <row r="489" spans="1:28">
      <c r="B489" s="7"/>
      <c r="C489" s="74"/>
      <c r="D489" s="66"/>
      <c r="E489" s="72" t="s">
        <v>220</v>
      </c>
      <c r="F489" s="1450" t="str">
        <f ca="1">IFERROR(OFFSET('4.2民生電力需要量'!$I$1,MATCH($D487,'4.2民生電力需要量'!$E:$E,0)-1,0),"")</f>
        <v/>
      </c>
      <c r="G489" s="1450"/>
      <c r="H489" s="1450"/>
      <c r="I489" s="1450"/>
      <c r="J489" s="1450"/>
      <c r="K489" s="1450"/>
      <c r="L489" s="8"/>
      <c r="M489"/>
      <c r="N489"/>
      <c r="O489"/>
      <c r="R489" s="175" t="str">
        <f ca="1">IFERROR(OFFSET('4.2民生電力需要量'!$I$1,MATCH($D487,'4.2民生電力需要量'!$E:$E,0)-1,0),"")</f>
        <v/>
      </c>
      <c r="S489" s="175"/>
      <c r="T489" s="175"/>
      <c r="U489" s="175"/>
      <c r="V489" s="175"/>
      <c r="W489" s="175"/>
      <c r="X489" s="175"/>
      <c r="Y489" s="175"/>
      <c r="Z489" s="175"/>
      <c r="AA489" s="175"/>
      <c r="AB489" s="175">
        <f t="shared" ref="AB489:AB490" ca="1" si="257">(F489=R489)*1</f>
        <v>1</v>
      </c>
    </row>
    <row r="490" spans="1:28">
      <c r="B490" s="7"/>
      <c r="C490" s="74"/>
      <c r="D490" s="66"/>
      <c r="E490" s="72" t="s">
        <v>175</v>
      </c>
      <c r="F490" s="1451" t="str">
        <f>_xlfn.IFNA(R490,"")</f>
        <v/>
      </c>
      <c r="G490" s="1451"/>
      <c r="H490" s="1451"/>
      <c r="I490" s="1451"/>
      <c r="J490" s="1451"/>
      <c r="K490" s="1451"/>
      <c r="L490" s="8"/>
      <c r="M490"/>
      <c r="N490"/>
      <c r="O490"/>
      <c r="R490" s="215" t="str">
        <f>IF(PRODUCT($Z492:$Z496)=1,AA492,"")</f>
        <v/>
      </c>
      <c r="S490" s="175"/>
      <c r="T490" s="175"/>
      <c r="U490" s="175"/>
      <c r="V490" s="175"/>
      <c r="W490" s="175"/>
      <c r="X490" s="175"/>
      <c r="Y490" s="175"/>
      <c r="Z490" s="175"/>
      <c r="AA490" s="175"/>
      <c r="AB490" s="175">
        <f t="shared" si="257"/>
        <v>1</v>
      </c>
    </row>
    <row r="491" spans="1:28" s="2" customFormat="1" ht="60">
      <c r="A491"/>
      <c r="B491" s="7"/>
      <c r="C491" s="74"/>
      <c r="D491" s="66"/>
      <c r="E491" s="306"/>
      <c r="F491" s="312" t="s">
        <v>299</v>
      </c>
      <c r="G491" s="313" t="s">
        <v>300</v>
      </c>
      <c r="H491" s="313" t="s">
        <v>301</v>
      </c>
      <c r="I491" s="313" t="s">
        <v>302</v>
      </c>
      <c r="J491" s="313" t="s">
        <v>429</v>
      </c>
      <c r="K491" s="313" t="s">
        <v>270</v>
      </c>
      <c r="L491" s="8"/>
      <c r="M491"/>
      <c r="P491"/>
      <c r="Q491"/>
      <c r="R491" s="294" t="s">
        <v>298</v>
      </c>
      <c r="S491" s="294" t="s">
        <v>299</v>
      </c>
      <c r="T491" s="314" t="s">
        <v>423</v>
      </c>
      <c r="U491" s="294" t="s">
        <v>424</v>
      </c>
      <c r="V491" s="294" t="s">
        <v>422</v>
      </c>
      <c r="W491" s="315" t="s">
        <v>270</v>
      </c>
      <c r="X491" s="294" t="s">
        <v>426</v>
      </c>
      <c r="Y491" s="215" t="s">
        <v>402</v>
      </c>
      <c r="Z491" s="215" t="s">
        <v>430</v>
      </c>
      <c r="AA491" s="294" t="s">
        <v>425</v>
      </c>
      <c r="AB491" s="294"/>
    </row>
    <row r="492" spans="1:28" s="99" customFormat="1" ht="18.75" hidden="1" customHeight="1">
      <c r="A492" s="11"/>
      <c r="B492" s="95"/>
      <c r="C492" s="96"/>
      <c r="D492" s="97"/>
      <c r="E492" s="438"/>
      <c r="F492" s="439"/>
      <c r="G492" s="439"/>
      <c r="H492" s="439"/>
      <c r="I492" s="439"/>
      <c r="J492" s="439"/>
      <c r="K492" s="439"/>
      <c r="L492" s="98"/>
      <c r="M492" s="11"/>
      <c r="Q492" s="11"/>
      <c r="R492" s="129">
        <f>IF(E492="地区代表者",COUNTA($D$1:$D492),0)</f>
        <v>0</v>
      </c>
      <c r="S492" s="129">
        <f t="shared" ref="S492:S493" si="258">IF(F492="実施済",1,0)</f>
        <v>0</v>
      </c>
      <c r="T492" s="258"/>
      <c r="U492" s="129">
        <f t="shared" ref="U492:U493" si="259">IF(AND(H492="実施済",I492="実施済"),S492*1,0)</f>
        <v>0</v>
      </c>
      <c r="V492" s="129">
        <f>IF(J492="実施済",$U492*1,0)</f>
        <v>0</v>
      </c>
      <c r="W492" s="258"/>
      <c r="X492" s="129" t="str">
        <f>IF(E492="","",IF(R492*S492&gt;0,3,SUM(S492,U492,V492)))</f>
        <v/>
      </c>
      <c r="Y492" s="129">
        <f>MIN($X$492:$X$496)+1</f>
        <v>1</v>
      </c>
      <c r="Z492" s="129">
        <f>IF(E492="",1,IF(R492&gt;0,IF(COUNTA($F492:$K492)=2,1,0),IF(COUNTA($F492:$K492)=6,1,0)))</f>
        <v>1</v>
      </c>
      <c r="AA492" s="129" t="str" cm="1">
        <f t="array" ref="AA492">_xlfn.IFS(Y492=4,"A",Y492=3,"B",Y492=2,"C",Y492=1,"D")</f>
        <v>D</v>
      </c>
      <c r="AB492" s="129" t="str" cm="1">
        <f t="array" ref="AB492">_xlfn.IFS(Z492=4,"A",Z492=3,"B",Z492=2,"C",Z492=1,"D")</f>
        <v>D</v>
      </c>
    </row>
    <row r="493" spans="1:28" s="99" customFormat="1" ht="18.75" customHeight="1">
      <c r="A493" s="11"/>
      <c r="B493" s="95"/>
      <c r="C493" s="96"/>
      <c r="D493" s="97"/>
      <c r="E493" s="440" t="s">
        <v>298</v>
      </c>
      <c r="F493" s="441"/>
      <c r="G493" s="839"/>
      <c r="H493" s="839"/>
      <c r="I493" s="839"/>
      <c r="J493" s="839"/>
      <c r="K493" s="441"/>
      <c r="L493" s="98"/>
      <c r="M493" s="11"/>
      <c r="Q493" s="11"/>
      <c r="R493" s="129">
        <f>IF(E493="地区代表者",COUNTA($D$1:$D493),0)</f>
        <v>33</v>
      </c>
      <c r="S493" s="129">
        <f t="shared" si="258"/>
        <v>0</v>
      </c>
      <c r="T493" s="258"/>
      <c r="U493" s="129">
        <f t="shared" si="259"/>
        <v>0</v>
      </c>
      <c r="V493" s="129">
        <f>IF(J493="実施済",$U493*1,0)</f>
        <v>0</v>
      </c>
      <c r="W493" s="258"/>
      <c r="X493" s="129">
        <f t="shared" ref="X493:X496" si="260">IF(E493="","",IF(R493*S493&gt;0,3,SUM(S493,U493,V493)))</f>
        <v>0</v>
      </c>
      <c r="Y493" s="129">
        <f>MIN($X$492:$X$496)+1</f>
        <v>1</v>
      </c>
      <c r="Z493" s="129">
        <f t="shared" ref="Z493:Z496" si="261">IF(E493="",1,IF(R493&gt;0,IF(COUNTA($F493:$K493)=2,1,0),IF(COUNTA($F493:$K493)=6,1,0)))</f>
        <v>0</v>
      </c>
      <c r="AA493" s="129" t="str" cm="1">
        <f t="array" ref="AA493">_xlfn.IFS(Y493=4,"A",Y493=3,"B",Y493=2,"C",Y493=1,"D")</f>
        <v>D</v>
      </c>
      <c r="AB493" s="129"/>
    </row>
    <row r="494" spans="1:28" s="99" customFormat="1" ht="18.75" customHeight="1">
      <c r="A494" s="11"/>
      <c r="B494" s="95"/>
      <c r="C494" s="96"/>
      <c r="D494" s="97"/>
      <c r="E494" s="440" t="s">
        <v>116</v>
      </c>
      <c r="F494" s="441"/>
      <c r="G494" s="441"/>
      <c r="H494" s="441"/>
      <c r="I494" s="441"/>
      <c r="J494" s="441"/>
      <c r="K494" s="441"/>
      <c r="L494" s="98"/>
      <c r="M494" s="11"/>
      <c r="P494" s="11"/>
      <c r="Q494" s="11"/>
      <c r="R494" s="129">
        <f>IF(E494="地区代表者",COUNTA($D$1:$D494),0)</f>
        <v>0</v>
      </c>
      <c r="S494" s="129">
        <f>IF(F494="実施済",1,0)</f>
        <v>0</v>
      </c>
      <c r="T494" s="258"/>
      <c r="U494" s="129">
        <f>IF(AND(H494="実施済",I494="実施済"),S494*1,0)</f>
        <v>0</v>
      </c>
      <c r="V494" s="129">
        <f>IF(J494="実施済",$U494*1,0)</f>
        <v>0</v>
      </c>
      <c r="W494" s="258"/>
      <c r="X494" s="129">
        <f t="shared" si="260"/>
        <v>0</v>
      </c>
      <c r="Y494" s="129">
        <f>MIN($X$492:$X$496)+1</f>
        <v>1</v>
      </c>
      <c r="Z494" s="129">
        <f t="shared" si="261"/>
        <v>0</v>
      </c>
      <c r="AA494" s="129" t="str" cm="1">
        <f t="array" ref="AA494">_xlfn.IFS(Y494=4,"A",Y494=3,"B",Y494=2,"C",Y494=1,"D")</f>
        <v>D</v>
      </c>
      <c r="AB494" s="129"/>
    </row>
    <row r="495" spans="1:28" s="2" customFormat="1" ht="9" customHeight="1">
      <c r="A495"/>
      <c r="B495" s="65"/>
      <c r="C495" s="4"/>
      <c r="D495" s="307"/>
      <c r="E495" s="308"/>
      <c r="F495" s="308"/>
      <c r="G495" s="308"/>
      <c r="H495" s="308"/>
      <c r="I495" s="308"/>
      <c r="J495" s="308"/>
      <c r="K495" s="308"/>
      <c r="L495" s="9"/>
      <c r="M495"/>
      <c r="P495"/>
      <c r="Q495"/>
      <c r="R495" s="215">
        <f>IF(E495="地区代表者",COUNTA($D$1:$D495),0)</f>
        <v>0</v>
      </c>
      <c r="S495" s="215">
        <f t="shared" ref="S495:S496" si="262">IF(F495="実施済",1,0)</f>
        <v>0</v>
      </c>
      <c r="T495" s="316"/>
      <c r="U495" s="215">
        <f t="shared" ref="U495:U496" si="263">IF(AND(H495="実施済",I495="実施済"),S495*1,0)</f>
        <v>0</v>
      </c>
      <c r="V495" s="215">
        <f t="shared" ref="V495:V496" si="264">IF(J495="実施済",$U495*1,0)</f>
        <v>0</v>
      </c>
      <c r="W495" s="316"/>
      <c r="X495" s="215" t="str">
        <f t="shared" si="260"/>
        <v/>
      </c>
      <c r="Y495" s="215">
        <f>MIN($X$492:$X$496)+1</f>
        <v>1</v>
      </c>
      <c r="Z495" s="215">
        <f t="shared" si="261"/>
        <v>1</v>
      </c>
      <c r="AA495" s="215" t="str" cm="1">
        <f t="array" ref="AA495">_xlfn.IFS(Y495=4,"A",Y495=3,"B",Y495=2,"C",Y495=1,"D")</f>
        <v>D</v>
      </c>
      <c r="AB495" s="215"/>
    </row>
    <row r="496" spans="1:28" s="2" customFormat="1" ht="6" customHeight="1">
      <c r="A496"/>
      <c r="B496"/>
      <c r="C496"/>
      <c r="D496" s="309"/>
      <c r="E496" s="310"/>
      <c r="F496" s="310"/>
      <c r="G496" s="310"/>
      <c r="H496" s="310"/>
      <c r="I496" s="310"/>
      <c r="J496" s="310"/>
      <c r="K496" s="310"/>
      <c r="L496"/>
      <c r="M496"/>
      <c r="P496"/>
      <c r="Q496"/>
      <c r="R496" s="215">
        <f>IF(E496="地区代表者",COUNTA($D$1:$D496),0)</f>
        <v>0</v>
      </c>
      <c r="S496" s="215">
        <f t="shared" si="262"/>
        <v>0</v>
      </c>
      <c r="T496" s="316"/>
      <c r="U496" s="215">
        <f t="shared" si="263"/>
        <v>0</v>
      </c>
      <c r="V496" s="215">
        <f t="shared" si="264"/>
        <v>0</v>
      </c>
      <c r="W496" s="316"/>
      <c r="X496" s="215" t="str">
        <f t="shared" si="260"/>
        <v/>
      </c>
      <c r="Y496" s="215">
        <f>MIN($X$492:$X$496)+1</f>
        <v>1</v>
      </c>
      <c r="Z496" s="215">
        <f t="shared" si="261"/>
        <v>1</v>
      </c>
      <c r="AA496" s="215" t="str" cm="1">
        <f t="array" ref="AA496">_xlfn.IFS(Y496=4,"A",Y496=3,"B",Y496=2,"C",Y496=1,"D")</f>
        <v>D</v>
      </c>
      <c r="AB496" s="215"/>
    </row>
    <row r="497" spans="1:28" ht="96" customHeight="1">
      <c r="C497" s="78"/>
      <c r="D497" s="79"/>
      <c r="E497" s="72" t="s">
        <v>236</v>
      </c>
      <c r="F497" s="1452"/>
      <c r="G497" s="1452"/>
      <c r="H497" s="1452"/>
      <c r="I497" s="1452"/>
      <c r="J497" s="1452"/>
      <c r="K497" s="1452"/>
      <c r="L497" s="80" t="s">
        <v>132</v>
      </c>
      <c r="M497" s="290"/>
    </row>
    <row r="498" spans="1:28" ht="96" customHeight="1">
      <c r="C498" s="75"/>
      <c r="D498" s="68"/>
      <c r="E498" s="72" t="s">
        <v>237</v>
      </c>
      <c r="F498" s="1452"/>
      <c r="G498" s="1452"/>
      <c r="H498" s="1452"/>
      <c r="I498" s="1452"/>
      <c r="J498" s="1452"/>
      <c r="K498" s="1452"/>
    </row>
    <row r="499" spans="1:28" ht="18.5" thickBot="1">
      <c r="A499" s="81"/>
      <c r="B499" s="81"/>
      <c r="C499" s="81"/>
      <c r="D499" s="81"/>
      <c r="E499" s="311"/>
      <c r="F499" s="81"/>
      <c r="G499" s="81"/>
      <c r="H499" s="81"/>
      <c r="I499" s="81"/>
      <c r="J499" s="81"/>
      <c r="K499" s="81"/>
      <c r="L499" s="81"/>
      <c r="M499" s="82"/>
    </row>
    <row r="501" spans="1:28" ht="9" customHeight="1">
      <c r="B501" s="10"/>
      <c r="C501" s="5"/>
      <c r="D501" s="5"/>
      <c r="E501" s="305"/>
      <c r="F501" s="5"/>
      <c r="G501" s="5"/>
      <c r="H501" s="5"/>
      <c r="I501" s="5"/>
      <c r="J501" s="5"/>
      <c r="K501" s="5"/>
      <c r="L501" s="6"/>
      <c r="M501"/>
      <c r="N501"/>
      <c r="O501"/>
      <c r="R501" t="str">
        <f>D502</f>
        <v>(選択してください)</v>
      </c>
    </row>
    <row r="502" spans="1:28">
      <c r="B502" s="7"/>
      <c r="C502" s="77" t="str">
        <f ca="1">IFERROR(OFFSET('4.2民生電力需要量'!$C$1,MATCH(D502,'4.2民生電力需要量'!$E:$E,0)-1,0),"")</f>
        <v/>
      </c>
      <c r="D502" s="94" t="s">
        <v>130</v>
      </c>
      <c r="E502" s="72" t="s">
        <v>131</v>
      </c>
      <c r="F502" s="1446" t="str">
        <f ca="1">IFERROR(OFFSET('4.2民生電力需要量'!$G$1,MATCH($D502,'4.2民生電力需要量'!$E:$E,0)-1,0),"")</f>
        <v/>
      </c>
      <c r="G502" s="1446"/>
      <c r="H502" s="1446"/>
      <c r="I502" s="1446"/>
      <c r="J502" s="1446"/>
      <c r="K502" s="1446"/>
      <c r="L502" s="8"/>
      <c r="M502"/>
      <c r="N502"/>
      <c r="O502"/>
      <c r="R502" s="175" t="str">
        <f ca="1">IFERROR(OFFSET('4.2民生電力需要量'!$G$1,MATCH($D502,'4.2民生電力需要量'!$E:$E,0)-1,0),"")</f>
        <v/>
      </c>
      <c r="S502" s="175"/>
      <c r="T502" s="175"/>
      <c r="U502" s="175"/>
      <c r="V502" s="175"/>
      <c r="W502" s="175"/>
      <c r="X502" s="175"/>
      <c r="Y502" s="175"/>
      <c r="Z502" s="175"/>
      <c r="AA502" s="175"/>
      <c r="AB502" s="175">
        <f ca="1">(F502=R502)*1</f>
        <v>1</v>
      </c>
    </row>
    <row r="503" spans="1:28">
      <c r="B503" s="7"/>
      <c r="C503" s="915"/>
      <c r="D503" s="97"/>
      <c r="E503" s="72" t="s">
        <v>612</v>
      </c>
      <c r="F503" s="1447" t="str">
        <f ca="1">IFERROR(OFFSET('4.2民生電力需要量'!$L$1,MATCH($D502,'4.2民生電力需要量'!$E:$E,0)-1,0),"")</f>
        <v/>
      </c>
      <c r="G503" s="1448"/>
      <c r="H503" s="1448"/>
      <c r="I503" s="1448"/>
      <c r="J503" s="1448"/>
      <c r="K503" s="1449"/>
      <c r="L503" s="8"/>
      <c r="M503"/>
      <c r="N503"/>
      <c r="O503"/>
      <c r="R503" s="175" t="str">
        <f ca="1">IFERROR(OFFSET('4.2民生電力需要量'!$L$1,MATCH($D502,'4.2民生電力需要量'!$E:$E,0)-1,0),"")</f>
        <v/>
      </c>
      <c r="S503" s="175"/>
      <c r="T503" s="175"/>
      <c r="U503" s="175"/>
      <c r="V503" s="175"/>
      <c r="W503" s="175"/>
      <c r="X503" s="175"/>
      <c r="Y503" s="175"/>
      <c r="Z503" s="175"/>
      <c r="AA503" s="175"/>
      <c r="AB503" s="175">
        <f ca="1">(F503=R503)*1</f>
        <v>1</v>
      </c>
    </row>
    <row r="504" spans="1:28">
      <c r="B504" s="7"/>
      <c r="C504" s="74"/>
      <c r="D504" s="66"/>
      <c r="E504" s="72" t="s">
        <v>220</v>
      </c>
      <c r="F504" s="1450" t="str">
        <f ca="1">IFERROR(OFFSET('4.2民生電力需要量'!$I$1,MATCH($D502,'4.2民生電力需要量'!$E:$E,0)-1,0),"")</f>
        <v/>
      </c>
      <c r="G504" s="1450"/>
      <c r="H504" s="1450"/>
      <c r="I504" s="1450"/>
      <c r="J504" s="1450"/>
      <c r="K504" s="1450"/>
      <c r="L504" s="8"/>
      <c r="M504"/>
      <c r="N504"/>
      <c r="O504"/>
      <c r="R504" s="175" t="str">
        <f ca="1">IFERROR(OFFSET('4.2民生電力需要量'!$I$1,MATCH($D502,'4.2民生電力需要量'!$E:$E,0)-1,0),"")</f>
        <v/>
      </c>
      <c r="S504" s="175"/>
      <c r="T504" s="175"/>
      <c r="U504" s="175"/>
      <c r="V504" s="175"/>
      <c r="W504" s="175"/>
      <c r="X504" s="175"/>
      <c r="Y504" s="175"/>
      <c r="Z504" s="175"/>
      <c r="AA504" s="175"/>
      <c r="AB504" s="175">
        <f t="shared" ref="AB504:AB505" ca="1" si="265">(F504=R504)*1</f>
        <v>1</v>
      </c>
    </row>
    <row r="505" spans="1:28">
      <c r="B505" s="7"/>
      <c r="C505" s="74"/>
      <c r="D505" s="66"/>
      <c r="E505" s="72" t="s">
        <v>175</v>
      </c>
      <c r="F505" s="1451" t="str">
        <f>_xlfn.IFNA(R505,"")</f>
        <v/>
      </c>
      <c r="G505" s="1451"/>
      <c r="H505" s="1451"/>
      <c r="I505" s="1451"/>
      <c r="J505" s="1451"/>
      <c r="K505" s="1451"/>
      <c r="L505" s="8"/>
      <c r="M505"/>
      <c r="N505"/>
      <c r="O505"/>
      <c r="R505" s="215" t="str">
        <f>IF(PRODUCT($Z507:$Z511)=1,AA507,"")</f>
        <v/>
      </c>
      <c r="S505" s="175"/>
      <c r="T505" s="175"/>
      <c r="U505" s="175"/>
      <c r="V505" s="175"/>
      <c r="W505" s="175"/>
      <c r="X505" s="175"/>
      <c r="Y505" s="175"/>
      <c r="Z505" s="175"/>
      <c r="AA505" s="175"/>
      <c r="AB505" s="175">
        <f t="shared" si="265"/>
        <v>1</v>
      </c>
    </row>
    <row r="506" spans="1:28" s="2" customFormat="1" ht="60">
      <c r="A506"/>
      <c r="B506" s="7"/>
      <c r="C506" s="74"/>
      <c r="D506" s="66"/>
      <c r="E506" s="306"/>
      <c r="F506" s="312" t="s">
        <v>299</v>
      </c>
      <c r="G506" s="313" t="s">
        <v>300</v>
      </c>
      <c r="H506" s="313" t="s">
        <v>301</v>
      </c>
      <c r="I506" s="313" t="s">
        <v>302</v>
      </c>
      <c r="J506" s="313" t="s">
        <v>429</v>
      </c>
      <c r="K506" s="313" t="s">
        <v>270</v>
      </c>
      <c r="L506" s="8"/>
      <c r="M506"/>
      <c r="P506"/>
      <c r="Q506"/>
      <c r="R506" s="294" t="s">
        <v>298</v>
      </c>
      <c r="S506" s="294" t="s">
        <v>299</v>
      </c>
      <c r="T506" s="314" t="s">
        <v>423</v>
      </c>
      <c r="U506" s="294" t="s">
        <v>424</v>
      </c>
      <c r="V506" s="294" t="s">
        <v>422</v>
      </c>
      <c r="W506" s="315" t="s">
        <v>270</v>
      </c>
      <c r="X506" s="294" t="s">
        <v>426</v>
      </c>
      <c r="Y506" s="215" t="s">
        <v>402</v>
      </c>
      <c r="Z506" s="215" t="s">
        <v>430</v>
      </c>
      <c r="AA506" s="294" t="s">
        <v>425</v>
      </c>
      <c r="AB506" s="294"/>
    </row>
    <row r="507" spans="1:28" s="99" customFormat="1" ht="18.75" hidden="1" customHeight="1">
      <c r="A507" s="11"/>
      <c r="B507" s="95"/>
      <c r="C507" s="96"/>
      <c r="D507" s="97"/>
      <c r="E507" s="438"/>
      <c r="F507" s="439"/>
      <c r="G507" s="439"/>
      <c r="H507" s="439"/>
      <c r="I507" s="439"/>
      <c r="J507" s="439"/>
      <c r="K507" s="439"/>
      <c r="L507" s="98"/>
      <c r="M507" s="11"/>
      <c r="Q507" s="11"/>
      <c r="R507" s="129">
        <f>IF(E507="地区代表者",COUNTA($D$1:$D507),0)</f>
        <v>0</v>
      </c>
      <c r="S507" s="129">
        <f t="shared" ref="S507:S508" si="266">IF(F507="実施済",1,0)</f>
        <v>0</v>
      </c>
      <c r="T507" s="258"/>
      <c r="U507" s="129">
        <f t="shared" ref="U507:U508" si="267">IF(AND(H507="実施済",I507="実施済"),S507*1,0)</f>
        <v>0</v>
      </c>
      <c r="V507" s="129">
        <f>IF(J507="実施済",$U507*1,0)</f>
        <v>0</v>
      </c>
      <c r="W507" s="258"/>
      <c r="X507" s="129" t="str">
        <f>IF(E507="","",IF(R507*S507&gt;0,3,SUM(S507,U507,V507)))</f>
        <v/>
      </c>
      <c r="Y507" s="129">
        <f>MIN($X$507:$X$511)+1</f>
        <v>1</v>
      </c>
      <c r="Z507" s="129">
        <f>IF(E507="",1,IF(R507&gt;0,IF(COUNTA($F507:$K507)=2,1,0),IF(COUNTA($F507:$K507)=6,1,0)))</f>
        <v>1</v>
      </c>
      <c r="AA507" s="129" t="str" cm="1">
        <f t="array" ref="AA507">_xlfn.IFS(Y507=4,"A",Y507=3,"B",Y507=2,"C",Y507=1,"D")</f>
        <v>D</v>
      </c>
      <c r="AB507" s="129" t="str" cm="1">
        <f t="array" ref="AB507">_xlfn.IFS(Z507=4,"A",Z507=3,"B",Z507=2,"C",Z507=1,"D")</f>
        <v>D</v>
      </c>
    </row>
    <row r="508" spans="1:28" s="99" customFormat="1" ht="18.75" customHeight="1">
      <c r="A508" s="11"/>
      <c r="B508" s="95"/>
      <c r="C508" s="96"/>
      <c r="D508" s="97"/>
      <c r="E508" s="440" t="s">
        <v>298</v>
      </c>
      <c r="F508" s="441"/>
      <c r="G508" s="839"/>
      <c r="H508" s="839"/>
      <c r="I508" s="839"/>
      <c r="J508" s="839"/>
      <c r="K508" s="441"/>
      <c r="L508" s="98"/>
      <c r="M508" s="11"/>
      <c r="Q508" s="11"/>
      <c r="R508" s="129">
        <f>IF(E508="地区代表者",COUNTA($D$1:$D508),0)</f>
        <v>34</v>
      </c>
      <c r="S508" s="129">
        <f t="shared" si="266"/>
        <v>0</v>
      </c>
      <c r="T508" s="258"/>
      <c r="U508" s="129">
        <f t="shared" si="267"/>
        <v>0</v>
      </c>
      <c r="V508" s="129">
        <f>IF(J508="実施済",$U508*1,0)</f>
        <v>0</v>
      </c>
      <c r="W508" s="258"/>
      <c r="X508" s="129">
        <f t="shared" ref="X508:X511" si="268">IF(E508="","",IF(R508*S508&gt;0,3,SUM(S508,U508,V508)))</f>
        <v>0</v>
      </c>
      <c r="Y508" s="129">
        <f>MIN($X$507:$X$511)+1</f>
        <v>1</v>
      </c>
      <c r="Z508" s="129">
        <f t="shared" ref="Z508:Z511" si="269">IF(E508="",1,IF(R508&gt;0,IF(COUNTA($F508:$K508)=2,1,0),IF(COUNTA($F508:$K508)=6,1,0)))</f>
        <v>0</v>
      </c>
      <c r="AA508" s="129" t="str" cm="1">
        <f t="array" ref="AA508">_xlfn.IFS(Y508=4,"A",Y508=3,"B",Y508=2,"C",Y508=1,"D")</f>
        <v>D</v>
      </c>
      <c r="AB508" s="129"/>
    </row>
    <row r="509" spans="1:28" s="99" customFormat="1" ht="18.75" customHeight="1">
      <c r="A509" s="11"/>
      <c r="B509" s="95"/>
      <c r="C509" s="96"/>
      <c r="D509" s="97"/>
      <c r="E509" s="440" t="s">
        <v>116</v>
      </c>
      <c r="F509" s="441"/>
      <c r="G509" s="441"/>
      <c r="H509" s="441"/>
      <c r="I509" s="441"/>
      <c r="J509" s="441"/>
      <c r="K509" s="441"/>
      <c r="L509" s="98"/>
      <c r="M509" s="11"/>
      <c r="P509" s="11"/>
      <c r="Q509" s="11"/>
      <c r="R509" s="129">
        <f>IF(E509="地区代表者",COUNTA($D$1:$D509),0)</f>
        <v>0</v>
      </c>
      <c r="S509" s="129">
        <f>IF(F509="実施済",1,0)</f>
        <v>0</v>
      </c>
      <c r="T509" s="258"/>
      <c r="U509" s="129">
        <f>IF(AND(H509="実施済",I509="実施済"),S509*1,0)</f>
        <v>0</v>
      </c>
      <c r="V509" s="129">
        <f>IF(J509="実施済",$U509*1,0)</f>
        <v>0</v>
      </c>
      <c r="W509" s="258"/>
      <c r="X509" s="129">
        <f t="shared" si="268"/>
        <v>0</v>
      </c>
      <c r="Y509" s="129">
        <f>MIN($X$507:$X$511)+1</f>
        <v>1</v>
      </c>
      <c r="Z509" s="129">
        <f t="shared" si="269"/>
        <v>0</v>
      </c>
      <c r="AA509" s="129" t="str" cm="1">
        <f t="array" ref="AA509">_xlfn.IFS(Y509=4,"A",Y509=3,"B",Y509=2,"C",Y509=1,"D")</f>
        <v>D</v>
      </c>
      <c r="AB509" s="129"/>
    </row>
    <row r="510" spans="1:28" s="2" customFormat="1" ht="9" customHeight="1">
      <c r="A510"/>
      <c r="B510" s="65"/>
      <c r="C510" s="4"/>
      <c r="D510" s="307"/>
      <c r="E510" s="308"/>
      <c r="F510" s="308"/>
      <c r="G510" s="308"/>
      <c r="H510" s="308"/>
      <c r="I510" s="308"/>
      <c r="J510" s="308"/>
      <c r="K510" s="308"/>
      <c r="L510" s="9"/>
      <c r="M510"/>
      <c r="P510"/>
      <c r="Q510"/>
      <c r="R510" s="215">
        <f>IF(E510="地区代表者",COUNTA($D$1:$D510),0)</f>
        <v>0</v>
      </c>
      <c r="S510" s="215">
        <f t="shared" ref="S510:S511" si="270">IF(F510="実施済",1,0)</f>
        <v>0</v>
      </c>
      <c r="T510" s="316"/>
      <c r="U510" s="215">
        <f t="shared" ref="U510:U511" si="271">IF(AND(H510="実施済",I510="実施済"),S510*1,0)</f>
        <v>0</v>
      </c>
      <c r="V510" s="215">
        <f t="shared" ref="V510:V511" si="272">IF(J510="実施済",$U510*1,0)</f>
        <v>0</v>
      </c>
      <c r="W510" s="316"/>
      <c r="X510" s="215" t="str">
        <f t="shared" si="268"/>
        <v/>
      </c>
      <c r="Y510" s="215">
        <f>MIN($X$507:$X$511)+1</f>
        <v>1</v>
      </c>
      <c r="Z510" s="215">
        <f t="shared" si="269"/>
        <v>1</v>
      </c>
      <c r="AA510" s="215" t="str" cm="1">
        <f t="array" ref="AA510">_xlfn.IFS(Y510=4,"A",Y510=3,"B",Y510=2,"C",Y510=1,"D")</f>
        <v>D</v>
      </c>
      <c r="AB510" s="215"/>
    </row>
    <row r="511" spans="1:28" s="2" customFormat="1" ht="6" customHeight="1">
      <c r="A511"/>
      <c r="B511"/>
      <c r="C511"/>
      <c r="D511" s="309"/>
      <c r="E511" s="310"/>
      <c r="F511" s="310"/>
      <c r="G511" s="310"/>
      <c r="H511" s="310"/>
      <c r="I511" s="310"/>
      <c r="J511" s="310"/>
      <c r="K511" s="310"/>
      <c r="L511"/>
      <c r="M511"/>
      <c r="P511"/>
      <c r="Q511"/>
      <c r="R511" s="215">
        <f>IF(E511="地区代表者",COUNTA($D$1:$D511),0)</f>
        <v>0</v>
      </c>
      <c r="S511" s="215">
        <f t="shared" si="270"/>
        <v>0</v>
      </c>
      <c r="T511" s="316"/>
      <c r="U511" s="215">
        <f t="shared" si="271"/>
        <v>0</v>
      </c>
      <c r="V511" s="215">
        <f t="shared" si="272"/>
        <v>0</v>
      </c>
      <c r="W511" s="316"/>
      <c r="X511" s="215" t="str">
        <f t="shared" si="268"/>
        <v/>
      </c>
      <c r="Y511" s="215">
        <f>MIN($X$507:$X$511)+1</f>
        <v>1</v>
      </c>
      <c r="Z511" s="215">
        <f t="shared" si="269"/>
        <v>1</v>
      </c>
      <c r="AA511" s="215" t="str" cm="1">
        <f t="array" ref="AA511">_xlfn.IFS(Y511=4,"A",Y511=3,"B",Y511=2,"C",Y511=1,"D")</f>
        <v>D</v>
      </c>
      <c r="AB511" s="215"/>
    </row>
    <row r="512" spans="1:28" ht="96" customHeight="1">
      <c r="C512" s="78"/>
      <c r="D512" s="79"/>
      <c r="E512" s="72" t="s">
        <v>236</v>
      </c>
      <c r="F512" s="1452"/>
      <c r="G512" s="1452"/>
      <c r="H512" s="1452"/>
      <c r="I512" s="1452"/>
      <c r="J512" s="1452"/>
      <c r="K512" s="1452"/>
      <c r="L512" s="80" t="s">
        <v>132</v>
      </c>
      <c r="M512" s="290"/>
    </row>
    <row r="513" spans="1:28" ht="96" customHeight="1">
      <c r="C513" s="75"/>
      <c r="D513" s="68"/>
      <c r="E513" s="72" t="s">
        <v>237</v>
      </c>
      <c r="F513" s="1452"/>
      <c r="G513" s="1452"/>
      <c r="H513" s="1452"/>
      <c r="I513" s="1452"/>
      <c r="J513" s="1452"/>
      <c r="K513" s="1452"/>
    </row>
    <row r="514" spans="1:28" ht="18.5" thickBot="1">
      <c r="A514" s="81"/>
      <c r="B514" s="81"/>
      <c r="C514" s="81"/>
      <c r="D514" s="81"/>
      <c r="E514" s="311"/>
      <c r="F514" s="81"/>
      <c r="G514" s="81"/>
      <c r="H514" s="81"/>
      <c r="I514" s="81"/>
      <c r="J514" s="81"/>
      <c r="K514" s="81"/>
      <c r="L514" s="81"/>
      <c r="M514" s="82"/>
    </row>
    <row r="516" spans="1:28" ht="9" customHeight="1">
      <c r="B516" s="10"/>
      <c r="C516" s="5"/>
      <c r="D516" s="5"/>
      <c r="E516" s="305"/>
      <c r="F516" s="5"/>
      <c r="G516" s="5"/>
      <c r="H516" s="5"/>
      <c r="I516" s="5"/>
      <c r="J516" s="5"/>
      <c r="K516" s="5"/>
      <c r="L516" s="6"/>
      <c r="M516"/>
      <c r="N516"/>
      <c r="O516"/>
      <c r="R516" t="str">
        <f>D517</f>
        <v>(選択してください)</v>
      </c>
    </row>
    <row r="517" spans="1:28">
      <c r="B517" s="7"/>
      <c r="C517" s="77" t="str">
        <f ca="1">IFERROR(OFFSET('4.2民生電力需要量'!$C$1,MATCH(D517,'4.2民生電力需要量'!$E:$E,0)-1,0),"")</f>
        <v/>
      </c>
      <c r="D517" s="94" t="s">
        <v>130</v>
      </c>
      <c r="E517" s="72" t="s">
        <v>131</v>
      </c>
      <c r="F517" s="1446" t="str">
        <f ca="1">IFERROR(OFFSET('4.2民生電力需要量'!$G$1,MATCH($D517,'4.2民生電力需要量'!$E:$E,0)-1,0),"")</f>
        <v/>
      </c>
      <c r="G517" s="1446"/>
      <c r="H517" s="1446"/>
      <c r="I517" s="1446"/>
      <c r="J517" s="1446"/>
      <c r="K517" s="1446"/>
      <c r="L517" s="8"/>
      <c r="M517"/>
      <c r="N517"/>
      <c r="O517"/>
      <c r="R517" s="175" t="str">
        <f ca="1">IFERROR(OFFSET('4.2民生電力需要量'!$G$1,MATCH($D517,'4.2民生電力需要量'!$E:$E,0)-1,0),"")</f>
        <v/>
      </c>
      <c r="S517" s="175"/>
      <c r="T517" s="175"/>
      <c r="U517" s="175"/>
      <c r="V517" s="175"/>
      <c r="W517" s="175"/>
      <c r="X517" s="175"/>
      <c r="Y517" s="175"/>
      <c r="Z517" s="175"/>
      <c r="AA517" s="175"/>
      <c r="AB517" s="175">
        <f ca="1">(F517=R517)*1</f>
        <v>1</v>
      </c>
    </row>
    <row r="518" spans="1:28">
      <c r="B518" s="7"/>
      <c r="C518" s="915"/>
      <c r="D518" s="97"/>
      <c r="E518" s="72" t="s">
        <v>612</v>
      </c>
      <c r="F518" s="1447" t="str">
        <f ca="1">IFERROR(OFFSET('4.2民生電力需要量'!$L$1,MATCH($D517,'4.2民生電力需要量'!$E:$E,0)-1,0),"")</f>
        <v/>
      </c>
      <c r="G518" s="1448"/>
      <c r="H518" s="1448"/>
      <c r="I518" s="1448"/>
      <c r="J518" s="1448"/>
      <c r="K518" s="1449"/>
      <c r="L518" s="8"/>
      <c r="M518"/>
      <c r="N518"/>
      <c r="O518"/>
      <c r="R518" s="175" t="str">
        <f ca="1">IFERROR(OFFSET('4.2民生電力需要量'!$L$1,MATCH($D517,'4.2民生電力需要量'!$E:$E,0)-1,0),"")</f>
        <v/>
      </c>
      <c r="S518" s="175"/>
      <c r="T518" s="175"/>
      <c r="U518" s="175"/>
      <c r="V518" s="175"/>
      <c r="W518" s="175"/>
      <c r="X518" s="175"/>
      <c r="Y518" s="175"/>
      <c r="Z518" s="175"/>
      <c r="AA518" s="175"/>
      <c r="AB518" s="175">
        <f ca="1">(F518=R518)*1</f>
        <v>1</v>
      </c>
    </row>
    <row r="519" spans="1:28">
      <c r="B519" s="7"/>
      <c r="C519" s="74"/>
      <c r="D519" s="66"/>
      <c r="E519" s="72" t="s">
        <v>220</v>
      </c>
      <c r="F519" s="1450" t="str">
        <f ca="1">IFERROR(OFFSET('4.2民生電力需要量'!$I$1,MATCH($D517,'4.2民生電力需要量'!$E:$E,0)-1,0),"")</f>
        <v/>
      </c>
      <c r="G519" s="1450"/>
      <c r="H519" s="1450"/>
      <c r="I519" s="1450"/>
      <c r="J519" s="1450"/>
      <c r="K519" s="1450"/>
      <c r="L519" s="8"/>
      <c r="M519"/>
      <c r="N519"/>
      <c r="O519"/>
      <c r="R519" s="175" t="str">
        <f ca="1">IFERROR(OFFSET('4.2民生電力需要量'!$I$1,MATCH($D517,'4.2民生電力需要量'!$E:$E,0)-1,0),"")</f>
        <v/>
      </c>
      <c r="S519" s="175"/>
      <c r="T519" s="175"/>
      <c r="U519" s="175"/>
      <c r="V519" s="175"/>
      <c r="W519" s="175"/>
      <c r="X519" s="175"/>
      <c r="Y519" s="175"/>
      <c r="Z519" s="175"/>
      <c r="AA519" s="175"/>
      <c r="AB519" s="175">
        <f t="shared" ref="AB519:AB520" ca="1" si="273">(F519=R519)*1</f>
        <v>1</v>
      </c>
    </row>
    <row r="520" spans="1:28">
      <c r="B520" s="7"/>
      <c r="C520" s="74"/>
      <c r="D520" s="66"/>
      <c r="E520" s="72" t="s">
        <v>175</v>
      </c>
      <c r="F520" s="1451" t="str">
        <f>_xlfn.IFNA(R520,"")</f>
        <v/>
      </c>
      <c r="G520" s="1451"/>
      <c r="H520" s="1451"/>
      <c r="I520" s="1451"/>
      <c r="J520" s="1451"/>
      <c r="K520" s="1451"/>
      <c r="L520" s="8"/>
      <c r="M520"/>
      <c r="N520"/>
      <c r="O520"/>
      <c r="R520" s="215" t="str">
        <f>IF(PRODUCT($Z522:$Z526)=1,AA522,"")</f>
        <v/>
      </c>
      <c r="S520" s="175"/>
      <c r="T520" s="175"/>
      <c r="U520" s="175"/>
      <c r="V520" s="175"/>
      <c r="W520" s="175"/>
      <c r="X520" s="175"/>
      <c r="Y520" s="175"/>
      <c r="Z520" s="175"/>
      <c r="AA520" s="175"/>
      <c r="AB520" s="175">
        <f t="shared" si="273"/>
        <v>1</v>
      </c>
    </row>
    <row r="521" spans="1:28" s="2" customFormat="1" ht="60">
      <c r="A521"/>
      <c r="B521" s="7"/>
      <c r="C521" s="74"/>
      <c r="D521" s="66"/>
      <c r="E521" s="306"/>
      <c r="F521" s="312" t="s">
        <v>299</v>
      </c>
      <c r="G521" s="313" t="s">
        <v>300</v>
      </c>
      <c r="H521" s="313" t="s">
        <v>301</v>
      </c>
      <c r="I521" s="313" t="s">
        <v>302</v>
      </c>
      <c r="J521" s="313" t="s">
        <v>429</v>
      </c>
      <c r="K521" s="313" t="s">
        <v>270</v>
      </c>
      <c r="L521" s="8"/>
      <c r="M521"/>
      <c r="P521"/>
      <c r="Q521"/>
      <c r="R521" s="294" t="s">
        <v>298</v>
      </c>
      <c r="S521" s="294" t="s">
        <v>299</v>
      </c>
      <c r="T521" s="314" t="s">
        <v>423</v>
      </c>
      <c r="U521" s="294" t="s">
        <v>424</v>
      </c>
      <c r="V521" s="294" t="s">
        <v>422</v>
      </c>
      <c r="W521" s="315" t="s">
        <v>270</v>
      </c>
      <c r="X521" s="294" t="s">
        <v>426</v>
      </c>
      <c r="Y521" s="215" t="s">
        <v>402</v>
      </c>
      <c r="Z521" s="215" t="s">
        <v>430</v>
      </c>
      <c r="AA521" s="294" t="s">
        <v>425</v>
      </c>
      <c r="AB521" s="294"/>
    </row>
    <row r="522" spans="1:28" s="99" customFormat="1" ht="18.75" hidden="1" customHeight="1">
      <c r="A522" s="11"/>
      <c r="B522" s="95"/>
      <c r="C522" s="96"/>
      <c r="D522" s="97"/>
      <c r="E522" s="438"/>
      <c r="F522" s="439"/>
      <c r="G522" s="439"/>
      <c r="H522" s="439"/>
      <c r="I522" s="439"/>
      <c r="J522" s="439"/>
      <c r="K522" s="439"/>
      <c r="L522" s="98"/>
      <c r="M522" s="11"/>
      <c r="Q522" s="11"/>
      <c r="R522" s="129">
        <f>IF(E522="地区代表者",COUNTA($D$1:$D522),0)</f>
        <v>0</v>
      </c>
      <c r="S522" s="129">
        <f t="shared" ref="S522:S523" si="274">IF(F522="実施済",1,0)</f>
        <v>0</v>
      </c>
      <c r="T522" s="258"/>
      <c r="U522" s="129">
        <f t="shared" ref="U522:U523" si="275">IF(AND(H522="実施済",I522="実施済"),S522*1,0)</f>
        <v>0</v>
      </c>
      <c r="V522" s="129">
        <f>IF(J522="実施済",$U522*1,0)</f>
        <v>0</v>
      </c>
      <c r="W522" s="258"/>
      <c r="X522" s="129" t="str">
        <f>IF(E522="","",IF(R522*S522&gt;0,3,SUM(S522,U522,V522)))</f>
        <v/>
      </c>
      <c r="Y522" s="129">
        <f>MIN($X$522:$X$526)+1</f>
        <v>1</v>
      </c>
      <c r="Z522" s="129">
        <f>IF(E522="",1,IF(R522&gt;0,IF(COUNTA($F522:$K522)=2,1,0),IF(COUNTA($F522:$K522)=6,1,0)))</f>
        <v>1</v>
      </c>
      <c r="AA522" s="129" t="str" cm="1">
        <f t="array" ref="AA522">_xlfn.IFS(Y522=4,"A",Y522=3,"B",Y522=2,"C",Y522=1,"D")</f>
        <v>D</v>
      </c>
      <c r="AB522" s="129" t="str" cm="1">
        <f t="array" ref="AB522">_xlfn.IFS(Z522=4,"A",Z522=3,"B",Z522=2,"C",Z522=1,"D")</f>
        <v>D</v>
      </c>
    </row>
    <row r="523" spans="1:28" s="99" customFormat="1" ht="18.75" customHeight="1">
      <c r="A523" s="11"/>
      <c r="B523" s="95"/>
      <c r="C523" s="96"/>
      <c r="D523" s="97"/>
      <c r="E523" s="440" t="s">
        <v>298</v>
      </c>
      <c r="F523" s="441"/>
      <c r="G523" s="839"/>
      <c r="H523" s="839"/>
      <c r="I523" s="839"/>
      <c r="J523" s="839"/>
      <c r="K523" s="441"/>
      <c r="L523" s="98"/>
      <c r="M523" s="11"/>
      <c r="Q523" s="11"/>
      <c r="R523" s="129">
        <f>IF(E523="地区代表者",COUNTA($D$1:$D523),0)</f>
        <v>35</v>
      </c>
      <c r="S523" s="129">
        <f t="shared" si="274"/>
        <v>0</v>
      </c>
      <c r="T523" s="258"/>
      <c r="U523" s="129">
        <f t="shared" si="275"/>
        <v>0</v>
      </c>
      <c r="V523" s="129">
        <f>IF(J523="実施済",$U523*1,0)</f>
        <v>0</v>
      </c>
      <c r="W523" s="258"/>
      <c r="X523" s="129">
        <f t="shared" ref="X523:X526" si="276">IF(E523="","",IF(R523*S523&gt;0,3,SUM(S523,U523,V523)))</f>
        <v>0</v>
      </c>
      <c r="Y523" s="129">
        <f>MIN($X$522:$X$526)+1</f>
        <v>1</v>
      </c>
      <c r="Z523" s="129">
        <f t="shared" ref="Z523:Z526" si="277">IF(E523="",1,IF(R523&gt;0,IF(COUNTA($F523:$K523)=2,1,0),IF(COUNTA($F523:$K523)=6,1,0)))</f>
        <v>0</v>
      </c>
      <c r="AA523" s="129" t="str" cm="1">
        <f t="array" ref="AA523">_xlfn.IFS(Y523=4,"A",Y523=3,"B",Y523=2,"C",Y523=1,"D")</f>
        <v>D</v>
      </c>
      <c r="AB523" s="129"/>
    </row>
    <row r="524" spans="1:28" s="99" customFormat="1" ht="18.75" customHeight="1">
      <c r="A524" s="11"/>
      <c r="B524" s="95"/>
      <c r="C524" s="96"/>
      <c r="D524" s="97"/>
      <c r="E524" s="440" t="s">
        <v>116</v>
      </c>
      <c r="F524" s="441"/>
      <c r="G524" s="441"/>
      <c r="H524" s="441"/>
      <c r="I524" s="441"/>
      <c r="J524" s="441"/>
      <c r="K524" s="441"/>
      <c r="L524" s="98"/>
      <c r="M524" s="11"/>
      <c r="P524" s="11"/>
      <c r="Q524" s="11"/>
      <c r="R524" s="129">
        <f>IF(E524="地区代表者",COUNTA($D$1:$D524),0)</f>
        <v>0</v>
      </c>
      <c r="S524" s="129">
        <f>IF(F524="実施済",1,0)</f>
        <v>0</v>
      </c>
      <c r="T524" s="258"/>
      <c r="U524" s="129">
        <f>IF(AND(H524="実施済",I524="実施済"),S524*1,0)</f>
        <v>0</v>
      </c>
      <c r="V524" s="129">
        <f>IF(J524="実施済",$U524*1,0)</f>
        <v>0</v>
      </c>
      <c r="W524" s="258"/>
      <c r="X524" s="129">
        <f t="shared" si="276"/>
        <v>0</v>
      </c>
      <c r="Y524" s="129">
        <f>MIN($X$522:$X$526)+1</f>
        <v>1</v>
      </c>
      <c r="Z524" s="129">
        <f t="shared" si="277"/>
        <v>0</v>
      </c>
      <c r="AA524" s="129" t="str" cm="1">
        <f t="array" ref="AA524">_xlfn.IFS(Y524=4,"A",Y524=3,"B",Y524=2,"C",Y524=1,"D")</f>
        <v>D</v>
      </c>
      <c r="AB524" s="129"/>
    </row>
    <row r="525" spans="1:28" s="2" customFormat="1" ht="9" customHeight="1">
      <c r="A525"/>
      <c r="B525" s="65"/>
      <c r="C525" s="4"/>
      <c r="D525" s="307"/>
      <c r="E525" s="308"/>
      <c r="F525" s="308"/>
      <c r="G525" s="308"/>
      <c r="H525" s="308"/>
      <c r="I525" s="308"/>
      <c r="J525" s="308"/>
      <c r="K525" s="308"/>
      <c r="L525" s="9"/>
      <c r="M525"/>
      <c r="P525"/>
      <c r="Q525"/>
      <c r="R525" s="215">
        <f>IF(E525="地区代表者",COUNTA($D$1:$D525),0)</f>
        <v>0</v>
      </c>
      <c r="S525" s="215">
        <f t="shared" ref="S525:S526" si="278">IF(F525="実施済",1,0)</f>
        <v>0</v>
      </c>
      <c r="T525" s="316"/>
      <c r="U525" s="215">
        <f t="shared" ref="U525:U526" si="279">IF(AND(H525="実施済",I525="実施済"),S525*1,0)</f>
        <v>0</v>
      </c>
      <c r="V525" s="215">
        <f t="shared" ref="V525:V526" si="280">IF(J525="実施済",$U525*1,0)</f>
        <v>0</v>
      </c>
      <c r="W525" s="316"/>
      <c r="X525" s="215" t="str">
        <f t="shared" si="276"/>
        <v/>
      </c>
      <c r="Y525" s="215">
        <f>MIN($X$522:$X$526)+1</f>
        <v>1</v>
      </c>
      <c r="Z525" s="215">
        <f t="shared" si="277"/>
        <v>1</v>
      </c>
      <c r="AA525" s="215" t="str" cm="1">
        <f t="array" ref="AA525">_xlfn.IFS(Y525=4,"A",Y525=3,"B",Y525=2,"C",Y525=1,"D")</f>
        <v>D</v>
      </c>
      <c r="AB525" s="215"/>
    </row>
    <row r="526" spans="1:28" s="2" customFormat="1" ht="6" customHeight="1">
      <c r="A526"/>
      <c r="B526"/>
      <c r="C526"/>
      <c r="D526" s="309"/>
      <c r="E526" s="310"/>
      <c r="F526" s="310"/>
      <c r="G526" s="310"/>
      <c r="H526" s="310"/>
      <c r="I526" s="310"/>
      <c r="J526" s="310"/>
      <c r="K526" s="310"/>
      <c r="L526"/>
      <c r="M526"/>
      <c r="P526"/>
      <c r="Q526"/>
      <c r="R526" s="215">
        <f>IF(E526="地区代表者",COUNTA($D$1:$D526),0)</f>
        <v>0</v>
      </c>
      <c r="S526" s="215">
        <f t="shared" si="278"/>
        <v>0</v>
      </c>
      <c r="T526" s="316"/>
      <c r="U526" s="215">
        <f t="shared" si="279"/>
        <v>0</v>
      </c>
      <c r="V526" s="215">
        <f t="shared" si="280"/>
        <v>0</v>
      </c>
      <c r="W526" s="316"/>
      <c r="X526" s="215" t="str">
        <f t="shared" si="276"/>
        <v/>
      </c>
      <c r="Y526" s="215">
        <f>MIN($X$522:$X$526)+1</f>
        <v>1</v>
      </c>
      <c r="Z526" s="215">
        <f t="shared" si="277"/>
        <v>1</v>
      </c>
      <c r="AA526" s="215" t="str" cm="1">
        <f t="array" ref="AA526">_xlfn.IFS(Y526=4,"A",Y526=3,"B",Y526=2,"C",Y526=1,"D")</f>
        <v>D</v>
      </c>
      <c r="AB526" s="215"/>
    </row>
    <row r="527" spans="1:28" ht="96" customHeight="1">
      <c r="C527" s="78"/>
      <c r="D527" s="79"/>
      <c r="E527" s="72" t="s">
        <v>236</v>
      </c>
      <c r="F527" s="1452"/>
      <c r="G527" s="1452"/>
      <c r="H527" s="1452"/>
      <c r="I527" s="1452"/>
      <c r="J527" s="1452"/>
      <c r="K527" s="1452"/>
      <c r="L527" s="80" t="s">
        <v>132</v>
      </c>
      <c r="M527" s="290"/>
    </row>
    <row r="528" spans="1:28" ht="96" customHeight="1">
      <c r="C528" s="75"/>
      <c r="D528" s="68"/>
      <c r="E528" s="72" t="s">
        <v>237</v>
      </c>
      <c r="F528" s="1452"/>
      <c r="G528" s="1452"/>
      <c r="H528" s="1452"/>
      <c r="I528" s="1452"/>
      <c r="J528" s="1452"/>
      <c r="K528" s="1452"/>
    </row>
    <row r="529" spans="1:28" ht="18.5" thickBot="1">
      <c r="A529" s="81"/>
      <c r="B529" s="81"/>
      <c r="C529" s="81"/>
      <c r="D529" s="81"/>
      <c r="E529" s="311"/>
      <c r="F529" s="81"/>
      <c r="G529" s="81"/>
      <c r="H529" s="81"/>
      <c r="I529" s="81"/>
      <c r="J529" s="81"/>
      <c r="K529" s="81"/>
      <c r="L529" s="81"/>
      <c r="M529" s="82"/>
    </row>
    <row r="531" spans="1:28" ht="9" customHeight="1">
      <c r="B531" s="10"/>
      <c r="C531" s="5"/>
      <c r="D531" s="5"/>
      <c r="E531" s="305"/>
      <c r="F531" s="5"/>
      <c r="G531" s="5"/>
      <c r="H531" s="5"/>
      <c r="I531" s="5"/>
      <c r="J531" s="5"/>
      <c r="K531" s="5"/>
      <c r="L531" s="6"/>
      <c r="M531"/>
      <c r="N531"/>
      <c r="O531"/>
      <c r="R531" t="str">
        <f>D532</f>
        <v>(選択してください)</v>
      </c>
    </row>
    <row r="532" spans="1:28">
      <c r="B532" s="7"/>
      <c r="C532" s="77" t="str">
        <f ca="1">IFERROR(OFFSET('4.2民生電力需要量'!$C$1,MATCH(D532,'4.2民生電力需要量'!$E:$E,0)-1,0),"")</f>
        <v/>
      </c>
      <c r="D532" s="94" t="s">
        <v>130</v>
      </c>
      <c r="E532" s="72" t="s">
        <v>131</v>
      </c>
      <c r="F532" s="1446" t="str">
        <f ca="1">IFERROR(OFFSET('4.2民生電力需要量'!$G$1,MATCH($D532,'4.2民生電力需要量'!$E:$E,0)-1,0),"")</f>
        <v/>
      </c>
      <c r="G532" s="1446"/>
      <c r="H532" s="1446"/>
      <c r="I532" s="1446"/>
      <c r="J532" s="1446"/>
      <c r="K532" s="1446"/>
      <c r="L532" s="8"/>
      <c r="M532"/>
      <c r="N532"/>
      <c r="O532"/>
      <c r="R532" s="175" t="str">
        <f ca="1">IFERROR(OFFSET('4.2民生電力需要量'!$G$1,MATCH($D532,'4.2民生電力需要量'!$E:$E,0)-1,0),"")</f>
        <v/>
      </c>
      <c r="S532" s="175"/>
      <c r="T532" s="175"/>
      <c r="U532" s="175"/>
      <c r="V532" s="175"/>
      <c r="W532" s="175"/>
      <c r="X532" s="175"/>
      <c r="Y532" s="175"/>
      <c r="Z532" s="175"/>
      <c r="AA532" s="175"/>
      <c r="AB532" s="175">
        <f ca="1">(F532=R532)*1</f>
        <v>1</v>
      </c>
    </row>
    <row r="533" spans="1:28">
      <c r="B533" s="7"/>
      <c r="C533" s="915"/>
      <c r="D533" s="97"/>
      <c r="E533" s="72" t="s">
        <v>612</v>
      </c>
      <c r="F533" s="1447" t="str">
        <f ca="1">IFERROR(OFFSET('4.2民生電力需要量'!$L$1,MATCH($D532,'4.2民生電力需要量'!$E:$E,0)-1,0),"")</f>
        <v/>
      </c>
      <c r="G533" s="1448"/>
      <c r="H533" s="1448"/>
      <c r="I533" s="1448"/>
      <c r="J533" s="1448"/>
      <c r="K533" s="1449"/>
      <c r="L533" s="8"/>
      <c r="M533"/>
      <c r="N533"/>
      <c r="O533"/>
      <c r="R533" s="175" t="str">
        <f ca="1">IFERROR(OFFSET('4.2民生電力需要量'!$L$1,MATCH($D532,'4.2民生電力需要量'!$E:$E,0)-1,0),"")</f>
        <v/>
      </c>
      <c r="S533" s="175"/>
      <c r="T533" s="175"/>
      <c r="U533" s="175"/>
      <c r="V533" s="175"/>
      <c r="W533" s="175"/>
      <c r="X533" s="175"/>
      <c r="Y533" s="175"/>
      <c r="Z533" s="175"/>
      <c r="AA533" s="175"/>
      <c r="AB533" s="175">
        <f ca="1">(F533=R533)*1</f>
        <v>1</v>
      </c>
    </row>
    <row r="534" spans="1:28">
      <c r="B534" s="7"/>
      <c r="C534" s="74"/>
      <c r="D534" s="66"/>
      <c r="E534" s="72" t="s">
        <v>220</v>
      </c>
      <c r="F534" s="1450" t="str">
        <f ca="1">IFERROR(OFFSET('4.2民生電力需要量'!$I$1,MATCH($D532,'4.2民生電力需要量'!$E:$E,0)-1,0),"")</f>
        <v/>
      </c>
      <c r="G534" s="1450"/>
      <c r="H534" s="1450"/>
      <c r="I534" s="1450"/>
      <c r="J534" s="1450"/>
      <c r="K534" s="1450"/>
      <c r="L534" s="8"/>
      <c r="M534"/>
      <c r="N534"/>
      <c r="O534"/>
      <c r="R534" s="175" t="str">
        <f ca="1">IFERROR(OFFSET('4.2民生電力需要量'!$I$1,MATCH($D532,'4.2民生電力需要量'!$E:$E,0)-1,0),"")</f>
        <v/>
      </c>
      <c r="S534" s="175"/>
      <c r="T534" s="175"/>
      <c r="U534" s="175"/>
      <c r="V534" s="175"/>
      <c r="W534" s="175"/>
      <c r="X534" s="175"/>
      <c r="Y534" s="175"/>
      <c r="Z534" s="175"/>
      <c r="AA534" s="175"/>
      <c r="AB534" s="175">
        <f t="shared" ref="AB534:AB535" ca="1" si="281">(F534=R534)*1</f>
        <v>1</v>
      </c>
    </row>
    <row r="535" spans="1:28">
      <c r="B535" s="7"/>
      <c r="C535" s="74"/>
      <c r="D535" s="66"/>
      <c r="E535" s="72" t="s">
        <v>175</v>
      </c>
      <c r="F535" s="1451" t="str">
        <f>_xlfn.IFNA(R535,"")</f>
        <v/>
      </c>
      <c r="G535" s="1451"/>
      <c r="H535" s="1451"/>
      <c r="I535" s="1451"/>
      <c r="J535" s="1451"/>
      <c r="K535" s="1451"/>
      <c r="L535" s="8"/>
      <c r="M535"/>
      <c r="N535"/>
      <c r="O535"/>
      <c r="R535" s="215" t="str">
        <f>IF(PRODUCT($Z537:$Z541)=1,AA537,"")</f>
        <v/>
      </c>
      <c r="S535" s="175"/>
      <c r="T535" s="175"/>
      <c r="U535" s="175"/>
      <c r="V535" s="175"/>
      <c r="W535" s="175"/>
      <c r="X535" s="175"/>
      <c r="Y535" s="175"/>
      <c r="Z535" s="175"/>
      <c r="AA535" s="175"/>
      <c r="AB535" s="175">
        <f t="shared" si="281"/>
        <v>1</v>
      </c>
    </row>
    <row r="536" spans="1:28" s="2" customFormat="1" ht="60">
      <c r="A536"/>
      <c r="B536" s="7"/>
      <c r="C536" s="74"/>
      <c r="D536" s="66"/>
      <c r="E536" s="306"/>
      <c r="F536" s="312" t="s">
        <v>299</v>
      </c>
      <c r="G536" s="313" t="s">
        <v>300</v>
      </c>
      <c r="H536" s="313" t="s">
        <v>301</v>
      </c>
      <c r="I536" s="313" t="s">
        <v>302</v>
      </c>
      <c r="J536" s="313" t="s">
        <v>429</v>
      </c>
      <c r="K536" s="313" t="s">
        <v>270</v>
      </c>
      <c r="L536" s="8"/>
      <c r="M536"/>
      <c r="P536"/>
      <c r="Q536"/>
      <c r="R536" s="294" t="s">
        <v>298</v>
      </c>
      <c r="S536" s="294" t="s">
        <v>299</v>
      </c>
      <c r="T536" s="314" t="s">
        <v>423</v>
      </c>
      <c r="U536" s="294" t="s">
        <v>424</v>
      </c>
      <c r="V536" s="294" t="s">
        <v>422</v>
      </c>
      <c r="W536" s="315" t="s">
        <v>270</v>
      </c>
      <c r="X536" s="294" t="s">
        <v>426</v>
      </c>
      <c r="Y536" s="215" t="s">
        <v>402</v>
      </c>
      <c r="Z536" s="215" t="s">
        <v>430</v>
      </c>
      <c r="AA536" s="294" t="s">
        <v>425</v>
      </c>
      <c r="AB536" s="294"/>
    </row>
    <row r="537" spans="1:28" s="99" customFormat="1" ht="18.75" hidden="1" customHeight="1">
      <c r="A537" s="11"/>
      <c r="B537" s="95"/>
      <c r="C537" s="96"/>
      <c r="D537" s="97"/>
      <c r="E537" s="438"/>
      <c r="F537" s="439"/>
      <c r="G537" s="439"/>
      <c r="H537" s="439"/>
      <c r="I537" s="439"/>
      <c r="J537" s="439"/>
      <c r="K537" s="439"/>
      <c r="L537" s="98"/>
      <c r="M537" s="11"/>
      <c r="Q537" s="11"/>
      <c r="R537" s="129">
        <f>IF(E537="地区代表者",COUNTA($D$1:$D537),0)</f>
        <v>0</v>
      </c>
      <c r="S537" s="129">
        <f t="shared" ref="S537:S538" si="282">IF(F537="実施済",1,0)</f>
        <v>0</v>
      </c>
      <c r="T537" s="258"/>
      <c r="U537" s="129">
        <f t="shared" ref="U537:U538" si="283">IF(AND(H537="実施済",I537="実施済"),S537*1,0)</f>
        <v>0</v>
      </c>
      <c r="V537" s="129">
        <f>IF(J537="実施済",$U537*1,0)</f>
        <v>0</v>
      </c>
      <c r="W537" s="258"/>
      <c r="X537" s="129" t="str">
        <f>IF(E537="","",IF(R537*S537&gt;0,3,SUM(S537,U537,V537)))</f>
        <v/>
      </c>
      <c r="Y537" s="129">
        <f>MIN($X$537:$X$541)+1</f>
        <v>1</v>
      </c>
      <c r="Z537" s="129">
        <f>IF(E537="",1,IF(R537&gt;0,IF(COUNTA($F537:$K537)=2,1,0),IF(COUNTA($F537:$K537)=6,1,0)))</f>
        <v>1</v>
      </c>
      <c r="AA537" s="129" t="str" cm="1">
        <f t="array" ref="AA537">_xlfn.IFS(Y537=4,"A",Y537=3,"B",Y537=2,"C",Y537=1,"D")</f>
        <v>D</v>
      </c>
      <c r="AB537" s="129" t="str" cm="1">
        <f t="array" ref="AB537">_xlfn.IFS(Z537=4,"A",Z537=3,"B",Z537=2,"C",Z537=1,"D")</f>
        <v>D</v>
      </c>
    </row>
    <row r="538" spans="1:28" s="99" customFormat="1" ht="18.75" customHeight="1">
      <c r="A538" s="11"/>
      <c r="B538" s="95"/>
      <c r="C538" s="96"/>
      <c r="D538" s="97"/>
      <c r="E538" s="440" t="s">
        <v>298</v>
      </c>
      <c r="F538" s="441"/>
      <c r="G538" s="839"/>
      <c r="H538" s="839"/>
      <c r="I538" s="839"/>
      <c r="J538" s="839"/>
      <c r="K538" s="441"/>
      <c r="L538" s="98"/>
      <c r="M538" s="11"/>
      <c r="Q538" s="11"/>
      <c r="R538" s="129">
        <f>IF(E538="地区代表者",COUNTA($D$1:$D538),0)</f>
        <v>36</v>
      </c>
      <c r="S538" s="129">
        <f t="shared" si="282"/>
        <v>0</v>
      </c>
      <c r="T538" s="258"/>
      <c r="U538" s="129">
        <f t="shared" si="283"/>
        <v>0</v>
      </c>
      <c r="V538" s="129">
        <f>IF(J538="実施済",$U538*1,0)</f>
        <v>0</v>
      </c>
      <c r="W538" s="258"/>
      <c r="X538" s="129">
        <f t="shared" ref="X538:X541" si="284">IF(E538="","",IF(R538*S538&gt;0,3,SUM(S538,U538,V538)))</f>
        <v>0</v>
      </c>
      <c r="Y538" s="129">
        <f>MIN($X$537:$X$541)+1</f>
        <v>1</v>
      </c>
      <c r="Z538" s="129">
        <f t="shared" ref="Z538:Z541" si="285">IF(E538="",1,IF(R538&gt;0,IF(COUNTA($F538:$K538)=2,1,0),IF(COUNTA($F538:$K538)=6,1,0)))</f>
        <v>0</v>
      </c>
      <c r="AA538" s="129" t="str" cm="1">
        <f t="array" ref="AA538">_xlfn.IFS(Y538=4,"A",Y538=3,"B",Y538=2,"C",Y538=1,"D")</f>
        <v>D</v>
      </c>
      <c r="AB538" s="129"/>
    </row>
    <row r="539" spans="1:28" s="99" customFormat="1" ht="18.75" customHeight="1">
      <c r="A539" s="11"/>
      <c r="B539" s="95"/>
      <c r="C539" s="96"/>
      <c r="D539" s="97"/>
      <c r="E539" s="440" t="s">
        <v>116</v>
      </c>
      <c r="F539" s="441"/>
      <c r="G539" s="441"/>
      <c r="H539" s="441"/>
      <c r="I539" s="441"/>
      <c r="J539" s="441"/>
      <c r="K539" s="441"/>
      <c r="L539" s="98"/>
      <c r="M539" s="11"/>
      <c r="P539" s="11"/>
      <c r="Q539" s="11"/>
      <c r="R539" s="129">
        <f>IF(E539="地区代表者",COUNTA($D$1:$D539),0)</f>
        <v>0</v>
      </c>
      <c r="S539" s="129">
        <f>IF(F539="実施済",1,0)</f>
        <v>0</v>
      </c>
      <c r="T539" s="258"/>
      <c r="U539" s="129">
        <f>IF(AND(H539="実施済",I539="実施済"),S539*1,0)</f>
        <v>0</v>
      </c>
      <c r="V539" s="129">
        <f>IF(J539="実施済",$U539*1,0)</f>
        <v>0</v>
      </c>
      <c r="W539" s="258"/>
      <c r="X539" s="129">
        <f t="shared" si="284"/>
        <v>0</v>
      </c>
      <c r="Y539" s="129">
        <f>MIN($X$537:$X$541)+1</f>
        <v>1</v>
      </c>
      <c r="Z539" s="129">
        <f t="shared" si="285"/>
        <v>0</v>
      </c>
      <c r="AA539" s="129" t="str" cm="1">
        <f t="array" ref="AA539">_xlfn.IFS(Y539=4,"A",Y539=3,"B",Y539=2,"C",Y539=1,"D")</f>
        <v>D</v>
      </c>
      <c r="AB539" s="129"/>
    </row>
    <row r="540" spans="1:28" s="2" customFormat="1" ht="9" customHeight="1">
      <c r="A540"/>
      <c r="B540" s="65"/>
      <c r="C540" s="4"/>
      <c r="D540" s="307"/>
      <c r="E540" s="308"/>
      <c r="F540" s="308"/>
      <c r="G540" s="308"/>
      <c r="H540" s="308"/>
      <c r="I540" s="308"/>
      <c r="J540" s="308"/>
      <c r="K540" s="308"/>
      <c r="L540" s="9"/>
      <c r="M540"/>
      <c r="P540"/>
      <c r="Q540"/>
      <c r="R540" s="215">
        <f>IF(E540="地区代表者",COUNTA($D$1:$D540),0)</f>
        <v>0</v>
      </c>
      <c r="S540" s="215">
        <f t="shared" ref="S540:S541" si="286">IF(F540="実施済",1,0)</f>
        <v>0</v>
      </c>
      <c r="T540" s="316"/>
      <c r="U540" s="215">
        <f t="shared" ref="U540:U541" si="287">IF(AND(H540="実施済",I540="実施済"),S540*1,0)</f>
        <v>0</v>
      </c>
      <c r="V540" s="215">
        <f t="shared" ref="V540:V541" si="288">IF(J540="実施済",$U540*1,0)</f>
        <v>0</v>
      </c>
      <c r="W540" s="316"/>
      <c r="X540" s="215" t="str">
        <f t="shared" si="284"/>
        <v/>
      </c>
      <c r="Y540" s="215">
        <f>MIN($X$537:$X$541)+1</f>
        <v>1</v>
      </c>
      <c r="Z540" s="215">
        <f t="shared" si="285"/>
        <v>1</v>
      </c>
      <c r="AA540" s="215" t="str" cm="1">
        <f t="array" ref="AA540">_xlfn.IFS(Y540=4,"A",Y540=3,"B",Y540=2,"C",Y540=1,"D")</f>
        <v>D</v>
      </c>
      <c r="AB540" s="215"/>
    </row>
    <row r="541" spans="1:28" s="2" customFormat="1" ht="6" customHeight="1">
      <c r="A541"/>
      <c r="B541"/>
      <c r="C541"/>
      <c r="D541" s="309"/>
      <c r="E541" s="310"/>
      <c r="F541" s="310"/>
      <c r="G541" s="310"/>
      <c r="H541" s="310"/>
      <c r="I541" s="310"/>
      <c r="J541" s="310"/>
      <c r="K541" s="310"/>
      <c r="L541"/>
      <c r="M541"/>
      <c r="P541"/>
      <c r="Q541"/>
      <c r="R541" s="215">
        <f>IF(E541="地区代表者",COUNTA($D$1:$D541),0)</f>
        <v>0</v>
      </c>
      <c r="S541" s="215">
        <f t="shared" si="286"/>
        <v>0</v>
      </c>
      <c r="T541" s="316"/>
      <c r="U541" s="215">
        <f t="shared" si="287"/>
        <v>0</v>
      </c>
      <c r="V541" s="215">
        <f t="shared" si="288"/>
        <v>0</v>
      </c>
      <c r="W541" s="316"/>
      <c r="X541" s="215" t="str">
        <f t="shared" si="284"/>
        <v/>
      </c>
      <c r="Y541" s="215">
        <f>MIN($X$537:$X$541)+1</f>
        <v>1</v>
      </c>
      <c r="Z541" s="215">
        <f t="shared" si="285"/>
        <v>1</v>
      </c>
      <c r="AA541" s="215" t="str" cm="1">
        <f t="array" ref="AA541">_xlfn.IFS(Y541=4,"A",Y541=3,"B",Y541=2,"C",Y541=1,"D")</f>
        <v>D</v>
      </c>
      <c r="AB541" s="215"/>
    </row>
    <row r="542" spans="1:28" ht="96" customHeight="1">
      <c r="C542" s="78"/>
      <c r="D542" s="79"/>
      <c r="E542" s="72" t="s">
        <v>236</v>
      </c>
      <c r="F542" s="1452"/>
      <c r="G542" s="1452"/>
      <c r="H542" s="1452"/>
      <c r="I542" s="1452"/>
      <c r="J542" s="1452"/>
      <c r="K542" s="1452"/>
      <c r="L542" s="80" t="s">
        <v>132</v>
      </c>
      <c r="M542" s="290"/>
    </row>
    <row r="543" spans="1:28" ht="96" customHeight="1">
      <c r="C543" s="75"/>
      <c r="D543" s="68"/>
      <c r="E543" s="72" t="s">
        <v>237</v>
      </c>
      <c r="F543" s="1452"/>
      <c r="G543" s="1452"/>
      <c r="H543" s="1452"/>
      <c r="I543" s="1452"/>
      <c r="J543" s="1452"/>
      <c r="K543" s="1452"/>
    </row>
    <row r="544" spans="1:28" ht="18.5" thickBot="1">
      <c r="A544" s="81"/>
      <c r="B544" s="81"/>
      <c r="C544" s="81"/>
      <c r="D544" s="81"/>
      <c r="E544" s="311"/>
      <c r="F544" s="81"/>
      <c r="G544" s="81"/>
      <c r="H544" s="81"/>
      <c r="I544" s="81"/>
      <c r="J544" s="81"/>
      <c r="K544" s="81"/>
      <c r="L544" s="81"/>
      <c r="M544" s="82"/>
    </row>
    <row r="546" spans="1:28" ht="9" customHeight="1">
      <c r="B546" s="10"/>
      <c r="C546" s="5"/>
      <c r="D546" s="5"/>
      <c r="E546" s="305"/>
      <c r="F546" s="5"/>
      <c r="G546" s="5"/>
      <c r="H546" s="5"/>
      <c r="I546" s="5"/>
      <c r="J546" s="5"/>
      <c r="K546" s="5"/>
      <c r="L546" s="6"/>
      <c r="M546"/>
      <c r="N546"/>
      <c r="O546"/>
      <c r="R546" t="str">
        <f>D547</f>
        <v>(選択してください)</v>
      </c>
    </row>
    <row r="547" spans="1:28">
      <c r="B547" s="7"/>
      <c r="C547" s="77" t="str">
        <f ca="1">IFERROR(OFFSET('4.2民生電力需要量'!$C$1,MATCH(D547,'4.2民生電力需要量'!$E:$E,0)-1,0),"")</f>
        <v/>
      </c>
      <c r="D547" s="94" t="s">
        <v>130</v>
      </c>
      <c r="E547" s="72" t="s">
        <v>131</v>
      </c>
      <c r="F547" s="1446" t="str">
        <f ca="1">IFERROR(OFFSET('4.2民生電力需要量'!$G$1,MATCH($D547,'4.2民生電力需要量'!$E:$E,0)-1,0),"")</f>
        <v/>
      </c>
      <c r="G547" s="1446"/>
      <c r="H547" s="1446"/>
      <c r="I547" s="1446"/>
      <c r="J547" s="1446"/>
      <c r="K547" s="1446"/>
      <c r="L547" s="8"/>
      <c r="M547"/>
      <c r="N547"/>
      <c r="O547"/>
      <c r="R547" s="175" t="str">
        <f ca="1">IFERROR(OFFSET('4.2民生電力需要量'!$G$1,MATCH($D547,'4.2民生電力需要量'!$E:$E,0)-1,0),"")</f>
        <v/>
      </c>
      <c r="S547" s="175"/>
      <c r="T547" s="175"/>
      <c r="U547" s="175"/>
      <c r="V547" s="175"/>
      <c r="W547" s="175"/>
      <c r="X547" s="175"/>
      <c r="Y547" s="175"/>
      <c r="Z547" s="175"/>
      <c r="AA547" s="175"/>
      <c r="AB547" s="175">
        <f ca="1">(F547=R547)*1</f>
        <v>1</v>
      </c>
    </row>
    <row r="548" spans="1:28">
      <c r="B548" s="7"/>
      <c r="C548" s="915"/>
      <c r="D548" s="97"/>
      <c r="E548" s="72" t="s">
        <v>612</v>
      </c>
      <c r="F548" s="1447" t="str">
        <f ca="1">IFERROR(OFFSET('4.2民生電力需要量'!$L$1,MATCH($D547,'4.2民生電力需要量'!$E:$E,0)-1,0),"")</f>
        <v/>
      </c>
      <c r="G548" s="1448"/>
      <c r="H548" s="1448"/>
      <c r="I548" s="1448"/>
      <c r="J548" s="1448"/>
      <c r="K548" s="1449"/>
      <c r="L548" s="8"/>
      <c r="M548"/>
      <c r="N548"/>
      <c r="O548"/>
      <c r="R548" s="175" t="str">
        <f ca="1">IFERROR(OFFSET('4.2民生電力需要量'!$L$1,MATCH($D547,'4.2民生電力需要量'!$E:$E,0)-1,0),"")</f>
        <v/>
      </c>
      <c r="S548" s="175"/>
      <c r="T548" s="175"/>
      <c r="U548" s="175"/>
      <c r="V548" s="175"/>
      <c r="W548" s="175"/>
      <c r="X548" s="175"/>
      <c r="Y548" s="175"/>
      <c r="Z548" s="175"/>
      <c r="AA548" s="175"/>
      <c r="AB548" s="175">
        <f ca="1">(F548=R548)*1</f>
        <v>1</v>
      </c>
    </row>
    <row r="549" spans="1:28">
      <c r="B549" s="7"/>
      <c r="C549" s="74"/>
      <c r="D549" s="66"/>
      <c r="E549" s="72" t="s">
        <v>220</v>
      </c>
      <c r="F549" s="1450" t="str">
        <f ca="1">IFERROR(OFFSET('4.2民生電力需要量'!$I$1,MATCH($D547,'4.2民生電力需要量'!$E:$E,0)-1,0),"")</f>
        <v/>
      </c>
      <c r="G549" s="1450"/>
      <c r="H549" s="1450"/>
      <c r="I549" s="1450"/>
      <c r="J549" s="1450"/>
      <c r="K549" s="1450"/>
      <c r="L549" s="8"/>
      <c r="M549"/>
      <c r="N549"/>
      <c r="O549"/>
      <c r="R549" s="175" t="str">
        <f ca="1">IFERROR(OFFSET('4.2民生電力需要量'!$I$1,MATCH($D547,'4.2民生電力需要量'!$E:$E,0)-1,0),"")</f>
        <v/>
      </c>
      <c r="S549" s="175"/>
      <c r="T549" s="175"/>
      <c r="U549" s="175"/>
      <c r="V549" s="175"/>
      <c r="W549" s="175"/>
      <c r="X549" s="175"/>
      <c r="Y549" s="175"/>
      <c r="Z549" s="175"/>
      <c r="AA549" s="175"/>
      <c r="AB549" s="175">
        <f t="shared" ref="AB549:AB550" ca="1" si="289">(F549=R549)*1</f>
        <v>1</v>
      </c>
    </row>
    <row r="550" spans="1:28">
      <c r="B550" s="7"/>
      <c r="C550" s="74"/>
      <c r="D550" s="66"/>
      <c r="E550" s="72" t="s">
        <v>175</v>
      </c>
      <c r="F550" s="1451" t="str">
        <f>_xlfn.IFNA(R550,"")</f>
        <v/>
      </c>
      <c r="G550" s="1451"/>
      <c r="H550" s="1451"/>
      <c r="I550" s="1451"/>
      <c r="J550" s="1451"/>
      <c r="K550" s="1451"/>
      <c r="L550" s="8"/>
      <c r="M550"/>
      <c r="N550"/>
      <c r="O550"/>
      <c r="R550" s="215" t="str">
        <f>IF(PRODUCT($Z552:$Z556)=1,AA552,"")</f>
        <v/>
      </c>
      <c r="S550" s="175"/>
      <c r="T550" s="175"/>
      <c r="U550" s="175"/>
      <c r="V550" s="175"/>
      <c r="W550" s="175"/>
      <c r="X550" s="175"/>
      <c r="Y550" s="175"/>
      <c r="Z550" s="175"/>
      <c r="AA550" s="175"/>
      <c r="AB550" s="175">
        <f t="shared" si="289"/>
        <v>1</v>
      </c>
    </row>
    <row r="551" spans="1:28" s="2" customFormat="1" ht="60">
      <c r="A551"/>
      <c r="B551" s="7"/>
      <c r="C551" s="74"/>
      <c r="D551" s="66"/>
      <c r="E551" s="306"/>
      <c r="F551" s="312" t="s">
        <v>299</v>
      </c>
      <c r="G551" s="313" t="s">
        <v>300</v>
      </c>
      <c r="H551" s="313" t="s">
        <v>301</v>
      </c>
      <c r="I551" s="313" t="s">
        <v>302</v>
      </c>
      <c r="J551" s="313" t="s">
        <v>429</v>
      </c>
      <c r="K551" s="313" t="s">
        <v>270</v>
      </c>
      <c r="L551" s="8"/>
      <c r="M551"/>
      <c r="P551"/>
      <c r="Q551"/>
      <c r="R551" s="294" t="s">
        <v>298</v>
      </c>
      <c r="S551" s="294" t="s">
        <v>299</v>
      </c>
      <c r="T551" s="314" t="s">
        <v>423</v>
      </c>
      <c r="U551" s="294" t="s">
        <v>424</v>
      </c>
      <c r="V551" s="294" t="s">
        <v>422</v>
      </c>
      <c r="W551" s="315" t="s">
        <v>270</v>
      </c>
      <c r="X551" s="294" t="s">
        <v>426</v>
      </c>
      <c r="Y551" s="215" t="s">
        <v>402</v>
      </c>
      <c r="Z551" s="215" t="s">
        <v>430</v>
      </c>
      <c r="AA551" s="294" t="s">
        <v>425</v>
      </c>
      <c r="AB551" s="294"/>
    </row>
    <row r="552" spans="1:28" s="99" customFormat="1" ht="18.75" hidden="1" customHeight="1">
      <c r="A552" s="11"/>
      <c r="B552" s="95"/>
      <c r="C552" s="96"/>
      <c r="D552" s="97"/>
      <c r="E552" s="438"/>
      <c r="F552" s="439"/>
      <c r="G552" s="439"/>
      <c r="H552" s="439"/>
      <c r="I552" s="439"/>
      <c r="J552" s="439"/>
      <c r="K552" s="439"/>
      <c r="L552" s="98"/>
      <c r="M552" s="11"/>
      <c r="Q552" s="11"/>
      <c r="R552" s="129">
        <f>IF(E552="地区代表者",COUNTA($D$1:$D552),0)</f>
        <v>0</v>
      </c>
      <c r="S552" s="129">
        <f t="shared" ref="S552:S553" si="290">IF(F552="実施済",1,0)</f>
        <v>0</v>
      </c>
      <c r="T552" s="258"/>
      <c r="U552" s="129">
        <f t="shared" ref="U552:U553" si="291">IF(AND(H552="実施済",I552="実施済"),S552*1,0)</f>
        <v>0</v>
      </c>
      <c r="V552" s="129">
        <f>IF(J552="実施済",$U552*1,0)</f>
        <v>0</v>
      </c>
      <c r="W552" s="258"/>
      <c r="X552" s="129" t="str">
        <f>IF(E552="","",IF(R552*S552&gt;0,3,SUM(S552,U552,V552)))</f>
        <v/>
      </c>
      <c r="Y552" s="129">
        <f>MIN($X$552:$X$556)+1</f>
        <v>1</v>
      </c>
      <c r="Z552" s="129">
        <f>IF(E552="",1,IF(R552&gt;0,IF(COUNTA($F552:$K552)=2,1,0),IF(COUNTA($F552:$K552)=6,1,0)))</f>
        <v>1</v>
      </c>
      <c r="AA552" s="129" t="str" cm="1">
        <f t="array" ref="AA552">_xlfn.IFS(Y552=4,"A",Y552=3,"B",Y552=2,"C",Y552=1,"D")</f>
        <v>D</v>
      </c>
      <c r="AB552" s="129" t="str" cm="1">
        <f t="array" ref="AB552">_xlfn.IFS(Z552=4,"A",Z552=3,"B",Z552=2,"C",Z552=1,"D")</f>
        <v>D</v>
      </c>
    </row>
    <row r="553" spans="1:28" s="99" customFormat="1" ht="18.75" customHeight="1">
      <c r="A553" s="11"/>
      <c r="B553" s="95"/>
      <c r="C553" s="96"/>
      <c r="D553" s="97"/>
      <c r="E553" s="440" t="s">
        <v>298</v>
      </c>
      <c r="F553" s="441"/>
      <c r="G553" s="839"/>
      <c r="H553" s="839"/>
      <c r="I553" s="839"/>
      <c r="J553" s="839"/>
      <c r="K553" s="441"/>
      <c r="L553" s="98"/>
      <c r="M553" s="11"/>
      <c r="Q553" s="11"/>
      <c r="R553" s="129">
        <f>IF(E553="地区代表者",COUNTA($D$1:$D553),0)</f>
        <v>37</v>
      </c>
      <c r="S553" s="129">
        <f t="shared" si="290"/>
        <v>0</v>
      </c>
      <c r="T553" s="258"/>
      <c r="U553" s="129">
        <f t="shared" si="291"/>
        <v>0</v>
      </c>
      <c r="V553" s="129">
        <f>IF(J553="実施済",$U553*1,0)</f>
        <v>0</v>
      </c>
      <c r="W553" s="258"/>
      <c r="X553" s="129">
        <f t="shared" ref="X553:X556" si="292">IF(E553="","",IF(R553*S553&gt;0,3,SUM(S553,U553,V553)))</f>
        <v>0</v>
      </c>
      <c r="Y553" s="129">
        <f>MIN($X$552:$X$556)+1</f>
        <v>1</v>
      </c>
      <c r="Z553" s="129">
        <f t="shared" ref="Z553:Z556" si="293">IF(E553="",1,IF(R553&gt;0,IF(COUNTA($F553:$K553)=2,1,0),IF(COUNTA($F553:$K553)=6,1,0)))</f>
        <v>0</v>
      </c>
      <c r="AA553" s="129" t="str" cm="1">
        <f t="array" ref="AA553">_xlfn.IFS(Y553=4,"A",Y553=3,"B",Y553=2,"C",Y553=1,"D")</f>
        <v>D</v>
      </c>
      <c r="AB553" s="129"/>
    </row>
    <row r="554" spans="1:28" s="99" customFormat="1" ht="18.75" customHeight="1">
      <c r="A554" s="11"/>
      <c r="B554" s="95"/>
      <c r="C554" s="96"/>
      <c r="D554" s="97"/>
      <c r="E554" s="440" t="s">
        <v>116</v>
      </c>
      <c r="F554" s="441"/>
      <c r="G554" s="441"/>
      <c r="H554" s="441"/>
      <c r="I554" s="441"/>
      <c r="J554" s="441"/>
      <c r="K554" s="441"/>
      <c r="L554" s="98"/>
      <c r="M554" s="11"/>
      <c r="P554" s="11"/>
      <c r="Q554" s="11"/>
      <c r="R554" s="129">
        <f>IF(E554="地区代表者",COUNTA($D$1:$D554),0)</f>
        <v>0</v>
      </c>
      <c r="S554" s="129">
        <f>IF(F554="実施済",1,0)</f>
        <v>0</v>
      </c>
      <c r="T554" s="258"/>
      <c r="U554" s="129">
        <f>IF(AND(H554="実施済",I554="実施済"),S554*1,0)</f>
        <v>0</v>
      </c>
      <c r="V554" s="129">
        <f>IF(J554="実施済",$U554*1,0)</f>
        <v>0</v>
      </c>
      <c r="W554" s="258"/>
      <c r="X554" s="129">
        <f t="shared" si="292"/>
        <v>0</v>
      </c>
      <c r="Y554" s="129">
        <f>MIN($X$552:$X$556)+1</f>
        <v>1</v>
      </c>
      <c r="Z554" s="129">
        <f t="shared" si="293"/>
        <v>0</v>
      </c>
      <c r="AA554" s="129" t="str" cm="1">
        <f t="array" ref="AA554">_xlfn.IFS(Y554=4,"A",Y554=3,"B",Y554=2,"C",Y554=1,"D")</f>
        <v>D</v>
      </c>
      <c r="AB554" s="129"/>
    </row>
    <row r="555" spans="1:28" s="2" customFormat="1" ht="9" customHeight="1">
      <c r="A555"/>
      <c r="B555" s="65"/>
      <c r="C555" s="4"/>
      <c r="D555" s="307"/>
      <c r="E555" s="308"/>
      <c r="F555" s="308"/>
      <c r="G555" s="308"/>
      <c r="H555" s="308"/>
      <c r="I555" s="308"/>
      <c r="J555" s="308"/>
      <c r="K555" s="308"/>
      <c r="L555" s="9"/>
      <c r="M555"/>
      <c r="P555"/>
      <c r="Q555"/>
      <c r="R555" s="215">
        <f>IF(E555="地区代表者",COUNTA($D$1:$D555),0)</f>
        <v>0</v>
      </c>
      <c r="S555" s="215">
        <f t="shared" ref="S555:S556" si="294">IF(F555="実施済",1,0)</f>
        <v>0</v>
      </c>
      <c r="T555" s="316"/>
      <c r="U555" s="215">
        <f t="shared" ref="U555:U556" si="295">IF(AND(H555="実施済",I555="実施済"),S555*1,0)</f>
        <v>0</v>
      </c>
      <c r="V555" s="215">
        <f t="shared" ref="V555:V556" si="296">IF(J555="実施済",$U555*1,0)</f>
        <v>0</v>
      </c>
      <c r="W555" s="316"/>
      <c r="X555" s="215" t="str">
        <f t="shared" si="292"/>
        <v/>
      </c>
      <c r="Y555" s="215">
        <f>MIN($X$552:$X$556)+1</f>
        <v>1</v>
      </c>
      <c r="Z555" s="215">
        <f t="shared" si="293"/>
        <v>1</v>
      </c>
      <c r="AA555" s="215" t="str" cm="1">
        <f t="array" ref="AA555">_xlfn.IFS(Y555=4,"A",Y555=3,"B",Y555=2,"C",Y555=1,"D")</f>
        <v>D</v>
      </c>
      <c r="AB555" s="215"/>
    </row>
    <row r="556" spans="1:28" s="2" customFormat="1" ht="6" customHeight="1">
      <c r="A556"/>
      <c r="B556"/>
      <c r="C556"/>
      <c r="D556" s="309"/>
      <c r="E556" s="310"/>
      <c r="F556" s="310"/>
      <c r="G556" s="310"/>
      <c r="H556" s="310"/>
      <c r="I556" s="310"/>
      <c r="J556" s="310"/>
      <c r="K556" s="310"/>
      <c r="L556"/>
      <c r="M556"/>
      <c r="P556"/>
      <c r="Q556"/>
      <c r="R556" s="215">
        <f>IF(E556="地区代表者",COUNTA($D$1:$D556),0)</f>
        <v>0</v>
      </c>
      <c r="S556" s="215">
        <f t="shared" si="294"/>
        <v>0</v>
      </c>
      <c r="T556" s="316"/>
      <c r="U556" s="215">
        <f t="shared" si="295"/>
        <v>0</v>
      </c>
      <c r="V556" s="215">
        <f t="shared" si="296"/>
        <v>0</v>
      </c>
      <c r="W556" s="316"/>
      <c r="X556" s="215" t="str">
        <f t="shared" si="292"/>
        <v/>
      </c>
      <c r="Y556" s="215">
        <f>MIN($X$552:$X$556)+1</f>
        <v>1</v>
      </c>
      <c r="Z556" s="215">
        <f t="shared" si="293"/>
        <v>1</v>
      </c>
      <c r="AA556" s="215" t="str" cm="1">
        <f t="array" ref="AA556">_xlfn.IFS(Y556=4,"A",Y556=3,"B",Y556=2,"C",Y556=1,"D")</f>
        <v>D</v>
      </c>
      <c r="AB556" s="215"/>
    </row>
    <row r="557" spans="1:28" ht="96" customHeight="1">
      <c r="C557" s="78"/>
      <c r="D557" s="79"/>
      <c r="E557" s="72" t="s">
        <v>236</v>
      </c>
      <c r="F557" s="1452"/>
      <c r="G557" s="1452"/>
      <c r="H557" s="1452"/>
      <c r="I557" s="1452"/>
      <c r="J557" s="1452"/>
      <c r="K557" s="1452"/>
      <c r="L557" s="80" t="s">
        <v>132</v>
      </c>
      <c r="M557" s="290"/>
    </row>
    <row r="558" spans="1:28" ht="96" customHeight="1">
      <c r="C558" s="75"/>
      <c r="D558" s="68"/>
      <c r="E558" s="72" t="s">
        <v>237</v>
      </c>
      <c r="F558" s="1452"/>
      <c r="G558" s="1452"/>
      <c r="H558" s="1452"/>
      <c r="I558" s="1452"/>
      <c r="J558" s="1452"/>
      <c r="K558" s="1452"/>
    </row>
    <row r="559" spans="1:28" ht="18.5" thickBot="1">
      <c r="A559" s="81"/>
      <c r="B559" s="81"/>
      <c r="C559" s="81"/>
      <c r="D559" s="81"/>
      <c r="E559" s="311"/>
      <c r="F559" s="81"/>
      <c r="G559" s="81"/>
      <c r="H559" s="81"/>
      <c r="I559" s="81"/>
      <c r="J559" s="81"/>
      <c r="K559" s="81"/>
      <c r="L559" s="81"/>
      <c r="M559" s="82"/>
    </row>
    <row r="561" spans="1:28" ht="9" customHeight="1">
      <c r="B561" s="10"/>
      <c r="C561" s="5"/>
      <c r="D561" s="5"/>
      <c r="E561" s="305"/>
      <c r="F561" s="5"/>
      <c r="G561" s="5"/>
      <c r="H561" s="5"/>
      <c r="I561" s="5"/>
      <c r="J561" s="5"/>
      <c r="K561" s="5"/>
      <c r="L561" s="6"/>
      <c r="M561"/>
      <c r="N561"/>
      <c r="O561"/>
      <c r="R561" t="str">
        <f>D562</f>
        <v>(選択してください)</v>
      </c>
    </row>
    <row r="562" spans="1:28">
      <c r="B562" s="7"/>
      <c r="C562" s="77" t="str">
        <f ca="1">IFERROR(OFFSET('4.2民生電力需要量'!$C$1,MATCH(D562,'4.2民生電力需要量'!$E:$E,0)-1,0),"")</f>
        <v/>
      </c>
      <c r="D562" s="94" t="s">
        <v>130</v>
      </c>
      <c r="E562" s="72" t="s">
        <v>131</v>
      </c>
      <c r="F562" s="1446" t="str">
        <f ca="1">IFERROR(OFFSET('4.2民生電力需要量'!$G$1,MATCH($D562,'4.2民生電力需要量'!$E:$E,0)-1,0),"")</f>
        <v/>
      </c>
      <c r="G562" s="1446"/>
      <c r="H562" s="1446"/>
      <c r="I562" s="1446"/>
      <c r="J562" s="1446"/>
      <c r="K562" s="1446"/>
      <c r="L562" s="8"/>
      <c r="M562"/>
      <c r="N562"/>
      <c r="O562"/>
      <c r="R562" s="175" t="str">
        <f ca="1">IFERROR(OFFSET('4.2民生電力需要量'!$G$1,MATCH($D562,'4.2民生電力需要量'!$E:$E,0)-1,0),"")</f>
        <v/>
      </c>
      <c r="S562" s="175"/>
      <c r="T562" s="175"/>
      <c r="U562" s="175"/>
      <c r="V562" s="175"/>
      <c r="W562" s="175"/>
      <c r="X562" s="175"/>
      <c r="Y562" s="175"/>
      <c r="Z562" s="175"/>
      <c r="AA562" s="175"/>
      <c r="AB562" s="175">
        <f ca="1">(F562=R562)*1</f>
        <v>1</v>
      </c>
    </row>
    <row r="563" spans="1:28">
      <c r="B563" s="7"/>
      <c r="C563" s="915"/>
      <c r="D563" s="97"/>
      <c r="E563" s="72" t="s">
        <v>612</v>
      </c>
      <c r="F563" s="1447" t="str">
        <f ca="1">IFERROR(OFFSET('4.2民生電力需要量'!$L$1,MATCH($D562,'4.2民生電力需要量'!$E:$E,0)-1,0),"")</f>
        <v/>
      </c>
      <c r="G563" s="1448"/>
      <c r="H563" s="1448"/>
      <c r="I563" s="1448"/>
      <c r="J563" s="1448"/>
      <c r="K563" s="1449"/>
      <c r="L563" s="8"/>
      <c r="M563"/>
      <c r="N563"/>
      <c r="O563"/>
      <c r="R563" s="175" t="str">
        <f ca="1">IFERROR(OFFSET('4.2民生電力需要量'!$L$1,MATCH($D562,'4.2民生電力需要量'!$E:$E,0)-1,0),"")</f>
        <v/>
      </c>
      <c r="S563" s="175"/>
      <c r="T563" s="175"/>
      <c r="U563" s="175"/>
      <c r="V563" s="175"/>
      <c r="W563" s="175"/>
      <c r="X563" s="175"/>
      <c r="Y563" s="175"/>
      <c r="Z563" s="175"/>
      <c r="AA563" s="175"/>
      <c r="AB563" s="175">
        <f ca="1">(F563=R563)*1</f>
        <v>1</v>
      </c>
    </row>
    <row r="564" spans="1:28">
      <c r="B564" s="7"/>
      <c r="C564" s="74"/>
      <c r="D564" s="66"/>
      <c r="E564" s="72" t="s">
        <v>220</v>
      </c>
      <c r="F564" s="1450" t="str">
        <f ca="1">IFERROR(OFFSET('4.2民生電力需要量'!$I$1,MATCH($D562,'4.2民生電力需要量'!$E:$E,0)-1,0),"")</f>
        <v/>
      </c>
      <c r="G564" s="1450"/>
      <c r="H564" s="1450"/>
      <c r="I564" s="1450"/>
      <c r="J564" s="1450"/>
      <c r="K564" s="1450"/>
      <c r="L564" s="8"/>
      <c r="M564"/>
      <c r="N564"/>
      <c r="O564"/>
      <c r="R564" s="175" t="str">
        <f ca="1">IFERROR(OFFSET('4.2民生電力需要量'!$I$1,MATCH($D562,'4.2民生電力需要量'!$E:$E,0)-1,0),"")</f>
        <v/>
      </c>
      <c r="S564" s="175"/>
      <c r="T564" s="175"/>
      <c r="U564" s="175"/>
      <c r="V564" s="175"/>
      <c r="W564" s="175"/>
      <c r="X564" s="175"/>
      <c r="Y564" s="175"/>
      <c r="Z564" s="175"/>
      <c r="AA564" s="175"/>
      <c r="AB564" s="175">
        <f t="shared" ref="AB564:AB565" ca="1" si="297">(F564=R564)*1</f>
        <v>1</v>
      </c>
    </row>
    <row r="565" spans="1:28">
      <c r="B565" s="7"/>
      <c r="C565" s="74"/>
      <c r="D565" s="66"/>
      <c r="E565" s="72" t="s">
        <v>175</v>
      </c>
      <c r="F565" s="1451" t="str">
        <f>_xlfn.IFNA(R565,"")</f>
        <v/>
      </c>
      <c r="G565" s="1451"/>
      <c r="H565" s="1451"/>
      <c r="I565" s="1451"/>
      <c r="J565" s="1451"/>
      <c r="K565" s="1451"/>
      <c r="L565" s="8"/>
      <c r="M565"/>
      <c r="N565"/>
      <c r="O565"/>
      <c r="R565" s="215" t="str">
        <f>IF(PRODUCT($Z567:$Z571)=1,AA567,"")</f>
        <v/>
      </c>
      <c r="S565" s="175"/>
      <c r="T565" s="175"/>
      <c r="U565" s="175"/>
      <c r="V565" s="175"/>
      <c r="W565" s="175"/>
      <c r="X565" s="175"/>
      <c r="Y565" s="175"/>
      <c r="Z565" s="175"/>
      <c r="AA565" s="175"/>
      <c r="AB565" s="175">
        <f t="shared" si="297"/>
        <v>1</v>
      </c>
    </row>
    <row r="566" spans="1:28" s="2" customFormat="1" ht="60">
      <c r="A566"/>
      <c r="B566" s="7"/>
      <c r="C566" s="74"/>
      <c r="D566" s="66"/>
      <c r="E566" s="306"/>
      <c r="F566" s="312" t="s">
        <v>299</v>
      </c>
      <c r="G566" s="313" t="s">
        <v>300</v>
      </c>
      <c r="H566" s="313" t="s">
        <v>301</v>
      </c>
      <c r="I566" s="313" t="s">
        <v>302</v>
      </c>
      <c r="J566" s="313" t="s">
        <v>429</v>
      </c>
      <c r="K566" s="313" t="s">
        <v>270</v>
      </c>
      <c r="L566" s="8"/>
      <c r="M566"/>
      <c r="P566"/>
      <c r="Q566"/>
      <c r="R566" s="294" t="s">
        <v>298</v>
      </c>
      <c r="S566" s="294" t="s">
        <v>299</v>
      </c>
      <c r="T566" s="314" t="s">
        <v>423</v>
      </c>
      <c r="U566" s="294" t="s">
        <v>424</v>
      </c>
      <c r="V566" s="294" t="s">
        <v>422</v>
      </c>
      <c r="W566" s="315" t="s">
        <v>270</v>
      </c>
      <c r="X566" s="294" t="s">
        <v>426</v>
      </c>
      <c r="Y566" s="215" t="s">
        <v>402</v>
      </c>
      <c r="Z566" s="215" t="s">
        <v>430</v>
      </c>
      <c r="AA566" s="294" t="s">
        <v>425</v>
      </c>
      <c r="AB566" s="294"/>
    </row>
    <row r="567" spans="1:28" s="99" customFormat="1" ht="18.75" hidden="1" customHeight="1">
      <c r="A567" s="11"/>
      <c r="B567" s="95"/>
      <c r="C567" s="96"/>
      <c r="D567" s="97"/>
      <c r="E567" s="438"/>
      <c r="F567" s="439"/>
      <c r="G567" s="439"/>
      <c r="H567" s="439"/>
      <c r="I567" s="439"/>
      <c r="J567" s="439"/>
      <c r="K567" s="439"/>
      <c r="L567" s="98"/>
      <c r="M567" s="11"/>
      <c r="Q567" s="11"/>
      <c r="R567" s="129">
        <f>IF(E567="地区代表者",COUNTA($D$1:$D567),0)</f>
        <v>0</v>
      </c>
      <c r="S567" s="129">
        <f t="shared" ref="S567:S568" si="298">IF(F567="実施済",1,0)</f>
        <v>0</v>
      </c>
      <c r="T567" s="258"/>
      <c r="U567" s="129">
        <f t="shared" ref="U567:U568" si="299">IF(AND(H567="実施済",I567="実施済"),S567*1,0)</f>
        <v>0</v>
      </c>
      <c r="V567" s="129">
        <f>IF(J567="実施済",$U567*1,0)</f>
        <v>0</v>
      </c>
      <c r="W567" s="258"/>
      <c r="X567" s="129" t="str">
        <f>IF(E567="","",IF(R567*S567&gt;0,3,SUM(S567,U567,V567)))</f>
        <v/>
      </c>
      <c r="Y567" s="129">
        <f>MIN($X$567:$X$571)+1</f>
        <v>1</v>
      </c>
      <c r="Z567" s="129">
        <f>IF(E567="",1,IF(R567&gt;0,IF(COUNTA($F567:$K567)=2,1,0),IF(COUNTA($F567:$K567)=6,1,0)))</f>
        <v>1</v>
      </c>
      <c r="AA567" s="129" t="str" cm="1">
        <f t="array" ref="AA567">_xlfn.IFS(Y567=4,"A",Y567=3,"B",Y567=2,"C",Y567=1,"D")</f>
        <v>D</v>
      </c>
      <c r="AB567" s="129" t="str" cm="1">
        <f t="array" ref="AB567">_xlfn.IFS(Z567=4,"A",Z567=3,"B",Z567=2,"C",Z567=1,"D")</f>
        <v>D</v>
      </c>
    </row>
    <row r="568" spans="1:28" s="99" customFormat="1" ht="18.75" customHeight="1">
      <c r="A568" s="11"/>
      <c r="B568" s="95"/>
      <c r="C568" s="96"/>
      <c r="D568" s="97"/>
      <c r="E568" s="440" t="s">
        <v>298</v>
      </c>
      <c r="F568" s="441"/>
      <c r="G568" s="839"/>
      <c r="H568" s="839"/>
      <c r="I568" s="839"/>
      <c r="J568" s="839"/>
      <c r="K568" s="441"/>
      <c r="L568" s="98"/>
      <c r="M568" s="11"/>
      <c r="Q568" s="11"/>
      <c r="R568" s="129">
        <f>IF(E568="地区代表者",COUNTA($D$1:$D568),0)</f>
        <v>38</v>
      </c>
      <c r="S568" s="129">
        <f t="shared" si="298"/>
        <v>0</v>
      </c>
      <c r="T568" s="258"/>
      <c r="U568" s="129">
        <f t="shared" si="299"/>
        <v>0</v>
      </c>
      <c r="V568" s="129">
        <f>IF(J568="実施済",$U568*1,0)</f>
        <v>0</v>
      </c>
      <c r="W568" s="258"/>
      <c r="X568" s="129">
        <f t="shared" ref="X568:X571" si="300">IF(E568="","",IF(R568*S568&gt;0,3,SUM(S568,U568,V568)))</f>
        <v>0</v>
      </c>
      <c r="Y568" s="129">
        <f>MIN($X$567:$X$571)+1</f>
        <v>1</v>
      </c>
      <c r="Z568" s="129">
        <f t="shared" ref="Z568:Z571" si="301">IF(E568="",1,IF(R568&gt;0,IF(COUNTA($F568:$K568)=2,1,0),IF(COUNTA($F568:$K568)=6,1,0)))</f>
        <v>0</v>
      </c>
      <c r="AA568" s="129" t="str" cm="1">
        <f t="array" ref="AA568">_xlfn.IFS(Y568=4,"A",Y568=3,"B",Y568=2,"C",Y568=1,"D")</f>
        <v>D</v>
      </c>
      <c r="AB568" s="129"/>
    </row>
    <row r="569" spans="1:28" s="99" customFormat="1" ht="18.75" customHeight="1">
      <c r="A569" s="11"/>
      <c r="B569" s="95"/>
      <c r="C569" s="96"/>
      <c r="D569" s="97"/>
      <c r="E569" s="440" t="s">
        <v>116</v>
      </c>
      <c r="F569" s="441"/>
      <c r="G569" s="441"/>
      <c r="H569" s="441"/>
      <c r="I569" s="441"/>
      <c r="J569" s="441"/>
      <c r="K569" s="441"/>
      <c r="L569" s="98"/>
      <c r="M569" s="11"/>
      <c r="P569" s="11"/>
      <c r="Q569" s="11"/>
      <c r="R569" s="129">
        <f>IF(E569="地区代表者",COUNTA($D$1:$D569),0)</f>
        <v>0</v>
      </c>
      <c r="S569" s="129">
        <f>IF(F569="実施済",1,0)</f>
        <v>0</v>
      </c>
      <c r="T569" s="258"/>
      <c r="U569" s="129">
        <f>IF(AND(H569="実施済",I569="実施済"),S569*1,0)</f>
        <v>0</v>
      </c>
      <c r="V569" s="129">
        <f>IF(J569="実施済",$U569*1,0)</f>
        <v>0</v>
      </c>
      <c r="W569" s="258"/>
      <c r="X569" s="129">
        <f t="shared" si="300"/>
        <v>0</v>
      </c>
      <c r="Y569" s="129">
        <f>MIN($X$567:$X$571)+1</f>
        <v>1</v>
      </c>
      <c r="Z569" s="129">
        <f t="shared" si="301"/>
        <v>0</v>
      </c>
      <c r="AA569" s="129" t="str" cm="1">
        <f t="array" ref="AA569">_xlfn.IFS(Y569=4,"A",Y569=3,"B",Y569=2,"C",Y569=1,"D")</f>
        <v>D</v>
      </c>
      <c r="AB569" s="129"/>
    </row>
    <row r="570" spans="1:28" s="2" customFormat="1" ht="9" customHeight="1">
      <c r="A570"/>
      <c r="B570" s="65"/>
      <c r="C570" s="4"/>
      <c r="D570" s="307"/>
      <c r="E570" s="308"/>
      <c r="F570" s="308"/>
      <c r="G570" s="308"/>
      <c r="H570" s="308"/>
      <c r="I570" s="308"/>
      <c r="J570" s="308"/>
      <c r="K570" s="308"/>
      <c r="L570" s="9"/>
      <c r="M570"/>
      <c r="P570"/>
      <c r="Q570"/>
      <c r="R570" s="215">
        <f>IF(E570="地区代表者",COUNTA($D$1:$D570),0)</f>
        <v>0</v>
      </c>
      <c r="S570" s="215">
        <f t="shared" ref="S570:S571" si="302">IF(F570="実施済",1,0)</f>
        <v>0</v>
      </c>
      <c r="T570" s="316"/>
      <c r="U570" s="215">
        <f t="shared" ref="U570:U571" si="303">IF(AND(H570="実施済",I570="実施済"),S570*1,0)</f>
        <v>0</v>
      </c>
      <c r="V570" s="215">
        <f t="shared" ref="V570:V571" si="304">IF(J570="実施済",$U570*1,0)</f>
        <v>0</v>
      </c>
      <c r="W570" s="316"/>
      <c r="X570" s="215" t="str">
        <f t="shared" si="300"/>
        <v/>
      </c>
      <c r="Y570" s="215">
        <f>MIN($X$567:$X$571)+1</f>
        <v>1</v>
      </c>
      <c r="Z570" s="215">
        <f t="shared" si="301"/>
        <v>1</v>
      </c>
      <c r="AA570" s="215" t="str" cm="1">
        <f t="array" ref="AA570">_xlfn.IFS(Y570=4,"A",Y570=3,"B",Y570=2,"C",Y570=1,"D")</f>
        <v>D</v>
      </c>
      <c r="AB570" s="215"/>
    </row>
    <row r="571" spans="1:28" s="2" customFormat="1" ht="6" customHeight="1">
      <c r="A571"/>
      <c r="B571"/>
      <c r="C571"/>
      <c r="D571" s="309"/>
      <c r="E571" s="310"/>
      <c r="F571" s="310"/>
      <c r="G571" s="310"/>
      <c r="H571" s="310"/>
      <c r="I571" s="310"/>
      <c r="J571" s="310"/>
      <c r="K571" s="310"/>
      <c r="L571"/>
      <c r="M571"/>
      <c r="P571"/>
      <c r="Q571"/>
      <c r="R571" s="215">
        <f>IF(E571="地区代表者",COUNTA($D$1:$D571),0)</f>
        <v>0</v>
      </c>
      <c r="S571" s="215">
        <f t="shared" si="302"/>
        <v>0</v>
      </c>
      <c r="T571" s="316"/>
      <c r="U571" s="215">
        <f t="shared" si="303"/>
        <v>0</v>
      </c>
      <c r="V571" s="215">
        <f t="shared" si="304"/>
        <v>0</v>
      </c>
      <c r="W571" s="316"/>
      <c r="X571" s="215" t="str">
        <f t="shared" si="300"/>
        <v/>
      </c>
      <c r="Y571" s="215">
        <f>MIN($X$567:$X$571)+1</f>
        <v>1</v>
      </c>
      <c r="Z571" s="215">
        <f t="shared" si="301"/>
        <v>1</v>
      </c>
      <c r="AA571" s="215" t="str" cm="1">
        <f t="array" ref="AA571">_xlfn.IFS(Y571=4,"A",Y571=3,"B",Y571=2,"C",Y571=1,"D")</f>
        <v>D</v>
      </c>
      <c r="AB571" s="215"/>
    </row>
    <row r="572" spans="1:28" ht="96" customHeight="1">
      <c r="C572" s="78"/>
      <c r="D572" s="79"/>
      <c r="E572" s="72" t="s">
        <v>236</v>
      </c>
      <c r="F572" s="1452"/>
      <c r="G572" s="1452"/>
      <c r="H572" s="1452"/>
      <c r="I572" s="1452"/>
      <c r="J572" s="1452"/>
      <c r="K572" s="1452"/>
      <c r="L572" s="80" t="s">
        <v>132</v>
      </c>
      <c r="M572" s="290"/>
    </row>
    <row r="573" spans="1:28" ht="96" customHeight="1">
      <c r="C573" s="75"/>
      <c r="D573" s="68"/>
      <c r="E573" s="72" t="s">
        <v>237</v>
      </c>
      <c r="F573" s="1452"/>
      <c r="G573" s="1452"/>
      <c r="H573" s="1452"/>
      <c r="I573" s="1452"/>
      <c r="J573" s="1452"/>
      <c r="K573" s="1452"/>
    </row>
    <row r="574" spans="1:28" ht="18.5" thickBot="1">
      <c r="A574" s="81"/>
      <c r="B574" s="81"/>
      <c r="C574" s="81"/>
      <c r="D574" s="81"/>
      <c r="E574" s="311"/>
      <c r="F574" s="81"/>
      <c r="G574" s="81"/>
      <c r="H574" s="81"/>
      <c r="I574" s="81"/>
      <c r="J574" s="81"/>
      <c r="K574" s="81"/>
      <c r="L574" s="81"/>
      <c r="M574" s="82"/>
    </row>
    <row r="576" spans="1:28" ht="9" customHeight="1">
      <c r="B576" s="10"/>
      <c r="C576" s="5"/>
      <c r="D576" s="5"/>
      <c r="E576" s="305"/>
      <c r="F576" s="5"/>
      <c r="G576" s="5"/>
      <c r="H576" s="5"/>
      <c r="I576" s="5"/>
      <c r="J576" s="5"/>
      <c r="K576" s="5"/>
      <c r="L576" s="6"/>
      <c r="M576"/>
      <c r="N576"/>
      <c r="O576"/>
      <c r="R576" t="str">
        <f>D577</f>
        <v>(選択してください)</v>
      </c>
    </row>
    <row r="577" spans="1:28">
      <c r="B577" s="7"/>
      <c r="C577" s="77" t="str">
        <f ca="1">IFERROR(OFFSET('4.2民生電力需要量'!$C$1,MATCH(D577,'4.2民生電力需要量'!$E:$E,0)-1,0),"")</f>
        <v/>
      </c>
      <c r="D577" s="94" t="s">
        <v>130</v>
      </c>
      <c r="E577" s="72" t="s">
        <v>131</v>
      </c>
      <c r="F577" s="1446" t="str">
        <f ca="1">IFERROR(OFFSET('4.2民生電力需要量'!$G$1,MATCH($D577,'4.2民生電力需要量'!$E:$E,0)-1,0),"")</f>
        <v/>
      </c>
      <c r="G577" s="1446"/>
      <c r="H577" s="1446"/>
      <c r="I577" s="1446"/>
      <c r="J577" s="1446"/>
      <c r="K577" s="1446"/>
      <c r="L577" s="8"/>
      <c r="M577"/>
      <c r="N577"/>
      <c r="O577"/>
      <c r="R577" s="175" t="str">
        <f ca="1">IFERROR(OFFSET('4.2民生電力需要量'!$G$1,MATCH($D577,'4.2民生電力需要量'!$E:$E,0)-1,0),"")</f>
        <v/>
      </c>
      <c r="S577" s="175"/>
      <c r="T577" s="175"/>
      <c r="U577" s="175"/>
      <c r="V577" s="175"/>
      <c r="W577" s="175"/>
      <c r="X577" s="175"/>
      <c r="Y577" s="175"/>
      <c r="Z577" s="175"/>
      <c r="AA577" s="175"/>
      <c r="AB577" s="175">
        <f ca="1">(F577=R577)*1</f>
        <v>1</v>
      </c>
    </row>
    <row r="578" spans="1:28">
      <c r="B578" s="7"/>
      <c r="C578" s="915"/>
      <c r="D578" s="97"/>
      <c r="E578" s="72" t="s">
        <v>612</v>
      </c>
      <c r="F578" s="1447" t="str">
        <f ca="1">IFERROR(OFFSET('4.2民生電力需要量'!$L$1,MATCH($D577,'4.2民生電力需要量'!$E:$E,0)-1,0),"")</f>
        <v/>
      </c>
      <c r="G578" s="1448"/>
      <c r="H578" s="1448"/>
      <c r="I578" s="1448"/>
      <c r="J578" s="1448"/>
      <c r="K578" s="1449"/>
      <c r="L578" s="8"/>
      <c r="M578"/>
      <c r="N578"/>
      <c r="O578"/>
      <c r="R578" s="175" t="str">
        <f ca="1">IFERROR(OFFSET('4.2民生電力需要量'!$L$1,MATCH($D577,'4.2民生電力需要量'!$E:$E,0)-1,0),"")</f>
        <v/>
      </c>
      <c r="S578" s="175"/>
      <c r="T578" s="175"/>
      <c r="U578" s="175"/>
      <c r="V578" s="175"/>
      <c r="W578" s="175"/>
      <c r="X578" s="175"/>
      <c r="Y578" s="175"/>
      <c r="Z578" s="175"/>
      <c r="AA578" s="175"/>
      <c r="AB578" s="175">
        <f ca="1">(F578=R578)*1</f>
        <v>1</v>
      </c>
    </row>
    <row r="579" spans="1:28">
      <c r="B579" s="7"/>
      <c r="C579" s="74"/>
      <c r="D579" s="66"/>
      <c r="E579" s="72" t="s">
        <v>220</v>
      </c>
      <c r="F579" s="1450" t="str">
        <f ca="1">IFERROR(OFFSET('4.2民生電力需要量'!$I$1,MATCH($D577,'4.2民生電力需要量'!$E:$E,0)-1,0),"")</f>
        <v/>
      </c>
      <c r="G579" s="1450"/>
      <c r="H579" s="1450"/>
      <c r="I579" s="1450"/>
      <c r="J579" s="1450"/>
      <c r="K579" s="1450"/>
      <c r="L579" s="8"/>
      <c r="M579"/>
      <c r="N579"/>
      <c r="O579"/>
      <c r="R579" s="175" t="str">
        <f ca="1">IFERROR(OFFSET('4.2民生電力需要量'!$I$1,MATCH($D577,'4.2民生電力需要量'!$E:$E,0)-1,0),"")</f>
        <v/>
      </c>
      <c r="S579" s="175"/>
      <c r="T579" s="175"/>
      <c r="U579" s="175"/>
      <c r="V579" s="175"/>
      <c r="W579" s="175"/>
      <c r="X579" s="175"/>
      <c r="Y579" s="175"/>
      <c r="Z579" s="175"/>
      <c r="AA579" s="175"/>
      <c r="AB579" s="175">
        <f t="shared" ref="AB579:AB580" ca="1" si="305">(F579=R579)*1</f>
        <v>1</v>
      </c>
    </row>
    <row r="580" spans="1:28">
      <c r="B580" s="7"/>
      <c r="C580" s="74"/>
      <c r="D580" s="66"/>
      <c r="E580" s="72" t="s">
        <v>175</v>
      </c>
      <c r="F580" s="1451" t="str">
        <f>_xlfn.IFNA(R580,"")</f>
        <v/>
      </c>
      <c r="G580" s="1451"/>
      <c r="H580" s="1451"/>
      <c r="I580" s="1451"/>
      <c r="J580" s="1451"/>
      <c r="K580" s="1451"/>
      <c r="L580" s="8"/>
      <c r="M580"/>
      <c r="N580"/>
      <c r="O580"/>
      <c r="R580" s="215" t="str">
        <f>IF(PRODUCT($Z582:$Z586)=1,AA582,"")</f>
        <v/>
      </c>
      <c r="S580" s="175"/>
      <c r="T580" s="175"/>
      <c r="U580" s="175"/>
      <c r="V580" s="175"/>
      <c r="W580" s="175"/>
      <c r="X580" s="175"/>
      <c r="Y580" s="175"/>
      <c r="Z580" s="175"/>
      <c r="AA580" s="175"/>
      <c r="AB580" s="175">
        <f t="shared" si="305"/>
        <v>1</v>
      </c>
    </row>
    <row r="581" spans="1:28" s="2" customFormat="1" ht="60">
      <c r="A581"/>
      <c r="B581" s="7"/>
      <c r="C581" s="74"/>
      <c r="D581" s="66"/>
      <c r="E581" s="306"/>
      <c r="F581" s="312" t="s">
        <v>299</v>
      </c>
      <c r="G581" s="313" t="s">
        <v>300</v>
      </c>
      <c r="H581" s="313" t="s">
        <v>301</v>
      </c>
      <c r="I581" s="313" t="s">
        <v>302</v>
      </c>
      <c r="J581" s="313" t="s">
        <v>429</v>
      </c>
      <c r="K581" s="313" t="s">
        <v>270</v>
      </c>
      <c r="L581" s="8"/>
      <c r="M581"/>
      <c r="P581"/>
      <c r="Q581"/>
      <c r="R581" s="294" t="s">
        <v>298</v>
      </c>
      <c r="S581" s="294" t="s">
        <v>299</v>
      </c>
      <c r="T581" s="314" t="s">
        <v>423</v>
      </c>
      <c r="U581" s="294" t="s">
        <v>424</v>
      </c>
      <c r="V581" s="294" t="s">
        <v>422</v>
      </c>
      <c r="W581" s="315" t="s">
        <v>270</v>
      </c>
      <c r="X581" s="294" t="s">
        <v>426</v>
      </c>
      <c r="Y581" s="215" t="s">
        <v>402</v>
      </c>
      <c r="Z581" s="215" t="s">
        <v>430</v>
      </c>
      <c r="AA581" s="294" t="s">
        <v>425</v>
      </c>
      <c r="AB581" s="294"/>
    </row>
    <row r="582" spans="1:28" s="99" customFormat="1" ht="18.75" hidden="1" customHeight="1">
      <c r="A582" s="11"/>
      <c r="B582" s="95"/>
      <c r="C582" s="96"/>
      <c r="D582" s="97"/>
      <c r="E582" s="438"/>
      <c r="F582" s="439"/>
      <c r="G582" s="439"/>
      <c r="H582" s="439"/>
      <c r="I582" s="439"/>
      <c r="J582" s="439"/>
      <c r="K582" s="439"/>
      <c r="L582" s="98"/>
      <c r="M582" s="11"/>
      <c r="Q582" s="11"/>
      <c r="R582" s="129">
        <f>IF(E582="地区代表者",COUNTA($D$1:$D582),0)</f>
        <v>0</v>
      </c>
      <c r="S582" s="129">
        <f t="shared" ref="S582:S583" si="306">IF(F582="実施済",1,0)</f>
        <v>0</v>
      </c>
      <c r="T582" s="258"/>
      <c r="U582" s="129">
        <f t="shared" ref="U582:U583" si="307">IF(AND(H582="実施済",I582="実施済"),S582*1,0)</f>
        <v>0</v>
      </c>
      <c r="V582" s="129">
        <f>IF(J582="実施済",$U582*1,0)</f>
        <v>0</v>
      </c>
      <c r="W582" s="258"/>
      <c r="X582" s="129" t="str">
        <f>IF(E582="","",IF(R582*S582&gt;0,3,SUM(S582,U582,V582)))</f>
        <v/>
      </c>
      <c r="Y582" s="129">
        <f>MIN($X$582:$X$586)+1</f>
        <v>1</v>
      </c>
      <c r="Z582" s="129">
        <f>IF(E582="",1,IF(R582&gt;0,IF(COUNTA($F582:$K582)=2,1,0),IF(COUNTA($F582:$K582)=6,1,0)))</f>
        <v>1</v>
      </c>
      <c r="AA582" s="129" t="str" cm="1">
        <f t="array" ref="AA582">_xlfn.IFS(Y582=4,"A",Y582=3,"B",Y582=2,"C",Y582=1,"D")</f>
        <v>D</v>
      </c>
      <c r="AB582" s="129" t="str" cm="1">
        <f t="array" ref="AB582">_xlfn.IFS(Z582=4,"A",Z582=3,"B",Z582=2,"C",Z582=1,"D")</f>
        <v>D</v>
      </c>
    </row>
    <row r="583" spans="1:28" s="99" customFormat="1" ht="18.75" customHeight="1">
      <c r="A583" s="11"/>
      <c r="B583" s="95"/>
      <c r="C583" s="96"/>
      <c r="D583" s="97"/>
      <c r="E583" s="440" t="s">
        <v>298</v>
      </c>
      <c r="F583" s="441"/>
      <c r="G583" s="839"/>
      <c r="H583" s="839"/>
      <c r="I583" s="839"/>
      <c r="J583" s="839"/>
      <c r="K583" s="441"/>
      <c r="L583" s="98"/>
      <c r="M583" s="11"/>
      <c r="Q583" s="11"/>
      <c r="R583" s="129">
        <f>IF(E583="地区代表者",COUNTA($D$1:$D583),0)</f>
        <v>39</v>
      </c>
      <c r="S583" s="129">
        <f t="shared" si="306"/>
        <v>0</v>
      </c>
      <c r="T583" s="258"/>
      <c r="U583" s="129">
        <f t="shared" si="307"/>
        <v>0</v>
      </c>
      <c r="V583" s="129">
        <f>IF(J583="実施済",$U583*1,0)</f>
        <v>0</v>
      </c>
      <c r="W583" s="258"/>
      <c r="X583" s="129">
        <f t="shared" ref="X583:X586" si="308">IF(E583="","",IF(R583*S583&gt;0,3,SUM(S583,U583,V583)))</f>
        <v>0</v>
      </c>
      <c r="Y583" s="129">
        <f>MIN($X$582:$X$586)+1</f>
        <v>1</v>
      </c>
      <c r="Z583" s="129">
        <f t="shared" ref="Z583:Z586" si="309">IF(E583="",1,IF(R583&gt;0,IF(COUNTA($F583:$K583)=2,1,0),IF(COUNTA($F583:$K583)=6,1,0)))</f>
        <v>0</v>
      </c>
      <c r="AA583" s="129" t="str" cm="1">
        <f t="array" ref="AA583">_xlfn.IFS(Y583=4,"A",Y583=3,"B",Y583=2,"C",Y583=1,"D")</f>
        <v>D</v>
      </c>
      <c r="AB583" s="129"/>
    </row>
    <row r="584" spans="1:28" s="99" customFormat="1" ht="18.75" customHeight="1">
      <c r="A584" s="11"/>
      <c r="B584" s="95"/>
      <c r="C584" s="96"/>
      <c r="D584" s="97"/>
      <c r="E584" s="440" t="s">
        <v>116</v>
      </c>
      <c r="F584" s="441"/>
      <c r="G584" s="441"/>
      <c r="H584" s="441"/>
      <c r="I584" s="441"/>
      <c r="J584" s="441"/>
      <c r="K584" s="441"/>
      <c r="L584" s="98"/>
      <c r="M584" s="11"/>
      <c r="P584" s="11"/>
      <c r="Q584" s="11"/>
      <c r="R584" s="129">
        <f>IF(E584="地区代表者",COUNTA($D$1:$D584),0)</f>
        <v>0</v>
      </c>
      <c r="S584" s="129">
        <f>IF(F584="実施済",1,0)</f>
        <v>0</v>
      </c>
      <c r="T584" s="258"/>
      <c r="U584" s="129">
        <f>IF(AND(H584="実施済",I584="実施済"),S584*1,0)</f>
        <v>0</v>
      </c>
      <c r="V584" s="129">
        <f>IF(J584="実施済",$U584*1,0)</f>
        <v>0</v>
      </c>
      <c r="W584" s="258"/>
      <c r="X584" s="129">
        <f t="shared" si="308"/>
        <v>0</v>
      </c>
      <c r="Y584" s="129">
        <f>MIN($X$582:$X$586)+1</f>
        <v>1</v>
      </c>
      <c r="Z584" s="129">
        <f t="shared" si="309"/>
        <v>0</v>
      </c>
      <c r="AA584" s="129" t="str" cm="1">
        <f t="array" ref="AA584">_xlfn.IFS(Y584=4,"A",Y584=3,"B",Y584=2,"C",Y584=1,"D")</f>
        <v>D</v>
      </c>
      <c r="AB584" s="129"/>
    </row>
    <row r="585" spans="1:28" s="2" customFormat="1" ht="9" customHeight="1">
      <c r="A585"/>
      <c r="B585" s="65"/>
      <c r="C585" s="4"/>
      <c r="D585" s="307"/>
      <c r="E585" s="308"/>
      <c r="F585" s="308"/>
      <c r="G585" s="308"/>
      <c r="H585" s="308"/>
      <c r="I585" s="308"/>
      <c r="J585" s="308"/>
      <c r="K585" s="308"/>
      <c r="L585" s="9"/>
      <c r="M585"/>
      <c r="P585"/>
      <c r="Q585"/>
      <c r="R585" s="215">
        <f>IF(E585="地区代表者",COUNTA($D$1:$D585),0)</f>
        <v>0</v>
      </c>
      <c r="S585" s="215">
        <f t="shared" ref="S585:S586" si="310">IF(F585="実施済",1,0)</f>
        <v>0</v>
      </c>
      <c r="T585" s="316"/>
      <c r="U585" s="215">
        <f t="shared" ref="U585:U586" si="311">IF(AND(H585="実施済",I585="実施済"),S585*1,0)</f>
        <v>0</v>
      </c>
      <c r="V585" s="215">
        <f t="shared" ref="V585:V586" si="312">IF(J585="実施済",$U585*1,0)</f>
        <v>0</v>
      </c>
      <c r="W585" s="316"/>
      <c r="X585" s="215" t="str">
        <f t="shared" si="308"/>
        <v/>
      </c>
      <c r="Y585" s="215">
        <f>MIN($X$582:$X$586)+1</f>
        <v>1</v>
      </c>
      <c r="Z585" s="215">
        <f t="shared" si="309"/>
        <v>1</v>
      </c>
      <c r="AA585" s="215" t="str" cm="1">
        <f t="array" ref="AA585">_xlfn.IFS(Y585=4,"A",Y585=3,"B",Y585=2,"C",Y585=1,"D")</f>
        <v>D</v>
      </c>
      <c r="AB585" s="215"/>
    </row>
    <row r="586" spans="1:28" s="2" customFormat="1" ht="6" customHeight="1">
      <c r="A586"/>
      <c r="B586"/>
      <c r="C586"/>
      <c r="D586" s="309"/>
      <c r="E586" s="310"/>
      <c r="F586" s="310"/>
      <c r="G586" s="310"/>
      <c r="H586" s="310"/>
      <c r="I586" s="310"/>
      <c r="J586" s="310"/>
      <c r="K586" s="310"/>
      <c r="L586"/>
      <c r="M586"/>
      <c r="P586"/>
      <c r="Q586"/>
      <c r="R586" s="215">
        <f>IF(E586="地区代表者",COUNTA($D$1:$D586),0)</f>
        <v>0</v>
      </c>
      <c r="S586" s="215">
        <f t="shared" si="310"/>
        <v>0</v>
      </c>
      <c r="T586" s="316"/>
      <c r="U586" s="215">
        <f t="shared" si="311"/>
        <v>0</v>
      </c>
      <c r="V586" s="215">
        <f t="shared" si="312"/>
        <v>0</v>
      </c>
      <c r="W586" s="316"/>
      <c r="X586" s="215" t="str">
        <f t="shared" si="308"/>
        <v/>
      </c>
      <c r="Y586" s="215">
        <f>MIN($X$582:$X$586)+1</f>
        <v>1</v>
      </c>
      <c r="Z586" s="215">
        <f t="shared" si="309"/>
        <v>1</v>
      </c>
      <c r="AA586" s="215" t="str" cm="1">
        <f t="array" ref="AA586">_xlfn.IFS(Y586=4,"A",Y586=3,"B",Y586=2,"C",Y586=1,"D")</f>
        <v>D</v>
      </c>
      <c r="AB586" s="215"/>
    </row>
    <row r="587" spans="1:28" ht="96" customHeight="1">
      <c r="C587" s="78"/>
      <c r="D587" s="79"/>
      <c r="E587" s="72" t="s">
        <v>236</v>
      </c>
      <c r="F587" s="1452"/>
      <c r="G587" s="1452"/>
      <c r="H587" s="1452"/>
      <c r="I587" s="1452"/>
      <c r="J587" s="1452"/>
      <c r="K587" s="1452"/>
      <c r="L587" s="80" t="s">
        <v>132</v>
      </c>
      <c r="M587" s="290"/>
    </row>
    <row r="588" spans="1:28" ht="96" customHeight="1">
      <c r="C588" s="75"/>
      <c r="D588" s="68"/>
      <c r="E588" s="72" t="s">
        <v>237</v>
      </c>
      <c r="F588" s="1452"/>
      <c r="G588" s="1452"/>
      <c r="H588" s="1452"/>
      <c r="I588" s="1452"/>
      <c r="J588" s="1452"/>
      <c r="K588" s="1452"/>
    </row>
    <row r="589" spans="1:28" ht="18.5" thickBot="1">
      <c r="A589" s="81"/>
      <c r="B589" s="81"/>
      <c r="C589" s="81"/>
      <c r="D589" s="81"/>
      <c r="E589" s="311"/>
      <c r="F589" s="81"/>
      <c r="G589" s="81"/>
      <c r="H589" s="81"/>
      <c r="I589" s="81"/>
      <c r="J589" s="81"/>
      <c r="K589" s="81"/>
      <c r="L589" s="81"/>
      <c r="M589" s="82"/>
    </row>
    <row r="591" spans="1:28" ht="9" customHeight="1">
      <c r="B591" s="10"/>
      <c r="C591" s="5"/>
      <c r="D591" s="5"/>
      <c r="E591" s="305"/>
      <c r="F591" s="5"/>
      <c r="G591" s="5"/>
      <c r="H591" s="5"/>
      <c r="I591" s="5"/>
      <c r="J591" s="5"/>
      <c r="K591" s="5"/>
      <c r="L591" s="6"/>
      <c r="M591"/>
      <c r="N591"/>
      <c r="O591"/>
      <c r="R591" t="str">
        <f>D592</f>
        <v>(選択してください)</v>
      </c>
    </row>
    <row r="592" spans="1:28">
      <c r="B592" s="7"/>
      <c r="C592" s="77" t="str">
        <f ca="1">IFERROR(OFFSET('4.2民生電力需要量'!$C$1,MATCH(D592,'4.2民生電力需要量'!$E:$E,0)-1,0),"")</f>
        <v/>
      </c>
      <c r="D592" s="94" t="s">
        <v>130</v>
      </c>
      <c r="E592" s="72" t="s">
        <v>131</v>
      </c>
      <c r="F592" s="1446" t="str">
        <f ca="1">IFERROR(OFFSET('4.2民生電力需要量'!$G$1,MATCH($D592,'4.2民生電力需要量'!$E:$E,0)-1,0),"")</f>
        <v/>
      </c>
      <c r="G592" s="1446"/>
      <c r="H592" s="1446"/>
      <c r="I592" s="1446"/>
      <c r="J592" s="1446"/>
      <c r="K592" s="1446"/>
      <c r="L592" s="8"/>
      <c r="M592"/>
      <c r="N592"/>
      <c r="O592"/>
      <c r="R592" s="175" t="str">
        <f ca="1">IFERROR(OFFSET('4.2民生電力需要量'!$G$1,MATCH($D592,'4.2民生電力需要量'!$E:$E,0)-1,0),"")</f>
        <v/>
      </c>
      <c r="S592" s="175"/>
      <c r="T592" s="175"/>
      <c r="U592" s="175"/>
      <c r="V592" s="175"/>
      <c r="W592" s="175"/>
      <c r="X592" s="175"/>
      <c r="Y592" s="175"/>
      <c r="Z592" s="175"/>
      <c r="AA592" s="175"/>
      <c r="AB592" s="175">
        <f ca="1">(F592=R592)*1</f>
        <v>1</v>
      </c>
    </row>
    <row r="593" spans="1:28">
      <c r="B593" s="7"/>
      <c r="C593" s="915"/>
      <c r="D593" s="97"/>
      <c r="E593" s="72" t="s">
        <v>612</v>
      </c>
      <c r="F593" s="1447" t="str">
        <f ca="1">IFERROR(OFFSET('4.2民生電力需要量'!$L$1,MATCH($D592,'4.2民生電力需要量'!$E:$E,0)-1,0),"")</f>
        <v/>
      </c>
      <c r="G593" s="1448"/>
      <c r="H593" s="1448"/>
      <c r="I593" s="1448"/>
      <c r="J593" s="1448"/>
      <c r="K593" s="1449"/>
      <c r="L593" s="8"/>
      <c r="M593"/>
      <c r="N593"/>
      <c r="O593"/>
      <c r="R593" s="175" t="str">
        <f ca="1">IFERROR(OFFSET('4.2民生電力需要量'!$L$1,MATCH($D592,'4.2民生電力需要量'!$E:$E,0)-1,0),"")</f>
        <v/>
      </c>
      <c r="S593" s="175"/>
      <c r="T593" s="175"/>
      <c r="U593" s="175"/>
      <c r="V593" s="175"/>
      <c r="W593" s="175"/>
      <c r="X593" s="175"/>
      <c r="Y593" s="175"/>
      <c r="Z593" s="175"/>
      <c r="AA593" s="175"/>
      <c r="AB593" s="175">
        <f ca="1">(F593=R593)*1</f>
        <v>1</v>
      </c>
    </row>
    <row r="594" spans="1:28">
      <c r="B594" s="7"/>
      <c r="C594" s="74"/>
      <c r="D594" s="66"/>
      <c r="E594" s="72" t="s">
        <v>220</v>
      </c>
      <c r="F594" s="1450" t="str">
        <f ca="1">IFERROR(OFFSET('4.2民生電力需要量'!$I$1,MATCH($D592,'4.2民生電力需要量'!$E:$E,0)-1,0),"")</f>
        <v/>
      </c>
      <c r="G594" s="1450"/>
      <c r="H594" s="1450"/>
      <c r="I594" s="1450"/>
      <c r="J594" s="1450"/>
      <c r="K594" s="1450"/>
      <c r="L594" s="8"/>
      <c r="M594"/>
      <c r="N594"/>
      <c r="O594"/>
      <c r="R594" s="175" t="str">
        <f ca="1">IFERROR(OFFSET('4.2民生電力需要量'!$I$1,MATCH($D592,'4.2民生電力需要量'!$E:$E,0)-1,0),"")</f>
        <v/>
      </c>
      <c r="S594" s="175"/>
      <c r="T594" s="175"/>
      <c r="U594" s="175"/>
      <c r="V594" s="175"/>
      <c r="W594" s="175"/>
      <c r="X594" s="175"/>
      <c r="Y594" s="175"/>
      <c r="Z594" s="175"/>
      <c r="AA594" s="175"/>
      <c r="AB594" s="175">
        <f t="shared" ref="AB594:AB595" ca="1" si="313">(F594=R594)*1</f>
        <v>1</v>
      </c>
    </row>
    <row r="595" spans="1:28">
      <c r="B595" s="7"/>
      <c r="C595" s="74"/>
      <c r="D595" s="66"/>
      <c r="E595" s="72" t="s">
        <v>175</v>
      </c>
      <c r="F595" s="1451" t="str">
        <f>_xlfn.IFNA(R595,"")</f>
        <v/>
      </c>
      <c r="G595" s="1451"/>
      <c r="H595" s="1451"/>
      <c r="I595" s="1451"/>
      <c r="J595" s="1451"/>
      <c r="K595" s="1451"/>
      <c r="L595" s="8"/>
      <c r="M595"/>
      <c r="N595"/>
      <c r="O595"/>
      <c r="R595" s="215" t="str">
        <f>IF(PRODUCT($Z597:$Z601)=1,AA597,"")</f>
        <v/>
      </c>
      <c r="S595" s="175"/>
      <c r="T595" s="175"/>
      <c r="U595" s="175"/>
      <c r="V595" s="175"/>
      <c r="W595" s="175"/>
      <c r="X595" s="175"/>
      <c r="Y595" s="175"/>
      <c r="Z595" s="175"/>
      <c r="AA595" s="175"/>
      <c r="AB595" s="175">
        <f t="shared" si="313"/>
        <v>1</v>
      </c>
    </row>
    <row r="596" spans="1:28" s="2" customFormat="1" ht="60">
      <c r="A596"/>
      <c r="B596" s="7"/>
      <c r="C596" s="74"/>
      <c r="D596" s="66"/>
      <c r="E596" s="306"/>
      <c r="F596" s="312" t="s">
        <v>299</v>
      </c>
      <c r="G596" s="313" t="s">
        <v>300</v>
      </c>
      <c r="H596" s="313" t="s">
        <v>301</v>
      </c>
      <c r="I596" s="313" t="s">
        <v>302</v>
      </c>
      <c r="J596" s="313" t="s">
        <v>429</v>
      </c>
      <c r="K596" s="313" t="s">
        <v>270</v>
      </c>
      <c r="L596" s="8"/>
      <c r="M596"/>
      <c r="P596"/>
      <c r="Q596"/>
      <c r="R596" s="294" t="s">
        <v>298</v>
      </c>
      <c r="S596" s="294" t="s">
        <v>299</v>
      </c>
      <c r="T596" s="314" t="s">
        <v>423</v>
      </c>
      <c r="U596" s="294" t="s">
        <v>424</v>
      </c>
      <c r="V596" s="294" t="s">
        <v>422</v>
      </c>
      <c r="W596" s="315" t="s">
        <v>270</v>
      </c>
      <c r="X596" s="294" t="s">
        <v>426</v>
      </c>
      <c r="Y596" s="215" t="s">
        <v>402</v>
      </c>
      <c r="Z596" s="215" t="s">
        <v>430</v>
      </c>
      <c r="AA596" s="294" t="s">
        <v>425</v>
      </c>
      <c r="AB596" s="294"/>
    </row>
    <row r="597" spans="1:28" s="99" customFormat="1" ht="18.75" hidden="1" customHeight="1">
      <c r="A597" s="11"/>
      <c r="B597" s="95"/>
      <c r="C597" s="96"/>
      <c r="D597" s="97"/>
      <c r="E597" s="438"/>
      <c r="F597" s="439"/>
      <c r="G597" s="439"/>
      <c r="H597" s="439"/>
      <c r="I597" s="439"/>
      <c r="J597" s="439"/>
      <c r="K597" s="439"/>
      <c r="L597" s="98"/>
      <c r="M597" s="11"/>
      <c r="Q597" s="11"/>
      <c r="R597" s="129">
        <f>IF(E597="地区代表者",COUNTA($D$1:$D597),0)</f>
        <v>0</v>
      </c>
      <c r="S597" s="129">
        <f t="shared" ref="S597:S598" si="314">IF(F597="実施済",1,0)</f>
        <v>0</v>
      </c>
      <c r="T597" s="258"/>
      <c r="U597" s="129">
        <f t="shared" ref="U597:U598" si="315">IF(AND(H597="実施済",I597="実施済"),S597*1,0)</f>
        <v>0</v>
      </c>
      <c r="V597" s="129">
        <f>IF(J597="実施済",$U597*1,0)</f>
        <v>0</v>
      </c>
      <c r="W597" s="258"/>
      <c r="X597" s="129" t="str">
        <f>IF(E597="","",IF(R597*S597&gt;0,3,SUM(S597,U597,V597)))</f>
        <v/>
      </c>
      <c r="Y597" s="129">
        <f>MIN($X$597:$X$601)+1</f>
        <v>1</v>
      </c>
      <c r="Z597" s="129">
        <f>IF(E597="",1,IF(R597&gt;0,IF(COUNTA($F597:$K597)=2,1,0),IF(COUNTA($F597:$K597)=6,1,0)))</f>
        <v>1</v>
      </c>
      <c r="AA597" s="129" t="str" cm="1">
        <f t="array" ref="AA597">_xlfn.IFS(Y597=4,"A",Y597=3,"B",Y597=2,"C",Y597=1,"D")</f>
        <v>D</v>
      </c>
      <c r="AB597" s="129" t="str" cm="1">
        <f t="array" ref="AB597">_xlfn.IFS(Z597=4,"A",Z597=3,"B",Z597=2,"C",Z597=1,"D")</f>
        <v>D</v>
      </c>
    </row>
    <row r="598" spans="1:28" s="99" customFormat="1" ht="18.75" customHeight="1">
      <c r="A598" s="11"/>
      <c r="B598" s="95"/>
      <c r="C598" s="96"/>
      <c r="D598" s="97"/>
      <c r="E598" s="440" t="s">
        <v>298</v>
      </c>
      <c r="F598" s="441"/>
      <c r="G598" s="839"/>
      <c r="H598" s="839"/>
      <c r="I598" s="839"/>
      <c r="J598" s="839"/>
      <c r="K598" s="441"/>
      <c r="L598" s="98"/>
      <c r="M598" s="11"/>
      <c r="Q598" s="11"/>
      <c r="R598" s="129">
        <f>IF(E598="地区代表者",COUNTA($D$1:$D598),0)</f>
        <v>40</v>
      </c>
      <c r="S598" s="129">
        <f t="shared" si="314"/>
        <v>0</v>
      </c>
      <c r="T598" s="258"/>
      <c r="U598" s="129">
        <f t="shared" si="315"/>
        <v>0</v>
      </c>
      <c r="V598" s="129">
        <f>IF(J598="実施済",$U598*1,0)</f>
        <v>0</v>
      </c>
      <c r="W598" s="258"/>
      <c r="X598" s="129">
        <f t="shared" ref="X598:X601" si="316">IF(E598="","",IF(R598*S598&gt;0,3,SUM(S598,U598,V598)))</f>
        <v>0</v>
      </c>
      <c r="Y598" s="129">
        <f>MIN($X$597:$X$601)+1</f>
        <v>1</v>
      </c>
      <c r="Z598" s="129">
        <f t="shared" ref="Z598:Z601" si="317">IF(E598="",1,IF(R598&gt;0,IF(COUNTA($F598:$K598)=2,1,0),IF(COUNTA($F598:$K598)=6,1,0)))</f>
        <v>0</v>
      </c>
      <c r="AA598" s="129" t="str" cm="1">
        <f t="array" ref="AA598">_xlfn.IFS(Y598=4,"A",Y598=3,"B",Y598=2,"C",Y598=1,"D")</f>
        <v>D</v>
      </c>
      <c r="AB598" s="129"/>
    </row>
    <row r="599" spans="1:28" s="99" customFormat="1" ht="18.75" customHeight="1">
      <c r="A599" s="11"/>
      <c r="B599" s="95"/>
      <c r="C599" s="96"/>
      <c r="D599" s="97"/>
      <c r="E599" s="440" t="s">
        <v>116</v>
      </c>
      <c r="F599" s="441"/>
      <c r="G599" s="441"/>
      <c r="H599" s="441"/>
      <c r="I599" s="441"/>
      <c r="J599" s="441"/>
      <c r="K599" s="441"/>
      <c r="L599" s="98"/>
      <c r="M599" s="11"/>
      <c r="P599" s="11"/>
      <c r="Q599" s="11"/>
      <c r="R599" s="129">
        <f>IF(E599="地区代表者",COUNTA($D$1:$D599),0)</f>
        <v>0</v>
      </c>
      <c r="S599" s="129">
        <f>IF(F599="実施済",1,0)</f>
        <v>0</v>
      </c>
      <c r="T599" s="258"/>
      <c r="U599" s="129">
        <f>IF(AND(H599="実施済",I599="実施済"),S599*1,0)</f>
        <v>0</v>
      </c>
      <c r="V599" s="129">
        <f>IF(J599="実施済",$U599*1,0)</f>
        <v>0</v>
      </c>
      <c r="W599" s="258"/>
      <c r="X599" s="129">
        <f t="shared" si="316"/>
        <v>0</v>
      </c>
      <c r="Y599" s="129">
        <f>MIN($X$597:$X$601)+1</f>
        <v>1</v>
      </c>
      <c r="Z599" s="129">
        <f t="shared" si="317"/>
        <v>0</v>
      </c>
      <c r="AA599" s="129" t="str" cm="1">
        <f t="array" ref="AA599">_xlfn.IFS(Y599=4,"A",Y599=3,"B",Y599=2,"C",Y599=1,"D")</f>
        <v>D</v>
      </c>
      <c r="AB599" s="129"/>
    </row>
    <row r="600" spans="1:28" s="2" customFormat="1" ht="9" customHeight="1">
      <c r="A600"/>
      <c r="B600" s="65"/>
      <c r="C600" s="4"/>
      <c r="D600" s="307"/>
      <c r="E600" s="308"/>
      <c r="F600" s="308"/>
      <c r="G600" s="308"/>
      <c r="H600" s="308"/>
      <c r="I600" s="308"/>
      <c r="J600" s="308"/>
      <c r="K600" s="308"/>
      <c r="L600" s="9"/>
      <c r="M600"/>
      <c r="P600"/>
      <c r="Q600"/>
      <c r="R600" s="215">
        <f>IF(E600="地区代表者",COUNTA($D$1:$D600),0)</f>
        <v>0</v>
      </c>
      <c r="S600" s="215">
        <f t="shared" ref="S600:S601" si="318">IF(F600="実施済",1,0)</f>
        <v>0</v>
      </c>
      <c r="T600" s="316"/>
      <c r="U600" s="215">
        <f t="shared" ref="U600:U601" si="319">IF(AND(H600="実施済",I600="実施済"),S600*1,0)</f>
        <v>0</v>
      </c>
      <c r="V600" s="215">
        <f t="shared" ref="V600:V601" si="320">IF(J600="実施済",$U600*1,0)</f>
        <v>0</v>
      </c>
      <c r="W600" s="316"/>
      <c r="X600" s="215" t="str">
        <f t="shared" si="316"/>
        <v/>
      </c>
      <c r="Y600" s="215">
        <f>MIN($X$597:$X$601)+1</f>
        <v>1</v>
      </c>
      <c r="Z600" s="215">
        <f t="shared" si="317"/>
        <v>1</v>
      </c>
      <c r="AA600" s="215" t="str" cm="1">
        <f t="array" ref="AA600">_xlfn.IFS(Y600=4,"A",Y600=3,"B",Y600=2,"C",Y600=1,"D")</f>
        <v>D</v>
      </c>
      <c r="AB600" s="215"/>
    </row>
    <row r="601" spans="1:28" s="2" customFormat="1" ht="6" customHeight="1">
      <c r="A601"/>
      <c r="B601"/>
      <c r="C601"/>
      <c r="D601" s="309"/>
      <c r="E601" s="310"/>
      <c r="F601" s="310"/>
      <c r="G601" s="310"/>
      <c r="H601" s="310"/>
      <c r="I601" s="310"/>
      <c r="J601" s="310"/>
      <c r="K601" s="310"/>
      <c r="L601"/>
      <c r="M601"/>
      <c r="P601"/>
      <c r="Q601"/>
      <c r="R601" s="215">
        <f>IF(E601="地区代表者",COUNTA($D$1:$D601),0)</f>
        <v>0</v>
      </c>
      <c r="S601" s="215">
        <f t="shared" si="318"/>
        <v>0</v>
      </c>
      <c r="T601" s="316"/>
      <c r="U601" s="215">
        <f t="shared" si="319"/>
        <v>0</v>
      </c>
      <c r="V601" s="215">
        <f t="shared" si="320"/>
        <v>0</v>
      </c>
      <c r="W601" s="316"/>
      <c r="X601" s="215" t="str">
        <f t="shared" si="316"/>
        <v/>
      </c>
      <c r="Y601" s="215">
        <f>MIN($X$597:$X$601)+1</f>
        <v>1</v>
      </c>
      <c r="Z601" s="215">
        <f t="shared" si="317"/>
        <v>1</v>
      </c>
      <c r="AA601" s="215" t="str" cm="1">
        <f t="array" ref="AA601">_xlfn.IFS(Y601=4,"A",Y601=3,"B",Y601=2,"C",Y601=1,"D")</f>
        <v>D</v>
      </c>
      <c r="AB601" s="215"/>
    </row>
    <row r="602" spans="1:28" ht="96" customHeight="1">
      <c r="C602" s="78"/>
      <c r="D602" s="79"/>
      <c r="E602" s="72" t="s">
        <v>236</v>
      </c>
      <c r="F602" s="1452"/>
      <c r="G602" s="1452"/>
      <c r="H602" s="1452"/>
      <c r="I602" s="1452"/>
      <c r="J602" s="1452"/>
      <c r="K602" s="1452"/>
      <c r="L602" s="80" t="s">
        <v>132</v>
      </c>
      <c r="M602" s="290"/>
    </row>
    <row r="603" spans="1:28" ht="96" customHeight="1">
      <c r="C603" s="75"/>
      <c r="D603" s="68"/>
      <c r="E603" s="72" t="s">
        <v>237</v>
      </c>
      <c r="F603" s="1452"/>
      <c r="G603" s="1452"/>
      <c r="H603" s="1452"/>
      <c r="I603" s="1452"/>
      <c r="J603" s="1452"/>
      <c r="K603" s="1452"/>
    </row>
    <row r="604" spans="1:28" ht="18.5" thickBot="1">
      <c r="A604" s="81"/>
      <c r="B604" s="81"/>
      <c r="C604" s="81"/>
      <c r="D604" s="81"/>
      <c r="E604" s="311"/>
      <c r="F604" s="81"/>
      <c r="G604" s="81"/>
      <c r="H604" s="81"/>
      <c r="I604" s="81"/>
      <c r="J604" s="81"/>
      <c r="K604" s="81"/>
      <c r="L604" s="81"/>
      <c r="M604" s="82"/>
    </row>
    <row r="606" spans="1:28" ht="9" customHeight="1">
      <c r="B606" s="10"/>
      <c r="C606" s="5"/>
      <c r="D606" s="5"/>
      <c r="E606" s="305"/>
      <c r="F606" s="5"/>
      <c r="G606" s="5"/>
      <c r="H606" s="5"/>
      <c r="I606" s="5"/>
      <c r="J606" s="5"/>
      <c r="K606" s="5"/>
      <c r="L606" s="6"/>
      <c r="M606"/>
      <c r="N606"/>
      <c r="O606"/>
      <c r="R606" t="str">
        <f>D607</f>
        <v>(選択してください)</v>
      </c>
    </row>
    <row r="607" spans="1:28">
      <c r="B607" s="7"/>
      <c r="C607" s="77" t="str">
        <f ca="1">IFERROR(OFFSET('4.2民生電力需要量'!$C$1,MATCH(D607,'4.2民生電力需要量'!$E:$E,0)-1,0),"")</f>
        <v/>
      </c>
      <c r="D607" s="94" t="s">
        <v>130</v>
      </c>
      <c r="E607" s="72" t="s">
        <v>131</v>
      </c>
      <c r="F607" s="1446" t="str">
        <f ca="1">IFERROR(OFFSET('4.2民生電力需要量'!$G$1,MATCH($D607,'4.2民生電力需要量'!$E:$E,0)-1,0),"")</f>
        <v/>
      </c>
      <c r="G607" s="1446"/>
      <c r="H607" s="1446"/>
      <c r="I607" s="1446"/>
      <c r="J607" s="1446"/>
      <c r="K607" s="1446"/>
      <c r="L607" s="8"/>
      <c r="M607"/>
      <c r="N607"/>
      <c r="O607"/>
      <c r="R607" s="175" t="str">
        <f ca="1">IFERROR(OFFSET('4.2民生電力需要量'!$G$1,MATCH($D607,'4.2民生電力需要量'!$E:$E,0)-1,0),"")</f>
        <v/>
      </c>
      <c r="S607" s="175"/>
      <c r="T607" s="175"/>
      <c r="U607" s="175"/>
      <c r="V607" s="175"/>
      <c r="W607" s="175"/>
      <c r="X607" s="175"/>
      <c r="Y607" s="175"/>
      <c r="Z607" s="175"/>
      <c r="AA607" s="175"/>
      <c r="AB607" s="175">
        <f ca="1">(F607=R607)*1</f>
        <v>1</v>
      </c>
    </row>
    <row r="608" spans="1:28">
      <c r="B608" s="7"/>
      <c r="C608" s="915"/>
      <c r="D608" s="97"/>
      <c r="E608" s="72" t="s">
        <v>612</v>
      </c>
      <c r="F608" s="1447" t="str">
        <f ca="1">IFERROR(OFFSET('4.2民生電力需要量'!$L$1,MATCH($D607,'4.2民生電力需要量'!$E:$E,0)-1,0),"")</f>
        <v/>
      </c>
      <c r="G608" s="1448"/>
      <c r="H608" s="1448"/>
      <c r="I608" s="1448"/>
      <c r="J608" s="1448"/>
      <c r="K608" s="1449"/>
      <c r="L608" s="8"/>
      <c r="M608"/>
      <c r="N608"/>
      <c r="O608"/>
      <c r="R608" s="175" t="str">
        <f ca="1">IFERROR(OFFSET('4.2民生電力需要量'!$L$1,MATCH($D607,'4.2民生電力需要量'!$E:$E,0)-1,0),"")</f>
        <v/>
      </c>
      <c r="S608" s="175"/>
      <c r="T608" s="175"/>
      <c r="U608" s="175"/>
      <c r="V608" s="175"/>
      <c r="W608" s="175"/>
      <c r="X608" s="175"/>
      <c r="Y608" s="175"/>
      <c r="Z608" s="175"/>
      <c r="AA608" s="175"/>
      <c r="AB608" s="175">
        <f ca="1">(F608=R608)*1</f>
        <v>1</v>
      </c>
    </row>
    <row r="609" spans="1:28">
      <c r="B609" s="7"/>
      <c r="C609" s="74"/>
      <c r="D609" s="66"/>
      <c r="E609" s="72" t="s">
        <v>220</v>
      </c>
      <c r="F609" s="1450" t="str">
        <f ca="1">IFERROR(OFFSET('4.2民生電力需要量'!$I$1,MATCH($D607,'4.2民生電力需要量'!$E:$E,0)-1,0),"")</f>
        <v/>
      </c>
      <c r="G609" s="1450"/>
      <c r="H609" s="1450"/>
      <c r="I609" s="1450"/>
      <c r="J609" s="1450"/>
      <c r="K609" s="1450"/>
      <c r="L609" s="8"/>
      <c r="M609"/>
      <c r="N609"/>
      <c r="O609"/>
      <c r="R609" s="175" t="str">
        <f ca="1">IFERROR(OFFSET('4.2民生電力需要量'!$I$1,MATCH($D607,'4.2民生電力需要量'!$E:$E,0)-1,0),"")</f>
        <v/>
      </c>
      <c r="S609" s="175"/>
      <c r="T609" s="175"/>
      <c r="U609" s="175"/>
      <c r="V609" s="175"/>
      <c r="W609" s="175"/>
      <c r="X609" s="175"/>
      <c r="Y609" s="175"/>
      <c r="Z609" s="175"/>
      <c r="AA609" s="175"/>
      <c r="AB609" s="175">
        <f t="shared" ref="AB609:AB610" ca="1" si="321">(F609=R609)*1</f>
        <v>1</v>
      </c>
    </row>
    <row r="610" spans="1:28">
      <c r="B610" s="7"/>
      <c r="C610" s="74"/>
      <c r="D610" s="66"/>
      <c r="E610" s="72" t="s">
        <v>175</v>
      </c>
      <c r="F610" s="1451" t="str">
        <f>_xlfn.IFNA(R610,"")</f>
        <v/>
      </c>
      <c r="G610" s="1451"/>
      <c r="H610" s="1451"/>
      <c r="I610" s="1451"/>
      <c r="J610" s="1451"/>
      <c r="K610" s="1451"/>
      <c r="L610" s="8"/>
      <c r="M610"/>
      <c r="N610"/>
      <c r="O610"/>
      <c r="R610" s="215" t="str">
        <f>IF(PRODUCT($Z612:$Z616)=1,AA612,"")</f>
        <v/>
      </c>
      <c r="S610" s="175"/>
      <c r="T610" s="175"/>
      <c r="U610" s="175"/>
      <c r="V610" s="175"/>
      <c r="W610" s="175"/>
      <c r="X610" s="175"/>
      <c r="Y610" s="175"/>
      <c r="Z610" s="175"/>
      <c r="AA610" s="175"/>
      <c r="AB610" s="175">
        <f t="shared" si="321"/>
        <v>1</v>
      </c>
    </row>
    <row r="611" spans="1:28" s="2" customFormat="1" ht="60">
      <c r="A611"/>
      <c r="B611" s="7"/>
      <c r="C611" s="74"/>
      <c r="D611" s="66"/>
      <c r="E611" s="306"/>
      <c r="F611" s="312" t="s">
        <v>299</v>
      </c>
      <c r="G611" s="313" t="s">
        <v>300</v>
      </c>
      <c r="H611" s="313" t="s">
        <v>301</v>
      </c>
      <c r="I611" s="313" t="s">
        <v>302</v>
      </c>
      <c r="J611" s="313" t="s">
        <v>429</v>
      </c>
      <c r="K611" s="313" t="s">
        <v>270</v>
      </c>
      <c r="L611" s="8"/>
      <c r="M611"/>
      <c r="P611"/>
      <c r="Q611"/>
      <c r="R611" s="294" t="s">
        <v>298</v>
      </c>
      <c r="S611" s="294" t="s">
        <v>299</v>
      </c>
      <c r="T611" s="314" t="s">
        <v>423</v>
      </c>
      <c r="U611" s="294" t="s">
        <v>424</v>
      </c>
      <c r="V611" s="294" t="s">
        <v>422</v>
      </c>
      <c r="W611" s="315" t="s">
        <v>270</v>
      </c>
      <c r="X611" s="294" t="s">
        <v>426</v>
      </c>
      <c r="Y611" s="215" t="s">
        <v>402</v>
      </c>
      <c r="Z611" s="215" t="s">
        <v>430</v>
      </c>
      <c r="AA611" s="294" t="s">
        <v>425</v>
      </c>
      <c r="AB611" s="294"/>
    </row>
    <row r="612" spans="1:28" s="99" customFormat="1" ht="18.75" hidden="1" customHeight="1">
      <c r="A612" s="11"/>
      <c r="B612" s="95"/>
      <c r="C612" s="96"/>
      <c r="D612" s="97"/>
      <c r="E612" s="438"/>
      <c r="F612" s="439"/>
      <c r="G612" s="439"/>
      <c r="H612" s="439"/>
      <c r="I612" s="439"/>
      <c r="J612" s="439"/>
      <c r="K612" s="439"/>
      <c r="L612" s="98"/>
      <c r="M612" s="11"/>
      <c r="Q612" s="11"/>
      <c r="R612" s="129">
        <f>IF(E612="地区代表者",COUNTA($D$1:$D612),0)</f>
        <v>0</v>
      </c>
      <c r="S612" s="129">
        <f t="shared" ref="S612:S613" si="322">IF(F612="実施済",1,0)</f>
        <v>0</v>
      </c>
      <c r="T612" s="258"/>
      <c r="U612" s="129">
        <f t="shared" ref="U612:U613" si="323">IF(AND(H612="実施済",I612="実施済"),S612*1,0)</f>
        <v>0</v>
      </c>
      <c r="V612" s="129">
        <f>IF(J612="実施済",$U612*1,0)</f>
        <v>0</v>
      </c>
      <c r="W612" s="258"/>
      <c r="X612" s="129" t="str">
        <f>IF(E612="","",IF(R612*S612&gt;0,3,SUM(S612,U612,V612)))</f>
        <v/>
      </c>
      <c r="Y612" s="129">
        <f>MIN($X$612:$X$616)+1</f>
        <v>1</v>
      </c>
      <c r="Z612" s="129">
        <f>IF(E612="",1,IF(R612&gt;0,IF(COUNTA($F612:$K612)=2,1,0),IF(COUNTA($F612:$K612)=6,1,0)))</f>
        <v>1</v>
      </c>
      <c r="AA612" s="129" t="str" cm="1">
        <f t="array" ref="AA612">_xlfn.IFS(Y612=4,"A",Y612=3,"B",Y612=2,"C",Y612=1,"D")</f>
        <v>D</v>
      </c>
      <c r="AB612" s="129" t="str" cm="1">
        <f t="array" ref="AB612">_xlfn.IFS(Z612=4,"A",Z612=3,"B",Z612=2,"C",Z612=1,"D")</f>
        <v>D</v>
      </c>
    </row>
    <row r="613" spans="1:28" s="99" customFormat="1" ht="18.75" customHeight="1">
      <c r="A613" s="11"/>
      <c r="B613" s="95"/>
      <c r="C613" s="96"/>
      <c r="D613" s="97"/>
      <c r="E613" s="440" t="s">
        <v>298</v>
      </c>
      <c r="F613" s="441"/>
      <c r="G613" s="839"/>
      <c r="H613" s="839"/>
      <c r="I613" s="839"/>
      <c r="J613" s="839"/>
      <c r="K613" s="441"/>
      <c r="L613" s="98"/>
      <c r="M613" s="11"/>
      <c r="Q613" s="11"/>
      <c r="R613" s="129">
        <f>IF(E613="地区代表者",COUNTA($D$1:$D613),0)</f>
        <v>41</v>
      </c>
      <c r="S613" s="129">
        <f t="shared" si="322"/>
        <v>0</v>
      </c>
      <c r="T613" s="258"/>
      <c r="U613" s="129">
        <f t="shared" si="323"/>
        <v>0</v>
      </c>
      <c r="V613" s="129">
        <f>IF(J613="実施済",$U613*1,0)</f>
        <v>0</v>
      </c>
      <c r="W613" s="258"/>
      <c r="X613" s="129">
        <f t="shared" ref="X613:X616" si="324">IF(E613="","",IF(R613*S613&gt;0,3,SUM(S613,U613,V613)))</f>
        <v>0</v>
      </c>
      <c r="Y613" s="129">
        <f>MIN($X$612:$X$616)+1</f>
        <v>1</v>
      </c>
      <c r="Z613" s="129">
        <f t="shared" ref="Z613:Z616" si="325">IF(E613="",1,IF(R613&gt;0,IF(COUNTA($F613:$K613)=2,1,0),IF(COUNTA($F613:$K613)=6,1,0)))</f>
        <v>0</v>
      </c>
      <c r="AA613" s="129" t="str" cm="1">
        <f t="array" ref="AA613">_xlfn.IFS(Y613=4,"A",Y613=3,"B",Y613=2,"C",Y613=1,"D")</f>
        <v>D</v>
      </c>
      <c r="AB613" s="129"/>
    </row>
    <row r="614" spans="1:28" s="99" customFormat="1" ht="18.75" customHeight="1">
      <c r="A614" s="11"/>
      <c r="B614" s="95"/>
      <c r="C614" s="96"/>
      <c r="D614" s="97"/>
      <c r="E614" s="440" t="s">
        <v>116</v>
      </c>
      <c r="F614" s="441"/>
      <c r="G614" s="441"/>
      <c r="H614" s="441"/>
      <c r="I614" s="441"/>
      <c r="J614" s="441"/>
      <c r="K614" s="441"/>
      <c r="L614" s="98"/>
      <c r="M614" s="11"/>
      <c r="P614" s="11"/>
      <c r="Q614" s="11"/>
      <c r="R614" s="129">
        <f>IF(E614="地区代表者",COUNTA($D$1:$D614),0)</f>
        <v>0</v>
      </c>
      <c r="S614" s="129">
        <f>IF(F614="実施済",1,0)</f>
        <v>0</v>
      </c>
      <c r="T614" s="258"/>
      <c r="U614" s="129">
        <f>IF(AND(H614="実施済",I614="実施済"),S614*1,0)</f>
        <v>0</v>
      </c>
      <c r="V614" s="129">
        <f>IF(J614="実施済",$U614*1,0)</f>
        <v>0</v>
      </c>
      <c r="W614" s="258"/>
      <c r="X614" s="129">
        <f t="shared" si="324"/>
        <v>0</v>
      </c>
      <c r="Y614" s="129">
        <f>MIN($X$612:$X$616)+1</f>
        <v>1</v>
      </c>
      <c r="Z614" s="129">
        <f t="shared" si="325"/>
        <v>0</v>
      </c>
      <c r="AA614" s="129" t="str" cm="1">
        <f t="array" ref="AA614">_xlfn.IFS(Y614=4,"A",Y614=3,"B",Y614=2,"C",Y614=1,"D")</f>
        <v>D</v>
      </c>
      <c r="AB614" s="129"/>
    </row>
    <row r="615" spans="1:28" s="2" customFormat="1" ht="9" customHeight="1">
      <c r="A615"/>
      <c r="B615" s="65"/>
      <c r="C615" s="4"/>
      <c r="D615" s="307"/>
      <c r="E615" s="308"/>
      <c r="F615" s="308"/>
      <c r="G615" s="308"/>
      <c r="H615" s="308"/>
      <c r="I615" s="308"/>
      <c r="J615" s="308"/>
      <c r="K615" s="308"/>
      <c r="L615" s="9"/>
      <c r="M615"/>
      <c r="P615"/>
      <c r="Q615"/>
      <c r="R615" s="215">
        <f>IF(E615="地区代表者",COUNTA($D$1:$D615),0)</f>
        <v>0</v>
      </c>
      <c r="S615" s="215">
        <f t="shared" ref="S615:S616" si="326">IF(F615="実施済",1,0)</f>
        <v>0</v>
      </c>
      <c r="T615" s="316"/>
      <c r="U615" s="215">
        <f t="shared" ref="U615:U616" si="327">IF(AND(H615="実施済",I615="実施済"),S615*1,0)</f>
        <v>0</v>
      </c>
      <c r="V615" s="215">
        <f t="shared" ref="V615:V616" si="328">IF(J615="実施済",$U615*1,0)</f>
        <v>0</v>
      </c>
      <c r="W615" s="316"/>
      <c r="X615" s="215" t="str">
        <f t="shared" si="324"/>
        <v/>
      </c>
      <c r="Y615" s="215">
        <f>MIN($X$612:$X$616)+1</f>
        <v>1</v>
      </c>
      <c r="Z615" s="215">
        <f t="shared" si="325"/>
        <v>1</v>
      </c>
      <c r="AA615" s="215" t="str" cm="1">
        <f t="array" ref="AA615">_xlfn.IFS(Y615=4,"A",Y615=3,"B",Y615=2,"C",Y615=1,"D")</f>
        <v>D</v>
      </c>
      <c r="AB615" s="215"/>
    </row>
    <row r="616" spans="1:28" s="2" customFormat="1" ht="6" customHeight="1">
      <c r="A616"/>
      <c r="B616"/>
      <c r="C616"/>
      <c r="D616" s="309"/>
      <c r="E616" s="310"/>
      <c r="F616" s="310"/>
      <c r="G616" s="310"/>
      <c r="H616" s="310"/>
      <c r="I616" s="310"/>
      <c r="J616" s="310"/>
      <c r="K616" s="310"/>
      <c r="L616"/>
      <c r="M616"/>
      <c r="P616"/>
      <c r="Q616"/>
      <c r="R616" s="215">
        <f>IF(E616="地区代表者",COUNTA($D$1:$D616),0)</f>
        <v>0</v>
      </c>
      <c r="S616" s="215">
        <f t="shared" si="326"/>
        <v>0</v>
      </c>
      <c r="T616" s="316"/>
      <c r="U616" s="215">
        <f t="shared" si="327"/>
        <v>0</v>
      </c>
      <c r="V616" s="215">
        <f t="shared" si="328"/>
        <v>0</v>
      </c>
      <c r="W616" s="316"/>
      <c r="X616" s="215" t="str">
        <f t="shared" si="324"/>
        <v/>
      </c>
      <c r="Y616" s="215">
        <f>MIN($X$612:$X$616)+1</f>
        <v>1</v>
      </c>
      <c r="Z616" s="215">
        <f t="shared" si="325"/>
        <v>1</v>
      </c>
      <c r="AA616" s="215" t="str" cm="1">
        <f t="array" ref="AA616">_xlfn.IFS(Y616=4,"A",Y616=3,"B",Y616=2,"C",Y616=1,"D")</f>
        <v>D</v>
      </c>
      <c r="AB616" s="215"/>
    </row>
    <row r="617" spans="1:28" ht="96" customHeight="1">
      <c r="C617" s="78"/>
      <c r="D617" s="79"/>
      <c r="E617" s="72" t="s">
        <v>236</v>
      </c>
      <c r="F617" s="1452"/>
      <c r="G617" s="1452"/>
      <c r="H617" s="1452"/>
      <c r="I617" s="1452"/>
      <c r="J617" s="1452"/>
      <c r="K617" s="1452"/>
      <c r="L617" s="80" t="s">
        <v>132</v>
      </c>
      <c r="M617" s="290"/>
    </row>
    <row r="618" spans="1:28" ht="96" customHeight="1">
      <c r="C618" s="75"/>
      <c r="D618" s="68"/>
      <c r="E618" s="72" t="s">
        <v>237</v>
      </c>
      <c r="F618" s="1452"/>
      <c r="G618" s="1452"/>
      <c r="H618" s="1452"/>
      <c r="I618" s="1452"/>
      <c r="J618" s="1452"/>
      <c r="K618" s="1452"/>
    </row>
    <row r="619" spans="1:28" ht="18.5" thickBot="1">
      <c r="A619" s="81"/>
      <c r="B619" s="81"/>
      <c r="C619" s="81"/>
      <c r="D619" s="81"/>
      <c r="E619" s="311"/>
      <c r="F619" s="81"/>
      <c r="G619" s="81"/>
      <c r="H619" s="81"/>
      <c r="I619" s="81"/>
      <c r="J619" s="81"/>
      <c r="K619" s="81"/>
      <c r="L619" s="81"/>
      <c r="M619" s="82"/>
    </row>
    <row r="621" spans="1:28" ht="9" customHeight="1">
      <c r="B621" s="10"/>
      <c r="C621" s="5"/>
      <c r="D621" s="5"/>
      <c r="E621" s="305"/>
      <c r="F621" s="5"/>
      <c r="G621" s="5"/>
      <c r="H621" s="5"/>
      <c r="I621" s="5"/>
      <c r="J621" s="5"/>
      <c r="K621" s="5"/>
      <c r="L621" s="6"/>
      <c r="M621"/>
      <c r="N621"/>
      <c r="O621"/>
      <c r="R621" t="str">
        <f>D622</f>
        <v>(選択してください)</v>
      </c>
    </row>
    <row r="622" spans="1:28">
      <c r="B622" s="7"/>
      <c r="C622" s="77" t="str">
        <f ca="1">IFERROR(OFFSET('4.2民生電力需要量'!$C$1,MATCH(D622,'4.2民生電力需要量'!$E:$E,0)-1,0),"")</f>
        <v/>
      </c>
      <c r="D622" s="94" t="s">
        <v>130</v>
      </c>
      <c r="E622" s="72" t="s">
        <v>131</v>
      </c>
      <c r="F622" s="1446" t="str">
        <f ca="1">IFERROR(OFFSET('4.2民生電力需要量'!$G$1,MATCH($D622,'4.2民生電力需要量'!$E:$E,0)-1,0),"")</f>
        <v/>
      </c>
      <c r="G622" s="1446"/>
      <c r="H622" s="1446"/>
      <c r="I622" s="1446"/>
      <c r="J622" s="1446"/>
      <c r="K622" s="1446"/>
      <c r="L622" s="8"/>
      <c r="M622"/>
      <c r="N622"/>
      <c r="O622"/>
      <c r="R622" s="175" t="str">
        <f ca="1">IFERROR(OFFSET('4.2民生電力需要量'!$G$1,MATCH($D622,'4.2民生電力需要量'!$E:$E,0)-1,0),"")</f>
        <v/>
      </c>
      <c r="S622" s="175"/>
      <c r="T622" s="175"/>
      <c r="U622" s="175"/>
      <c r="V622" s="175"/>
      <c r="W622" s="175"/>
      <c r="X622" s="175"/>
      <c r="Y622" s="175"/>
      <c r="Z622" s="175"/>
      <c r="AA622" s="175"/>
      <c r="AB622" s="175">
        <f ca="1">(F622=R622)*1</f>
        <v>1</v>
      </c>
    </row>
    <row r="623" spans="1:28">
      <c r="B623" s="7"/>
      <c r="C623" s="915"/>
      <c r="D623" s="97"/>
      <c r="E623" s="72" t="s">
        <v>612</v>
      </c>
      <c r="F623" s="1447" t="str">
        <f ca="1">IFERROR(OFFSET('4.2民生電力需要量'!$L$1,MATCH($D622,'4.2民生電力需要量'!$E:$E,0)-1,0),"")</f>
        <v/>
      </c>
      <c r="G623" s="1448"/>
      <c r="H623" s="1448"/>
      <c r="I623" s="1448"/>
      <c r="J623" s="1448"/>
      <c r="K623" s="1449"/>
      <c r="L623" s="8"/>
      <c r="M623"/>
      <c r="N623"/>
      <c r="O623"/>
      <c r="R623" s="175" t="str">
        <f ca="1">IFERROR(OFFSET('4.2民生電力需要量'!$L$1,MATCH($D622,'4.2民生電力需要量'!$E:$E,0)-1,0),"")</f>
        <v/>
      </c>
      <c r="S623" s="175"/>
      <c r="T623" s="175"/>
      <c r="U623" s="175"/>
      <c r="V623" s="175"/>
      <c r="W623" s="175"/>
      <c r="X623" s="175"/>
      <c r="Y623" s="175"/>
      <c r="Z623" s="175"/>
      <c r="AA623" s="175"/>
      <c r="AB623" s="175">
        <f ca="1">(F623=R623)*1</f>
        <v>1</v>
      </c>
    </row>
    <row r="624" spans="1:28">
      <c r="B624" s="7"/>
      <c r="C624" s="74"/>
      <c r="D624" s="66"/>
      <c r="E624" s="72" t="s">
        <v>220</v>
      </c>
      <c r="F624" s="1450" t="str">
        <f ca="1">IFERROR(OFFSET('4.2民生電力需要量'!$I$1,MATCH($D622,'4.2民生電力需要量'!$E:$E,0)-1,0),"")</f>
        <v/>
      </c>
      <c r="G624" s="1450"/>
      <c r="H624" s="1450"/>
      <c r="I624" s="1450"/>
      <c r="J624" s="1450"/>
      <c r="K624" s="1450"/>
      <c r="L624" s="8"/>
      <c r="M624"/>
      <c r="N624"/>
      <c r="O624"/>
      <c r="R624" s="175" t="str">
        <f ca="1">IFERROR(OFFSET('4.2民生電力需要量'!$I$1,MATCH($D622,'4.2民生電力需要量'!$E:$E,0)-1,0),"")</f>
        <v/>
      </c>
      <c r="S624" s="175"/>
      <c r="T624" s="175"/>
      <c r="U624" s="175"/>
      <c r="V624" s="175"/>
      <c r="W624" s="175"/>
      <c r="X624" s="175"/>
      <c r="Y624" s="175"/>
      <c r="Z624" s="175"/>
      <c r="AA624" s="175"/>
      <c r="AB624" s="175">
        <f t="shared" ref="AB624:AB625" ca="1" si="329">(F624=R624)*1</f>
        <v>1</v>
      </c>
    </row>
    <row r="625" spans="1:28">
      <c r="B625" s="7"/>
      <c r="C625" s="74"/>
      <c r="D625" s="66"/>
      <c r="E625" s="72" t="s">
        <v>175</v>
      </c>
      <c r="F625" s="1451" t="str">
        <f>_xlfn.IFNA(R625,"")</f>
        <v/>
      </c>
      <c r="G625" s="1451"/>
      <c r="H625" s="1451"/>
      <c r="I625" s="1451"/>
      <c r="J625" s="1451"/>
      <c r="K625" s="1451"/>
      <c r="L625" s="8"/>
      <c r="M625"/>
      <c r="N625"/>
      <c r="O625"/>
      <c r="R625" s="215" t="str">
        <f>IF(PRODUCT($Z627:$Z631)=1,AA627,"")</f>
        <v/>
      </c>
      <c r="S625" s="175"/>
      <c r="T625" s="175"/>
      <c r="U625" s="175"/>
      <c r="V625" s="175"/>
      <c r="W625" s="175"/>
      <c r="X625" s="175"/>
      <c r="Y625" s="175"/>
      <c r="Z625" s="175"/>
      <c r="AA625" s="175"/>
      <c r="AB625" s="175">
        <f t="shared" si="329"/>
        <v>1</v>
      </c>
    </row>
    <row r="626" spans="1:28" s="2" customFormat="1" ht="60">
      <c r="A626"/>
      <c r="B626" s="7"/>
      <c r="C626" s="74"/>
      <c r="D626" s="66"/>
      <c r="E626" s="306"/>
      <c r="F626" s="312" t="s">
        <v>299</v>
      </c>
      <c r="G626" s="313" t="s">
        <v>300</v>
      </c>
      <c r="H626" s="313" t="s">
        <v>301</v>
      </c>
      <c r="I626" s="313" t="s">
        <v>302</v>
      </c>
      <c r="J626" s="313" t="s">
        <v>429</v>
      </c>
      <c r="K626" s="313" t="s">
        <v>270</v>
      </c>
      <c r="L626" s="8"/>
      <c r="M626"/>
      <c r="P626"/>
      <c r="Q626"/>
      <c r="R626" s="294" t="s">
        <v>298</v>
      </c>
      <c r="S626" s="294" t="s">
        <v>299</v>
      </c>
      <c r="T626" s="314" t="s">
        <v>423</v>
      </c>
      <c r="U626" s="294" t="s">
        <v>424</v>
      </c>
      <c r="V626" s="294" t="s">
        <v>422</v>
      </c>
      <c r="W626" s="315" t="s">
        <v>270</v>
      </c>
      <c r="X626" s="294" t="s">
        <v>426</v>
      </c>
      <c r="Y626" s="215" t="s">
        <v>402</v>
      </c>
      <c r="Z626" s="215" t="s">
        <v>430</v>
      </c>
      <c r="AA626" s="294" t="s">
        <v>425</v>
      </c>
      <c r="AB626" s="294"/>
    </row>
    <row r="627" spans="1:28" s="99" customFormat="1" ht="18.75" hidden="1" customHeight="1">
      <c r="A627" s="11"/>
      <c r="B627" s="95"/>
      <c r="C627" s="96"/>
      <c r="D627" s="97"/>
      <c r="E627" s="438"/>
      <c r="F627" s="439"/>
      <c r="G627" s="439"/>
      <c r="H627" s="439"/>
      <c r="I627" s="439"/>
      <c r="J627" s="439"/>
      <c r="K627" s="439"/>
      <c r="L627" s="98"/>
      <c r="M627" s="11"/>
      <c r="Q627" s="11"/>
      <c r="R627" s="129">
        <f>IF(E627="地区代表者",COUNTA($D$1:$D627),0)</f>
        <v>0</v>
      </c>
      <c r="S627" s="129">
        <f t="shared" ref="S627:S628" si="330">IF(F627="実施済",1,0)</f>
        <v>0</v>
      </c>
      <c r="T627" s="258"/>
      <c r="U627" s="129">
        <f t="shared" ref="U627:U628" si="331">IF(AND(H627="実施済",I627="実施済"),S627*1,0)</f>
        <v>0</v>
      </c>
      <c r="V627" s="129">
        <f>IF(J627="実施済",$U627*1,0)</f>
        <v>0</v>
      </c>
      <c r="W627" s="258"/>
      <c r="X627" s="129" t="str">
        <f>IF(E627="","",IF(R627*S627&gt;0,3,SUM(S627,U627,V627)))</f>
        <v/>
      </c>
      <c r="Y627" s="129">
        <f>MIN($X$627:$X$631)+1</f>
        <v>1</v>
      </c>
      <c r="Z627" s="129">
        <f>IF(E627="",1,IF(R627&gt;0,IF(COUNTA($F627:$K627)=2,1,0),IF(COUNTA($F627:$K627)=6,1,0)))</f>
        <v>1</v>
      </c>
      <c r="AA627" s="129" t="str" cm="1">
        <f t="array" ref="AA627">_xlfn.IFS(Y627=4,"A",Y627=3,"B",Y627=2,"C",Y627=1,"D")</f>
        <v>D</v>
      </c>
      <c r="AB627" s="129" t="str" cm="1">
        <f t="array" ref="AB627">_xlfn.IFS(Z627=4,"A",Z627=3,"B",Z627=2,"C",Z627=1,"D")</f>
        <v>D</v>
      </c>
    </row>
    <row r="628" spans="1:28" s="99" customFormat="1" ht="18.75" customHeight="1">
      <c r="A628" s="11"/>
      <c r="B628" s="95"/>
      <c r="C628" s="96"/>
      <c r="D628" s="97"/>
      <c r="E628" s="440" t="s">
        <v>298</v>
      </c>
      <c r="F628" s="441"/>
      <c r="G628" s="839"/>
      <c r="H628" s="839"/>
      <c r="I628" s="839"/>
      <c r="J628" s="839"/>
      <c r="K628" s="441"/>
      <c r="L628" s="98"/>
      <c r="M628" s="11"/>
      <c r="Q628" s="11"/>
      <c r="R628" s="129">
        <f>IF(E628="地区代表者",COUNTA($D$1:$D628),0)</f>
        <v>42</v>
      </c>
      <c r="S628" s="129">
        <f t="shared" si="330"/>
        <v>0</v>
      </c>
      <c r="T628" s="258"/>
      <c r="U628" s="129">
        <f t="shared" si="331"/>
        <v>0</v>
      </c>
      <c r="V628" s="129">
        <f>IF(J628="実施済",$U628*1,0)</f>
        <v>0</v>
      </c>
      <c r="W628" s="258"/>
      <c r="X628" s="129">
        <f t="shared" ref="X628:X631" si="332">IF(E628="","",IF(R628*S628&gt;0,3,SUM(S628,U628,V628)))</f>
        <v>0</v>
      </c>
      <c r="Y628" s="129">
        <f>MIN($X$627:$X$631)+1</f>
        <v>1</v>
      </c>
      <c r="Z628" s="129">
        <f t="shared" ref="Z628:Z631" si="333">IF(E628="",1,IF(R628&gt;0,IF(COUNTA($F628:$K628)=2,1,0),IF(COUNTA($F628:$K628)=6,1,0)))</f>
        <v>0</v>
      </c>
      <c r="AA628" s="129" t="str" cm="1">
        <f t="array" ref="AA628">_xlfn.IFS(Y628=4,"A",Y628=3,"B",Y628=2,"C",Y628=1,"D")</f>
        <v>D</v>
      </c>
      <c r="AB628" s="129"/>
    </row>
    <row r="629" spans="1:28" s="99" customFormat="1" ht="18.75" customHeight="1">
      <c r="A629" s="11"/>
      <c r="B629" s="95"/>
      <c r="C629" s="96"/>
      <c r="D629" s="97"/>
      <c r="E629" s="440" t="s">
        <v>116</v>
      </c>
      <c r="F629" s="441"/>
      <c r="G629" s="441"/>
      <c r="H629" s="441"/>
      <c r="I629" s="441"/>
      <c r="J629" s="441"/>
      <c r="K629" s="441"/>
      <c r="L629" s="98"/>
      <c r="M629" s="11"/>
      <c r="P629" s="11"/>
      <c r="Q629" s="11"/>
      <c r="R629" s="129">
        <f>IF(E629="地区代表者",COUNTA($D$1:$D629),0)</f>
        <v>0</v>
      </c>
      <c r="S629" s="129">
        <f>IF(F629="実施済",1,0)</f>
        <v>0</v>
      </c>
      <c r="T629" s="258"/>
      <c r="U629" s="129">
        <f>IF(AND(H629="実施済",I629="実施済"),S629*1,0)</f>
        <v>0</v>
      </c>
      <c r="V629" s="129">
        <f>IF(J629="実施済",$U629*1,0)</f>
        <v>0</v>
      </c>
      <c r="W629" s="258"/>
      <c r="X629" s="129">
        <f t="shared" si="332"/>
        <v>0</v>
      </c>
      <c r="Y629" s="129">
        <f>MIN($X$627:$X$631)+1</f>
        <v>1</v>
      </c>
      <c r="Z629" s="129">
        <f t="shared" si="333"/>
        <v>0</v>
      </c>
      <c r="AA629" s="129" t="str" cm="1">
        <f t="array" ref="AA629">_xlfn.IFS(Y629=4,"A",Y629=3,"B",Y629=2,"C",Y629=1,"D")</f>
        <v>D</v>
      </c>
      <c r="AB629" s="129"/>
    </row>
    <row r="630" spans="1:28" s="2" customFormat="1" ht="9" customHeight="1">
      <c r="A630"/>
      <c r="B630" s="65"/>
      <c r="C630" s="4"/>
      <c r="D630" s="307"/>
      <c r="E630" s="308"/>
      <c r="F630" s="308"/>
      <c r="G630" s="308"/>
      <c r="H630" s="308"/>
      <c r="I630" s="308"/>
      <c r="J630" s="308"/>
      <c r="K630" s="308"/>
      <c r="L630" s="9"/>
      <c r="M630"/>
      <c r="P630"/>
      <c r="Q630"/>
      <c r="R630" s="215">
        <f>IF(E630="地区代表者",COUNTA($D$1:$D630),0)</f>
        <v>0</v>
      </c>
      <c r="S630" s="215">
        <f t="shared" ref="S630:S631" si="334">IF(F630="実施済",1,0)</f>
        <v>0</v>
      </c>
      <c r="T630" s="316"/>
      <c r="U630" s="215">
        <f t="shared" ref="U630:U631" si="335">IF(AND(H630="実施済",I630="実施済"),S630*1,0)</f>
        <v>0</v>
      </c>
      <c r="V630" s="215">
        <f t="shared" ref="V630:V631" si="336">IF(J630="実施済",$U630*1,0)</f>
        <v>0</v>
      </c>
      <c r="W630" s="316"/>
      <c r="X630" s="215" t="str">
        <f t="shared" si="332"/>
        <v/>
      </c>
      <c r="Y630" s="215">
        <f>MIN($X$627:$X$631)+1</f>
        <v>1</v>
      </c>
      <c r="Z630" s="215">
        <f t="shared" si="333"/>
        <v>1</v>
      </c>
      <c r="AA630" s="215" t="str" cm="1">
        <f t="array" ref="AA630">_xlfn.IFS(Y630=4,"A",Y630=3,"B",Y630=2,"C",Y630=1,"D")</f>
        <v>D</v>
      </c>
      <c r="AB630" s="215"/>
    </row>
    <row r="631" spans="1:28" s="2" customFormat="1" ht="6" customHeight="1">
      <c r="A631"/>
      <c r="B631"/>
      <c r="C631"/>
      <c r="D631" s="309"/>
      <c r="E631" s="310"/>
      <c r="F631" s="310"/>
      <c r="G631" s="310"/>
      <c r="H631" s="310"/>
      <c r="I631" s="310"/>
      <c r="J631" s="310"/>
      <c r="K631" s="310"/>
      <c r="L631"/>
      <c r="M631"/>
      <c r="P631"/>
      <c r="Q631"/>
      <c r="R631" s="215">
        <f>IF(E631="地区代表者",COUNTA($D$1:$D631),0)</f>
        <v>0</v>
      </c>
      <c r="S631" s="215">
        <f t="shared" si="334"/>
        <v>0</v>
      </c>
      <c r="T631" s="316"/>
      <c r="U631" s="215">
        <f t="shared" si="335"/>
        <v>0</v>
      </c>
      <c r="V631" s="215">
        <f t="shared" si="336"/>
        <v>0</v>
      </c>
      <c r="W631" s="316"/>
      <c r="X631" s="215" t="str">
        <f t="shared" si="332"/>
        <v/>
      </c>
      <c r="Y631" s="215">
        <f>MIN($X$627:$X$631)+1</f>
        <v>1</v>
      </c>
      <c r="Z631" s="215">
        <f t="shared" si="333"/>
        <v>1</v>
      </c>
      <c r="AA631" s="215" t="str" cm="1">
        <f t="array" ref="AA631">_xlfn.IFS(Y631=4,"A",Y631=3,"B",Y631=2,"C",Y631=1,"D")</f>
        <v>D</v>
      </c>
      <c r="AB631" s="215"/>
    </row>
    <row r="632" spans="1:28" ht="96" customHeight="1">
      <c r="C632" s="78"/>
      <c r="D632" s="79"/>
      <c r="E632" s="72" t="s">
        <v>236</v>
      </c>
      <c r="F632" s="1452"/>
      <c r="G632" s="1452"/>
      <c r="H632" s="1452"/>
      <c r="I632" s="1452"/>
      <c r="J632" s="1452"/>
      <c r="K632" s="1452"/>
      <c r="L632" s="80" t="s">
        <v>132</v>
      </c>
      <c r="M632" s="290"/>
    </row>
    <row r="633" spans="1:28" ht="96" customHeight="1">
      <c r="C633" s="75"/>
      <c r="D633" s="68"/>
      <c r="E633" s="72" t="s">
        <v>237</v>
      </c>
      <c r="F633" s="1452"/>
      <c r="G633" s="1452"/>
      <c r="H633" s="1452"/>
      <c r="I633" s="1452"/>
      <c r="J633" s="1452"/>
      <c r="K633" s="1452"/>
    </row>
    <row r="634" spans="1:28" ht="18.5" thickBot="1">
      <c r="A634" s="81"/>
      <c r="B634" s="81"/>
      <c r="C634" s="81"/>
      <c r="D634" s="81"/>
      <c r="E634" s="311"/>
      <c r="F634" s="81"/>
      <c r="G634" s="81"/>
      <c r="H634" s="81"/>
      <c r="I634" s="81"/>
      <c r="J634" s="81"/>
      <c r="K634" s="81"/>
      <c r="L634" s="81"/>
      <c r="M634" s="82"/>
    </row>
    <row r="636" spans="1:28" ht="9" customHeight="1">
      <c r="B636" s="10"/>
      <c r="C636" s="5"/>
      <c r="D636" s="5"/>
      <c r="E636" s="305"/>
      <c r="F636" s="5"/>
      <c r="G636" s="5"/>
      <c r="H636" s="5"/>
      <c r="I636" s="5"/>
      <c r="J636" s="5"/>
      <c r="K636" s="5"/>
      <c r="L636" s="6"/>
      <c r="M636"/>
      <c r="N636"/>
      <c r="O636"/>
      <c r="R636" t="str">
        <f>D637</f>
        <v>(選択してください)</v>
      </c>
    </row>
    <row r="637" spans="1:28">
      <c r="B637" s="7"/>
      <c r="C637" s="77" t="str">
        <f ca="1">IFERROR(OFFSET('4.2民生電力需要量'!$C$1,MATCH(D637,'4.2民生電力需要量'!$E:$E,0)-1,0),"")</f>
        <v/>
      </c>
      <c r="D637" s="94" t="s">
        <v>130</v>
      </c>
      <c r="E637" s="72" t="s">
        <v>131</v>
      </c>
      <c r="F637" s="1446" t="str">
        <f ca="1">IFERROR(OFFSET('4.2民生電力需要量'!$G$1,MATCH($D637,'4.2民生電力需要量'!$E:$E,0)-1,0),"")</f>
        <v/>
      </c>
      <c r="G637" s="1446"/>
      <c r="H637" s="1446"/>
      <c r="I637" s="1446"/>
      <c r="J637" s="1446"/>
      <c r="K637" s="1446"/>
      <c r="L637" s="8"/>
      <c r="M637"/>
      <c r="N637"/>
      <c r="O637"/>
      <c r="R637" s="175" t="str">
        <f ca="1">IFERROR(OFFSET('4.2民生電力需要量'!$G$1,MATCH($D637,'4.2民生電力需要量'!$E:$E,0)-1,0),"")</f>
        <v/>
      </c>
      <c r="S637" s="175"/>
      <c r="T637" s="175"/>
      <c r="U637" s="175"/>
      <c r="V637" s="175"/>
      <c r="W637" s="175"/>
      <c r="X637" s="175"/>
      <c r="Y637" s="175"/>
      <c r="Z637" s="175"/>
      <c r="AA637" s="175"/>
      <c r="AB637" s="175">
        <f ca="1">(F637=R637)*1</f>
        <v>1</v>
      </c>
    </row>
    <row r="638" spans="1:28">
      <c r="B638" s="7"/>
      <c r="C638" s="915"/>
      <c r="D638" s="97"/>
      <c r="E638" s="72" t="s">
        <v>612</v>
      </c>
      <c r="F638" s="1447" t="str">
        <f ca="1">IFERROR(OFFSET('4.2民生電力需要量'!$L$1,MATCH($D637,'4.2民生電力需要量'!$E:$E,0)-1,0),"")</f>
        <v/>
      </c>
      <c r="G638" s="1448"/>
      <c r="H638" s="1448"/>
      <c r="I638" s="1448"/>
      <c r="J638" s="1448"/>
      <c r="K638" s="1449"/>
      <c r="L638" s="8"/>
      <c r="M638"/>
      <c r="N638"/>
      <c r="O638"/>
      <c r="R638" s="175" t="str">
        <f ca="1">IFERROR(OFFSET('4.2民生電力需要量'!$L$1,MATCH($D637,'4.2民生電力需要量'!$E:$E,0)-1,0),"")</f>
        <v/>
      </c>
      <c r="S638" s="175"/>
      <c r="T638" s="175"/>
      <c r="U638" s="175"/>
      <c r="V638" s="175"/>
      <c r="W638" s="175"/>
      <c r="X638" s="175"/>
      <c r="Y638" s="175"/>
      <c r="Z638" s="175"/>
      <c r="AA638" s="175"/>
      <c r="AB638" s="175">
        <f ca="1">(F638=R638)*1</f>
        <v>1</v>
      </c>
    </row>
    <row r="639" spans="1:28">
      <c r="B639" s="7"/>
      <c r="C639" s="74"/>
      <c r="D639" s="66"/>
      <c r="E639" s="72" t="s">
        <v>220</v>
      </c>
      <c r="F639" s="1450" t="str">
        <f ca="1">IFERROR(OFFSET('4.2民生電力需要量'!$I$1,MATCH($D637,'4.2民生電力需要量'!$E:$E,0)-1,0),"")</f>
        <v/>
      </c>
      <c r="G639" s="1450"/>
      <c r="H639" s="1450"/>
      <c r="I639" s="1450"/>
      <c r="J639" s="1450"/>
      <c r="K639" s="1450"/>
      <c r="L639" s="8"/>
      <c r="M639"/>
      <c r="N639"/>
      <c r="O639"/>
      <c r="R639" s="175" t="str">
        <f ca="1">IFERROR(OFFSET('4.2民生電力需要量'!$I$1,MATCH($D637,'4.2民生電力需要量'!$E:$E,0)-1,0),"")</f>
        <v/>
      </c>
      <c r="S639" s="175"/>
      <c r="T639" s="175"/>
      <c r="U639" s="175"/>
      <c r="V639" s="175"/>
      <c r="W639" s="175"/>
      <c r="X639" s="175"/>
      <c r="Y639" s="175"/>
      <c r="Z639" s="175"/>
      <c r="AA639" s="175"/>
      <c r="AB639" s="175">
        <f t="shared" ref="AB639:AB640" ca="1" si="337">(F639=R639)*1</f>
        <v>1</v>
      </c>
    </row>
    <row r="640" spans="1:28">
      <c r="B640" s="7"/>
      <c r="C640" s="74"/>
      <c r="D640" s="66"/>
      <c r="E640" s="72" t="s">
        <v>175</v>
      </c>
      <c r="F640" s="1451" t="str">
        <f>_xlfn.IFNA(R640,"")</f>
        <v/>
      </c>
      <c r="G640" s="1451"/>
      <c r="H640" s="1451"/>
      <c r="I640" s="1451"/>
      <c r="J640" s="1451"/>
      <c r="K640" s="1451"/>
      <c r="L640" s="8"/>
      <c r="M640"/>
      <c r="N640"/>
      <c r="O640"/>
      <c r="R640" s="215" t="str">
        <f>IF(PRODUCT($Z642:$Z646)=1,AA642,"")</f>
        <v/>
      </c>
      <c r="S640" s="175"/>
      <c r="T640" s="175"/>
      <c r="U640" s="175"/>
      <c r="V640" s="175"/>
      <c r="W640" s="175"/>
      <c r="X640" s="175"/>
      <c r="Y640" s="175"/>
      <c r="Z640" s="175"/>
      <c r="AA640" s="175"/>
      <c r="AB640" s="175">
        <f t="shared" si="337"/>
        <v>1</v>
      </c>
    </row>
    <row r="641" spans="1:28" s="2" customFormat="1" ht="60">
      <c r="A641"/>
      <c r="B641" s="7"/>
      <c r="C641" s="74"/>
      <c r="D641" s="66"/>
      <c r="E641" s="306"/>
      <c r="F641" s="312" t="s">
        <v>299</v>
      </c>
      <c r="G641" s="313" t="s">
        <v>300</v>
      </c>
      <c r="H641" s="313" t="s">
        <v>301</v>
      </c>
      <c r="I641" s="313" t="s">
        <v>302</v>
      </c>
      <c r="J641" s="313" t="s">
        <v>429</v>
      </c>
      <c r="K641" s="313" t="s">
        <v>270</v>
      </c>
      <c r="L641" s="8"/>
      <c r="M641"/>
      <c r="P641"/>
      <c r="Q641"/>
      <c r="R641" s="294" t="s">
        <v>298</v>
      </c>
      <c r="S641" s="294" t="s">
        <v>299</v>
      </c>
      <c r="T641" s="314" t="s">
        <v>423</v>
      </c>
      <c r="U641" s="294" t="s">
        <v>424</v>
      </c>
      <c r="V641" s="294" t="s">
        <v>422</v>
      </c>
      <c r="W641" s="315" t="s">
        <v>270</v>
      </c>
      <c r="X641" s="294" t="s">
        <v>426</v>
      </c>
      <c r="Y641" s="215" t="s">
        <v>402</v>
      </c>
      <c r="Z641" s="215" t="s">
        <v>430</v>
      </c>
      <c r="AA641" s="294" t="s">
        <v>425</v>
      </c>
      <c r="AB641" s="294"/>
    </row>
    <row r="642" spans="1:28" s="99" customFormat="1" ht="18.75" hidden="1" customHeight="1">
      <c r="A642" s="11"/>
      <c r="B642" s="95"/>
      <c r="C642" s="96"/>
      <c r="D642" s="97"/>
      <c r="E642" s="438"/>
      <c r="F642" s="439"/>
      <c r="G642" s="439"/>
      <c r="H642" s="439"/>
      <c r="I642" s="439"/>
      <c r="J642" s="439"/>
      <c r="K642" s="439"/>
      <c r="L642" s="98"/>
      <c r="M642" s="11"/>
      <c r="Q642" s="11"/>
      <c r="R642" s="129">
        <f>IF(E642="地区代表者",COUNTA($D$1:$D642),0)</f>
        <v>0</v>
      </c>
      <c r="S642" s="129">
        <f t="shared" ref="S642:S643" si="338">IF(F642="実施済",1,0)</f>
        <v>0</v>
      </c>
      <c r="T642" s="258"/>
      <c r="U642" s="129">
        <f t="shared" ref="U642:U643" si="339">IF(AND(H642="実施済",I642="実施済"),S642*1,0)</f>
        <v>0</v>
      </c>
      <c r="V642" s="129">
        <f>IF(J642="実施済",$U642*1,0)</f>
        <v>0</v>
      </c>
      <c r="W642" s="258"/>
      <c r="X642" s="129" t="str">
        <f>IF(E642="","",IF(R642*S642&gt;0,3,SUM(S642,U642,V642)))</f>
        <v/>
      </c>
      <c r="Y642" s="129">
        <f>MIN($X$642:$X$646)+1</f>
        <v>1</v>
      </c>
      <c r="Z642" s="129">
        <f>IF(E642="",1,IF(R642&gt;0,IF(COUNTA($F642:$K642)=2,1,0),IF(COUNTA($F642:$K642)=6,1,0)))</f>
        <v>1</v>
      </c>
      <c r="AA642" s="129" t="str" cm="1">
        <f t="array" ref="AA642">_xlfn.IFS(Y642=4,"A",Y642=3,"B",Y642=2,"C",Y642=1,"D")</f>
        <v>D</v>
      </c>
      <c r="AB642" s="129" t="str" cm="1">
        <f t="array" ref="AB642">_xlfn.IFS(Z642=4,"A",Z642=3,"B",Z642=2,"C",Z642=1,"D")</f>
        <v>D</v>
      </c>
    </row>
    <row r="643" spans="1:28" s="99" customFormat="1" ht="18.75" customHeight="1">
      <c r="A643" s="11"/>
      <c r="B643" s="95"/>
      <c r="C643" s="96"/>
      <c r="D643" s="97"/>
      <c r="E643" s="440" t="s">
        <v>298</v>
      </c>
      <c r="F643" s="441"/>
      <c r="G643" s="839"/>
      <c r="H643" s="839"/>
      <c r="I643" s="839"/>
      <c r="J643" s="839"/>
      <c r="K643" s="441"/>
      <c r="L643" s="98"/>
      <c r="M643" s="11"/>
      <c r="Q643" s="11"/>
      <c r="R643" s="129">
        <f>IF(E643="地区代表者",COUNTA($D$1:$D643),0)</f>
        <v>43</v>
      </c>
      <c r="S643" s="129">
        <f t="shared" si="338"/>
        <v>0</v>
      </c>
      <c r="T643" s="258"/>
      <c r="U643" s="129">
        <f t="shared" si="339"/>
        <v>0</v>
      </c>
      <c r="V643" s="129">
        <f>IF(J643="実施済",$U643*1,0)</f>
        <v>0</v>
      </c>
      <c r="W643" s="258"/>
      <c r="X643" s="129">
        <f t="shared" ref="X643:X646" si="340">IF(E643="","",IF(R643*S643&gt;0,3,SUM(S643,U643,V643)))</f>
        <v>0</v>
      </c>
      <c r="Y643" s="129">
        <f>MIN($X$642:$X$646)+1</f>
        <v>1</v>
      </c>
      <c r="Z643" s="129">
        <f t="shared" ref="Z643:Z646" si="341">IF(E643="",1,IF(R643&gt;0,IF(COUNTA($F643:$K643)=2,1,0),IF(COUNTA($F643:$K643)=6,1,0)))</f>
        <v>0</v>
      </c>
      <c r="AA643" s="129" t="str" cm="1">
        <f t="array" ref="AA643">_xlfn.IFS(Y643=4,"A",Y643=3,"B",Y643=2,"C",Y643=1,"D")</f>
        <v>D</v>
      </c>
      <c r="AB643" s="129"/>
    </row>
    <row r="644" spans="1:28" s="99" customFormat="1" ht="18.75" customHeight="1">
      <c r="A644" s="11"/>
      <c r="B644" s="95"/>
      <c r="C644" s="96"/>
      <c r="D644" s="97"/>
      <c r="E644" s="440" t="s">
        <v>116</v>
      </c>
      <c r="F644" s="441"/>
      <c r="G644" s="441"/>
      <c r="H644" s="441"/>
      <c r="I644" s="441"/>
      <c r="J644" s="441"/>
      <c r="K644" s="441"/>
      <c r="L644" s="98"/>
      <c r="M644" s="11"/>
      <c r="P644" s="11"/>
      <c r="Q644" s="11"/>
      <c r="R644" s="129">
        <f>IF(E644="地区代表者",COUNTA($D$1:$D644),0)</f>
        <v>0</v>
      </c>
      <c r="S644" s="129">
        <f>IF(F644="実施済",1,0)</f>
        <v>0</v>
      </c>
      <c r="T644" s="258"/>
      <c r="U644" s="129">
        <f>IF(AND(H644="実施済",I644="実施済"),S644*1,0)</f>
        <v>0</v>
      </c>
      <c r="V644" s="129">
        <f>IF(J644="実施済",$U644*1,0)</f>
        <v>0</v>
      </c>
      <c r="W644" s="258"/>
      <c r="X644" s="129">
        <f t="shared" si="340"/>
        <v>0</v>
      </c>
      <c r="Y644" s="129">
        <f>MIN($X$642:$X$646)+1</f>
        <v>1</v>
      </c>
      <c r="Z644" s="129">
        <f t="shared" si="341"/>
        <v>0</v>
      </c>
      <c r="AA644" s="129" t="str" cm="1">
        <f t="array" ref="AA644">_xlfn.IFS(Y644=4,"A",Y644=3,"B",Y644=2,"C",Y644=1,"D")</f>
        <v>D</v>
      </c>
      <c r="AB644" s="129"/>
    </row>
    <row r="645" spans="1:28" s="2" customFormat="1" ht="9" customHeight="1">
      <c r="A645"/>
      <c r="B645" s="65"/>
      <c r="C645" s="4"/>
      <c r="D645" s="307"/>
      <c r="E645" s="308"/>
      <c r="F645" s="308"/>
      <c r="G645" s="308"/>
      <c r="H645" s="308"/>
      <c r="I645" s="308"/>
      <c r="J645" s="308"/>
      <c r="K645" s="308"/>
      <c r="L645" s="9"/>
      <c r="M645"/>
      <c r="P645"/>
      <c r="Q645"/>
      <c r="R645" s="215">
        <f>IF(E645="地区代表者",COUNTA($D$1:$D645),0)</f>
        <v>0</v>
      </c>
      <c r="S645" s="215">
        <f t="shared" ref="S645:S646" si="342">IF(F645="実施済",1,0)</f>
        <v>0</v>
      </c>
      <c r="T645" s="316"/>
      <c r="U645" s="215">
        <f t="shared" ref="U645:U646" si="343">IF(AND(H645="実施済",I645="実施済"),S645*1,0)</f>
        <v>0</v>
      </c>
      <c r="V645" s="215">
        <f t="shared" ref="V645:V646" si="344">IF(J645="実施済",$U645*1,0)</f>
        <v>0</v>
      </c>
      <c r="W645" s="316"/>
      <c r="X645" s="215" t="str">
        <f t="shared" si="340"/>
        <v/>
      </c>
      <c r="Y645" s="215">
        <f>MIN($X$642:$X$646)+1</f>
        <v>1</v>
      </c>
      <c r="Z645" s="215">
        <f t="shared" si="341"/>
        <v>1</v>
      </c>
      <c r="AA645" s="215" t="str" cm="1">
        <f t="array" ref="AA645">_xlfn.IFS(Y645=4,"A",Y645=3,"B",Y645=2,"C",Y645=1,"D")</f>
        <v>D</v>
      </c>
      <c r="AB645" s="215"/>
    </row>
    <row r="646" spans="1:28" s="2" customFormat="1" ht="6" customHeight="1">
      <c r="A646"/>
      <c r="B646"/>
      <c r="C646"/>
      <c r="D646" s="309"/>
      <c r="E646" s="310"/>
      <c r="F646" s="310"/>
      <c r="G646" s="310"/>
      <c r="H646" s="310"/>
      <c r="I646" s="310"/>
      <c r="J646" s="310"/>
      <c r="K646" s="310"/>
      <c r="L646"/>
      <c r="M646"/>
      <c r="P646"/>
      <c r="Q646"/>
      <c r="R646" s="215">
        <f>IF(E646="地区代表者",COUNTA($D$1:$D646),0)</f>
        <v>0</v>
      </c>
      <c r="S646" s="215">
        <f t="shared" si="342"/>
        <v>0</v>
      </c>
      <c r="T646" s="316"/>
      <c r="U646" s="215">
        <f t="shared" si="343"/>
        <v>0</v>
      </c>
      <c r="V646" s="215">
        <f t="shared" si="344"/>
        <v>0</v>
      </c>
      <c r="W646" s="316"/>
      <c r="X646" s="215" t="str">
        <f t="shared" si="340"/>
        <v/>
      </c>
      <c r="Y646" s="215">
        <f>MIN($X$642:$X$646)+1</f>
        <v>1</v>
      </c>
      <c r="Z646" s="215">
        <f t="shared" si="341"/>
        <v>1</v>
      </c>
      <c r="AA646" s="215" t="str" cm="1">
        <f t="array" ref="AA646">_xlfn.IFS(Y646=4,"A",Y646=3,"B",Y646=2,"C",Y646=1,"D")</f>
        <v>D</v>
      </c>
      <c r="AB646" s="215"/>
    </row>
    <row r="647" spans="1:28" ht="96" customHeight="1">
      <c r="C647" s="78"/>
      <c r="D647" s="79"/>
      <c r="E647" s="72" t="s">
        <v>236</v>
      </c>
      <c r="F647" s="1452"/>
      <c r="G647" s="1452"/>
      <c r="H647" s="1452"/>
      <c r="I647" s="1452"/>
      <c r="J647" s="1452"/>
      <c r="K647" s="1452"/>
      <c r="L647" s="80" t="s">
        <v>132</v>
      </c>
      <c r="M647" s="290"/>
    </row>
    <row r="648" spans="1:28" ht="96" customHeight="1">
      <c r="C648" s="75"/>
      <c r="D648" s="68"/>
      <c r="E648" s="72" t="s">
        <v>237</v>
      </c>
      <c r="F648" s="1452"/>
      <c r="G648" s="1452"/>
      <c r="H648" s="1452"/>
      <c r="I648" s="1452"/>
      <c r="J648" s="1452"/>
      <c r="K648" s="1452"/>
    </row>
    <row r="649" spans="1:28" ht="18.5" thickBot="1">
      <c r="A649" s="81"/>
      <c r="B649" s="81"/>
      <c r="C649" s="81"/>
      <c r="D649" s="81"/>
      <c r="E649" s="311"/>
      <c r="F649" s="81"/>
      <c r="G649" s="81"/>
      <c r="H649" s="81"/>
      <c r="I649" s="81"/>
      <c r="J649" s="81"/>
      <c r="K649" s="81"/>
      <c r="L649" s="81"/>
      <c r="M649" s="82"/>
    </row>
    <row r="651" spans="1:28" ht="9" customHeight="1">
      <c r="B651" s="10"/>
      <c r="C651" s="5"/>
      <c r="D651" s="5"/>
      <c r="E651" s="305"/>
      <c r="F651" s="5"/>
      <c r="G651" s="5"/>
      <c r="H651" s="5"/>
      <c r="I651" s="5"/>
      <c r="J651" s="5"/>
      <c r="K651" s="5"/>
      <c r="L651" s="6"/>
      <c r="M651"/>
      <c r="N651"/>
      <c r="O651"/>
      <c r="R651" t="str">
        <f>D652</f>
        <v>(選択してください)</v>
      </c>
    </row>
    <row r="652" spans="1:28">
      <c r="B652" s="7"/>
      <c r="C652" s="77" t="str">
        <f ca="1">IFERROR(OFFSET('4.2民生電力需要量'!$C$1,MATCH(D652,'4.2民生電力需要量'!$E:$E,0)-1,0),"")</f>
        <v/>
      </c>
      <c r="D652" s="94" t="s">
        <v>130</v>
      </c>
      <c r="E652" s="72" t="s">
        <v>131</v>
      </c>
      <c r="F652" s="1446" t="str">
        <f ca="1">IFERROR(OFFSET('4.2民生電力需要量'!$G$1,MATCH($D652,'4.2民生電力需要量'!$E:$E,0)-1,0),"")</f>
        <v/>
      </c>
      <c r="G652" s="1446"/>
      <c r="H652" s="1446"/>
      <c r="I652" s="1446"/>
      <c r="J652" s="1446"/>
      <c r="K652" s="1446"/>
      <c r="L652" s="8"/>
      <c r="M652"/>
      <c r="N652"/>
      <c r="O652"/>
      <c r="R652" s="175" t="str">
        <f ca="1">IFERROR(OFFSET('4.2民生電力需要量'!$G$1,MATCH($D652,'4.2民生電力需要量'!$E:$E,0)-1,0),"")</f>
        <v/>
      </c>
      <c r="S652" s="175"/>
      <c r="T652" s="175"/>
      <c r="U652" s="175"/>
      <c r="V652" s="175"/>
      <c r="W652" s="175"/>
      <c r="X652" s="175"/>
      <c r="Y652" s="175"/>
      <c r="Z652" s="175"/>
      <c r="AA652" s="175"/>
      <c r="AB652" s="175">
        <f ca="1">(F652=R652)*1</f>
        <v>1</v>
      </c>
    </row>
    <row r="653" spans="1:28">
      <c r="B653" s="7"/>
      <c r="C653" s="915"/>
      <c r="D653" s="97"/>
      <c r="E653" s="72" t="s">
        <v>612</v>
      </c>
      <c r="F653" s="1447" t="str">
        <f ca="1">IFERROR(OFFSET('4.2民生電力需要量'!$L$1,MATCH($D652,'4.2民生電力需要量'!$E:$E,0)-1,0),"")</f>
        <v/>
      </c>
      <c r="G653" s="1448"/>
      <c r="H653" s="1448"/>
      <c r="I653" s="1448"/>
      <c r="J653" s="1448"/>
      <c r="K653" s="1449"/>
      <c r="L653" s="8"/>
      <c r="M653"/>
      <c r="N653"/>
      <c r="O653"/>
      <c r="R653" s="175" t="str">
        <f ca="1">IFERROR(OFFSET('4.2民生電力需要量'!$L$1,MATCH($D652,'4.2民生電力需要量'!$E:$E,0)-1,0),"")</f>
        <v/>
      </c>
      <c r="S653" s="175"/>
      <c r="T653" s="175"/>
      <c r="U653" s="175"/>
      <c r="V653" s="175"/>
      <c r="W653" s="175"/>
      <c r="X653" s="175"/>
      <c r="Y653" s="175"/>
      <c r="Z653" s="175"/>
      <c r="AA653" s="175"/>
      <c r="AB653" s="175">
        <f ca="1">(F653=R653)*1</f>
        <v>1</v>
      </c>
    </row>
    <row r="654" spans="1:28">
      <c r="B654" s="7"/>
      <c r="C654" s="74"/>
      <c r="D654" s="66"/>
      <c r="E654" s="72" t="s">
        <v>220</v>
      </c>
      <c r="F654" s="1450" t="str">
        <f ca="1">IFERROR(OFFSET('4.2民生電力需要量'!$I$1,MATCH($D652,'4.2民生電力需要量'!$E:$E,0)-1,0),"")</f>
        <v/>
      </c>
      <c r="G654" s="1450"/>
      <c r="H654" s="1450"/>
      <c r="I654" s="1450"/>
      <c r="J654" s="1450"/>
      <c r="K654" s="1450"/>
      <c r="L654" s="8"/>
      <c r="M654"/>
      <c r="N654"/>
      <c r="O654"/>
      <c r="R654" s="175" t="str">
        <f ca="1">IFERROR(OFFSET('4.2民生電力需要量'!$I$1,MATCH($D652,'4.2民生電力需要量'!$E:$E,0)-1,0),"")</f>
        <v/>
      </c>
      <c r="S654" s="175"/>
      <c r="T654" s="175"/>
      <c r="U654" s="175"/>
      <c r="V654" s="175"/>
      <c r="W654" s="175"/>
      <c r="X654" s="175"/>
      <c r="Y654" s="175"/>
      <c r="Z654" s="175"/>
      <c r="AA654" s="175"/>
      <c r="AB654" s="175">
        <f t="shared" ref="AB654:AB655" ca="1" si="345">(F654=R654)*1</f>
        <v>1</v>
      </c>
    </row>
    <row r="655" spans="1:28">
      <c r="B655" s="7"/>
      <c r="C655" s="74"/>
      <c r="D655" s="66"/>
      <c r="E655" s="72" t="s">
        <v>175</v>
      </c>
      <c r="F655" s="1451" t="str">
        <f>_xlfn.IFNA(R655,"")</f>
        <v/>
      </c>
      <c r="G655" s="1451"/>
      <c r="H655" s="1451"/>
      <c r="I655" s="1451"/>
      <c r="J655" s="1451"/>
      <c r="K655" s="1451"/>
      <c r="L655" s="8"/>
      <c r="M655"/>
      <c r="N655"/>
      <c r="O655"/>
      <c r="R655" s="215" t="str">
        <f>IF(PRODUCT($Z657:$Z661)=1,AA657,"")</f>
        <v/>
      </c>
      <c r="S655" s="175"/>
      <c r="T655" s="175"/>
      <c r="U655" s="175"/>
      <c r="V655" s="175"/>
      <c r="W655" s="175"/>
      <c r="X655" s="175"/>
      <c r="Y655" s="175"/>
      <c r="Z655" s="175"/>
      <c r="AA655" s="175"/>
      <c r="AB655" s="175">
        <f t="shared" si="345"/>
        <v>1</v>
      </c>
    </row>
    <row r="656" spans="1:28" s="2" customFormat="1" ht="60">
      <c r="A656"/>
      <c r="B656" s="7"/>
      <c r="C656" s="74"/>
      <c r="D656" s="66"/>
      <c r="E656" s="306"/>
      <c r="F656" s="312" t="s">
        <v>299</v>
      </c>
      <c r="G656" s="313" t="s">
        <v>300</v>
      </c>
      <c r="H656" s="313" t="s">
        <v>301</v>
      </c>
      <c r="I656" s="313" t="s">
        <v>302</v>
      </c>
      <c r="J656" s="313" t="s">
        <v>429</v>
      </c>
      <c r="K656" s="313" t="s">
        <v>270</v>
      </c>
      <c r="L656" s="8"/>
      <c r="M656"/>
      <c r="P656"/>
      <c r="Q656"/>
      <c r="R656" s="294" t="s">
        <v>298</v>
      </c>
      <c r="S656" s="294" t="s">
        <v>299</v>
      </c>
      <c r="T656" s="314" t="s">
        <v>423</v>
      </c>
      <c r="U656" s="294" t="s">
        <v>424</v>
      </c>
      <c r="V656" s="294" t="s">
        <v>422</v>
      </c>
      <c r="W656" s="315" t="s">
        <v>270</v>
      </c>
      <c r="X656" s="294" t="s">
        <v>426</v>
      </c>
      <c r="Y656" s="215" t="s">
        <v>402</v>
      </c>
      <c r="Z656" s="215" t="s">
        <v>430</v>
      </c>
      <c r="AA656" s="294" t="s">
        <v>425</v>
      </c>
      <c r="AB656" s="294"/>
    </row>
    <row r="657" spans="1:28" s="99" customFormat="1" ht="18.75" hidden="1" customHeight="1">
      <c r="A657" s="11"/>
      <c r="B657" s="95"/>
      <c r="C657" s="96"/>
      <c r="D657" s="97"/>
      <c r="E657" s="438"/>
      <c r="F657" s="439"/>
      <c r="G657" s="439"/>
      <c r="H657" s="439"/>
      <c r="I657" s="439"/>
      <c r="J657" s="439"/>
      <c r="K657" s="439"/>
      <c r="L657" s="98"/>
      <c r="M657" s="11"/>
      <c r="Q657" s="11"/>
      <c r="R657" s="129">
        <f>IF(E657="地区代表者",COUNTA($D$1:$D657),0)</f>
        <v>0</v>
      </c>
      <c r="S657" s="129">
        <f t="shared" ref="S657:S658" si="346">IF(F657="実施済",1,0)</f>
        <v>0</v>
      </c>
      <c r="T657" s="258"/>
      <c r="U657" s="129">
        <f t="shared" ref="U657:U658" si="347">IF(AND(H657="実施済",I657="実施済"),S657*1,0)</f>
        <v>0</v>
      </c>
      <c r="V657" s="129">
        <f>IF(J657="実施済",$U657*1,0)</f>
        <v>0</v>
      </c>
      <c r="W657" s="258"/>
      <c r="X657" s="129" t="str">
        <f>IF(E657="","",IF(R657*S657&gt;0,3,SUM(S657,U657,V657)))</f>
        <v/>
      </c>
      <c r="Y657" s="129">
        <f>MIN($X$657:$X$661)+1</f>
        <v>1</v>
      </c>
      <c r="Z657" s="129">
        <f>IF(E657="",1,IF(R657&gt;0,IF(COUNTA($F657:$K657)=2,1,0),IF(COUNTA($F657:$K657)=6,1,0)))</f>
        <v>1</v>
      </c>
      <c r="AA657" s="129" t="str" cm="1">
        <f t="array" ref="AA657">_xlfn.IFS(Y657=4,"A",Y657=3,"B",Y657=2,"C",Y657=1,"D")</f>
        <v>D</v>
      </c>
      <c r="AB657" s="129" t="str" cm="1">
        <f t="array" ref="AB657">_xlfn.IFS(Z657=4,"A",Z657=3,"B",Z657=2,"C",Z657=1,"D")</f>
        <v>D</v>
      </c>
    </row>
    <row r="658" spans="1:28" s="99" customFormat="1" ht="18.75" customHeight="1">
      <c r="A658" s="11"/>
      <c r="B658" s="95"/>
      <c r="C658" s="96"/>
      <c r="D658" s="97"/>
      <c r="E658" s="440" t="s">
        <v>298</v>
      </c>
      <c r="F658" s="441"/>
      <c r="G658" s="839"/>
      <c r="H658" s="839"/>
      <c r="I658" s="839"/>
      <c r="J658" s="839"/>
      <c r="K658" s="441"/>
      <c r="L658" s="98"/>
      <c r="M658" s="11"/>
      <c r="Q658" s="11"/>
      <c r="R658" s="129">
        <f>IF(E658="地区代表者",COUNTA($D$1:$D658),0)</f>
        <v>44</v>
      </c>
      <c r="S658" s="129">
        <f t="shared" si="346"/>
        <v>0</v>
      </c>
      <c r="T658" s="258"/>
      <c r="U658" s="129">
        <f t="shared" si="347"/>
        <v>0</v>
      </c>
      <c r="V658" s="129">
        <f>IF(J658="実施済",$U658*1,0)</f>
        <v>0</v>
      </c>
      <c r="W658" s="258"/>
      <c r="X658" s="129">
        <f t="shared" ref="X658:X661" si="348">IF(E658="","",IF(R658*S658&gt;0,3,SUM(S658,U658,V658)))</f>
        <v>0</v>
      </c>
      <c r="Y658" s="129">
        <f>MIN($X$657:$X$661)+1</f>
        <v>1</v>
      </c>
      <c r="Z658" s="129">
        <f t="shared" ref="Z658:Z661" si="349">IF(E658="",1,IF(R658&gt;0,IF(COUNTA($F658:$K658)=2,1,0),IF(COUNTA($F658:$K658)=6,1,0)))</f>
        <v>0</v>
      </c>
      <c r="AA658" s="129" t="str" cm="1">
        <f t="array" ref="AA658">_xlfn.IFS(Y658=4,"A",Y658=3,"B",Y658=2,"C",Y658=1,"D")</f>
        <v>D</v>
      </c>
      <c r="AB658" s="129"/>
    </row>
    <row r="659" spans="1:28" s="99" customFormat="1" ht="18.75" customHeight="1">
      <c r="A659" s="11"/>
      <c r="B659" s="95"/>
      <c r="C659" s="96"/>
      <c r="D659" s="97"/>
      <c r="E659" s="440" t="s">
        <v>116</v>
      </c>
      <c r="F659" s="441"/>
      <c r="G659" s="441"/>
      <c r="H659" s="441"/>
      <c r="I659" s="441"/>
      <c r="J659" s="441"/>
      <c r="K659" s="441"/>
      <c r="L659" s="98"/>
      <c r="M659" s="11"/>
      <c r="P659" s="11"/>
      <c r="Q659" s="11"/>
      <c r="R659" s="129">
        <f>IF(E659="地区代表者",COUNTA($D$1:$D659),0)</f>
        <v>0</v>
      </c>
      <c r="S659" s="129">
        <f>IF(F659="実施済",1,0)</f>
        <v>0</v>
      </c>
      <c r="T659" s="258"/>
      <c r="U659" s="129">
        <f>IF(AND(H659="実施済",I659="実施済"),S659*1,0)</f>
        <v>0</v>
      </c>
      <c r="V659" s="129">
        <f>IF(J659="実施済",$U659*1,0)</f>
        <v>0</v>
      </c>
      <c r="W659" s="258"/>
      <c r="X659" s="129">
        <f t="shared" si="348"/>
        <v>0</v>
      </c>
      <c r="Y659" s="129">
        <f>MIN($X$657:$X$661)+1</f>
        <v>1</v>
      </c>
      <c r="Z659" s="129">
        <f t="shared" si="349"/>
        <v>0</v>
      </c>
      <c r="AA659" s="129" t="str" cm="1">
        <f t="array" ref="AA659">_xlfn.IFS(Y659=4,"A",Y659=3,"B",Y659=2,"C",Y659=1,"D")</f>
        <v>D</v>
      </c>
      <c r="AB659" s="129"/>
    </row>
    <row r="660" spans="1:28" s="2" customFormat="1" ht="9" customHeight="1">
      <c r="A660"/>
      <c r="B660" s="65"/>
      <c r="C660" s="4"/>
      <c r="D660" s="307"/>
      <c r="E660" s="308"/>
      <c r="F660" s="308"/>
      <c r="G660" s="308"/>
      <c r="H660" s="308"/>
      <c r="I660" s="308"/>
      <c r="J660" s="308"/>
      <c r="K660" s="308"/>
      <c r="L660" s="9"/>
      <c r="M660"/>
      <c r="P660"/>
      <c r="Q660"/>
      <c r="R660" s="215">
        <f>IF(E660="地区代表者",COUNTA($D$1:$D660),0)</f>
        <v>0</v>
      </c>
      <c r="S660" s="215">
        <f t="shared" ref="S660:S661" si="350">IF(F660="実施済",1,0)</f>
        <v>0</v>
      </c>
      <c r="T660" s="316"/>
      <c r="U660" s="215">
        <f t="shared" ref="U660:U661" si="351">IF(AND(H660="実施済",I660="実施済"),S660*1,0)</f>
        <v>0</v>
      </c>
      <c r="V660" s="215">
        <f t="shared" ref="V660:V661" si="352">IF(J660="実施済",$U660*1,0)</f>
        <v>0</v>
      </c>
      <c r="W660" s="316"/>
      <c r="X660" s="215" t="str">
        <f t="shared" si="348"/>
        <v/>
      </c>
      <c r="Y660" s="215">
        <f>MIN($X$657:$X$661)+1</f>
        <v>1</v>
      </c>
      <c r="Z660" s="215">
        <f t="shared" si="349"/>
        <v>1</v>
      </c>
      <c r="AA660" s="215" t="str" cm="1">
        <f t="array" ref="AA660">_xlfn.IFS(Y660=4,"A",Y660=3,"B",Y660=2,"C",Y660=1,"D")</f>
        <v>D</v>
      </c>
      <c r="AB660" s="215"/>
    </row>
    <row r="661" spans="1:28" s="2" customFormat="1" ht="6" customHeight="1">
      <c r="A661"/>
      <c r="B661"/>
      <c r="C661"/>
      <c r="D661" s="309"/>
      <c r="E661" s="310"/>
      <c r="F661" s="310"/>
      <c r="G661" s="310"/>
      <c r="H661" s="310"/>
      <c r="I661" s="310"/>
      <c r="J661" s="310"/>
      <c r="K661" s="310"/>
      <c r="L661"/>
      <c r="M661"/>
      <c r="P661"/>
      <c r="Q661"/>
      <c r="R661" s="215">
        <f>IF(E661="地区代表者",COUNTA($D$1:$D661),0)</f>
        <v>0</v>
      </c>
      <c r="S661" s="215">
        <f t="shared" si="350"/>
        <v>0</v>
      </c>
      <c r="T661" s="316"/>
      <c r="U661" s="215">
        <f t="shared" si="351"/>
        <v>0</v>
      </c>
      <c r="V661" s="215">
        <f t="shared" si="352"/>
        <v>0</v>
      </c>
      <c r="W661" s="316"/>
      <c r="X661" s="215" t="str">
        <f t="shared" si="348"/>
        <v/>
      </c>
      <c r="Y661" s="215">
        <f>MIN($X$657:$X$661)+1</f>
        <v>1</v>
      </c>
      <c r="Z661" s="215">
        <f t="shared" si="349"/>
        <v>1</v>
      </c>
      <c r="AA661" s="215" t="str" cm="1">
        <f t="array" ref="AA661">_xlfn.IFS(Y661=4,"A",Y661=3,"B",Y661=2,"C",Y661=1,"D")</f>
        <v>D</v>
      </c>
      <c r="AB661" s="215"/>
    </row>
    <row r="662" spans="1:28" ht="96" customHeight="1">
      <c r="C662" s="78"/>
      <c r="D662" s="79"/>
      <c r="E662" s="72" t="s">
        <v>236</v>
      </c>
      <c r="F662" s="1452"/>
      <c r="G662" s="1452"/>
      <c r="H662" s="1452"/>
      <c r="I662" s="1452"/>
      <c r="J662" s="1452"/>
      <c r="K662" s="1452"/>
      <c r="L662" s="80" t="s">
        <v>132</v>
      </c>
      <c r="M662" s="290"/>
    </row>
    <row r="663" spans="1:28" ht="96" customHeight="1">
      <c r="C663" s="75"/>
      <c r="D663" s="68"/>
      <c r="E663" s="72" t="s">
        <v>237</v>
      </c>
      <c r="F663" s="1452"/>
      <c r="G663" s="1452"/>
      <c r="H663" s="1452"/>
      <c r="I663" s="1452"/>
      <c r="J663" s="1452"/>
      <c r="K663" s="1452"/>
    </row>
    <row r="664" spans="1:28" ht="18.5" thickBot="1">
      <c r="A664" s="81"/>
      <c r="B664" s="81"/>
      <c r="C664" s="81"/>
      <c r="D664" s="81"/>
      <c r="E664" s="311"/>
      <c r="F664" s="81"/>
      <c r="G664" s="81"/>
      <c r="H664" s="81"/>
      <c r="I664" s="81"/>
      <c r="J664" s="81"/>
      <c r="K664" s="81"/>
      <c r="L664" s="81"/>
      <c r="M664" s="82"/>
    </row>
    <row r="666" spans="1:28" ht="9" customHeight="1">
      <c r="B666" s="10"/>
      <c r="C666" s="5"/>
      <c r="D666" s="5"/>
      <c r="E666" s="305"/>
      <c r="F666" s="5"/>
      <c r="G666" s="5"/>
      <c r="H666" s="5"/>
      <c r="I666" s="5"/>
      <c r="J666" s="5"/>
      <c r="K666" s="5"/>
      <c r="L666" s="6"/>
      <c r="M666"/>
      <c r="N666"/>
      <c r="O666"/>
      <c r="R666" t="str">
        <f>D667</f>
        <v>(選択してください)</v>
      </c>
    </row>
    <row r="667" spans="1:28">
      <c r="B667" s="7"/>
      <c r="C667" s="77" t="str">
        <f ca="1">IFERROR(OFFSET('4.2民生電力需要量'!$C$1,MATCH(D667,'4.2民生電力需要量'!$E:$E,0)-1,0),"")</f>
        <v/>
      </c>
      <c r="D667" s="94" t="s">
        <v>130</v>
      </c>
      <c r="E667" s="72" t="s">
        <v>131</v>
      </c>
      <c r="F667" s="1446" t="str">
        <f ca="1">IFERROR(OFFSET('4.2民生電力需要量'!$G$1,MATCH($D667,'4.2民生電力需要量'!$E:$E,0)-1,0),"")</f>
        <v/>
      </c>
      <c r="G667" s="1446"/>
      <c r="H667" s="1446"/>
      <c r="I667" s="1446"/>
      <c r="J667" s="1446"/>
      <c r="K667" s="1446"/>
      <c r="L667" s="8"/>
      <c r="M667"/>
      <c r="N667"/>
      <c r="O667"/>
      <c r="R667" s="175" t="str">
        <f ca="1">IFERROR(OFFSET('4.2民生電力需要量'!$G$1,MATCH($D667,'4.2民生電力需要量'!$E:$E,0)-1,0),"")</f>
        <v/>
      </c>
      <c r="S667" s="175"/>
      <c r="T667" s="175"/>
      <c r="U667" s="175"/>
      <c r="V667" s="175"/>
      <c r="W667" s="175"/>
      <c r="X667" s="175"/>
      <c r="Y667" s="175"/>
      <c r="Z667" s="175"/>
      <c r="AA667" s="175"/>
      <c r="AB667" s="175">
        <f ca="1">(F667=R667)*1</f>
        <v>1</v>
      </c>
    </row>
    <row r="668" spans="1:28">
      <c r="B668" s="7"/>
      <c r="C668" s="915"/>
      <c r="D668" s="97"/>
      <c r="E668" s="72" t="s">
        <v>612</v>
      </c>
      <c r="F668" s="1447" t="str">
        <f ca="1">IFERROR(OFFSET('4.2民生電力需要量'!$L$1,MATCH($D667,'4.2民生電力需要量'!$E:$E,0)-1,0),"")</f>
        <v/>
      </c>
      <c r="G668" s="1448"/>
      <c r="H668" s="1448"/>
      <c r="I668" s="1448"/>
      <c r="J668" s="1448"/>
      <c r="K668" s="1449"/>
      <c r="L668" s="8"/>
      <c r="M668"/>
      <c r="N668"/>
      <c r="O668"/>
      <c r="R668" s="175" t="str">
        <f ca="1">IFERROR(OFFSET('4.2民生電力需要量'!$L$1,MATCH($D667,'4.2民生電力需要量'!$E:$E,0)-1,0),"")</f>
        <v/>
      </c>
      <c r="S668" s="175"/>
      <c r="T668" s="175"/>
      <c r="U668" s="175"/>
      <c r="V668" s="175"/>
      <c r="W668" s="175"/>
      <c r="X668" s="175"/>
      <c r="Y668" s="175"/>
      <c r="Z668" s="175"/>
      <c r="AA668" s="175"/>
      <c r="AB668" s="175">
        <f ca="1">(F668=R668)*1</f>
        <v>1</v>
      </c>
    </row>
    <row r="669" spans="1:28">
      <c r="B669" s="7"/>
      <c r="C669" s="74"/>
      <c r="D669" s="66"/>
      <c r="E669" s="72" t="s">
        <v>220</v>
      </c>
      <c r="F669" s="1450" t="str">
        <f ca="1">IFERROR(OFFSET('4.2民生電力需要量'!$I$1,MATCH($D667,'4.2民生電力需要量'!$E:$E,0)-1,0),"")</f>
        <v/>
      </c>
      <c r="G669" s="1450"/>
      <c r="H669" s="1450"/>
      <c r="I669" s="1450"/>
      <c r="J669" s="1450"/>
      <c r="K669" s="1450"/>
      <c r="L669" s="8"/>
      <c r="M669"/>
      <c r="N669"/>
      <c r="O669"/>
      <c r="R669" s="175" t="str">
        <f ca="1">IFERROR(OFFSET('4.2民生電力需要量'!$I$1,MATCH($D667,'4.2民生電力需要量'!$E:$E,0)-1,0),"")</f>
        <v/>
      </c>
      <c r="S669" s="175"/>
      <c r="T669" s="175"/>
      <c r="U669" s="175"/>
      <c r="V669" s="175"/>
      <c r="W669" s="175"/>
      <c r="X669" s="175"/>
      <c r="Y669" s="175"/>
      <c r="Z669" s="175"/>
      <c r="AA669" s="175"/>
      <c r="AB669" s="175">
        <f t="shared" ref="AB669:AB670" ca="1" si="353">(F669=R669)*1</f>
        <v>1</v>
      </c>
    </row>
    <row r="670" spans="1:28">
      <c r="B670" s="7"/>
      <c r="C670" s="74"/>
      <c r="D670" s="66"/>
      <c r="E670" s="72" t="s">
        <v>175</v>
      </c>
      <c r="F670" s="1451" t="str">
        <f>_xlfn.IFNA(R670,"")</f>
        <v/>
      </c>
      <c r="G670" s="1451"/>
      <c r="H670" s="1451"/>
      <c r="I670" s="1451"/>
      <c r="J670" s="1451"/>
      <c r="K670" s="1451"/>
      <c r="L670" s="8"/>
      <c r="M670"/>
      <c r="N670"/>
      <c r="O670"/>
      <c r="R670" s="215" t="str">
        <f>IF(PRODUCT($Z672:$Z676)=1,AA672,"")</f>
        <v/>
      </c>
      <c r="S670" s="175"/>
      <c r="T670" s="175"/>
      <c r="U670" s="175"/>
      <c r="V670" s="175"/>
      <c r="W670" s="175"/>
      <c r="X670" s="175"/>
      <c r="Y670" s="175"/>
      <c r="Z670" s="175"/>
      <c r="AA670" s="175"/>
      <c r="AB670" s="175">
        <f t="shared" si="353"/>
        <v>1</v>
      </c>
    </row>
    <row r="671" spans="1:28" s="2" customFormat="1" ht="60">
      <c r="A671"/>
      <c r="B671" s="7"/>
      <c r="C671" s="74"/>
      <c r="D671" s="66"/>
      <c r="E671" s="306"/>
      <c r="F671" s="312" t="s">
        <v>299</v>
      </c>
      <c r="G671" s="313" t="s">
        <v>300</v>
      </c>
      <c r="H671" s="313" t="s">
        <v>301</v>
      </c>
      <c r="I671" s="313" t="s">
        <v>302</v>
      </c>
      <c r="J671" s="313" t="s">
        <v>429</v>
      </c>
      <c r="K671" s="313" t="s">
        <v>270</v>
      </c>
      <c r="L671" s="8"/>
      <c r="M671"/>
      <c r="P671"/>
      <c r="Q671"/>
      <c r="R671" s="294" t="s">
        <v>298</v>
      </c>
      <c r="S671" s="294" t="s">
        <v>299</v>
      </c>
      <c r="T671" s="314" t="s">
        <v>423</v>
      </c>
      <c r="U671" s="294" t="s">
        <v>424</v>
      </c>
      <c r="V671" s="294" t="s">
        <v>422</v>
      </c>
      <c r="W671" s="315" t="s">
        <v>270</v>
      </c>
      <c r="X671" s="294" t="s">
        <v>426</v>
      </c>
      <c r="Y671" s="215" t="s">
        <v>402</v>
      </c>
      <c r="Z671" s="215" t="s">
        <v>430</v>
      </c>
      <c r="AA671" s="294" t="s">
        <v>425</v>
      </c>
      <c r="AB671" s="294"/>
    </row>
    <row r="672" spans="1:28" s="99" customFormat="1" ht="18.75" hidden="1" customHeight="1">
      <c r="A672" s="11"/>
      <c r="B672" s="95"/>
      <c r="C672" s="96"/>
      <c r="D672" s="97"/>
      <c r="E672" s="438"/>
      <c r="F672" s="439"/>
      <c r="G672" s="439"/>
      <c r="H672" s="439"/>
      <c r="I672" s="439"/>
      <c r="J672" s="439"/>
      <c r="K672" s="439"/>
      <c r="L672" s="98"/>
      <c r="M672" s="11"/>
      <c r="Q672" s="11"/>
      <c r="R672" s="129">
        <f>IF(E672="地区代表者",COUNTA($D$1:$D672),0)</f>
        <v>0</v>
      </c>
      <c r="S672" s="129">
        <f t="shared" ref="S672:S673" si="354">IF(F672="実施済",1,0)</f>
        <v>0</v>
      </c>
      <c r="T672" s="258"/>
      <c r="U672" s="129">
        <f t="shared" ref="U672:U673" si="355">IF(AND(H672="実施済",I672="実施済"),S672*1,0)</f>
        <v>0</v>
      </c>
      <c r="V672" s="129">
        <f>IF(J672="実施済",$U672*1,0)</f>
        <v>0</v>
      </c>
      <c r="W672" s="258"/>
      <c r="X672" s="129" t="str">
        <f>IF(E672="","",IF(R672*S672&gt;0,3,SUM(S672,U672,V672)))</f>
        <v/>
      </c>
      <c r="Y672" s="129">
        <f>MIN($X$672:$X$676)+1</f>
        <v>1</v>
      </c>
      <c r="Z672" s="129">
        <f>IF(E672="",1,IF(R672&gt;0,IF(COUNTA($F672:$K672)=2,1,0),IF(COUNTA($F672:$K672)=6,1,0)))</f>
        <v>1</v>
      </c>
      <c r="AA672" s="129" t="str" cm="1">
        <f t="array" ref="AA672">_xlfn.IFS(Y672=4,"A",Y672=3,"B",Y672=2,"C",Y672=1,"D")</f>
        <v>D</v>
      </c>
      <c r="AB672" s="129" t="str" cm="1">
        <f t="array" ref="AB672">_xlfn.IFS(Z672=4,"A",Z672=3,"B",Z672=2,"C",Z672=1,"D")</f>
        <v>D</v>
      </c>
    </row>
    <row r="673" spans="1:28" s="99" customFormat="1" ht="18.75" customHeight="1">
      <c r="A673" s="11"/>
      <c r="B673" s="95"/>
      <c r="C673" s="96"/>
      <c r="D673" s="97"/>
      <c r="E673" s="440" t="s">
        <v>298</v>
      </c>
      <c r="F673" s="441"/>
      <c r="G673" s="839"/>
      <c r="H673" s="839"/>
      <c r="I673" s="839"/>
      <c r="J673" s="839"/>
      <c r="K673" s="441"/>
      <c r="L673" s="98"/>
      <c r="M673" s="11"/>
      <c r="Q673" s="11"/>
      <c r="R673" s="129">
        <f>IF(E673="地区代表者",COUNTA($D$1:$D673),0)</f>
        <v>45</v>
      </c>
      <c r="S673" s="129">
        <f t="shared" si="354"/>
        <v>0</v>
      </c>
      <c r="T673" s="258"/>
      <c r="U673" s="129">
        <f t="shared" si="355"/>
        <v>0</v>
      </c>
      <c r="V673" s="129">
        <f>IF(J673="実施済",$U673*1,0)</f>
        <v>0</v>
      </c>
      <c r="W673" s="258"/>
      <c r="X673" s="129">
        <f t="shared" ref="X673:X676" si="356">IF(E673="","",IF(R673*S673&gt;0,3,SUM(S673,U673,V673)))</f>
        <v>0</v>
      </c>
      <c r="Y673" s="129">
        <f>MIN($X$672:$X$676)+1</f>
        <v>1</v>
      </c>
      <c r="Z673" s="129">
        <f t="shared" ref="Z673:Z676" si="357">IF(E673="",1,IF(R673&gt;0,IF(COUNTA($F673:$K673)=2,1,0),IF(COUNTA($F673:$K673)=6,1,0)))</f>
        <v>0</v>
      </c>
      <c r="AA673" s="129" t="str" cm="1">
        <f t="array" ref="AA673">_xlfn.IFS(Y673=4,"A",Y673=3,"B",Y673=2,"C",Y673=1,"D")</f>
        <v>D</v>
      </c>
      <c r="AB673" s="129"/>
    </row>
    <row r="674" spans="1:28" s="99" customFormat="1" ht="18.75" customHeight="1">
      <c r="A674" s="11"/>
      <c r="B674" s="95"/>
      <c r="C674" s="96"/>
      <c r="D674" s="97"/>
      <c r="E674" s="440" t="s">
        <v>116</v>
      </c>
      <c r="F674" s="441"/>
      <c r="G674" s="441"/>
      <c r="H674" s="441"/>
      <c r="I674" s="441"/>
      <c r="J674" s="441"/>
      <c r="K674" s="441"/>
      <c r="L674" s="98"/>
      <c r="M674" s="11"/>
      <c r="P674" s="11"/>
      <c r="Q674" s="11"/>
      <c r="R674" s="129">
        <f>IF(E674="地区代表者",COUNTA($D$1:$D674),0)</f>
        <v>0</v>
      </c>
      <c r="S674" s="129">
        <f>IF(F674="実施済",1,0)</f>
        <v>0</v>
      </c>
      <c r="T674" s="258"/>
      <c r="U674" s="129">
        <f>IF(AND(H674="実施済",I674="実施済"),S674*1,0)</f>
        <v>0</v>
      </c>
      <c r="V674" s="129">
        <f>IF(J674="実施済",$U674*1,0)</f>
        <v>0</v>
      </c>
      <c r="W674" s="258"/>
      <c r="X674" s="129">
        <f t="shared" si="356"/>
        <v>0</v>
      </c>
      <c r="Y674" s="129">
        <f>MIN($X$672:$X$676)+1</f>
        <v>1</v>
      </c>
      <c r="Z674" s="129">
        <f t="shared" si="357"/>
        <v>0</v>
      </c>
      <c r="AA674" s="129" t="str" cm="1">
        <f t="array" ref="AA674">_xlfn.IFS(Y674=4,"A",Y674=3,"B",Y674=2,"C",Y674=1,"D")</f>
        <v>D</v>
      </c>
      <c r="AB674" s="129"/>
    </row>
    <row r="675" spans="1:28" s="2" customFormat="1" ht="9" customHeight="1">
      <c r="A675"/>
      <c r="B675" s="65"/>
      <c r="C675" s="4"/>
      <c r="D675" s="307"/>
      <c r="E675" s="308"/>
      <c r="F675" s="308"/>
      <c r="G675" s="308"/>
      <c r="H675" s="308"/>
      <c r="I675" s="308"/>
      <c r="J675" s="308"/>
      <c r="K675" s="308"/>
      <c r="L675" s="9"/>
      <c r="M675"/>
      <c r="P675"/>
      <c r="Q675"/>
      <c r="R675" s="215">
        <f>IF(E675="地区代表者",COUNTA($D$1:$D675),0)</f>
        <v>0</v>
      </c>
      <c r="S675" s="215">
        <f t="shared" ref="S675:S676" si="358">IF(F675="実施済",1,0)</f>
        <v>0</v>
      </c>
      <c r="T675" s="316"/>
      <c r="U675" s="215">
        <f t="shared" ref="U675:U676" si="359">IF(AND(H675="実施済",I675="実施済"),S675*1,0)</f>
        <v>0</v>
      </c>
      <c r="V675" s="215">
        <f t="shared" ref="V675:V676" si="360">IF(J675="実施済",$U675*1,0)</f>
        <v>0</v>
      </c>
      <c r="W675" s="316"/>
      <c r="X675" s="215" t="str">
        <f t="shared" si="356"/>
        <v/>
      </c>
      <c r="Y675" s="215">
        <f>MIN($X$672:$X$676)+1</f>
        <v>1</v>
      </c>
      <c r="Z675" s="215">
        <f t="shared" si="357"/>
        <v>1</v>
      </c>
      <c r="AA675" s="215" t="str" cm="1">
        <f t="array" ref="AA675">_xlfn.IFS(Y675=4,"A",Y675=3,"B",Y675=2,"C",Y675=1,"D")</f>
        <v>D</v>
      </c>
      <c r="AB675" s="215"/>
    </row>
    <row r="676" spans="1:28" s="2" customFormat="1" ht="6" customHeight="1">
      <c r="A676"/>
      <c r="B676"/>
      <c r="C676"/>
      <c r="D676" s="309"/>
      <c r="E676" s="310"/>
      <c r="F676" s="310"/>
      <c r="G676" s="310"/>
      <c r="H676" s="310"/>
      <c r="I676" s="310"/>
      <c r="J676" s="310"/>
      <c r="K676" s="310"/>
      <c r="L676"/>
      <c r="M676"/>
      <c r="P676"/>
      <c r="Q676"/>
      <c r="R676" s="215">
        <f>IF(E676="地区代表者",COUNTA($D$1:$D676),0)</f>
        <v>0</v>
      </c>
      <c r="S676" s="215">
        <f t="shared" si="358"/>
        <v>0</v>
      </c>
      <c r="T676" s="316"/>
      <c r="U676" s="215">
        <f t="shared" si="359"/>
        <v>0</v>
      </c>
      <c r="V676" s="215">
        <f t="shared" si="360"/>
        <v>0</v>
      </c>
      <c r="W676" s="316"/>
      <c r="X676" s="215" t="str">
        <f t="shared" si="356"/>
        <v/>
      </c>
      <c r="Y676" s="215">
        <f>MIN($X$672:$X$676)+1</f>
        <v>1</v>
      </c>
      <c r="Z676" s="215">
        <f t="shared" si="357"/>
        <v>1</v>
      </c>
      <c r="AA676" s="215" t="str" cm="1">
        <f t="array" ref="AA676">_xlfn.IFS(Y676=4,"A",Y676=3,"B",Y676=2,"C",Y676=1,"D")</f>
        <v>D</v>
      </c>
      <c r="AB676" s="215"/>
    </row>
    <row r="677" spans="1:28" ht="96" customHeight="1">
      <c r="C677" s="78"/>
      <c r="D677" s="79"/>
      <c r="E677" s="72" t="s">
        <v>236</v>
      </c>
      <c r="F677" s="1452"/>
      <c r="G677" s="1452"/>
      <c r="H677" s="1452"/>
      <c r="I677" s="1452"/>
      <c r="J677" s="1452"/>
      <c r="K677" s="1452"/>
      <c r="L677" s="80" t="s">
        <v>132</v>
      </c>
      <c r="M677" s="290"/>
    </row>
    <row r="678" spans="1:28" ht="96" customHeight="1">
      <c r="C678" s="75"/>
      <c r="D678" s="68"/>
      <c r="E678" s="72" t="s">
        <v>237</v>
      </c>
      <c r="F678" s="1452"/>
      <c r="G678" s="1452"/>
      <c r="H678" s="1452"/>
      <c r="I678" s="1452"/>
      <c r="J678" s="1452"/>
      <c r="K678" s="1452"/>
    </row>
    <row r="679" spans="1:28" ht="18.5" thickBot="1">
      <c r="A679" s="81"/>
      <c r="B679" s="81"/>
      <c r="C679" s="81"/>
      <c r="D679" s="81"/>
      <c r="E679" s="311"/>
      <c r="F679" s="81"/>
      <c r="G679" s="81"/>
      <c r="H679" s="81"/>
      <c r="I679" s="81"/>
      <c r="J679" s="81"/>
      <c r="K679" s="81"/>
      <c r="L679" s="81"/>
      <c r="M679" s="82"/>
    </row>
    <row r="681" spans="1:28" ht="9" customHeight="1">
      <c r="B681" s="10"/>
      <c r="C681" s="5"/>
      <c r="D681" s="5"/>
      <c r="E681" s="305"/>
      <c r="F681" s="5"/>
      <c r="G681" s="5"/>
      <c r="H681" s="5"/>
      <c r="I681" s="5"/>
      <c r="J681" s="5"/>
      <c r="K681" s="5"/>
      <c r="L681" s="6"/>
      <c r="M681"/>
      <c r="N681"/>
      <c r="O681"/>
      <c r="R681" t="str">
        <f>D682</f>
        <v>(選択してください)</v>
      </c>
    </row>
    <row r="682" spans="1:28">
      <c r="B682" s="7"/>
      <c r="C682" s="77" t="str">
        <f ca="1">IFERROR(OFFSET('4.2民生電力需要量'!$C$1,MATCH(D682,'4.2民生電力需要量'!$E:$E,0)-1,0),"")</f>
        <v/>
      </c>
      <c r="D682" s="94" t="s">
        <v>130</v>
      </c>
      <c r="E682" s="72" t="s">
        <v>131</v>
      </c>
      <c r="F682" s="1446" t="str">
        <f ca="1">IFERROR(OFFSET('4.2民生電力需要量'!$G$1,MATCH($D682,'4.2民生電力需要量'!$E:$E,0)-1,0),"")</f>
        <v/>
      </c>
      <c r="G682" s="1446"/>
      <c r="H682" s="1446"/>
      <c r="I682" s="1446"/>
      <c r="J682" s="1446"/>
      <c r="K682" s="1446"/>
      <c r="L682" s="8"/>
      <c r="M682"/>
      <c r="N682"/>
      <c r="O682"/>
      <c r="R682" s="175" t="str">
        <f ca="1">IFERROR(OFFSET('4.2民生電力需要量'!$G$1,MATCH($D682,'4.2民生電力需要量'!$E:$E,0)-1,0),"")</f>
        <v/>
      </c>
      <c r="S682" s="175"/>
      <c r="T682" s="175"/>
      <c r="U682" s="175"/>
      <c r="V682" s="175"/>
      <c r="W682" s="175"/>
      <c r="X682" s="175"/>
      <c r="Y682" s="175"/>
      <c r="Z682" s="175"/>
      <c r="AA682" s="175"/>
      <c r="AB682" s="175">
        <f ca="1">(F682=R682)*1</f>
        <v>1</v>
      </c>
    </row>
    <row r="683" spans="1:28">
      <c r="B683" s="7"/>
      <c r="C683" s="915"/>
      <c r="D683" s="97"/>
      <c r="E683" s="72" t="s">
        <v>612</v>
      </c>
      <c r="F683" s="1447" t="str">
        <f ca="1">IFERROR(OFFSET('4.2民生電力需要量'!$L$1,MATCH($D682,'4.2民生電力需要量'!$E:$E,0)-1,0),"")</f>
        <v/>
      </c>
      <c r="G683" s="1448"/>
      <c r="H683" s="1448"/>
      <c r="I683" s="1448"/>
      <c r="J683" s="1448"/>
      <c r="K683" s="1449"/>
      <c r="L683" s="8"/>
      <c r="M683"/>
      <c r="N683"/>
      <c r="O683"/>
      <c r="R683" s="175" t="str">
        <f ca="1">IFERROR(OFFSET('4.2民生電力需要量'!$L$1,MATCH($D682,'4.2民生電力需要量'!$E:$E,0)-1,0),"")</f>
        <v/>
      </c>
      <c r="S683" s="175"/>
      <c r="T683" s="175"/>
      <c r="U683" s="175"/>
      <c r="V683" s="175"/>
      <c r="W683" s="175"/>
      <c r="X683" s="175"/>
      <c r="Y683" s="175"/>
      <c r="Z683" s="175"/>
      <c r="AA683" s="175"/>
      <c r="AB683" s="175">
        <f ca="1">(F683=R683)*1</f>
        <v>1</v>
      </c>
    </row>
    <row r="684" spans="1:28">
      <c r="B684" s="7"/>
      <c r="C684" s="74"/>
      <c r="D684" s="66"/>
      <c r="E684" s="72" t="s">
        <v>220</v>
      </c>
      <c r="F684" s="1450" t="str">
        <f ca="1">IFERROR(OFFSET('4.2民生電力需要量'!$I$1,MATCH($D682,'4.2民生電力需要量'!$E:$E,0)-1,0),"")</f>
        <v/>
      </c>
      <c r="G684" s="1450"/>
      <c r="H684" s="1450"/>
      <c r="I684" s="1450"/>
      <c r="J684" s="1450"/>
      <c r="K684" s="1450"/>
      <c r="L684" s="8"/>
      <c r="M684"/>
      <c r="N684"/>
      <c r="O684"/>
      <c r="R684" s="175" t="str">
        <f ca="1">IFERROR(OFFSET('4.2民生電力需要量'!$I$1,MATCH($D682,'4.2民生電力需要量'!$E:$E,0)-1,0),"")</f>
        <v/>
      </c>
      <c r="S684" s="175"/>
      <c r="T684" s="175"/>
      <c r="U684" s="175"/>
      <c r="V684" s="175"/>
      <c r="W684" s="175"/>
      <c r="X684" s="175"/>
      <c r="Y684" s="175"/>
      <c r="Z684" s="175"/>
      <c r="AA684" s="175"/>
      <c r="AB684" s="175">
        <f t="shared" ref="AB684:AB685" ca="1" si="361">(F684=R684)*1</f>
        <v>1</v>
      </c>
    </row>
    <row r="685" spans="1:28">
      <c r="B685" s="7"/>
      <c r="C685" s="74"/>
      <c r="D685" s="66"/>
      <c r="E685" s="72" t="s">
        <v>175</v>
      </c>
      <c r="F685" s="1451" t="str">
        <f>_xlfn.IFNA(R685,"")</f>
        <v/>
      </c>
      <c r="G685" s="1451"/>
      <c r="H685" s="1451"/>
      <c r="I685" s="1451"/>
      <c r="J685" s="1451"/>
      <c r="K685" s="1451"/>
      <c r="L685" s="8"/>
      <c r="M685"/>
      <c r="N685"/>
      <c r="O685"/>
      <c r="R685" s="215" t="str">
        <f>IF(PRODUCT($Z687:$Z691)=1,AA687,"")</f>
        <v/>
      </c>
      <c r="S685" s="175"/>
      <c r="T685" s="175"/>
      <c r="U685" s="175"/>
      <c r="V685" s="175"/>
      <c r="W685" s="175"/>
      <c r="X685" s="175"/>
      <c r="Y685" s="175"/>
      <c r="Z685" s="175"/>
      <c r="AA685" s="175"/>
      <c r="AB685" s="175">
        <f t="shared" si="361"/>
        <v>1</v>
      </c>
    </row>
    <row r="686" spans="1:28" s="2" customFormat="1" ht="60">
      <c r="A686"/>
      <c r="B686" s="7"/>
      <c r="C686" s="74"/>
      <c r="D686" s="66"/>
      <c r="E686" s="306"/>
      <c r="F686" s="312" t="s">
        <v>299</v>
      </c>
      <c r="G686" s="313" t="s">
        <v>300</v>
      </c>
      <c r="H686" s="313" t="s">
        <v>301</v>
      </c>
      <c r="I686" s="313" t="s">
        <v>302</v>
      </c>
      <c r="J686" s="313" t="s">
        <v>429</v>
      </c>
      <c r="K686" s="313" t="s">
        <v>270</v>
      </c>
      <c r="L686" s="8"/>
      <c r="M686"/>
      <c r="P686"/>
      <c r="Q686"/>
      <c r="R686" s="294" t="s">
        <v>298</v>
      </c>
      <c r="S686" s="294" t="s">
        <v>299</v>
      </c>
      <c r="T686" s="314" t="s">
        <v>423</v>
      </c>
      <c r="U686" s="294" t="s">
        <v>424</v>
      </c>
      <c r="V686" s="294" t="s">
        <v>422</v>
      </c>
      <c r="W686" s="315" t="s">
        <v>270</v>
      </c>
      <c r="X686" s="294" t="s">
        <v>426</v>
      </c>
      <c r="Y686" s="215" t="s">
        <v>402</v>
      </c>
      <c r="Z686" s="215" t="s">
        <v>430</v>
      </c>
      <c r="AA686" s="294" t="s">
        <v>425</v>
      </c>
      <c r="AB686" s="294"/>
    </row>
    <row r="687" spans="1:28" s="99" customFormat="1" ht="18.75" hidden="1" customHeight="1">
      <c r="A687" s="11"/>
      <c r="B687" s="95"/>
      <c r="C687" s="96"/>
      <c r="D687" s="97"/>
      <c r="E687" s="438"/>
      <c r="F687" s="439"/>
      <c r="G687" s="439"/>
      <c r="H687" s="439"/>
      <c r="I687" s="439"/>
      <c r="J687" s="439"/>
      <c r="K687" s="439"/>
      <c r="L687" s="98"/>
      <c r="M687" s="11"/>
      <c r="Q687" s="11"/>
      <c r="R687" s="129">
        <f>IF(E687="地区代表者",COUNTA($D$1:$D687),0)</f>
        <v>0</v>
      </c>
      <c r="S687" s="129">
        <f t="shared" ref="S687:S688" si="362">IF(F687="実施済",1,0)</f>
        <v>0</v>
      </c>
      <c r="T687" s="258"/>
      <c r="U687" s="129">
        <f t="shared" ref="U687:U688" si="363">IF(AND(H687="実施済",I687="実施済"),S687*1,0)</f>
        <v>0</v>
      </c>
      <c r="V687" s="129">
        <f>IF(J687="実施済",$U687*1,0)</f>
        <v>0</v>
      </c>
      <c r="W687" s="258"/>
      <c r="X687" s="129" t="str">
        <f>IF(E687="","",IF(R687*S687&gt;0,3,SUM(S687,U687,V687)))</f>
        <v/>
      </c>
      <c r="Y687" s="129">
        <f>MIN($X$687:$X$691)+1</f>
        <v>1</v>
      </c>
      <c r="Z687" s="129">
        <f>IF(E687="",1,IF(R687&gt;0,IF(COUNTA($F687:$K687)=2,1,0),IF(COUNTA($F687:$K687)=6,1,0)))</f>
        <v>1</v>
      </c>
      <c r="AA687" s="129" t="str" cm="1">
        <f t="array" ref="AA687">_xlfn.IFS(Y687=4,"A",Y687=3,"B",Y687=2,"C",Y687=1,"D")</f>
        <v>D</v>
      </c>
      <c r="AB687" s="129" t="str" cm="1">
        <f t="array" ref="AB687">_xlfn.IFS(Z687=4,"A",Z687=3,"B",Z687=2,"C",Z687=1,"D")</f>
        <v>D</v>
      </c>
    </row>
    <row r="688" spans="1:28" s="99" customFormat="1" ht="18.75" customHeight="1">
      <c r="A688" s="11"/>
      <c r="B688" s="95"/>
      <c r="C688" s="96"/>
      <c r="D688" s="97"/>
      <c r="E688" s="440" t="s">
        <v>298</v>
      </c>
      <c r="F688" s="441"/>
      <c r="G688" s="839"/>
      <c r="H688" s="839"/>
      <c r="I688" s="839"/>
      <c r="J688" s="839"/>
      <c r="K688" s="441"/>
      <c r="L688" s="98"/>
      <c r="M688" s="11"/>
      <c r="Q688" s="11"/>
      <c r="R688" s="129">
        <f>IF(E688="地区代表者",COUNTA($D$1:$D688),0)</f>
        <v>46</v>
      </c>
      <c r="S688" s="129">
        <f t="shared" si="362"/>
        <v>0</v>
      </c>
      <c r="T688" s="258"/>
      <c r="U688" s="129">
        <f t="shared" si="363"/>
        <v>0</v>
      </c>
      <c r="V688" s="129">
        <f>IF(J688="実施済",$U688*1,0)</f>
        <v>0</v>
      </c>
      <c r="W688" s="258"/>
      <c r="X688" s="129">
        <f t="shared" ref="X688:X691" si="364">IF(E688="","",IF(R688*S688&gt;0,3,SUM(S688,U688,V688)))</f>
        <v>0</v>
      </c>
      <c r="Y688" s="129">
        <f>MIN($X$687:$X$691)+1</f>
        <v>1</v>
      </c>
      <c r="Z688" s="129">
        <f t="shared" ref="Z688:Z691" si="365">IF(E688="",1,IF(R688&gt;0,IF(COUNTA($F688:$K688)=2,1,0),IF(COUNTA($F688:$K688)=6,1,0)))</f>
        <v>0</v>
      </c>
      <c r="AA688" s="129" t="str" cm="1">
        <f t="array" ref="AA688">_xlfn.IFS(Y688=4,"A",Y688=3,"B",Y688=2,"C",Y688=1,"D")</f>
        <v>D</v>
      </c>
      <c r="AB688" s="129"/>
    </row>
    <row r="689" spans="1:28" s="99" customFormat="1" ht="18.75" customHeight="1">
      <c r="A689" s="11"/>
      <c r="B689" s="95"/>
      <c r="C689" s="96"/>
      <c r="D689" s="97"/>
      <c r="E689" s="440" t="s">
        <v>116</v>
      </c>
      <c r="F689" s="441"/>
      <c r="G689" s="441"/>
      <c r="H689" s="441"/>
      <c r="I689" s="441"/>
      <c r="J689" s="441"/>
      <c r="K689" s="441"/>
      <c r="L689" s="98"/>
      <c r="M689" s="11"/>
      <c r="P689" s="11"/>
      <c r="Q689" s="11"/>
      <c r="R689" s="129">
        <f>IF(E689="地区代表者",COUNTA($D$1:$D689),0)</f>
        <v>0</v>
      </c>
      <c r="S689" s="129">
        <f>IF(F689="実施済",1,0)</f>
        <v>0</v>
      </c>
      <c r="T689" s="258"/>
      <c r="U689" s="129">
        <f>IF(AND(H689="実施済",I689="実施済"),S689*1,0)</f>
        <v>0</v>
      </c>
      <c r="V689" s="129">
        <f>IF(J689="実施済",$U689*1,0)</f>
        <v>0</v>
      </c>
      <c r="W689" s="258"/>
      <c r="X689" s="129">
        <f t="shared" si="364"/>
        <v>0</v>
      </c>
      <c r="Y689" s="129">
        <f>MIN($X$687:$X$691)+1</f>
        <v>1</v>
      </c>
      <c r="Z689" s="129">
        <f t="shared" si="365"/>
        <v>0</v>
      </c>
      <c r="AA689" s="129" t="str" cm="1">
        <f t="array" ref="AA689">_xlfn.IFS(Y689=4,"A",Y689=3,"B",Y689=2,"C",Y689=1,"D")</f>
        <v>D</v>
      </c>
      <c r="AB689" s="129"/>
    </row>
    <row r="690" spans="1:28" s="2" customFormat="1" ht="9" customHeight="1">
      <c r="A690"/>
      <c r="B690" s="65"/>
      <c r="C690" s="4"/>
      <c r="D690" s="307"/>
      <c r="E690" s="308"/>
      <c r="F690" s="308"/>
      <c r="G690" s="308"/>
      <c r="H690" s="308"/>
      <c r="I690" s="308"/>
      <c r="J690" s="308"/>
      <c r="K690" s="308"/>
      <c r="L690" s="9"/>
      <c r="M690"/>
      <c r="P690"/>
      <c r="Q690"/>
      <c r="R690" s="215">
        <f>IF(E690="地区代表者",COUNTA($D$1:$D690),0)</f>
        <v>0</v>
      </c>
      <c r="S690" s="215">
        <f t="shared" ref="S690:S691" si="366">IF(F690="実施済",1,0)</f>
        <v>0</v>
      </c>
      <c r="T690" s="316"/>
      <c r="U690" s="215">
        <f t="shared" ref="U690:U691" si="367">IF(AND(H690="実施済",I690="実施済"),S690*1,0)</f>
        <v>0</v>
      </c>
      <c r="V690" s="215">
        <f t="shared" ref="V690:V691" si="368">IF(J690="実施済",$U690*1,0)</f>
        <v>0</v>
      </c>
      <c r="W690" s="316"/>
      <c r="X690" s="215" t="str">
        <f t="shared" si="364"/>
        <v/>
      </c>
      <c r="Y690" s="215">
        <f>MIN($X$687:$X$691)+1</f>
        <v>1</v>
      </c>
      <c r="Z690" s="215">
        <f t="shared" si="365"/>
        <v>1</v>
      </c>
      <c r="AA690" s="215" t="str" cm="1">
        <f t="array" ref="AA690">_xlfn.IFS(Y690=4,"A",Y690=3,"B",Y690=2,"C",Y690=1,"D")</f>
        <v>D</v>
      </c>
      <c r="AB690" s="215"/>
    </row>
    <row r="691" spans="1:28" s="2" customFormat="1" ht="6" customHeight="1">
      <c r="A691"/>
      <c r="B691"/>
      <c r="C691"/>
      <c r="D691" s="309"/>
      <c r="E691" s="310"/>
      <c r="F691" s="310"/>
      <c r="G691" s="310"/>
      <c r="H691" s="310"/>
      <c r="I691" s="310"/>
      <c r="J691" s="310"/>
      <c r="K691" s="310"/>
      <c r="L691"/>
      <c r="M691"/>
      <c r="P691"/>
      <c r="Q691"/>
      <c r="R691" s="215">
        <f>IF(E691="地区代表者",COUNTA($D$1:$D691),0)</f>
        <v>0</v>
      </c>
      <c r="S691" s="215">
        <f t="shared" si="366"/>
        <v>0</v>
      </c>
      <c r="T691" s="316"/>
      <c r="U691" s="215">
        <f t="shared" si="367"/>
        <v>0</v>
      </c>
      <c r="V691" s="215">
        <f t="shared" si="368"/>
        <v>0</v>
      </c>
      <c r="W691" s="316"/>
      <c r="X691" s="215" t="str">
        <f t="shared" si="364"/>
        <v/>
      </c>
      <c r="Y691" s="215">
        <f>MIN($X$687:$X$691)+1</f>
        <v>1</v>
      </c>
      <c r="Z691" s="215">
        <f t="shared" si="365"/>
        <v>1</v>
      </c>
      <c r="AA691" s="215" t="str" cm="1">
        <f t="array" ref="AA691">_xlfn.IFS(Y691=4,"A",Y691=3,"B",Y691=2,"C",Y691=1,"D")</f>
        <v>D</v>
      </c>
      <c r="AB691" s="215"/>
    </row>
    <row r="692" spans="1:28" ht="96" customHeight="1">
      <c r="C692" s="78"/>
      <c r="D692" s="79"/>
      <c r="E692" s="72" t="s">
        <v>236</v>
      </c>
      <c r="F692" s="1452"/>
      <c r="G692" s="1452"/>
      <c r="H692" s="1452"/>
      <c r="I692" s="1452"/>
      <c r="J692" s="1452"/>
      <c r="K692" s="1452"/>
      <c r="L692" s="80" t="s">
        <v>132</v>
      </c>
      <c r="M692" s="290"/>
    </row>
    <row r="693" spans="1:28" ht="96" customHeight="1">
      <c r="C693" s="75"/>
      <c r="D693" s="68"/>
      <c r="E693" s="72" t="s">
        <v>237</v>
      </c>
      <c r="F693" s="1452"/>
      <c r="G693" s="1452"/>
      <c r="H693" s="1452"/>
      <c r="I693" s="1452"/>
      <c r="J693" s="1452"/>
      <c r="K693" s="1452"/>
    </row>
    <row r="694" spans="1:28" ht="18.5" thickBot="1">
      <c r="A694" s="81"/>
      <c r="B694" s="81"/>
      <c r="C694" s="81"/>
      <c r="D694" s="81"/>
      <c r="E694" s="311"/>
      <c r="F694" s="81"/>
      <c r="G694" s="81"/>
      <c r="H694" s="81"/>
      <c r="I694" s="81"/>
      <c r="J694" s="81"/>
      <c r="K694" s="81"/>
      <c r="L694" s="81"/>
      <c r="M694" s="82"/>
    </row>
    <row r="696" spans="1:28" ht="9" customHeight="1">
      <c r="B696" s="10"/>
      <c r="C696" s="5"/>
      <c r="D696" s="5"/>
      <c r="E696" s="305"/>
      <c r="F696" s="5"/>
      <c r="G696" s="5"/>
      <c r="H696" s="5"/>
      <c r="I696" s="5"/>
      <c r="J696" s="5"/>
      <c r="K696" s="5"/>
      <c r="L696" s="6"/>
      <c r="M696"/>
      <c r="N696"/>
      <c r="O696"/>
      <c r="R696" t="str">
        <f>D697</f>
        <v>(選択してください)</v>
      </c>
    </row>
    <row r="697" spans="1:28">
      <c r="B697" s="7"/>
      <c r="C697" s="77" t="str">
        <f ca="1">IFERROR(OFFSET('4.2民生電力需要量'!$C$1,MATCH(D697,'4.2民生電力需要量'!$E:$E,0)-1,0),"")</f>
        <v/>
      </c>
      <c r="D697" s="94" t="s">
        <v>130</v>
      </c>
      <c r="E697" s="72" t="s">
        <v>131</v>
      </c>
      <c r="F697" s="1446" t="str">
        <f ca="1">IFERROR(OFFSET('4.2民生電力需要量'!$G$1,MATCH($D697,'4.2民生電力需要量'!$E:$E,0)-1,0),"")</f>
        <v/>
      </c>
      <c r="G697" s="1446"/>
      <c r="H697" s="1446"/>
      <c r="I697" s="1446"/>
      <c r="J697" s="1446"/>
      <c r="K697" s="1446"/>
      <c r="L697" s="8"/>
      <c r="M697"/>
      <c r="N697"/>
      <c r="O697"/>
      <c r="R697" s="175" t="str">
        <f ca="1">IFERROR(OFFSET('4.2民生電力需要量'!$G$1,MATCH($D697,'4.2民生電力需要量'!$E:$E,0)-1,0),"")</f>
        <v/>
      </c>
      <c r="S697" s="175"/>
      <c r="T697" s="175"/>
      <c r="U697" s="175"/>
      <c r="V697" s="175"/>
      <c r="W697" s="175"/>
      <c r="X697" s="175"/>
      <c r="Y697" s="175"/>
      <c r="Z697" s="175"/>
      <c r="AA697" s="175"/>
      <c r="AB697" s="175">
        <f ca="1">(F697=R697)*1</f>
        <v>1</v>
      </c>
    </row>
    <row r="698" spans="1:28">
      <c r="B698" s="7"/>
      <c r="C698" s="915"/>
      <c r="D698" s="97"/>
      <c r="E698" s="72" t="s">
        <v>612</v>
      </c>
      <c r="F698" s="1447" t="str">
        <f ca="1">IFERROR(OFFSET('4.2民生電力需要量'!$L$1,MATCH($D697,'4.2民生電力需要量'!$E:$E,0)-1,0),"")</f>
        <v/>
      </c>
      <c r="G698" s="1448"/>
      <c r="H698" s="1448"/>
      <c r="I698" s="1448"/>
      <c r="J698" s="1448"/>
      <c r="K698" s="1449"/>
      <c r="L698" s="8"/>
      <c r="M698"/>
      <c r="N698"/>
      <c r="O698"/>
      <c r="R698" s="175" t="str">
        <f ca="1">IFERROR(OFFSET('4.2民生電力需要量'!$L$1,MATCH($D697,'4.2民生電力需要量'!$E:$E,0)-1,0),"")</f>
        <v/>
      </c>
      <c r="S698" s="175"/>
      <c r="T698" s="175"/>
      <c r="U698" s="175"/>
      <c r="V698" s="175"/>
      <c r="W698" s="175"/>
      <c r="X698" s="175"/>
      <c r="Y698" s="175"/>
      <c r="Z698" s="175"/>
      <c r="AA698" s="175"/>
      <c r="AB698" s="175">
        <f ca="1">(F698=R698)*1</f>
        <v>1</v>
      </c>
    </row>
    <row r="699" spans="1:28">
      <c r="B699" s="7"/>
      <c r="C699" s="74"/>
      <c r="D699" s="66"/>
      <c r="E699" s="72" t="s">
        <v>220</v>
      </c>
      <c r="F699" s="1450" t="str">
        <f ca="1">IFERROR(OFFSET('4.2民生電力需要量'!$I$1,MATCH($D697,'4.2民生電力需要量'!$E:$E,0)-1,0),"")</f>
        <v/>
      </c>
      <c r="G699" s="1450"/>
      <c r="H699" s="1450"/>
      <c r="I699" s="1450"/>
      <c r="J699" s="1450"/>
      <c r="K699" s="1450"/>
      <c r="L699" s="8"/>
      <c r="M699"/>
      <c r="N699"/>
      <c r="O699"/>
      <c r="R699" s="175" t="str">
        <f ca="1">IFERROR(OFFSET('4.2民生電力需要量'!$I$1,MATCH($D697,'4.2民生電力需要量'!$E:$E,0)-1,0),"")</f>
        <v/>
      </c>
      <c r="S699" s="175"/>
      <c r="T699" s="175"/>
      <c r="U699" s="175"/>
      <c r="V699" s="175"/>
      <c r="W699" s="175"/>
      <c r="X699" s="175"/>
      <c r="Y699" s="175"/>
      <c r="Z699" s="175"/>
      <c r="AA699" s="175"/>
      <c r="AB699" s="175">
        <f t="shared" ref="AB699:AB700" ca="1" si="369">(F699=R699)*1</f>
        <v>1</v>
      </c>
    </row>
    <row r="700" spans="1:28">
      <c r="B700" s="7"/>
      <c r="C700" s="74"/>
      <c r="D700" s="66"/>
      <c r="E700" s="72" t="s">
        <v>175</v>
      </c>
      <c r="F700" s="1451" t="str">
        <f>_xlfn.IFNA(R700,"")</f>
        <v/>
      </c>
      <c r="G700" s="1451"/>
      <c r="H700" s="1451"/>
      <c r="I700" s="1451"/>
      <c r="J700" s="1451"/>
      <c r="K700" s="1451"/>
      <c r="L700" s="8"/>
      <c r="M700"/>
      <c r="N700"/>
      <c r="O700"/>
      <c r="R700" s="215" t="str">
        <f>IF(PRODUCT($Z702:$Z706)=1,AA702,"")</f>
        <v/>
      </c>
      <c r="S700" s="175"/>
      <c r="T700" s="175"/>
      <c r="U700" s="175"/>
      <c r="V700" s="175"/>
      <c r="W700" s="175"/>
      <c r="X700" s="175"/>
      <c r="Y700" s="175"/>
      <c r="Z700" s="175"/>
      <c r="AA700" s="175"/>
      <c r="AB700" s="175">
        <f t="shared" si="369"/>
        <v>1</v>
      </c>
    </row>
    <row r="701" spans="1:28" s="2" customFormat="1" ht="60">
      <c r="A701"/>
      <c r="B701" s="7"/>
      <c r="C701" s="74"/>
      <c r="D701" s="66"/>
      <c r="E701" s="306"/>
      <c r="F701" s="312" t="s">
        <v>299</v>
      </c>
      <c r="G701" s="313" t="s">
        <v>300</v>
      </c>
      <c r="H701" s="313" t="s">
        <v>301</v>
      </c>
      <c r="I701" s="313" t="s">
        <v>302</v>
      </c>
      <c r="J701" s="313" t="s">
        <v>429</v>
      </c>
      <c r="K701" s="313" t="s">
        <v>270</v>
      </c>
      <c r="L701" s="8"/>
      <c r="M701"/>
      <c r="P701"/>
      <c r="Q701"/>
      <c r="R701" s="294" t="s">
        <v>298</v>
      </c>
      <c r="S701" s="294" t="s">
        <v>299</v>
      </c>
      <c r="T701" s="314" t="s">
        <v>423</v>
      </c>
      <c r="U701" s="294" t="s">
        <v>424</v>
      </c>
      <c r="V701" s="294" t="s">
        <v>422</v>
      </c>
      <c r="W701" s="315" t="s">
        <v>270</v>
      </c>
      <c r="X701" s="294" t="s">
        <v>426</v>
      </c>
      <c r="Y701" s="215" t="s">
        <v>402</v>
      </c>
      <c r="Z701" s="215" t="s">
        <v>430</v>
      </c>
      <c r="AA701" s="294" t="s">
        <v>425</v>
      </c>
      <c r="AB701" s="294"/>
    </row>
    <row r="702" spans="1:28" s="99" customFormat="1" ht="18.75" hidden="1" customHeight="1">
      <c r="A702" s="11"/>
      <c r="B702" s="95"/>
      <c r="C702" s="96"/>
      <c r="D702" s="97"/>
      <c r="E702" s="438"/>
      <c r="F702" s="439"/>
      <c r="G702" s="439"/>
      <c r="H702" s="439"/>
      <c r="I702" s="439"/>
      <c r="J702" s="439"/>
      <c r="K702" s="439"/>
      <c r="L702" s="98"/>
      <c r="M702" s="11"/>
      <c r="Q702" s="11"/>
      <c r="R702" s="129">
        <f>IF(E702="地区代表者",COUNTA($D$1:$D702),0)</f>
        <v>0</v>
      </c>
      <c r="S702" s="129">
        <f t="shared" ref="S702:S703" si="370">IF(F702="実施済",1,0)</f>
        <v>0</v>
      </c>
      <c r="T702" s="258"/>
      <c r="U702" s="129">
        <f t="shared" ref="U702:U703" si="371">IF(AND(H702="実施済",I702="実施済"),S702*1,0)</f>
        <v>0</v>
      </c>
      <c r="V702" s="129">
        <f>IF(J702="実施済",$U702*1,0)</f>
        <v>0</v>
      </c>
      <c r="W702" s="258"/>
      <c r="X702" s="129" t="str">
        <f>IF(E702="","",IF(R702*S702&gt;0,3,SUM(S702,U702,V702)))</f>
        <v/>
      </c>
      <c r="Y702" s="129">
        <f>MIN($X$702:$X$706)+1</f>
        <v>1</v>
      </c>
      <c r="Z702" s="129">
        <f>IF(E702="",1,IF(R702&gt;0,IF(COUNTA($F702:$K702)=2,1,0),IF(COUNTA($F702:$K702)=6,1,0)))</f>
        <v>1</v>
      </c>
      <c r="AA702" s="129" t="str" cm="1">
        <f t="array" ref="AA702">_xlfn.IFS(Y702=4,"A",Y702=3,"B",Y702=2,"C",Y702=1,"D")</f>
        <v>D</v>
      </c>
      <c r="AB702" s="129" t="str" cm="1">
        <f t="array" ref="AB702">_xlfn.IFS(Z702=4,"A",Z702=3,"B",Z702=2,"C",Z702=1,"D")</f>
        <v>D</v>
      </c>
    </row>
    <row r="703" spans="1:28" s="99" customFormat="1" ht="18.75" customHeight="1">
      <c r="A703" s="11"/>
      <c r="B703" s="95"/>
      <c r="C703" s="96"/>
      <c r="D703" s="97"/>
      <c r="E703" s="440" t="s">
        <v>298</v>
      </c>
      <c r="F703" s="441"/>
      <c r="G703" s="839"/>
      <c r="H703" s="839"/>
      <c r="I703" s="839"/>
      <c r="J703" s="839"/>
      <c r="K703" s="441"/>
      <c r="L703" s="98"/>
      <c r="M703" s="11"/>
      <c r="Q703" s="11"/>
      <c r="R703" s="129">
        <f>IF(E703="地区代表者",COUNTA($D$1:$D703),0)</f>
        <v>47</v>
      </c>
      <c r="S703" s="129">
        <f t="shared" si="370"/>
        <v>0</v>
      </c>
      <c r="T703" s="258"/>
      <c r="U703" s="129">
        <f t="shared" si="371"/>
        <v>0</v>
      </c>
      <c r="V703" s="129">
        <f>IF(J703="実施済",$U703*1,0)</f>
        <v>0</v>
      </c>
      <c r="W703" s="258"/>
      <c r="X703" s="129">
        <f t="shared" ref="X703:X706" si="372">IF(E703="","",IF(R703*S703&gt;0,3,SUM(S703,U703,V703)))</f>
        <v>0</v>
      </c>
      <c r="Y703" s="129">
        <f>MIN($X$702:$X$706)+1</f>
        <v>1</v>
      </c>
      <c r="Z703" s="129">
        <f t="shared" ref="Z703:Z706" si="373">IF(E703="",1,IF(R703&gt;0,IF(COUNTA($F703:$K703)=2,1,0),IF(COUNTA($F703:$K703)=6,1,0)))</f>
        <v>0</v>
      </c>
      <c r="AA703" s="129" t="str" cm="1">
        <f t="array" ref="AA703">_xlfn.IFS(Y703=4,"A",Y703=3,"B",Y703=2,"C",Y703=1,"D")</f>
        <v>D</v>
      </c>
      <c r="AB703" s="129"/>
    </row>
    <row r="704" spans="1:28" s="99" customFormat="1" ht="18.75" customHeight="1">
      <c r="A704" s="11"/>
      <c r="B704" s="95"/>
      <c r="C704" s="96"/>
      <c r="D704" s="97"/>
      <c r="E704" s="440" t="s">
        <v>116</v>
      </c>
      <c r="F704" s="441"/>
      <c r="G704" s="441"/>
      <c r="H704" s="441"/>
      <c r="I704" s="441"/>
      <c r="J704" s="441"/>
      <c r="K704" s="441"/>
      <c r="L704" s="98"/>
      <c r="M704" s="11"/>
      <c r="P704" s="11"/>
      <c r="Q704" s="11"/>
      <c r="R704" s="129">
        <f>IF(E704="地区代表者",COUNTA($D$1:$D704),0)</f>
        <v>0</v>
      </c>
      <c r="S704" s="129">
        <f>IF(F704="実施済",1,0)</f>
        <v>0</v>
      </c>
      <c r="T704" s="258"/>
      <c r="U704" s="129">
        <f>IF(AND(H704="実施済",I704="実施済"),S704*1,0)</f>
        <v>0</v>
      </c>
      <c r="V704" s="129">
        <f>IF(J704="実施済",$U704*1,0)</f>
        <v>0</v>
      </c>
      <c r="W704" s="258"/>
      <c r="X704" s="129">
        <f t="shared" si="372"/>
        <v>0</v>
      </c>
      <c r="Y704" s="129">
        <f>MIN($X$702:$X$706)+1</f>
        <v>1</v>
      </c>
      <c r="Z704" s="129">
        <f t="shared" si="373"/>
        <v>0</v>
      </c>
      <c r="AA704" s="129" t="str" cm="1">
        <f t="array" ref="AA704">_xlfn.IFS(Y704=4,"A",Y704=3,"B",Y704=2,"C",Y704=1,"D")</f>
        <v>D</v>
      </c>
      <c r="AB704" s="129"/>
    </row>
    <row r="705" spans="1:28" s="2" customFormat="1" ht="9" customHeight="1">
      <c r="A705"/>
      <c r="B705" s="65"/>
      <c r="C705" s="4"/>
      <c r="D705" s="307"/>
      <c r="E705" s="308"/>
      <c r="F705" s="308"/>
      <c r="G705" s="308"/>
      <c r="H705" s="308"/>
      <c r="I705" s="308"/>
      <c r="J705" s="308"/>
      <c r="K705" s="308"/>
      <c r="L705" s="9"/>
      <c r="M705"/>
      <c r="P705"/>
      <c r="Q705"/>
      <c r="R705" s="215">
        <f>IF(E705="地区代表者",COUNTA($D$1:$D705),0)</f>
        <v>0</v>
      </c>
      <c r="S705" s="215">
        <f t="shared" ref="S705:S706" si="374">IF(F705="実施済",1,0)</f>
        <v>0</v>
      </c>
      <c r="T705" s="316"/>
      <c r="U705" s="215">
        <f t="shared" ref="U705:U706" si="375">IF(AND(H705="実施済",I705="実施済"),S705*1,0)</f>
        <v>0</v>
      </c>
      <c r="V705" s="215">
        <f t="shared" ref="V705:V706" si="376">IF(J705="実施済",$U705*1,0)</f>
        <v>0</v>
      </c>
      <c r="W705" s="316"/>
      <c r="X705" s="215" t="str">
        <f t="shared" si="372"/>
        <v/>
      </c>
      <c r="Y705" s="215">
        <f>MIN($X$702:$X$706)+1</f>
        <v>1</v>
      </c>
      <c r="Z705" s="215">
        <f t="shared" si="373"/>
        <v>1</v>
      </c>
      <c r="AA705" s="215" t="str" cm="1">
        <f t="array" ref="AA705">_xlfn.IFS(Y705=4,"A",Y705=3,"B",Y705=2,"C",Y705=1,"D")</f>
        <v>D</v>
      </c>
      <c r="AB705" s="215"/>
    </row>
    <row r="706" spans="1:28" s="2" customFormat="1" ht="6" customHeight="1">
      <c r="A706"/>
      <c r="B706"/>
      <c r="C706"/>
      <c r="D706" s="309"/>
      <c r="E706" s="310"/>
      <c r="F706" s="310"/>
      <c r="G706" s="310"/>
      <c r="H706" s="310"/>
      <c r="I706" s="310"/>
      <c r="J706" s="310"/>
      <c r="K706" s="310"/>
      <c r="L706"/>
      <c r="M706"/>
      <c r="P706"/>
      <c r="Q706"/>
      <c r="R706" s="215">
        <f>IF(E706="地区代表者",COUNTA($D$1:$D706),0)</f>
        <v>0</v>
      </c>
      <c r="S706" s="215">
        <f t="shared" si="374"/>
        <v>0</v>
      </c>
      <c r="T706" s="316"/>
      <c r="U706" s="215">
        <f t="shared" si="375"/>
        <v>0</v>
      </c>
      <c r="V706" s="215">
        <f t="shared" si="376"/>
        <v>0</v>
      </c>
      <c r="W706" s="316"/>
      <c r="X706" s="215" t="str">
        <f t="shared" si="372"/>
        <v/>
      </c>
      <c r="Y706" s="215">
        <f>MIN($X$702:$X$706)+1</f>
        <v>1</v>
      </c>
      <c r="Z706" s="215">
        <f t="shared" si="373"/>
        <v>1</v>
      </c>
      <c r="AA706" s="215" t="str" cm="1">
        <f t="array" ref="AA706">_xlfn.IFS(Y706=4,"A",Y706=3,"B",Y706=2,"C",Y706=1,"D")</f>
        <v>D</v>
      </c>
      <c r="AB706" s="215"/>
    </row>
    <row r="707" spans="1:28" ht="96" customHeight="1">
      <c r="C707" s="78"/>
      <c r="D707" s="79"/>
      <c r="E707" s="72" t="s">
        <v>236</v>
      </c>
      <c r="F707" s="1452"/>
      <c r="G707" s="1452"/>
      <c r="H707" s="1452"/>
      <c r="I707" s="1452"/>
      <c r="J707" s="1452"/>
      <c r="K707" s="1452"/>
      <c r="L707" s="80" t="s">
        <v>132</v>
      </c>
      <c r="M707" s="290"/>
    </row>
    <row r="708" spans="1:28" ht="96" customHeight="1">
      <c r="C708" s="75"/>
      <c r="D708" s="68"/>
      <c r="E708" s="72" t="s">
        <v>237</v>
      </c>
      <c r="F708" s="1452"/>
      <c r="G708" s="1452"/>
      <c r="H708" s="1452"/>
      <c r="I708" s="1452"/>
      <c r="J708" s="1452"/>
      <c r="K708" s="1452"/>
    </row>
    <row r="709" spans="1:28" ht="18.5" thickBot="1">
      <c r="A709" s="81"/>
      <c r="B709" s="81"/>
      <c r="C709" s="81"/>
      <c r="D709" s="81"/>
      <c r="E709" s="311"/>
      <c r="F709" s="81"/>
      <c r="G709" s="81"/>
      <c r="H709" s="81"/>
      <c r="I709" s="81"/>
      <c r="J709" s="81"/>
      <c r="K709" s="81"/>
      <c r="L709" s="81"/>
      <c r="M709" s="82"/>
    </row>
    <row r="711" spans="1:28" ht="9" customHeight="1">
      <c r="B711" s="10"/>
      <c r="C711" s="5"/>
      <c r="D711" s="5"/>
      <c r="E711" s="305"/>
      <c r="F711" s="5"/>
      <c r="G711" s="5"/>
      <c r="H711" s="5"/>
      <c r="I711" s="5"/>
      <c r="J711" s="5"/>
      <c r="K711" s="5"/>
      <c r="L711" s="6"/>
      <c r="M711"/>
      <c r="N711"/>
      <c r="O711"/>
      <c r="R711" t="str">
        <f>D712</f>
        <v>(選択してください)</v>
      </c>
    </row>
    <row r="712" spans="1:28">
      <c r="B712" s="7"/>
      <c r="C712" s="77" t="str">
        <f ca="1">IFERROR(OFFSET('4.2民生電力需要量'!$C$1,MATCH(D712,'4.2民生電力需要量'!$E:$E,0)-1,0),"")</f>
        <v/>
      </c>
      <c r="D712" s="94" t="s">
        <v>130</v>
      </c>
      <c r="E712" s="72" t="s">
        <v>131</v>
      </c>
      <c r="F712" s="1446" t="str">
        <f ca="1">IFERROR(OFFSET('4.2民生電力需要量'!$G$1,MATCH($D712,'4.2民生電力需要量'!$E:$E,0)-1,0),"")</f>
        <v/>
      </c>
      <c r="G712" s="1446"/>
      <c r="H712" s="1446"/>
      <c r="I712" s="1446"/>
      <c r="J712" s="1446"/>
      <c r="K712" s="1446"/>
      <c r="L712" s="8"/>
      <c r="M712"/>
      <c r="N712"/>
      <c r="O712"/>
      <c r="R712" s="175" t="str">
        <f ca="1">IFERROR(OFFSET('4.2民生電力需要量'!$G$1,MATCH($D712,'4.2民生電力需要量'!$E:$E,0)-1,0),"")</f>
        <v/>
      </c>
      <c r="S712" s="175"/>
      <c r="T712" s="175"/>
      <c r="U712" s="175"/>
      <c r="V712" s="175"/>
      <c r="W712" s="175"/>
      <c r="X712" s="175"/>
      <c r="Y712" s="175"/>
      <c r="Z712" s="175"/>
      <c r="AA712" s="175"/>
      <c r="AB712" s="175">
        <f ca="1">(F712=R712)*1</f>
        <v>1</v>
      </c>
    </row>
    <row r="713" spans="1:28">
      <c r="B713" s="7"/>
      <c r="C713" s="915"/>
      <c r="D713" s="97"/>
      <c r="E713" s="72" t="s">
        <v>612</v>
      </c>
      <c r="F713" s="1447" t="str">
        <f ca="1">IFERROR(OFFSET('4.2民生電力需要量'!$L$1,MATCH($D712,'4.2民生電力需要量'!$E:$E,0)-1,0),"")</f>
        <v/>
      </c>
      <c r="G713" s="1448"/>
      <c r="H713" s="1448"/>
      <c r="I713" s="1448"/>
      <c r="J713" s="1448"/>
      <c r="K713" s="1449"/>
      <c r="L713" s="8"/>
      <c r="M713"/>
      <c r="N713"/>
      <c r="O713"/>
      <c r="R713" s="175" t="str">
        <f ca="1">IFERROR(OFFSET('4.2民生電力需要量'!$L$1,MATCH($D712,'4.2民生電力需要量'!$E:$E,0)-1,0),"")</f>
        <v/>
      </c>
      <c r="S713" s="175"/>
      <c r="T713" s="175"/>
      <c r="U713" s="175"/>
      <c r="V713" s="175"/>
      <c r="W713" s="175"/>
      <c r="X713" s="175"/>
      <c r="Y713" s="175"/>
      <c r="Z713" s="175"/>
      <c r="AA713" s="175"/>
      <c r="AB713" s="175">
        <f ca="1">(F713=R713)*1</f>
        <v>1</v>
      </c>
    </row>
    <row r="714" spans="1:28">
      <c r="B714" s="7"/>
      <c r="C714" s="74"/>
      <c r="D714" s="66"/>
      <c r="E714" s="72" t="s">
        <v>220</v>
      </c>
      <c r="F714" s="1450" t="str">
        <f ca="1">IFERROR(OFFSET('4.2民生電力需要量'!$I$1,MATCH($D712,'4.2民生電力需要量'!$E:$E,0)-1,0),"")</f>
        <v/>
      </c>
      <c r="G714" s="1450"/>
      <c r="H714" s="1450"/>
      <c r="I714" s="1450"/>
      <c r="J714" s="1450"/>
      <c r="K714" s="1450"/>
      <c r="L714" s="8"/>
      <c r="M714"/>
      <c r="N714"/>
      <c r="O714"/>
      <c r="R714" s="175" t="str">
        <f ca="1">IFERROR(OFFSET('4.2民生電力需要量'!$I$1,MATCH($D712,'4.2民生電力需要量'!$E:$E,0)-1,0),"")</f>
        <v/>
      </c>
      <c r="S714" s="175"/>
      <c r="T714" s="175"/>
      <c r="U714" s="175"/>
      <c r="V714" s="175"/>
      <c r="W714" s="175"/>
      <c r="X714" s="175"/>
      <c r="Y714" s="175"/>
      <c r="Z714" s="175"/>
      <c r="AA714" s="175"/>
      <c r="AB714" s="175">
        <f t="shared" ref="AB714:AB715" ca="1" si="377">(F714=R714)*1</f>
        <v>1</v>
      </c>
    </row>
    <row r="715" spans="1:28">
      <c r="B715" s="7"/>
      <c r="C715" s="74"/>
      <c r="D715" s="66"/>
      <c r="E715" s="72" t="s">
        <v>175</v>
      </c>
      <c r="F715" s="1451" t="str">
        <f>_xlfn.IFNA(R715,"")</f>
        <v/>
      </c>
      <c r="G715" s="1451"/>
      <c r="H715" s="1451"/>
      <c r="I715" s="1451"/>
      <c r="J715" s="1451"/>
      <c r="K715" s="1451"/>
      <c r="L715" s="8"/>
      <c r="M715"/>
      <c r="N715"/>
      <c r="O715"/>
      <c r="R715" s="215" t="str">
        <f>IF(PRODUCT($Z717:$Z721)=1,AA717,"")</f>
        <v/>
      </c>
      <c r="S715" s="175"/>
      <c r="T715" s="175"/>
      <c r="U715" s="175"/>
      <c r="V715" s="175"/>
      <c r="W715" s="175"/>
      <c r="X715" s="175"/>
      <c r="Y715" s="175"/>
      <c r="Z715" s="175"/>
      <c r="AA715" s="175"/>
      <c r="AB715" s="175">
        <f t="shared" si="377"/>
        <v>1</v>
      </c>
    </row>
    <row r="716" spans="1:28" s="2" customFormat="1" ht="60">
      <c r="A716"/>
      <c r="B716" s="7"/>
      <c r="C716" s="74"/>
      <c r="D716" s="66"/>
      <c r="E716" s="306"/>
      <c r="F716" s="312" t="s">
        <v>299</v>
      </c>
      <c r="G716" s="313" t="s">
        <v>300</v>
      </c>
      <c r="H716" s="313" t="s">
        <v>301</v>
      </c>
      <c r="I716" s="313" t="s">
        <v>302</v>
      </c>
      <c r="J716" s="313" t="s">
        <v>429</v>
      </c>
      <c r="K716" s="313" t="s">
        <v>270</v>
      </c>
      <c r="L716" s="8"/>
      <c r="M716"/>
      <c r="P716"/>
      <c r="Q716"/>
      <c r="R716" s="294" t="s">
        <v>298</v>
      </c>
      <c r="S716" s="294" t="s">
        <v>299</v>
      </c>
      <c r="T716" s="314" t="s">
        <v>423</v>
      </c>
      <c r="U716" s="294" t="s">
        <v>424</v>
      </c>
      <c r="V716" s="294" t="s">
        <v>422</v>
      </c>
      <c r="W716" s="315" t="s">
        <v>270</v>
      </c>
      <c r="X716" s="294" t="s">
        <v>426</v>
      </c>
      <c r="Y716" s="215" t="s">
        <v>402</v>
      </c>
      <c r="Z716" s="215" t="s">
        <v>430</v>
      </c>
      <c r="AA716" s="294" t="s">
        <v>425</v>
      </c>
      <c r="AB716" s="294"/>
    </row>
    <row r="717" spans="1:28" s="99" customFormat="1" ht="18.75" hidden="1" customHeight="1">
      <c r="A717" s="11"/>
      <c r="B717" s="95"/>
      <c r="C717" s="96"/>
      <c r="D717" s="97"/>
      <c r="E717" s="438"/>
      <c r="F717" s="439"/>
      <c r="G717" s="439"/>
      <c r="H717" s="439"/>
      <c r="I717" s="439"/>
      <c r="J717" s="439"/>
      <c r="K717" s="439"/>
      <c r="L717" s="98"/>
      <c r="M717" s="11"/>
      <c r="Q717" s="11"/>
      <c r="R717" s="129">
        <f>IF(E717="地区代表者",COUNTA($D$1:$D717),0)</f>
        <v>0</v>
      </c>
      <c r="S717" s="129">
        <f t="shared" ref="S717:S718" si="378">IF(F717="実施済",1,0)</f>
        <v>0</v>
      </c>
      <c r="T717" s="258"/>
      <c r="U717" s="129">
        <f t="shared" ref="U717:U718" si="379">IF(AND(H717="実施済",I717="実施済"),S717*1,0)</f>
        <v>0</v>
      </c>
      <c r="V717" s="129">
        <f>IF(J717="実施済",$U717*1,0)</f>
        <v>0</v>
      </c>
      <c r="W717" s="258"/>
      <c r="X717" s="129" t="str">
        <f>IF(E717="","",IF(R717*S717&gt;0,3,SUM(S717,U717,V717)))</f>
        <v/>
      </c>
      <c r="Y717" s="129">
        <f>MIN($X$717:$X$721)+1</f>
        <v>1</v>
      </c>
      <c r="Z717" s="129">
        <f>IF(E717="",1,IF(R717&gt;0,IF(COUNTA($F717:$K717)=2,1,0),IF(COUNTA($F717:$K717)=6,1,0)))</f>
        <v>1</v>
      </c>
      <c r="AA717" s="129" t="str" cm="1">
        <f t="array" ref="AA717">_xlfn.IFS(Y717=4,"A",Y717=3,"B",Y717=2,"C",Y717=1,"D")</f>
        <v>D</v>
      </c>
      <c r="AB717" s="129" t="str" cm="1">
        <f t="array" ref="AB717">_xlfn.IFS(Z717=4,"A",Z717=3,"B",Z717=2,"C",Z717=1,"D")</f>
        <v>D</v>
      </c>
    </row>
    <row r="718" spans="1:28" s="99" customFormat="1" ht="18.75" customHeight="1">
      <c r="A718" s="11"/>
      <c r="B718" s="95"/>
      <c r="C718" s="96"/>
      <c r="D718" s="97"/>
      <c r="E718" s="440" t="s">
        <v>298</v>
      </c>
      <c r="F718" s="441"/>
      <c r="G718" s="839"/>
      <c r="H718" s="839"/>
      <c r="I718" s="839"/>
      <c r="J718" s="839"/>
      <c r="K718" s="441"/>
      <c r="L718" s="98"/>
      <c r="M718" s="11"/>
      <c r="Q718" s="11"/>
      <c r="R718" s="129">
        <f>IF(E718="地区代表者",COUNTA($D$1:$D718),0)</f>
        <v>48</v>
      </c>
      <c r="S718" s="129">
        <f t="shared" si="378"/>
        <v>0</v>
      </c>
      <c r="T718" s="258"/>
      <c r="U718" s="129">
        <f t="shared" si="379"/>
        <v>0</v>
      </c>
      <c r="V718" s="129">
        <f>IF(J718="実施済",$U718*1,0)</f>
        <v>0</v>
      </c>
      <c r="W718" s="258"/>
      <c r="X718" s="129">
        <f t="shared" ref="X718:X721" si="380">IF(E718="","",IF(R718*S718&gt;0,3,SUM(S718,U718,V718)))</f>
        <v>0</v>
      </c>
      <c r="Y718" s="129">
        <f>MIN($X$717:$X$721)+1</f>
        <v>1</v>
      </c>
      <c r="Z718" s="129">
        <f t="shared" ref="Z718:Z721" si="381">IF(E718="",1,IF(R718&gt;0,IF(COUNTA($F718:$K718)=2,1,0),IF(COUNTA($F718:$K718)=6,1,0)))</f>
        <v>0</v>
      </c>
      <c r="AA718" s="129" t="str" cm="1">
        <f t="array" ref="AA718">_xlfn.IFS(Y718=4,"A",Y718=3,"B",Y718=2,"C",Y718=1,"D")</f>
        <v>D</v>
      </c>
      <c r="AB718" s="129"/>
    </row>
    <row r="719" spans="1:28" s="99" customFormat="1" ht="18.75" customHeight="1">
      <c r="A719" s="11"/>
      <c r="B719" s="95"/>
      <c r="C719" s="96"/>
      <c r="D719" s="97"/>
      <c r="E719" s="440" t="s">
        <v>116</v>
      </c>
      <c r="F719" s="441"/>
      <c r="G719" s="441"/>
      <c r="H719" s="441"/>
      <c r="I719" s="441"/>
      <c r="J719" s="441"/>
      <c r="K719" s="441"/>
      <c r="L719" s="98"/>
      <c r="M719" s="11"/>
      <c r="P719" s="11"/>
      <c r="Q719" s="11"/>
      <c r="R719" s="129">
        <f>IF(E719="地区代表者",COUNTA($D$1:$D719),0)</f>
        <v>0</v>
      </c>
      <c r="S719" s="129">
        <f>IF(F719="実施済",1,0)</f>
        <v>0</v>
      </c>
      <c r="T719" s="258"/>
      <c r="U719" s="129">
        <f>IF(AND(H719="実施済",I719="実施済"),S719*1,0)</f>
        <v>0</v>
      </c>
      <c r="V719" s="129">
        <f>IF(J719="実施済",$U719*1,0)</f>
        <v>0</v>
      </c>
      <c r="W719" s="258"/>
      <c r="X719" s="129">
        <f t="shared" si="380"/>
        <v>0</v>
      </c>
      <c r="Y719" s="129">
        <f>MIN($X$717:$X$721)+1</f>
        <v>1</v>
      </c>
      <c r="Z719" s="129">
        <f t="shared" si="381"/>
        <v>0</v>
      </c>
      <c r="AA719" s="129" t="str" cm="1">
        <f t="array" ref="AA719">_xlfn.IFS(Y719=4,"A",Y719=3,"B",Y719=2,"C",Y719=1,"D")</f>
        <v>D</v>
      </c>
      <c r="AB719" s="129"/>
    </row>
    <row r="720" spans="1:28" s="2" customFormat="1" ht="9" customHeight="1">
      <c r="A720"/>
      <c r="B720" s="65"/>
      <c r="C720" s="4"/>
      <c r="D720" s="307"/>
      <c r="E720" s="308"/>
      <c r="F720" s="308"/>
      <c r="G720" s="308"/>
      <c r="H720" s="308"/>
      <c r="I720" s="308"/>
      <c r="J720" s="308"/>
      <c r="K720" s="308"/>
      <c r="L720" s="9"/>
      <c r="M720"/>
      <c r="P720"/>
      <c r="Q720"/>
      <c r="R720" s="215">
        <f>IF(E720="地区代表者",COUNTA($D$1:$D720),0)</f>
        <v>0</v>
      </c>
      <c r="S720" s="215">
        <f t="shared" ref="S720:S721" si="382">IF(F720="実施済",1,0)</f>
        <v>0</v>
      </c>
      <c r="T720" s="316"/>
      <c r="U720" s="215">
        <f t="shared" ref="U720:U721" si="383">IF(AND(H720="実施済",I720="実施済"),S720*1,0)</f>
        <v>0</v>
      </c>
      <c r="V720" s="215">
        <f t="shared" ref="V720:V721" si="384">IF(J720="実施済",$U720*1,0)</f>
        <v>0</v>
      </c>
      <c r="W720" s="316"/>
      <c r="X720" s="215" t="str">
        <f t="shared" si="380"/>
        <v/>
      </c>
      <c r="Y720" s="215">
        <f>MIN($X$717:$X$721)+1</f>
        <v>1</v>
      </c>
      <c r="Z720" s="215">
        <f t="shared" si="381"/>
        <v>1</v>
      </c>
      <c r="AA720" s="215" t="str" cm="1">
        <f t="array" ref="AA720">_xlfn.IFS(Y720=4,"A",Y720=3,"B",Y720=2,"C",Y720=1,"D")</f>
        <v>D</v>
      </c>
      <c r="AB720" s="215"/>
    </row>
    <row r="721" spans="1:28" s="2" customFormat="1" ht="6" customHeight="1">
      <c r="A721"/>
      <c r="B721"/>
      <c r="C721"/>
      <c r="D721" s="309"/>
      <c r="E721" s="310"/>
      <c r="F721" s="310"/>
      <c r="G721" s="310"/>
      <c r="H721" s="310"/>
      <c r="I721" s="310"/>
      <c r="J721" s="310"/>
      <c r="K721" s="310"/>
      <c r="L721"/>
      <c r="M721"/>
      <c r="P721"/>
      <c r="Q721"/>
      <c r="R721" s="215">
        <f>IF(E721="地区代表者",COUNTA($D$1:$D721),0)</f>
        <v>0</v>
      </c>
      <c r="S721" s="215">
        <f t="shared" si="382"/>
        <v>0</v>
      </c>
      <c r="T721" s="316"/>
      <c r="U721" s="215">
        <f t="shared" si="383"/>
        <v>0</v>
      </c>
      <c r="V721" s="215">
        <f t="shared" si="384"/>
        <v>0</v>
      </c>
      <c r="W721" s="316"/>
      <c r="X721" s="215" t="str">
        <f t="shared" si="380"/>
        <v/>
      </c>
      <c r="Y721" s="215">
        <f>MIN($X$717:$X$721)+1</f>
        <v>1</v>
      </c>
      <c r="Z721" s="215">
        <f t="shared" si="381"/>
        <v>1</v>
      </c>
      <c r="AA721" s="215" t="str" cm="1">
        <f t="array" ref="AA721">_xlfn.IFS(Y721=4,"A",Y721=3,"B",Y721=2,"C",Y721=1,"D")</f>
        <v>D</v>
      </c>
      <c r="AB721" s="215"/>
    </row>
    <row r="722" spans="1:28" ht="96" customHeight="1">
      <c r="C722" s="78"/>
      <c r="D722" s="79"/>
      <c r="E722" s="72" t="s">
        <v>236</v>
      </c>
      <c r="F722" s="1452"/>
      <c r="G722" s="1452"/>
      <c r="H722" s="1452"/>
      <c r="I722" s="1452"/>
      <c r="J722" s="1452"/>
      <c r="K722" s="1452"/>
      <c r="L722" s="80" t="s">
        <v>132</v>
      </c>
      <c r="M722" s="290"/>
    </row>
    <row r="723" spans="1:28" ht="96" customHeight="1">
      <c r="C723" s="75"/>
      <c r="D723" s="68"/>
      <c r="E723" s="72" t="s">
        <v>237</v>
      </c>
      <c r="F723" s="1452"/>
      <c r="G723" s="1452"/>
      <c r="H723" s="1452"/>
      <c r="I723" s="1452"/>
      <c r="J723" s="1452"/>
      <c r="K723" s="1452"/>
    </row>
    <row r="724" spans="1:28" ht="18.5" thickBot="1">
      <c r="A724" s="81"/>
      <c r="B724" s="81"/>
      <c r="C724" s="81"/>
      <c r="D724" s="81"/>
      <c r="E724" s="311"/>
      <c r="F724" s="81"/>
      <c r="G724" s="81"/>
      <c r="H724" s="81"/>
      <c r="I724" s="81"/>
      <c r="J724" s="81"/>
      <c r="K724" s="81"/>
      <c r="L724" s="81"/>
      <c r="M724" s="82"/>
    </row>
    <row r="726" spans="1:28" ht="9" customHeight="1">
      <c r="B726" s="10"/>
      <c r="C726" s="5"/>
      <c r="D726" s="5"/>
      <c r="E726" s="305"/>
      <c r="F726" s="5"/>
      <c r="G726" s="5"/>
      <c r="H726" s="5"/>
      <c r="I726" s="5"/>
      <c r="J726" s="5"/>
      <c r="K726" s="5"/>
      <c r="L726" s="6"/>
      <c r="M726"/>
      <c r="N726"/>
      <c r="O726"/>
      <c r="R726" t="str">
        <f>D727</f>
        <v>(選択してください)</v>
      </c>
    </row>
    <row r="727" spans="1:28">
      <c r="B727" s="7"/>
      <c r="C727" s="77" t="str">
        <f ca="1">IFERROR(OFFSET('4.2民生電力需要量'!$C$1,MATCH(D727,'4.2民生電力需要量'!$E:$E,0)-1,0),"")</f>
        <v/>
      </c>
      <c r="D727" s="94" t="s">
        <v>130</v>
      </c>
      <c r="E727" s="72" t="s">
        <v>131</v>
      </c>
      <c r="F727" s="1446" t="str">
        <f ca="1">IFERROR(OFFSET('4.2民生電力需要量'!$G$1,MATCH($D727,'4.2民生電力需要量'!$E:$E,0)-1,0),"")</f>
        <v/>
      </c>
      <c r="G727" s="1446"/>
      <c r="H727" s="1446"/>
      <c r="I727" s="1446"/>
      <c r="J727" s="1446"/>
      <c r="K727" s="1446"/>
      <c r="L727" s="8"/>
      <c r="M727"/>
      <c r="N727"/>
      <c r="O727"/>
      <c r="R727" s="175" t="str">
        <f ca="1">IFERROR(OFFSET('4.2民生電力需要量'!$G$1,MATCH($D727,'4.2民生電力需要量'!$E:$E,0)-1,0),"")</f>
        <v/>
      </c>
      <c r="S727" s="175"/>
      <c r="T727" s="175"/>
      <c r="U727" s="175"/>
      <c r="V727" s="175"/>
      <c r="W727" s="175"/>
      <c r="X727" s="175"/>
      <c r="Y727" s="175"/>
      <c r="Z727" s="175"/>
      <c r="AA727" s="175"/>
      <c r="AB727" s="175">
        <f ca="1">(F727=R727)*1</f>
        <v>1</v>
      </c>
    </row>
    <row r="728" spans="1:28">
      <c r="B728" s="7"/>
      <c r="C728" s="915"/>
      <c r="D728" s="97"/>
      <c r="E728" s="72" t="s">
        <v>612</v>
      </c>
      <c r="F728" s="1447" t="str">
        <f ca="1">IFERROR(OFFSET('4.2民生電力需要量'!$L$1,MATCH($D727,'4.2民生電力需要量'!$E:$E,0)-1,0),"")</f>
        <v/>
      </c>
      <c r="G728" s="1448"/>
      <c r="H728" s="1448"/>
      <c r="I728" s="1448"/>
      <c r="J728" s="1448"/>
      <c r="K728" s="1449"/>
      <c r="L728" s="8"/>
      <c r="M728"/>
      <c r="N728"/>
      <c r="O728"/>
      <c r="R728" s="175" t="str">
        <f ca="1">IFERROR(OFFSET('4.2民生電力需要量'!$L$1,MATCH($D727,'4.2民生電力需要量'!$E:$E,0)-1,0),"")</f>
        <v/>
      </c>
      <c r="S728" s="175"/>
      <c r="T728" s="175"/>
      <c r="U728" s="175"/>
      <c r="V728" s="175"/>
      <c r="W728" s="175"/>
      <c r="X728" s="175"/>
      <c r="Y728" s="175"/>
      <c r="Z728" s="175"/>
      <c r="AA728" s="175"/>
      <c r="AB728" s="175">
        <f ca="1">(F728=R728)*1</f>
        <v>1</v>
      </c>
    </row>
    <row r="729" spans="1:28">
      <c r="B729" s="7"/>
      <c r="C729" s="74"/>
      <c r="D729" s="66"/>
      <c r="E729" s="72" t="s">
        <v>220</v>
      </c>
      <c r="F729" s="1450" t="str">
        <f ca="1">IFERROR(OFFSET('4.2民生電力需要量'!$I$1,MATCH($D727,'4.2民生電力需要量'!$E:$E,0)-1,0),"")</f>
        <v/>
      </c>
      <c r="G729" s="1450"/>
      <c r="H729" s="1450"/>
      <c r="I729" s="1450"/>
      <c r="J729" s="1450"/>
      <c r="K729" s="1450"/>
      <c r="L729" s="8"/>
      <c r="M729"/>
      <c r="N729"/>
      <c r="O729"/>
      <c r="R729" s="175" t="str">
        <f ca="1">IFERROR(OFFSET('4.2民生電力需要量'!$I$1,MATCH($D727,'4.2民生電力需要量'!$E:$E,0)-1,0),"")</f>
        <v/>
      </c>
      <c r="S729" s="175"/>
      <c r="T729" s="175"/>
      <c r="U729" s="175"/>
      <c r="V729" s="175"/>
      <c r="W729" s="175"/>
      <c r="X729" s="175"/>
      <c r="Y729" s="175"/>
      <c r="Z729" s="175"/>
      <c r="AA729" s="175"/>
      <c r="AB729" s="175">
        <f t="shared" ref="AB729:AB730" ca="1" si="385">(F729=R729)*1</f>
        <v>1</v>
      </c>
    </row>
    <row r="730" spans="1:28">
      <c r="B730" s="7"/>
      <c r="C730" s="74"/>
      <c r="D730" s="66"/>
      <c r="E730" s="72" t="s">
        <v>175</v>
      </c>
      <c r="F730" s="1451" t="str">
        <f>_xlfn.IFNA(R730,"")</f>
        <v/>
      </c>
      <c r="G730" s="1451"/>
      <c r="H730" s="1451"/>
      <c r="I730" s="1451"/>
      <c r="J730" s="1451"/>
      <c r="K730" s="1451"/>
      <c r="L730" s="8"/>
      <c r="M730"/>
      <c r="N730"/>
      <c r="O730"/>
      <c r="R730" s="215" t="str">
        <f>IF(PRODUCT($Z732:$Z736)=1,AA732,"")</f>
        <v/>
      </c>
      <c r="S730" s="175"/>
      <c r="T730" s="175"/>
      <c r="U730" s="175"/>
      <c r="V730" s="175"/>
      <c r="W730" s="175"/>
      <c r="X730" s="175"/>
      <c r="Y730" s="175"/>
      <c r="Z730" s="175"/>
      <c r="AA730" s="175"/>
      <c r="AB730" s="175">
        <f t="shared" si="385"/>
        <v>1</v>
      </c>
    </row>
    <row r="731" spans="1:28" s="2" customFormat="1" ht="60">
      <c r="A731"/>
      <c r="B731" s="7"/>
      <c r="C731" s="74"/>
      <c r="D731" s="66"/>
      <c r="E731" s="306"/>
      <c r="F731" s="312" t="s">
        <v>299</v>
      </c>
      <c r="G731" s="313" t="s">
        <v>300</v>
      </c>
      <c r="H731" s="313" t="s">
        <v>301</v>
      </c>
      <c r="I731" s="313" t="s">
        <v>302</v>
      </c>
      <c r="J731" s="313" t="s">
        <v>429</v>
      </c>
      <c r="K731" s="313" t="s">
        <v>270</v>
      </c>
      <c r="L731" s="8"/>
      <c r="M731"/>
      <c r="P731"/>
      <c r="Q731"/>
      <c r="R731" s="294" t="s">
        <v>298</v>
      </c>
      <c r="S731" s="294" t="s">
        <v>299</v>
      </c>
      <c r="T731" s="314" t="s">
        <v>423</v>
      </c>
      <c r="U731" s="294" t="s">
        <v>424</v>
      </c>
      <c r="V731" s="294" t="s">
        <v>422</v>
      </c>
      <c r="W731" s="315" t="s">
        <v>270</v>
      </c>
      <c r="X731" s="294" t="s">
        <v>426</v>
      </c>
      <c r="Y731" s="215" t="s">
        <v>402</v>
      </c>
      <c r="Z731" s="215" t="s">
        <v>430</v>
      </c>
      <c r="AA731" s="294" t="s">
        <v>425</v>
      </c>
      <c r="AB731" s="294"/>
    </row>
    <row r="732" spans="1:28" s="99" customFormat="1" ht="18.75" hidden="1" customHeight="1">
      <c r="A732" s="11"/>
      <c r="B732" s="95"/>
      <c r="C732" s="96"/>
      <c r="D732" s="97"/>
      <c r="E732" s="438"/>
      <c r="F732" s="439"/>
      <c r="G732" s="439"/>
      <c r="H732" s="439"/>
      <c r="I732" s="439"/>
      <c r="J732" s="439"/>
      <c r="K732" s="439"/>
      <c r="L732" s="98"/>
      <c r="M732" s="11"/>
      <c r="Q732" s="11"/>
      <c r="R732" s="129">
        <f>IF(E732="地区代表者",COUNTA($D$1:$D732),0)</f>
        <v>0</v>
      </c>
      <c r="S732" s="129">
        <f t="shared" ref="S732:S733" si="386">IF(F732="実施済",1,0)</f>
        <v>0</v>
      </c>
      <c r="T732" s="258"/>
      <c r="U732" s="129">
        <f t="shared" ref="U732:U733" si="387">IF(AND(H732="実施済",I732="実施済"),S732*1,0)</f>
        <v>0</v>
      </c>
      <c r="V732" s="129">
        <f>IF(J732="実施済",$U732*1,0)</f>
        <v>0</v>
      </c>
      <c r="W732" s="258"/>
      <c r="X732" s="129" t="str">
        <f>IF(E732="","",IF(R732*S732&gt;0,3,SUM(S732,U732,V732)))</f>
        <v/>
      </c>
      <c r="Y732" s="129">
        <f>MIN($X$732:$X$736)+1</f>
        <v>1</v>
      </c>
      <c r="Z732" s="129">
        <f>IF(E732="",1,IF(R732&gt;0,IF(COUNTA($F732:$K732)=2,1,0),IF(COUNTA($F732:$K732)=6,1,0)))</f>
        <v>1</v>
      </c>
      <c r="AA732" s="129" t="str" cm="1">
        <f t="array" ref="AA732">_xlfn.IFS(Y732=4,"A",Y732=3,"B",Y732=2,"C",Y732=1,"D")</f>
        <v>D</v>
      </c>
      <c r="AB732" s="129" t="str" cm="1">
        <f t="array" ref="AB732">_xlfn.IFS(Z732=4,"A",Z732=3,"B",Z732=2,"C",Z732=1,"D")</f>
        <v>D</v>
      </c>
    </row>
    <row r="733" spans="1:28" s="99" customFormat="1" ht="18.75" customHeight="1">
      <c r="A733" s="11"/>
      <c r="B733" s="95"/>
      <c r="C733" s="96"/>
      <c r="D733" s="97"/>
      <c r="E733" s="440" t="s">
        <v>298</v>
      </c>
      <c r="F733" s="441"/>
      <c r="G733" s="839"/>
      <c r="H733" s="839"/>
      <c r="I733" s="839"/>
      <c r="J733" s="839"/>
      <c r="K733" s="441"/>
      <c r="L733" s="98"/>
      <c r="M733" s="11"/>
      <c r="Q733" s="11"/>
      <c r="R733" s="129">
        <f>IF(E733="地区代表者",COUNTA($D$1:$D733),0)</f>
        <v>49</v>
      </c>
      <c r="S733" s="129">
        <f t="shared" si="386"/>
        <v>0</v>
      </c>
      <c r="T733" s="258"/>
      <c r="U733" s="129">
        <f t="shared" si="387"/>
        <v>0</v>
      </c>
      <c r="V733" s="129">
        <f>IF(J733="実施済",$U733*1,0)</f>
        <v>0</v>
      </c>
      <c r="W733" s="258"/>
      <c r="X733" s="129">
        <f t="shared" ref="X733:X736" si="388">IF(E733="","",IF(R733*S733&gt;0,3,SUM(S733,U733,V733)))</f>
        <v>0</v>
      </c>
      <c r="Y733" s="129">
        <f>MIN($X$732:$X$736)+1</f>
        <v>1</v>
      </c>
      <c r="Z733" s="129">
        <f t="shared" ref="Z733:Z736" si="389">IF(E733="",1,IF(R733&gt;0,IF(COUNTA($F733:$K733)=2,1,0),IF(COUNTA($F733:$K733)=6,1,0)))</f>
        <v>0</v>
      </c>
      <c r="AA733" s="129" t="str" cm="1">
        <f t="array" ref="AA733">_xlfn.IFS(Y733=4,"A",Y733=3,"B",Y733=2,"C",Y733=1,"D")</f>
        <v>D</v>
      </c>
      <c r="AB733" s="129"/>
    </row>
    <row r="734" spans="1:28" s="99" customFormat="1" ht="18.75" customHeight="1">
      <c r="A734" s="11"/>
      <c r="B734" s="95"/>
      <c r="C734" s="96"/>
      <c r="D734" s="97"/>
      <c r="E734" s="440" t="s">
        <v>116</v>
      </c>
      <c r="F734" s="441"/>
      <c r="G734" s="441"/>
      <c r="H734" s="441"/>
      <c r="I734" s="441"/>
      <c r="J734" s="441"/>
      <c r="K734" s="441"/>
      <c r="L734" s="98"/>
      <c r="M734" s="11"/>
      <c r="P734" s="11"/>
      <c r="Q734" s="11"/>
      <c r="R734" s="129">
        <f>IF(E734="地区代表者",COUNTA($D$1:$D734),0)</f>
        <v>0</v>
      </c>
      <c r="S734" s="129">
        <f>IF(F734="実施済",1,0)</f>
        <v>0</v>
      </c>
      <c r="T734" s="258"/>
      <c r="U734" s="129">
        <f>IF(AND(H734="実施済",I734="実施済"),S734*1,0)</f>
        <v>0</v>
      </c>
      <c r="V734" s="129">
        <f>IF(J734="実施済",$U734*1,0)</f>
        <v>0</v>
      </c>
      <c r="W734" s="258"/>
      <c r="X734" s="129">
        <f t="shared" si="388"/>
        <v>0</v>
      </c>
      <c r="Y734" s="129">
        <f>MIN($X$732:$X$736)+1</f>
        <v>1</v>
      </c>
      <c r="Z734" s="129">
        <f t="shared" si="389"/>
        <v>0</v>
      </c>
      <c r="AA734" s="129" t="str" cm="1">
        <f t="array" ref="AA734">_xlfn.IFS(Y734=4,"A",Y734=3,"B",Y734=2,"C",Y734=1,"D")</f>
        <v>D</v>
      </c>
      <c r="AB734" s="129"/>
    </row>
    <row r="735" spans="1:28" s="2" customFormat="1" ht="9" customHeight="1">
      <c r="A735"/>
      <c r="B735" s="65"/>
      <c r="C735" s="4"/>
      <c r="D735" s="307"/>
      <c r="E735" s="308"/>
      <c r="F735" s="308"/>
      <c r="G735" s="308"/>
      <c r="H735" s="308"/>
      <c r="I735" s="308"/>
      <c r="J735" s="308"/>
      <c r="K735" s="308"/>
      <c r="L735" s="9"/>
      <c r="M735"/>
      <c r="P735"/>
      <c r="Q735"/>
      <c r="R735" s="215">
        <f>IF(E735="地区代表者",COUNTA($D$1:$D735),0)</f>
        <v>0</v>
      </c>
      <c r="S735" s="215">
        <f t="shared" ref="S735:S736" si="390">IF(F735="実施済",1,0)</f>
        <v>0</v>
      </c>
      <c r="T735" s="316"/>
      <c r="U735" s="215">
        <f t="shared" ref="U735:U736" si="391">IF(AND(H735="実施済",I735="実施済"),S735*1,0)</f>
        <v>0</v>
      </c>
      <c r="V735" s="215">
        <f t="shared" ref="V735:V736" si="392">IF(J735="実施済",$U735*1,0)</f>
        <v>0</v>
      </c>
      <c r="W735" s="316"/>
      <c r="X735" s="215" t="str">
        <f t="shared" si="388"/>
        <v/>
      </c>
      <c r="Y735" s="215">
        <f>MIN($X$732:$X$736)+1</f>
        <v>1</v>
      </c>
      <c r="Z735" s="215">
        <f t="shared" si="389"/>
        <v>1</v>
      </c>
      <c r="AA735" s="215" t="str" cm="1">
        <f t="array" ref="AA735">_xlfn.IFS(Y735=4,"A",Y735=3,"B",Y735=2,"C",Y735=1,"D")</f>
        <v>D</v>
      </c>
      <c r="AB735" s="215"/>
    </row>
    <row r="736" spans="1:28" s="2" customFormat="1" ht="6" customHeight="1">
      <c r="A736"/>
      <c r="B736"/>
      <c r="C736"/>
      <c r="D736" s="309"/>
      <c r="E736" s="310"/>
      <c r="F736" s="310"/>
      <c r="G736" s="310"/>
      <c r="H736" s="310"/>
      <c r="I736" s="310"/>
      <c r="J736" s="310"/>
      <c r="K736" s="310"/>
      <c r="L736"/>
      <c r="M736"/>
      <c r="P736"/>
      <c r="Q736"/>
      <c r="R736" s="215">
        <f>IF(E736="地区代表者",COUNTA($D$1:$D736),0)</f>
        <v>0</v>
      </c>
      <c r="S736" s="215">
        <f t="shared" si="390"/>
        <v>0</v>
      </c>
      <c r="T736" s="316"/>
      <c r="U736" s="215">
        <f t="shared" si="391"/>
        <v>0</v>
      </c>
      <c r="V736" s="215">
        <f t="shared" si="392"/>
        <v>0</v>
      </c>
      <c r="W736" s="316"/>
      <c r="X736" s="215" t="str">
        <f t="shared" si="388"/>
        <v/>
      </c>
      <c r="Y736" s="215">
        <f>MIN($X$732:$X$736)+1</f>
        <v>1</v>
      </c>
      <c r="Z736" s="215">
        <f t="shared" si="389"/>
        <v>1</v>
      </c>
      <c r="AA736" s="215" t="str" cm="1">
        <f t="array" ref="AA736">_xlfn.IFS(Y736=4,"A",Y736=3,"B",Y736=2,"C",Y736=1,"D")</f>
        <v>D</v>
      </c>
      <c r="AB736" s="215"/>
    </row>
    <row r="737" spans="1:28" ht="96" customHeight="1">
      <c r="C737" s="78"/>
      <c r="D737" s="79"/>
      <c r="E737" s="72" t="s">
        <v>236</v>
      </c>
      <c r="F737" s="1452"/>
      <c r="G737" s="1452"/>
      <c r="H737" s="1452"/>
      <c r="I737" s="1452"/>
      <c r="J737" s="1452"/>
      <c r="K737" s="1452"/>
      <c r="L737" s="80" t="s">
        <v>132</v>
      </c>
      <c r="M737" s="290"/>
    </row>
    <row r="738" spans="1:28" ht="96" customHeight="1">
      <c r="C738" s="75"/>
      <c r="D738" s="68"/>
      <c r="E738" s="72" t="s">
        <v>237</v>
      </c>
      <c r="F738" s="1452"/>
      <c r="G738" s="1452"/>
      <c r="H738" s="1452"/>
      <c r="I738" s="1452"/>
      <c r="J738" s="1452"/>
      <c r="K738" s="1452"/>
    </row>
    <row r="739" spans="1:28" ht="18.5" thickBot="1">
      <c r="A739" s="81"/>
      <c r="B739" s="81"/>
      <c r="C739" s="81"/>
      <c r="D739" s="81"/>
      <c r="E739" s="311"/>
      <c r="F739" s="81"/>
      <c r="G739" s="81"/>
      <c r="H739" s="81"/>
      <c r="I739" s="81"/>
      <c r="J739" s="81"/>
      <c r="K739" s="81"/>
      <c r="L739" s="81"/>
      <c r="M739" s="82"/>
    </row>
    <row r="741" spans="1:28" ht="9" customHeight="1">
      <c r="B741" s="10"/>
      <c r="C741" s="5"/>
      <c r="D741" s="5"/>
      <c r="E741" s="305"/>
      <c r="F741" s="5"/>
      <c r="G741" s="5"/>
      <c r="H741" s="5"/>
      <c r="I741" s="5"/>
      <c r="J741" s="5"/>
      <c r="K741" s="5"/>
      <c r="L741" s="6"/>
      <c r="M741"/>
      <c r="N741"/>
      <c r="O741"/>
      <c r="R741" t="str">
        <f>D742</f>
        <v>(選択してください)</v>
      </c>
    </row>
    <row r="742" spans="1:28">
      <c r="B742" s="7"/>
      <c r="C742" s="77" t="str">
        <f ca="1">IFERROR(OFFSET('4.2民生電力需要量'!$C$1,MATCH(D742,'4.2民生電力需要量'!$E:$E,0)-1,0),"")</f>
        <v/>
      </c>
      <c r="D742" s="94" t="s">
        <v>130</v>
      </c>
      <c r="E742" s="72" t="s">
        <v>131</v>
      </c>
      <c r="F742" s="1446" t="str">
        <f ca="1">IFERROR(OFFSET('4.2民生電力需要量'!$G$1,MATCH($D742,'4.2民生電力需要量'!$E:$E,0)-1,0),"")</f>
        <v/>
      </c>
      <c r="G742" s="1446"/>
      <c r="H742" s="1446"/>
      <c r="I742" s="1446"/>
      <c r="J742" s="1446"/>
      <c r="K742" s="1446"/>
      <c r="L742" s="8"/>
      <c r="M742"/>
      <c r="N742"/>
      <c r="O742"/>
      <c r="R742" s="175" t="str">
        <f ca="1">IFERROR(OFFSET('4.2民生電力需要量'!$G$1,MATCH($D742,'4.2民生電力需要量'!$E:$E,0)-1,0),"")</f>
        <v/>
      </c>
      <c r="S742" s="175"/>
      <c r="T742" s="175"/>
      <c r="U742" s="175"/>
      <c r="V742" s="175"/>
      <c r="W742" s="175"/>
      <c r="X742" s="175"/>
      <c r="Y742" s="175"/>
      <c r="Z742" s="175"/>
      <c r="AA742" s="175"/>
      <c r="AB742" s="175">
        <f ca="1">(F742=R742)*1</f>
        <v>1</v>
      </c>
    </row>
    <row r="743" spans="1:28">
      <c r="B743" s="7"/>
      <c r="C743" s="915"/>
      <c r="D743" s="97"/>
      <c r="E743" s="72" t="s">
        <v>612</v>
      </c>
      <c r="F743" s="1447" t="str">
        <f ca="1">IFERROR(OFFSET('4.2民生電力需要量'!$L$1,MATCH($D742,'4.2民生電力需要量'!$E:$E,0)-1,0),"")</f>
        <v/>
      </c>
      <c r="G743" s="1448"/>
      <c r="H743" s="1448"/>
      <c r="I743" s="1448"/>
      <c r="J743" s="1448"/>
      <c r="K743" s="1449"/>
      <c r="L743" s="8"/>
      <c r="M743"/>
      <c r="N743"/>
      <c r="O743"/>
      <c r="R743" s="175" t="str">
        <f ca="1">IFERROR(OFFSET('4.2民生電力需要量'!$L$1,MATCH($D742,'4.2民生電力需要量'!$E:$E,0)-1,0),"")</f>
        <v/>
      </c>
      <c r="S743" s="175"/>
      <c r="T743" s="175"/>
      <c r="U743" s="175"/>
      <c r="V743" s="175"/>
      <c r="W743" s="175"/>
      <c r="X743" s="175"/>
      <c r="Y743" s="175"/>
      <c r="Z743" s="175"/>
      <c r="AA743" s="175"/>
      <c r="AB743" s="175">
        <f ca="1">(F743=R743)*1</f>
        <v>1</v>
      </c>
    </row>
    <row r="744" spans="1:28">
      <c r="B744" s="7"/>
      <c r="C744" s="74"/>
      <c r="D744" s="66"/>
      <c r="E744" s="72" t="s">
        <v>220</v>
      </c>
      <c r="F744" s="1450" t="str">
        <f ca="1">IFERROR(OFFSET('4.2民生電力需要量'!$I$1,MATCH($D742,'4.2民生電力需要量'!$E:$E,0)-1,0),"")</f>
        <v/>
      </c>
      <c r="G744" s="1450"/>
      <c r="H744" s="1450"/>
      <c r="I744" s="1450"/>
      <c r="J744" s="1450"/>
      <c r="K744" s="1450"/>
      <c r="L744" s="8"/>
      <c r="M744"/>
      <c r="N744"/>
      <c r="O744"/>
      <c r="R744" s="175" t="str">
        <f ca="1">IFERROR(OFFSET('4.2民生電力需要量'!$I$1,MATCH($D742,'4.2民生電力需要量'!$E:$E,0)-1,0),"")</f>
        <v/>
      </c>
      <c r="S744" s="175"/>
      <c r="T744" s="175"/>
      <c r="U744" s="175"/>
      <c r="V744" s="175"/>
      <c r="W744" s="175"/>
      <c r="X744" s="175"/>
      <c r="Y744" s="175"/>
      <c r="Z744" s="175"/>
      <c r="AA744" s="175"/>
      <c r="AB744" s="175">
        <f t="shared" ref="AB744:AB745" ca="1" si="393">(F744=R744)*1</f>
        <v>1</v>
      </c>
    </row>
    <row r="745" spans="1:28">
      <c r="B745" s="7"/>
      <c r="C745" s="74"/>
      <c r="D745" s="66"/>
      <c r="E745" s="72" t="s">
        <v>175</v>
      </c>
      <c r="F745" s="1451" t="str">
        <f>_xlfn.IFNA(R745,"")</f>
        <v/>
      </c>
      <c r="G745" s="1451"/>
      <c r="H745" s="1451"/>
      <c r="I745" s="1451"/>
      <c r="J745" s="1451"/>
      <c r="K745" s="1451"/>
      <c r="L745" s="8"/>
      <c r="M745"/>
      <c r="N745"/>
      <c r="O745"/>
      <c r="R745" s="215" t="str">
        <f>IF(PRODUCT($Z747:$Z751)=1,AA747,"")</f>
        <v/>
      </c>
      <c r="S745" s="175"/>
      <c r="T745" s="175"/>
      <c r="U745" s="175"/>
      <c r="V745" s="175"/>
      <c r="W745" s="175"/>
      <c r="X745" s="175"/>
      <c r="Y745" s="175"/>
      <c r="Z745" s="175"/>
      <c r="AA745" s="175"/>
      <c r="AB745" s="175">
        <f t="shared" si="393"/>
        <v>1</v>
      </c>
    </row>
    <row r="746" spans="1:28" s="2" customFormat="1" ht="60">
      <c r="A746"/>
      <c r="B746" s="7"/>
      <c r="C746" s="74"/>
      <c r="D746" s="66"/>
      <c r="E746" s="306"/>
      <c r="F746" s="312" t="s">
        <v>299</v>
      </c>
      <c r="G746" s="313" t="s">
        <v>300</v>
      </c>
      <c r="H746" s="313" t="s">
        <v>301</v>
      </c>
      <c r="I746" s="313" t="s">
        <v>302</v>
      </c>
      <c r="J746" s="313" t="s">
        <v>429</v>
      </c>
      <c r="K746" s="313" t="s">
        <v>270</v>
      </c>
      <c r="L746" s="8"/>
      <c r="M746"/>
      <c r="P746"/>
      <c r="Q746"/>
      <c r="R746" s="294" t="s">
        <v>298</v>
      </c>
      <c r="S746" s="294" t="s">
        <v>299</v>
      </c>
      <c r="T746" s="314" t="s">
        <v>423</v>
      </c>
      <c r="U746" s="294" t="s">
        <v>424</v>
      </c>
      <c r="V746" s="294" t="s">
        <v>422</v>
      </c>
      <c r="W746" s="315" t="s">
        <v>270</v>
      </c>
      <c r="X746" s="294" t="s">
        <v>426</v>
      </c>
      <c r="Y746" s="215" t="s">
        <v>402</v>
      </c>
      <c r="Z746" s="215" t="s">
        <v>430</v>
      </c>
      <c r="AA746" s="294" t="s">
        <v>425</v>
      </c>
      <c r="AB746" s="294"/>
    </row>
    <row r="747" spans="1:28" s="99" customFormat="1" ht="18.75" hidden="1" customHeight="1">
      <c r="A747" s="11"/>
      <c r="B747" s="95"/>
      <c r="C747" s="96"/>
      <c r="D747" s="97"/>
      <c r="E747" s="438"/>
      <c r="F747" s="439"/>
      <c r="G747" s="439"/>
      <c r="H747" s="439"/>
      <c r="I747" s="439"/>
      <c r="J747" s="439"/>
      <c r="K747" s="439"/>
      <c r="L747" s="98"/>
      <c r="M747" s="11"/>
      <c r="Q747" s="11"/>
      <c r="R747" s="129">
        <f>IF(E747="地区代表者",COUNTA($D$1:$D747),0)</f>
        <v>0</v>
      </c>
      <c r="S747" s="129">
        <f t="shared" ref="S747:S748" si="394">IF(F747="実施済",1,0)</f>
        <v>0</v>
      </c>
      <c r="T747" s="258"/>
      <c r="U747" s="129">
        <f t="shared" ref="U747:U748" si="395">IF(AND(H747="実施済",I747="実施済"),S747*1,0)</f>
        <v>0</v>
      </c>
      <c r="V747" s="129">
        <f>IF(J747="実施済",$U747*1,0)</f>
        <v>0</v>
      </c>
      <c r="W747" s="258"/>
      <c r="X747" s="129" t="str">
        <f>IF(E747="","",IF(R747*S747&gt;0,3,SUM(S747,U747,V747)))</f>
        <v/>
      </c>
      <c r="Y747" s="129">
        <f>MIN($X$747:$X$751)+1</f>
        <v>1</v>
      </c>
      <c r="Z747" s="129">
        <f>IF(E747="",1,IF(R747&gt;0,IF(COUNTA($F747:$K747)=2,1,0),IF(COUNTA($F747:$K747)=6,1,0)))</f>
        <v>1</v>
      </c>
      <c r="AA747" s="129" t="str" cm="1">
        <f t="array" ref="AA747">_xlfn.IFS(Y747=4,"A",Y747=3,"B",Y747=2,"C",Y747=1,"D")</f>
        <v>D</v>
      </c>
      <c r="AB747" s="129" t="str" cm="1">
        <f t="array" ref="AB747">_xlfn.IFS(Z747=4,"A",Z747=3,"B",Z747=2,"C",Z747=1,"D")</f>
        <v>D</v>
      </c>
    </row>
    <row r="748" spans="1:28" s="99" customFormat="1" ht="18.75" customHeight="1">
      <c r="A748" s="11"/>
      <c r="B748" s="95"/>
      <c r="C748" s="96"/>
      <c r="D748" s="97"/>
      <c r="E748" s="440" t="s">
        <v>298</v>
      </c>
      <c r="F748" s="441"/>
      <c r="G748" s="839"/>
      <c r="H748" s="839"/>
      <c r="I748" s="839"/>
      <c r="J748" s="839"/>
      <c r="K748" s="441"/>
      <c r="L748" s="98"/>
      <c r="M748" s="11"/>
      <c r="Q748" s="11"/>
      <c r="R748" s="129">
        <f>IF(E748="地区代表者",COUNTA($D$1:$D748),0)</f>
        <v>50</v>
      </c>
      <c r="S748" s="129">
        <f t="shared" si="394"/>
        <v>0</v>
      </c>
      <c r="T748" s="258"/>
      <c r="U748" s="129">
        <f t="shared" si="395"/>
        <v>0</v>
      </c>
      <c r="V748" s="129">
        <f>IF(J748="実施済",$U748*1,0)</f>
        <v>0</v>
      </c>
      <c r="W748" s="258"/>
      <c r="X748" s="129">
        <f t="shared" ref="X748:X751" si="396">IF(E748="","",IF(R748*S748&gt;0,3,SUM(S748,U748,V748)))</f>
        <v>0</v>
      </c>
      <c r="Y748" s="129">
        <f>MIN($X$747:$X$751)+1</f>
        <v>1</v>
      </c>
      <c r="Z748" s="129">
        <f t="shared" ref="Z748:Z751" si="397">IF(E748="",1,IF(R748&gt;0,IF(COUNTA($F748:$K748)=2,1,0),IF(COUNTA($F748:$K748)=6,1,0)))</f>
        <v>0</v>
      </c>
      <c r="AA748" s="129" t="str" cm="1">
        <f t="array" ref="AA748">_xlfn.IFS(Y748=4,"A",Y748=3,"B",Y748=2,"C",Y748=1,"D")</f>
        <v>D</v>
      </c>
      <c r="AB748" s="129"/>
    </row>
    <row r="749" spans="1:28" s="99" customFormat="1" ht="18.75" customHeight="1">
      <c r="A749" s="11"/>
      <c r="B749" s="95"/>
      <c r="C749" s="96"/>
      <c r="D749" s="97"/>
      <c r="E749" s="440" t="s">
        <v>116</v>
      </c>
      <c r="F749" s="441"/>
      <c r="G749" s="441"/>
      <c r="H749" s="441"/>
      <c r="I749" s="441"/>
      <c r="J749" s="441"/>
      <c r="K749" s="441"/>
      <c r="L749" s="98"/>
      <c r="M749" s="11"/>
      <c r="P749" s="11"/>
      <c r="Q749" s="11"/>
      <c r="R749" s="129">
        <f>IF(E749="地区代表者",COUNTA($D$1:$D749),0)</f>
        <v>0</v>
      </c>
      <c r="S749" s="129">
        <f>IF(F749="実施済",1,0)</f>
        <v>0</v>
      </c>
      <c r="T749" s="258"/>
      <c r="U749" s="129">
        <f>IF(AND(H749="実施済",I749="実施済"),S749*1,0)</f>
        <v>0</v>
      </c>
      <c r="V749" s="129">
        <f>IF(J749="実施済",$U749*1,0)</f>
        <v>0</v>
      </c>
      <c r="W749" s="258"/>
      <c r="X749" s="129">
        <f t="shared" si="396"/>
        <v>0</v>
      </c>
      <c r="Y749" s="129">
        <f>MIN($X$747:$X$751)+1</f>
        <v>1</v>
      </c>
      <c r="Z749" s="129">
        <f t="shared" si="397"/>
        <v>0</v>
      </c>
      <c r="AA749" s="129" t="str" cm="1">
        <f t="array" ref="AA749">_xlfn.IFS(Y749=4,"A",Y749=3,"B",Y749=2,"C",Y749=1,"D")</f>
        <v>D</v>
      </c>
      <c r="AB749" s="129"/>
    </row>
    <row r="750" spans="1:28" s="2" customFormat="1" ht="9" customHeight="1">
      <c r="A750"/>
      <c r="B750" s="65"/>
      <c r="C750" s="4"/>
      <c r="D750" s="307"/>
      <c r="E750" s="308"/>
      <c r="F750" s="308"/>
      <c r="G750" s="308"/>
      <c r="H750" s="308"/>
      <c r="I750" s="308"/>
      <c r="J750" s="308"/>
      <c r="K750" s="308"/>
      <c r="L750" s="9"/>
      <c r="M750"/>
      <c r="P750"/>
      <c r="Q750"/>
      <c r="R750" s="215">
        <f>IF(E750="地区代表者",COUNTA($D$1:$D750),0)</f>
        <v>0</v>
      </c>
      <c r="S750" s="215">
        <f t="shared" ref="S750:S751" si="398">IF(F750="実施済",1,0)</f>
        <v>0</v>
      </c>
      <c r="T750" s="316"/>
      <c r="U750" s="215">
        <f t="shared" ref="U750:U751" si="399">IF(AND(H750="実施済",I750="実施済"),S750*1,0)</f>
        <v>0</v>
      </c>
      <c r="V750" s="215">
        <f t="shared" ref="V750:V751" si="400">IF(J750="実施済",$U750*1,0)</f>
        <v>0</v>
      </c>
      <c r="W750" s="316"/>
      <c r="X750" s="215" t="str">
        <f t="shared" si="396"/>
        <v/>
      </c>
      <c r="Y750" s="215">
        <f>MIN($X$747:$X$751)+1</f>
        <v>1</v>
      </c>
      <c r="Z750" s="215">
        <f t="shared" si="397"/>
        <v>1</v>
      </c>
      <c r="AA750" s="215" t="str" cm="1">
        <f t="array" ref="AA750">_xlfn.IFS(Y750=4,"A",Y750=3,"B",Y750=2,"C",Y750=1,"D")</f>
        <v>D</v>
      </c>
      <c r="AB750" s="215"/>
    </row>
    <row r="751" spans="1:28" s="2" customFormat="1" ht="6" customHeight="1">
      <c r="A751"/>
      <c r="B751"/>
      <c r="C751"/>
      <c r="D751" s="309"/>
      <c r="E751" s="310"/>
      <c r="F751" s="310"/>
      <c r="G751" s="310"/>
      <c r="H751" s="310"/>
      <c r="I751" s="310"/>
      <c r="J751" s="310"/>
      <c r="K751" s="310"/>
      <c r="L751"/>
      <c r="M751"/>
      <c r="P751"/>
      <c r="Q751"/>
      <c r="R751" s="215">
        <f>IF(E751="地区代表者",COUNTA($D$1:$D751),0)</f>
        <v>0</v>
      </c>
      <c r="S751" s="215">
        <f t="shared" si="398"/>
        <v>0</v>
      </c>
      <c r="T751" s="316"/>
      <c r="U751" s="215">
        <f t="shared" si="399"/>
        <v>0</v>
      </c>
      <c r="V751" s="215">
        <f t="shared" si="400"/>
        <v>0</v>
      </c>
      <c r="W751" s="316"/>
      <c r="X751" s="215" t="str">
        <f t="shared" si="396"/>
        <v/>
      </c>
      <c r="Y751" s="215">
        <f>MIN($X$747:$X$751)+1</f>
        <v>1</v>
      </c>
      <c r="Z751" s="215">
        <f t="shared" si="397"/>
        <v>1</v>
      </c>
      <c r="AA751" s="215" t="str" cm="1">
        <f t="array" ref="AA751">_xlfn.IFS(Y751=4,"A",Y751=3,"B",Y751=2,"C",Y751=1,"D")</f>
        <v>D</v>
      </c>
      <c r="AB751" s="215"/>
    </row>
    <row r="752" spans="1:28" ht="96" customHeight="1">
      <c r="C752" s="78"/>
      <c r="D752" s="79"/>
      <c r="E752" s="72" t="s">
        <v>236</v>
      </c>
      <c r="F752" s="1452"/>
      <c r="G752" s="1452"/>
      <c r="H752" s="1452"/>
      <c r="I752" s="1452"/>
      <c r="J752" s="1452"/>
      <c r="K752" s="1452"/>
      <c r="L752" s="80" t="s">
        <v>132</v>
      </c>
      <c r="M752" s="290"/>
    </row>
    <row r="753" spans="1:13" ht="96" customHeight="1">
      <c r="C753" s="75"/>
      <c r="D753" s="68"/>
      <c r="E753" s="72" t="s">
        <v>237</v>
      </c>
      <c r="F753" s="1452"/>
      <c r="G753" s="1452"/>
      <c r="H753" s="1452"/>
      <c r="I753" s="1452"/>
      <c r="J753" s="1452"/>
      <c r="K753" s="1452"/>
    </row>
    <row r="754" spans="1:13" ht="18.5" thickBot="1">
      <c r="A754" s="81"/>
      <c r="B754" s="81"/>
      <c r="C754" s="81"/>
      <c r="D754" s="81"/>
      <c r="E754" s="311"/>
      <c r="F754" s="81"/>
      <c r="G754" s="81"/>
      <c r="H754" s="81"/>
      <c r="I754" s="81"/>
      <c r="J754" s="81"/>
      <c r="K754" s="81"/>
      <c r="L754" s="81"/>
      <c r="M754" s="82"/>
    </row>
  </sheetData>
  <sheetProtection algorithmName="SHA-512" hashValue="L3meZVKw6H38iTWcDWyY579PaI3wVNBGgnt7tkIO0tKV95qtyBs3zrwVfkwWrhLRiF1IdpnRrXy95CS7If2jjg==" saltValue="Ba45r6O1EaPe4g53NGV5/g==" spinCount="100000" sheet="1" formatCells="0" insertRows="0" deleteRows="0"/>
  <mergeCells count="300">
    <mergeCell ref="F422:K422"/>
    <mergeCell ref="F423:K423"/>
    <mergeCell ref="F382:K382"/>
    <mergeCell ref="F383:K383"/>
    <mergeCell ref="F368:K368"/>
    <mergeCell ref="F369:K369"/>
    <mergeCell ref="F377:K377"/>
    <mergeCell ref="F378:K378"/>
    <mergeCell ref="F384:K384"/>
    <mergeCell ref="F385:K385"/>
    <mergeCell ref="F415:K415"/>
    <mergeCell ref="F397:K397"/>
    <mergeCell ref="F414:K414"/>
    <mergeCell ref="F407:K407"/>
    <mergeCell ref="F408:K408"/>
    <mergeCell ref="F412:K412"/>
    <mergeCell ref="F413:K413"/>
    <mergeCell ref="F303:K303"/>
    <mergeCell ref="F332:K332"/>
    <mergeCell ref="F333:K333"/>
    <mergeCell ref="F317:K317"/>
    <mergeCell ref="F318:K318"/>
    <mergeCell ref="F354:K354"/>
    <mergeCell ref="F355:K355"/>
    <mergeCell ref="F340:K340"/>
    <mergeCell ref="F347:K347"/>
    <mergeCell ref="F307:K307"/>
    <mergeCell ref="F308:K308"/>
    <mergeCell ref="F309:K309"/>
    <mergeCell ref="F310:K310"/>
    <mergeCell ref="F322:K322"/>
    <mergeCell ref="F323:K323"/>
    <mergeCell ref="F324:K324"/>
    <mergeCell ref="F325:K325"/>
    <mergeCell ref="F337:K337"/>
    <mergeCell ref="F338:K338"/>
    <mergeCell ref="F339:K339"/>
    <mergeCell ref="F348:K348"/>
    <mergeCell ref="F352:K352"/>
    <mergeCell ref="F353:K353"/>
    <mergeCell ref="F243:K243"/>
    <mergeCell ref="F247:K247"/>
    <mergeCell ref="F248:K248"/>
    <mergeCell ref="F249:K249"/>
    <mergeCell ref="F228:K228"/>
    <mergeCell ref="F233:K233"/>
    <mergeCell ref="F234:K234"/>
    <mergeCell ref="F235:K235"/>
    <mergeCell ref="F227:K227"/>
    <mergeCell ref="F232:K232"/>
    <mergeCell ref="F219:K219"/>
    <mergeCell ref="F204:K204"/>
    <mergeCell ref="F212:K212"/>
    <mergeCell ref="F213:K213"/>
    <mergeCell ref="F217:K217"/>
    <mergeCell ref="F218:K218"/>
    <mergeCell ref="F220:K220"/>
    <mergeCell ref="F205:K205"/>
    <mergeCell ref="F242:K242"/>
    <mergeCell ref="F107:K107"/>
    <mergeCell ref="F108:K108"/>
    <mergeCell ref="F93:K93"/>
    <mergeCell ref="F130:K130"/>
    <mergeCell ref="F137:K137"/>
    <mergeCell ref="F122:K122"/>
    <mergeCell ref="F123:K123"/>
    <mergeCell ref="F158:K158"/>
    <mergeCell ref="F159:K159"/>
    <mergeCell ref="F144:K144"/>
    <mergeCell ref="F145:K145"/>
    <mergeCell ref="F112:K112"/>
    <mergeCell ref="F113:K113"/>
    <mergeCell ref="F114:K114"/>
    <mergeCell ref="F115:K115"/>
    <mergeCell ref="F127:K127"/>
    <mergeCell ref="F128:K128"/>
    <mergeCell ref="F129:K129"/>
    <mergeCell ref="F138:K138"/>
    <mergeCell ref="F142:K142"/>
    <mergeCell ref="F143:K143"/>
    <mergeCell ref="F152:K152"/>
    <mergeCell ref="F153:K153"/>
    <mergeCell ref="F157:K157"/>
    <mergeCell ref="F52:K52"/>
    <mergeCell ref="F53:K53"/>
    <mergeCell ref="F17:K17"/>
    <mergeCell ref="F18:K18"/>
    <mergeCell ref="F7:K7"/>
    <mergeCell ref="F9:K9"/>
    <mergeCell ref="F10:K10"/>
    <mergeCell ref="F37:K37"/>
    <mergeCell ref="F38:K38"/>
    <mergeCell ref="F39:K39"/>
    <mergeCell ref="F47:K47"/>
    <mergeCell ref="F22:K22"/>
    <mergeCell ref="F24:K24"/>
    <mergeCell ref="F25:K25"/>
    <mergeCell ref="F32:K32"/>
    <mergeCell ref="F33:K33"/>
    <mergeCell ref="F8:K8"/>
    <mergeCell ref="F23:K23"/>
    <mergeCell ref="F40:K40"/>
    <mergeCell ref="F48:K48"/>
    <mergeCell ref="F54:K54"/>
    <mergeCell ref="F55:K55"/>
    <mergeCell ref="F62:K62"/>
    <mergeCell ref="F63:K63"/>
    <mergeCell ref="F68:K68"/>
    <mergeCell ref="F69:K69"/>
    <mergeCell ref="F70:K70"/>
    <mergeCell ref="F77:K77"/>
    <mergeCell ref="F78:K78"/>
    <mergeCell ref="F67:K67"/>
    <mergeCell ref="F82:K82"/>
    <mergeCell ref="F83:K83"/>
    <mergeCell ref="F84:K84"/>
    <mergeCell ref="F85:K85"/>
    <mergeCell ref="F92:K92"/>
    <mergeCell ref="F97:K97"/>
    <mergeCell ref="F98:K98"/>
    <mergeCell ref="F99:K99"/>
    <mergeCell ref="F100:K100"/>
    <mergeCell ref="F160:K160"/>
    <mergeCell ref="F167:K167"/>
    <mergeCell ref="F168:K168"/>
    <mergeCell ref="F174:K174"/>
    <mergeCell ref="F175:K175"/>
    <mergeCell ref="F197:K197"/>
    <mergeCell ref="F198:K198"/>
    <mergeCell ref="F202:K202"/>
    <mergeCell ref="F203:K203"/>
    <mergeCell ref="F187:K187"/>
    <mergeCell ref="F172:K172"/>
    <mergeCell ref="F173:K173"/>
    <mergeCell ref="F182:K182"/>
    <mergeCell ref="F183:K183"/>
    <mergeCell ref="F188:K188"/>
    <mergeCell ref="F189:K189"/>
    <mergeCell ref="F190:K190"/>
    <mergeCell ref="F250:K250"/>
    <mergeCell ref="F258:K258"/>
    <mergeCell ref="F264:K264"/>
    <mergeCell ref="F265:K265"/>
    <mergeCell ref="F272:K272"/>
    <mergeCell ref="F273:K273"/>
    <mergeCell ref="F278:K278"/>
    <mergeCell ref="F277:K277"/>
    <mergeCell ref="F257:K257"/>
    <mergeCell ref="F262:K262"/>
    <mergeCell ref="F263:K263"/>
    <mergeCell ref="F279:K279"/>
    <mergeCell ref="F280:K280"/>
    <mergeCell ref="F287:K287"/>
    <mergeCell ref="F288:K288"/>
    <mergeCell ref="F292:K292"/>
    <mergeCell ref="F293:K293"/>
    <mergeCell ref="F294:K294"/>
    <mergeCell ref="F295:K295"/>
    <mergeCell ref="F302:K302"/>
    <mergeCell ref="F362:K362"/>
    <mergeCell ref="F363:K363"/>
    <mergeCell ref="F367:K367"/>
    <mergeCell ref="F370:K370"/>
    <mergeCell ref="F392:K392"/>
    <mergeCell ref="F393:K393"/>
    <mergeCell ref="F398:K398"/>
    <mergeCell ref="F399:K399"/>
    <mergeCell ref="F400:K400"/>
    <mergeCell ref="F427:K427"/>
    <mergeCell ref="F428:K428"/>
    <mergeCell ref="F429:K429"/>
    <mergeCell ref="F430:K430"/>
    <mergeCell ref="F437:K437"/>
    <mergeCell ref="F438:K438"/>
    <mergeCell ref="F442:K442"/>
    <mergeCell ref="F443:K443"/>
    <mergeCell ref="F444:K444"/>
    <mergeCell ref="F445:K445"/>
    <mergeCell ref="F452:K452"/>
    <mergeCell ref="F453:K453"/>
    <mergeCell ref="F457:K457"/>
    <mergeCell ref="F458:K458"/>
    <mergeCell ref="F459:K459"/>
    <mergeCell ref="F460:K460"/>
    <mergeCell ref="F467:K467"/>
    <mergeCell ref="F468:K468"/>
    <mergeCell ref="F472:K472"/>
    <mergeCell ref="F473:K473"/>
    <mergeCell ref="F474:K474"/>
    <mergeCell ref="F475:K475"/>
    <mergeCell ref="F482:K482"/>
    <mergeCell ref="F483:K483"/>
    <mergeCell ref="F487:K487"/>
    <mergeCell ref="F488:K488"/>
    <mergeCell ref="F489:K489"/>
    <mergeCell ref="F490:K490"/>
    <mergeCell ref="F497:K497"/>
    <mergeCell ref="F498:K498"/>
    <mergeCell ref="F502:K502"/>
    <mergeCell ref="F503:K503"/>
    <mergeCell ref="F504:K504"/>
    <mergeCell ref="F505:K505"/>
    <mergeCell ref="F512:K512"/>
    <mergeCell ref="F513:K513"/>
    <mergeCell ref="F517:K517"/>
    <mergeCell ref="F518:K518"/>
    <mergeCell ref="F519:K519"/>
    <mergeCell ref="F520:K520"/>
    <mergeCell ref="F527:K527"/>
    <mergeCell ref="F528:K528"/>
    <mergeCell ref="F532:K532"/>
    <mergeCell ref="F533:K533"/>
    <mergeCell ref="F534:K534"/>
    <mergeCell ref="F535:K535"/>
    <mergeCell ref="F542:K542"/>
    <mergeCell ref="F543:K543"/>
    <mergeCell ref="F547:K547"/>
    <mergeCell ref="F548:K548"/>
    <mergeCell ref="F549:K549"/>
    <mergeCell ref="F550:K550"/>
    <mergeCell ref="F557:K557"/>
    <mergeCell ref="F558:K558"/>
    <mergeCell ref="F562:K562"/>
    <mergeCell ref="F563:K563"/>
    <mergeCell ref="F564:K564"/>
    <mergeCell ref="F565:K565"/>
    <mergeCell ref="F572:K572"/>
    <mergeCell ref="F573:K573"/>
    <mergeCell ref="F577:K577"/>
    <mergeCell ref="F578:K578"/>
    <mergeCell ref="F579:K579"/>
    <mergeCell ref="F580:K580"/>
    <mergeCell ref="F587:K587"/>
    <mergeCell ref="F588:K588"/>
    <mergeCell ref="F592:K592"/>
    <mergeCell ref="F593:K593"/>
    <mergeCell ref="F594:K594"/>
    <mergeCell ref="F595:K595"/>
    <mergeCell ref="F602:K602"/>
    <mergeCell ref="F603:K603"/>
    <mergeCell ref="F607:K607"/>
    <mergeCell ref="F608:K608"/>
    <mergeCell ref="F609:K609"/>
    <mergeCell ref="F610:K610"/>
    <mergeCell ref="F617:K617"/>
    <mergeCell ref="F618:K618"/>
    <mergeCell ref="F622:K622"/>
    <mergeCell ref="F623:K623"/>
    <mergeCell ref="F624:K624"/>
    <mergeCell ref="F625:K625"/>
    <mergeCell ref="F632:K632"/>
    <mergeCell ref="F633:K633"/>
    <mergeCell ref="F637:K637"/>
    <mergeCell ref="F638:K638"/>
    <mergeCell ref="F639:K639"/>
    <mergeCell ref="F640:K640"/>
    <mergeCell ref="F647:K647"/>
    <mergeCell ref="F648:K648"/>
    <mergeCell ref="F652:K652"/>
    <mergeCell ref="F653:K653"/>
    <mergeCell ref="F654:K654"/>
    <mergeCell ref="F655:K655"/>
    <mergeCell ref="F662:K662"/>
    <mergeCell ref="F663:K663"/>
    <mergeCell ref="F667:K667"/>
    <mergeCell ref="F668:K668"/>
    <mergeCell ref="F669:K669"/>
    <mergeCell ref="F670:K670"/>
    <mergeCell ref="F677:K677"/>
    <mergeCell ref="F678:K678"/>
    <mergeCell ref="F682:K682"/>
    <mergeCell ref="F683:K683"/>
    <mergeCell ref="F684:K684"/>
    <mergeCell ref="F685:K685"/>
    <mergeCell ref="F692:K692"/>
    <mergeCell ref="F693:K693"/>
    <mergeCell ref="F697:K697"/>
    <mergeCell ref="F698:K698"/>
    <mergeCell ref="F699:K699"/>
    <mergeCell ref="F700:K700"/>
    <mergeCell ref="F707:K707"/>
    <mergeCell ref="F708:K708"/>
    <mergeCell ref="F712:K712"/>
    <mergeCell ref="F713:K713"/>
    <mergeCell ref="F714:K714"/>
    <mergeCell ref="F742:K742"/>
    <mergeCell ref="F743:K743"/>
    <mergeCell ref="F744:K744"/>
    <mergeCell ref="F745:K745"/>
    <mergeCell ref="F752:K752"/>
    <mergeCell ref="F753:K753"/>
    <mergeCell ref="F715:K715"/>
    <mergeCell ref="F722:K722"/>
    <mergeCell ref="F723:K723"/>
    <mergeCell ref="F727:K727"/>
    <mergeCell ref="F728:K728"/>
    <mergeCell ref="F729:K729"/>
    <mergeCell ref="F730:K730"/>
    <mergeCell ref="F737:K737"/>
    <mergeCell ref="F738:K738"/>
  </mergeCells>
  <phoneticPr fontId="1"/>
  <conditionalFormatting sqref="C7">
    <cfRule type="containsBlanks" dxfId="2157" priority="3435">
      <formula>LEN(TRIM(C7))=0</formula>
    </cfRule>
  </conditionalFormatting>
  <conditionalFormatting sqref="C22">
    <cfRule type="containsBlanks" dxfId="2156" priority="487">
      <formula>LEN(TRIM(C22))=0</formula>
    </cfRule>
  </conditionalFormatting>
  <conditionalFormatting sqref="C37">
    <cfRule type="containsBlanks" dxfId="2155" priority="477">
      <formula>LEN(TRIM(C37))=0</formula>
    </cfRule>
  </conditionalFormatting>
  <conditionalFormatting sqref="C52">
    <cfRule type="containsBlanks" dxfId="2154" priority="467">
      <formula>LEN(TRIM(C52))=0</formula>
    </cfRule>
  </conditionalFormatting>
  <conditionalFormatting sqref="C67">
    <cfRule type="containsBlanks" dxfId="2153" priority="457">
      <formula>LEN(TRIM(C67))=0</formula>
    </cfRule>
  </conditionalFormatting>
  <conditionalFormatting sqref="C82">
    <cfRule type="containsBlanks" dxfId="2152" priority="447">
      <formula>LEN(TRIM(C82))=0</formula>
    </cfRule>
  </conditionalFormatting>
  <conditionalFormatting sqref="C97">
    <cfRule type="containsBlanks" dxfId="2151" priority="437">
      <formula>LEN(TRIM(C97))=0</formula>
    </cfRule>
  </conditionalFormatting>
  <conditionalFormatting sqref="C112">
    <cfRule type="containsBlanks" dxfId="2150" priority="427">
      <formula>LEN(TRIM(C112))=0</formula>
    </cfRule>
  </conditionalFormatting>
  <conditionalFormatting sqref="C127">
    <cfRule type="containsBlanks" dxfId="2149" priority="417">
      <formula>LEN(TRIM(C127))=0</formula>
    </cfRule>
  </conditionalFormatting>
  <conditionalFormatting sqref="C142">
    <cfRule type="containsBlanks" dxfId="2148" priority="407">
      <formula>LEN(TRIM(C142))=0</formula>
    </cfRule>
  </conditionalFormatting>
  <conditionalFormatting sqref="C157">
    <cfRule type="containsBlanks" dxfId="2147" priority="397">
      <formula>LEN(TRIM(C157))=0</formula>
    </cfRule>
  </conditionalFormatting>
  <conditionalFormatting sqref="C172">
    <cfRule type="containsBlanks" dxfId="2146" priority="387">
      <formula>LEN(TRIM(C172))=0</formula>
    </cfRule>
  </conditionalFormatting>
  <conditionalFormatting sqref="C187">
    <cfRule type="containsBlanks" dxfId="2145" priority="377">
      <formula>LEN(TRIM(C187))=0</formula>
    </cfRule>
  </conditionalFormatting>
  <conditionalFormatting sqref="C202">
    <cfRule type="containsBlanks" dxfId="2144" priority="367">
      <formula>LEN(TRIM(C202))=0</formula>
    </cfRule>
  </conditionalFormatting>
  <conditionalFormatting sqref="C217">
    <cfRule type="containsBlanks" dxfId="2143" priority="357">
      <formula>LEN(TRIM(C217))=0</formula>
    </cfRule>
  </conditionalFormatting>
  <conditionalFormatting sqref="C232">
    <cfRule type="containsBlanks" dxfId="2142" priority="347">
      <formula>LEN(TRIM(C232))=0</formula>
    </cfRule>
  </conditionalFormatting>
  <conditionalFormatting sqref="C247">
    <cfRule type="containsBlanks" dxfId="2141" priority="337">
      <formula>LEN(TRIM(C247))=0</formula>
    </cfRule>
  </conditionalFormatting>
  <conditionalFormatting sqref="C262">
    <cfRule type="containsBlanks" dxfId="2140" priority="327">
      <formula>LEN(TRIM(C262))=0</formula>
    </cfRule>
  </conditionalFormatting>
  <conditionalFormatting sqref="C277">
    <cfRule type="containsBlanks" dxfId="2139" priority="317">
      <formula>LEN(TRIM(C277))=0</formula>
    </cfRule>
  </conditionalFormatting>
  <conditionalFormatting sqref="C292">
    <cfRule type="containsBlanks" dxfId="2138" priority="307">
      <formula>LEN(TRIM(C292))=0</formula>
    </cfRule>
  </conditionalFormatting>
  <conditionalFormatting sqref="C307">
    <cfRule type="containsBlanks" dxfId="2137" priority="297">
      <formula>LEN(TRIM(C307))=0</formula>
    </cfRule>
  </conditionalFormatting>
  <conditionalFormatting sqref="C322">
    <cfRule type="containsBlanks" dxfId="2136" priority="287">
      <formula>LEN(TRIM(C322))=0</formula>
    </cfRule>
  </conditionalFormatting>
  <conditionalFormatting sqref="C337">
    <cfRule type="containsBlanks" dxfId="2135" priority="277">
      <formula>LEN(TRIM(C337))=0</formula>
    </cfRule>
  </conditionalFormatting>
  <conditionalFormatting sqref="C352">
    <cfRule type="containsBlanks" dxfId="2134" priority="267">
      <formula>LEN(TRIM(C352))=0</formula>
    </cfRule>
  </conditionalFormatting>
  <conditionalFormatting sqref="C367">
    <cfRule type="containsBlanks" dxfId="2133" priority="257">
      <formula>LEN(TRIM(C367))=0</formula>
    </cfRule>
  </conditionalFormatting>
  <conditionalFormatting sqref="C382">
    <cfRule type="containsBlanks" dxfId="2132" priority="247">
      <formula>LEN(TRIM(C382))=0</formula>
    </cfRule>
  </conditionalFormatting>
  <conditionalFormatting sqref="C397">
    <cfRule type="containsBlanks" dxfId="2131" priority="237">
      <formula>LEN(TRIM(C397))=0</formula>
    </cfRule>
  </conditionalFormatting>
  <conditionalFormatting sqref="C412">
    <cfRule type="containsBlanks" dxfId="2130" priority="227">
      <formula>LEN(TRIM(C412))=0</formula>
    </cfRule>
  </conditionalFormatting>
  <conditionalFormatting sqref="C427">
    <cfRule type="containsBlanks" dxfId="2129" priority="217">
      <formula>LEN(TRIM(C427))=0</formula>
    </cfRule>
  </conditionalFormatting>
  <conditionalFormatting sqref="C442">
    <cfRule type="containsBlanks" dxfId="2128" priority="207">
      <formula>LEN(TRIM(C442))=0</formula>
    </cfRule>
  </conditionalFormatting>
  <conditionalFormatting sqref="C457">
    <cfRule type="containsBlanks" dxfId="2127" priority="197">
      <formula>LEN(TRIM(C457))=0</formula>
    </cfRule>
  </conditionalFormatting>
  <conditionalFormatting sqref="C472">
    <cfRule type="containsBlanks" dxfId="2126" priority="187">
      <formula>LEN(TRIM(C472))=0</formula>
    </cfRule>
  </conditionalFormatting>
  <conditionalFormatting sqref="C487">
    <cfRule type="containsBlanks" dxfId="2125" priority="177">
      <formula>LEN(TRIM(C487))=0</formula>
    </cfRule>
  </conditionalFormatting>
  <conditionalFormatting sqref="C502">
    <cfRule type="containsBlanks" dxfId="2124" priority="167">
      <formula>LEN(TRIM(C502))=0</formula>
    </cfRule>
  </conditionalFormatting>
  <conditionalFormatting sqref="C517">
    <cfRule type="containsBlanks" dxfId="2123" priority="157">
      <formula>LEN(TRIM(C517))=0</formula>
    </cfRule>
  </conditionalFormatting>
  <conditionalFormatting sqref="C532">
    <cfRule type="containsBlanks" dxfId="2122" priority="147">
      <formula>LEN(TRIM(C532))=0</formula>
    </cfRule>
  </conditionalFormatting>
  <conditionalFormatting sqref="C547">
    <cfRule type="containsBlanks" dxfId="2121" priority="137">
      <formula>LEN(TRIM(C547))=0</formula>
    </cfRule>
  </conditionalFormatting>
  <conditionalFormatting sqref="C562">
    <cfRule type="containsBlanks" dxfId="2120" priority="127">
      <formula>LEN(TRIM(C562))=0</formula>
    </cfRule>
  </conditionalFormatting>
  <conditionalFormatting sqref="C577">
    <cfRule type="containsBlanks" dxfId="2119" priority="117">
      <formula>LEN(TRIM(C577))=0</formula>
    </cfRule>
  </conditionalFormatting>
  <conditionalFormatting sqref="C592">
    <cfRule type="containsBlanks" dxfId="2118" priority="107">
      <formula>LEN(TRIM(C592))=0</formula>
    </cfRule>
  </conditionalFormatting>
  <conditionalFormatting sqref="C607">
    <cfRule type="containsBlanks" dxfId="2117" priority="97">
      <formula>LEN(TRIM(C607))=0</formula>
    </cfRule>
  </conditionalFormatting>
  <conditionalFormatting sqref="C622">
    <cfRule type="containsBlanks" dxfId="2116" priority="87">
      <formula>LEN(TRIM(C622))=0</formula>
    </cfRule>
  </conditionalFormatting>
  <conditionalFormatting sqref="C637">
    <cfRule type="containsBlanks" dxfId="2115" priority="77">
      <formula>LEN(TRIM(C637))=0</formula>
    </cfRule>
  </conditionalFormatting>
  <conditionalFormatting sqref="C652">
    <cfRule type="containsBlanks" dxfId="2114" priority="67">
      <formula>LEN(TRIM(C652))=0</formula>
    </cfRule>
  </conditionalFormatting>
  <conditionalFormatting sqref="C667">
    <cfRule type="containsBlanks" dxfId="2113" priority="57">
      <formula>LEN(TRIM(C667))=0</formula>
    </cfRule>
  </conditionalFormatting>
  <conditionalFormatting sqref="C682">
    <cfRule type="containsBlanks" dxfId="2112" priority="47">
      <formula>LEN(TRIM(C682))=0</formula>
    </cfRule>
  </conditionalFormatting>
  <conditionalFormatting sqref="C697">
    <cfRule type="containsBlanks" dxfId="2111" priority="37">
      <formula>LEN(TRIM(C697))=0</formula>
    </cfRule>
  </conditionalFormatting>
  <conditionalFormatting sqref="C712">
    <cfRule type="containsBlanks" dxfId="2110" priority="27">
      <formula>LEN(TRIM(C712))=0</formula>
    </cfRule>
  </conditionalFormatting>
  <conditionalFormatting sqref="C727">
    <cfRule type="containsBlanks" dxfId="2109" priority="17">
      <formula>LEN(TRIM(C727))=0</formula>
    </cfRule>
  </conditionalFormatting>
  <conditionalFormatting sqref="C742">
    <cfRule type="containsBlanks" dxfId="2108" priority="7">
      <formula>LEN(TRIM(C742))=0</formula>
    </cfRule>
  </conditionalFormatting>
  <conditionalFormatting sqref="C15:D15">
    <cfRule type="expression" dxfId="2107" priority="1906">
      <formula>$E17="懸念事項"</formula>
    </cfRule>
  </conditionalFormatting>
  <conditionalFormatting sqref="C30:D30">
    <cfRule type="expression" dxfId="2106" priority="482">
      <formula>$E32="懸念事項"</formula>
    </cfRule>
  </conditionalFormatting>
  <conditionalFormatting sqref="C45:D45">
    <cfRule type="expression" dxfId="2105" priority="472">
      <formula>$E47="懸念事項"</formula>
    </cfRule>
  </conditionalFormatting>
  <conditionalFormatting sqref="C60:D60">
    <cfRule type="expression" dxfId="2104" priority="462">
      <formula>$E62="懸念事項"</formula>
    </cfRule>
  </conditionalFormatting>
  <conditionalFormatting sqref="C75:D75">
    <cfRule type="expression" dxfId="2103" priority="452">
      <formula>$E77="懸念事項"</formula>
    </cfRule>
  </conditionalFormatting>
  <conditionalFormatting sqref="C90:D90">
    <cfRule type="expression" dxfId="2102" priority="442">
      <formula>$E92="懸念事項"</formula>
    </cfRule>
  </conditionalFormatting>
  <conditionalFormatting sqref="C105:D105">
    <cfRule type="expression" dxfId="2101" priority="432">
      <formula>$E107="懸念事項"</formula>
    </cfRule>
  </conditionalFormatting>
  <conditionalFormatting sqref="C120:D120">
    <cfRule type="expression" dxfId="2100" priority="422">
      <formula>$E122="懸念事項"</formula>
    </cfRule>
  </conditionalFormatting>
  <conditionalFormatting sqref="C135:D135">
    <cfRule type="expression" dxfId="2099" priority="412">
      <formula>$E137="懸念事項"</formula>
    </cfRule>
  </conditionalFormatting>
  <conditionalFormatting sqref="C150:D150">
    <cfRule type="expression" dxfId="2098" priority="402">
      <formula>$E152="懸念事項"</formula>
    </cfRule>
  </conditionalFormatting>
  <conditionalFormatting sqref="C165:D165">
    <cfRule type="expression" dxfId="2097" priority="392">
      <formula>$E167="懸念事項"</formula>
    </cfRule>
  </conditionalFormatting>
  <conditionalFormatting sqref="C180:D180">
    <cfRule type="expression" dxfId="2096" priority="382">
      <formula>$E182="懸念事項"</formula>
    </cfRule>
  </conditionalFormatting>
  <conditionalFormatting sqref="C195:D195">
    <cfRule type="expression" dxfId="2095" priority="372">
      <formula>$E197="懸念事項"</formula>
    </cfRule>
  </conditionalFormatting>
  <conditionalFormatting sqref="C210:D210">
    <cfRule type="expression" dxfId="2094" priority="362">
      <formula>$E212="懸念事項"</formula>
    </cfRule>
  </conditionalFormatting>
  <conditionalFormatting sqref="C225:D225">
    <cfRule type="expression" dxfId="2093" priority="352">
      <formula>$E227="懸念事項"</formula>
    </cfRule>
  </conditionalFormatting>
  <conditionalFormatting sqref="C240:D240">
    <cfRule type="expression" dxfId="2092" priority="342">
      <formula>$E242="懸念事項"</formula>
    </cfRule>
  </conditionalFormatting>
  <conditionalFormatting sqref="C255:D255">
    <cfRule type="expression" dxfId="2091" priority="332">
      <formula>$E257="懸念事項"</formula>
    </cfRule>
  </conditionalFormatting>
  <conditionalFormatting sqref="C270:D270">
    <cfRule type="expression" dxfId="2090" priority="322">
      <formula>$E272="懸念事項"</formula>
    </cfRule>
  </conditionalFormatting>
  <conditionalFormatting sqref="C285:D285">
    <cfRule type="expression" dxfId="2089" priority="312">
      <formula>$E287="懸念事項"</formula>
    </cfRule>
  </conditionalFormatting>
  <conditionalFormatting sqref="C300:D300">
    <cfRule type="expression" dxfId="2088" priority="302">
      <formula>$E302="懸念事項"</formula>
    </cfRule>
  </conditionalFormatting>
  <conditionalFormatting sqref="C315:D315">
    <cfRule type="expression" dxfId="2087" priority="292">
      <formula>$E317="懸念事項"</formula>
    </cfRule>
  </conditionalFormatting>
  <conditionalFormatting sqref="C330:D330">
    <cfRule type="expression" dxfId="2086" priority="282">
      <formula>$E332="懸念事項"</formula>
    </cfRule>
  </conditionalFormatting>
  <conditionalFormatting sqref="C345:D345">
    <cfRule type="expression" dxfId="2085" priority="272">
      <formula>$E347="懸念事項"</formula>
    </cfRule>
  </conditionalFormatting>
  <conditionalFormatting sqref="C360:D360">
    <cfRule type="expression" dxfId="2084" priority="262">
      <formula>$E362="懸念事項"</formula>
    </cfRule>
  </conditionalFormatting>
  <conditionalFormatting sqref="C375:D375">
    <cfRule type="expression" dxfId="2083" priority="252">
      <formula>$E377="懸念事項"</formula>
    </cfRule>
  </conditionalFormatting>
  <conditionalFormatting sqref="C390:D390">
    <cfRule type="expression" dxfId="2082" priority="242">
      <formula>$E392="懸念事項"</formula>
    </cfRule>
  </conditionalFormatting>
  <conditionalFormatting sqref="C405:D405">
    <cfRule type="expression" dxfId="2081" priority="232">
      <formula>$E407="懸念事項"</formula>
    </cfRule>
  </conditionalFormatting>
  <conditionalFormatting sqref="C420:D420">
    <cfRule type="expression" dxfId="2080" priority="222">
      <formula>$E422="懸念事項"</formula>
    </cfRule>
  </conditionalFormatting>
  <conditionalFormatting sqref="C435:D435">
    <cfRule type="expression" dxfId="2079" priority="212">
      <formula>$E437="懸念事項"</formula>
    </cfRule>
  </conditionalFormatting>
  <conditionalFormatting sqref="C450:D450">
    <cfRule type="expression" dxfId="2078" priority="202">
      <formula>$E452="懸念事項"</formula>
    </cfRule>
  </conditionalFormatting>
  <conditionalFormatting sqref="C465:D465">
    <cfRule type="expression" dxfId="2077" priority="192">
      <formula>$E467="懸念事項"</formula>
    </cfRule>
  </conditionalFormatting>
  <conditionalFormatting sqref="C480:D480">
    <cfRule type="expression" dxfId="2076" priority="182">
      <formula>$E482="懸念事項"</formula>
    </cfRule>
  </conditionalFormatting>
  <conditionalFormatting sqref="C495:D495">
    <cfRule type="expression" dxfId="2075" priority="172">
      <formula>$E497="懸念事項"</formula>
    </cfRule>
  </conditionalFormatting>
  <conditionalFormatting sqref="C510:D510">
    <cfRule type="expression" dxfId="2074" priority="162">
      <formula>$E512="懸念事項"</formula>
    </cfRule>
  </conditionalFormatting>
  <conditionalFormatting sqref="C525:D525">
    <cfRule type="expression" dxfId="2073" priority="152">
      <formula>$E527="懸念事項"</formula>
    </cfRule>
  </conditionalFormatting>
  <conditionalFormatting sqref="C540:D540">
    <cfRule type="expression" dxfId="2072" priority="142">
      <formula>$E542="懸念事項"</formula>
    </cfRule>
  </conditionalFormatting>
  <conditionalFormatting sqref="C555:D555">
    <cfRule type="expression" dxfId="2071" priority="132">
      <formula>$E557="懸念事項"</formula>
    </cfRule>
  </conditionalFormatting>
  <conditionalFormatting sqref="C570:D570">
    <cfRule type="expression" dxfId="2070" priority="122">
      <formula>$E572="懸念事項"</formula>
    </cfRule>
  </conditionalFormatting>
  <conditionalFormatting sqref="C585:D585">
    <cfRule type="expression" dxfId="2069" priority="112">
      <formula>$E587="懸念事項"</formula>
    </cfRule>
  </conditionalFormatting>
  <conditionalFormatting sqref="C600:D600">
    <cfRule type="expression" dxfId="2068" priority="102">
      <formula>$E602="懸念事項"</formula>
    </cfRule>
  </conditionalFormatting>
  <conditionalFormatting sqref="C615:D615">
    <cfRule type="expression" dxfId="2067" priority="92">
      <formula>$E617="懸念事項"</formula>
    </cfRule>
  </conditionalFormatting>
  <conditionalFormatting sqref="C630:D630">
    <cfRule type="expression" dxfId="2066" priority="82">
      <formula>$E632="懸念事項"</formula>
    </cfRule>
  </conditionalFormatting>
  <conditionalFormatting sqref="C645:D645">
    <cfRule type="expression" dxfId="2065" priority="72">
      <formula>$E647="懸念事項"</formula>
    </cfRule>
  </conditionalFormatting>
  <conditionalFormatting sqref="C660:D660">
    <cfRule type="expression" dxfId="2064" priority="62">
      <formula>$E662="懸念事項"</formula>
    </cfRule>
  </conditionalFormatting>
  <conditionalFormatting sqref="C675:D675">
    <cfRule type="expression" dxfId="2063" priority="52">
      <formula>$E677="懸念事項"</formula>
    </cfRule>
  </conditionalFormatting>
  <conditionalFormatting sqref="C690:D690">
    <cfRule type="expression" dxfId="2062" priority="42">
      <formula>$E692="懸念事項"</formula>
    </cfRule>
  </conditionalFormatting>
  <conditionalFormatting sqref="C705:D705">
    <cfRule type="expression" dxfId="2061" priority="32">
      <formula>$E707="懸念事項"</formula>
    </cfRule>
  </conditionalFormatting>
  <conditionalFormatting sqref="C720:D720">
    <cfRule type="expression" dxfId="2060" priority="22">
      <formula>$E722="懸念事項"</formula>
    </cfRule>
  </conditionalFormatting>
  <conditionalFormatting sqref="C735:D735">
    <cfRule type="expression" dxfId="2059" priority="12">
      <formula>$E737="懸念事項"</formula>
    </cfRule>
  </conditionalFormatting>
  <conditionalFormatting sqref="C750:D750">
    <cfRule type="expression" dxfId="2058" priority="2">
      <formula>$E752="懸念事項"</formula>
    </cfRule>
  </conditionalFormatting>
  <conditionalFormatting sqref="C11:K15">
    <cfRule type="expression" dxfId="2057" priority="2279">
      <formula>$R11=""</formula>
    </cfRule>
  </conditionalFormatting>
  <conditionalFormatting sqref="C26:K30">
    <cfRule type="expression" dxfId="2056" priority="485">
      <formula>$R26=""</formula>
    </cfRule>
  </conditionalFormatting>
  <conditionalFormatting sqref="C41:K45">
    <cfRule type="expression" dxfId="2055" priority="475">
      <formula>$R41=""</formula>
    </cfRule>
  </conditionalFormatting>
  <conditionalFormatting sqref="C56:K60">
    <cfRule type="expression" dxfId="2054" priority="465">
      <formula>$R56=""</formula>
    </cfRule>
  </conditionalFormatting>
  <conditionalFormatting sqref="C71:K75">
    <cfRule type="expression" dxfId="2053" priority="455">
      <formula>$R71=""</formula>
    </cfRule>
  </conditionalFormatting>
  <conditionalFormatting sqref="C86:K90">
    <cfRule type="expression" dxfId="2052" priority="445">
      <formula>$R86=""</formula>
    </cfRule>
  </conditionalFormatting>
  <conditionalFormatting sqref="C101:K105">
    <cfRule type="expression" dxfId="2051" priority="435">
      <formula>$R101=""</formula>
    </cfRule>
  </conditionalFormatting>
  <conditionalFormatting sqref="C116:K120">
    <cfRule type="expression" dxfId="2050" priority="425">
      <formula>$R116=""</formula>
    </cfRule>
  </conditionalFormatting>
  <conditionalFormatting sqref="C131:K135">
    <cfRule type="expression" dxfId="2049" priority="415">
      <formula>$R131=""</formula>
    </cfRule>
  </conditionalFormatting>
  <conditionalFormatting sqref="C146:K150">
    <cfRule type="expression" dxfId="2048" priority="405">
      <formula>$R146=""</formula>
    </cfRule>
  </conditionalFormatting>
  <conditionalFormatting sqref="C161:K165">
    <cfRule type="expression" dxfId="2047" priority="395">
      <formula>$R161=""</formula>
    </cfRule>
  </conditionalFormatting>
  <conditionalFormatting sqref="C176:K180">
    <cfRule type="expression" dxfId="2046" priority="385">
      <formula>$R176=""</formula>
    </cfRule>
  </conditionalFormatting>
  <conditionalFormatting sqref="C191:K195">
    <cfRule type="expression" dxfId="2045" priority="375">
      <formula>$R191=""</formula>
    </cfRule>
  </conditionalFormatting>
  <conditionalFormatting sqref="C206:K210">
    <cfRule type="expression" dxfId="2044" priority="365">
      <formula>$R206=""</formula>
    </cfRule>
  </conditionalFormatting>
  <conditionalFormatting sqref="C221:K225">
    <cfRule type="expression" dxfId="2043" priority="355">
      <formula>$R221=""</formula>
    </cfRule>
  </conditionalFormatting>
  <conditionalFormatting sqref="C236:K240">
    <cfRule type="expression" dxfId="2042" priority="345">
      <formula>$R236=""</formula>
    </cfRule>
  </conditionalFormatting>
  <conditionalFormatting sqref="C251:K255">
    <cfRule type="expression" dxfId="2041" priority="335">
      <formula>$R251=""</formula>
    </cfRule>
  </conditionalFormatting>
  <conditionalFormatting sqref="C266:K270">
    <cfRule type="expression" dxfId="2040" priority="325">
      <formula>$R266=""</formula>
    </cfRule>
  </conditionalFormatting>
  <conditionalFormatting sqref="C281:K285">
    <cfRule type="expression" dxfId="2039" priority="315">
      <formula>$R281=""</formula>
    </cfRule>
  </conditionalFormatting>
  <conditionalFormatting sqref="C296:K300">
    <cfRule type="expression" dxfId="2038" priority="305">
      <formula>$R296=""</formula>
    </cfRule>
  </conditionalFormatting>
  <conditionalFormatting sqref="C311:K315">
    <cfRule type="expression" dxfId="2037" priority="295">
      <formula>$R311=""</formula>
    </cfRule>
  </conditionalFormatting>
  <conditionalFormatting sqref="C326:K330">
    <cfRule type="expression" dxfId="2036" priority="285">
      <formula>$R326=""</formula>
    </cfRule>
  </conditionalFormatting>
  <conditionalFormatting sqref="C341:K345">
    <cfRule type="expression" dxfId="2035" priority="275">
      <formula>$R341=""</formula>
    </cfRule>
  </conditionalFormatting>
  <conditionalFormatting sqref="C356:K360">
    <cfRule type="expression" dxfId="2034" priority="265">
      <formula>$R356=""</formula>
    </cfRule>
  </conditionalFormatting>
  <conditionalFormatting sqref="C371:K375">
    <cfRule type="expression" dxfId="2033" priority="255">
      <formula>$R371=""</formula>
    </cfRule>
  </conditionalFormatting>
  <conditionalFormatting sqref="C386:K390">
    <cfRule type="expression" dxfId="2032" priority="245">
      <formula>$R386=""</formula>
    </cfRule>
  </conditionalFormatting>
  <conditionalFormatting sqref="C401:K405">
    <cfRule type="expression" dxfId="2031" priority="235">
      <formula>$R401=""</formula>
    </cfRule>
  </conditionalFormatting>
  <conditionalFormatting sqref="C416:K420">
    <cfRule type="expression" dxfId="2030" priority="225">
      <formula>$R416=""</formula>
    </cfRule>
  </conditionalFormatting>
  <conditionalFormatting sqref="C431:K435">
    <cfRule type="expression" dxfId="2029" priority="215">
      <formula>$R431=""</formula>
    </cfRule>
  </conditionalFormatting>
  <conditionalFormatting sqref="C446:K450">
    <cfRule type="expression" dxfId="2028" priority="205">
      <formula>$R446=""</formula>
    </cfRule>
  </conditionalFormatting>
  <conditionalFormatting sqref="C461:K465">
    <cfRule type="expression" dxfId="2027" priority="195">
      <formula>$R461=""</formula>
    </cfRule>
  </conditionalFormatting>
  <conditionalFormatting sqref="C476:K480">
    <cfRule type="expression" dxfId="2026" priority="185">
      <formula>$R476=""</formula>
    </cfRule>
  </conditionalFormatting>
  <conditionalFormatting sqref="C491:K495">
    <cfRule type="expression" dxfId="2025" priority="175">
      <formula>$R491=""</formula>
    </cfRule>
  </conditionalFormatting>
  <conditionalFormatting sqref="C506:K510">
    <cfRule type="expression" dxfId="2024" priority="165">
      <formula>$R506=""</formula>
    </cfRule>
  </conditionalFormatting>
  <conditionalFormatting sqref="C521:K525">
    <cfRule type="expression" dxfId="2023" priority="155">
      <formula>$R521=""</formula>
    </cfRule>
  </conditionalFormatting>
  <conditionalFormatting sqref="C536:K540">
    <cfRule type="expression" dxfId="2022" priority="145">
      <formula>$R536=""</formula>
    </cfRule>
  </conditionalFormatting>
  <conditionalFormatting sqref="C551:K555">
    <cfRule type="expression" dxfId="2021" priority="135">
      <formula>$R551=""</formula>
    </cfRule>
  </conditionalFormatting>
  <conditionalFormatting sqref="C566:K570">
    <cfRule type="expression" dxfId="2020" priority="125">
      <formula>$R566=""</formula>
    </cfRule>
  </conditionalFormatting>
  <conditionalFormatting sqref="C581:K585">
    <cfRule type="expression" dxfId="2019" priority="115">
      <formula>$R581=""</formula>
    </cfRule>
  </conditionalFormatting>
  <conditionalFormatting sqref="C596:K600">
    <cfRule type="expression" dxfId="2018" priority="105">
      <formula>$R596=""</formula>
    </cfRule>
  </conditionalFormatting>
  <conditionalFormatting sqref="C611:K615">
    <cfRule type="expression" dxfId="2017" priority="95">
      <formula>$R611=""</formula>
    </cfRule>
  </conditionalFormatting>
  <conditionalFormatting sqref="C626:K630">
    <cfRule type="expression" dxfId="2016" priority="85">
      <formula>$R626=""</formula>
    </cfRule>
  </conditionalFormatting>
  <conditionalFormatting sqref="C641:K645">
    <cfRule type="expression" dxfId="2015" priority="75">
      <formula>$R641=""</formula>
    </cfRule>
  </conditionalFormatting>
  <conditionalFormatting sqref="C656:K660">
    <cfRule type="expression" dxfId="2014" priority="65">
      <formula>$R656=""</formula>
    </cfRule>
  </conditionalFormatting>
  <conditionalFormatting sqref="C671:K675">
    <cfRule type="expression" dxfId="2013" priority="55">
      <formula>$R671=""</formula>
    </cfRule>
  </conditionalFormatting>
  <conditionalFormatting sqref="C686:K690">
    <cfRule type="expression" dxfId="2012" priority="45">
      <formula>$R686=""</formula>
    </cfRule>
  </conditionalFormatting>
  <conditionalFormatting sqref="C701:K705">
    <cfRule type="expression" dxfId="2011" priority="35">
      <formula>$R701=""</formula>
    </cfRule>
  </conditionalFormatting>
  <conditionalFormatting sqref="C716:K720">
    <cfRule type="expression" dxfId="2010" priority="25">
      <formula>$R716=""</formula>
    </cfRule>
  </conditionalFormatting>
  <conditionalFormatting sqref="C731:K735">
    <cfRule type="expression" dxfId="2009" priority="15">
      <formula>$R731=""</formula>
    </cfRule>
  </conditionalFormatting>
  <conditionalFormatting sqref="C746:K750">
    <cfRule type="expression" dxfId="2008" priority="5">
      <formula>$R746=""</formula>
    </cfRule>
  </conditionalFormatting>
  <conditionalFormatting sqref="D7:D8">
    <cfRule type="containsText" dxfId="2007" priority="2277" operator="containsText" text="選択してください">
      <formula>NOT(ISERROR(SEARCH("選択してください",D7)))</formula>
    </cfRule>
  </conditionalFormatting>
  <conditionalFormatting sqref="D22:D23">
    <cfRule type="containsText" dxfId="2006" priority="484" operator="containsText" text="選択してください">
      <formula>NOT(ISERROR(SEARCH("選択してください",D22)))</formula>
    </cfRule>
  </conditionalFormatting>
  <conditionalFormatting sqref="D37:D38">
    <cfRule type="containsText" dxfId="2005" priority="474" operator="containsText" text="選択してください">
      <formula>NOT(ISERROR(SEARCH("選択してください",D37)))</formula>
    </cfRule>
  </conditionalFormatting>
  <conditionalFormatting sqref="D52:D53">
    <cfRule type="containsText" dxfId="2004" priority="464" operator="containsText" text="選択してください">
      <formula>NOT(ISERROR(SEARCH("選択してください",D52)))</formula>
    </cfRule>
  </conditionalFormatting>
  <conditionalFormatting sqref="D67:D68">
    <cfRule type="containsText" dxfId="2003" priority="454" operator="containsText" text="選択してください">
      <formula>NOT(ISERROR(SEARCH("選択してください",D67)))</formula>
    </cfRule>
  </conditionalFormatting>
  <conditionalFormatting sqref="D82:D83">
    <cfRule type="containsText" dxfId="2002" priority="444" operator="containsText" text="選択してください">
      <formula>NOT(ISERROR(SEARCH("選択してください",D82)))</formula>
    </cfRule>
  </conditionalFormatting>
  <conditionalFormatting sqref="D97:D98">
    <cfRule type="containsText" dxfId="2001" priority="434" operator="containsText" text="選択してください">
      <formula>NOT(ISERROR(SEARCH("選択してください",D97)))</formula>
    </cfRule>
  </conditionalFormatting>
  <conditionalFormatting sqref="D112:D113">
    <cfRule type="containsText" dxfId="2000" priority="424" operator="containsText" text="選択してください">
      <formula>NOT(ISERROR(SEARCH("選択してください",D112)))</formula>
    </cfRule>
  </conditionalFormatting>
  <conditionalFormatting sqref="D127:D128">
    <cfRule type="containsText" dxfId="1999" priority="414" operator="containsText" text="選択してください">
      <formula>NOT(ISERROR(SEARCH("選択してください",D127)))</formula>
    </cfRule>
  </conditionalFormatting>
  <conditionalFormatting sqref="D142:D143">
    <cfRule type="containsText" dxfId="1998" priority="404" operator="containsText" text="選択してください">
      <formula>NOT(ISERROR(SEARCH("選択してください",D142)))</formula>
    </cfRule>
  </conditionalFormatting>
  <conditionalFormatting sqref="D157:D158">
    <cfRule type="containsText" dxfId="1997" priority="394" operator="containsText" text="選択してください">
      <formula>NOT(ISERROR(SEARCH("選択してください",D157)))</formula>
    </cfRule>
  </conditionalFormatting>
  <conditionalFormatting sqref="D172:D173">
    <cfRule type="containsText" dxfId="1996" priority="384" operator="containsText" text="選択してください">
      <formula>NOT(ISERROR(SEARCH("選択してください",D172)))</formula>
    </cfRule>
  </conditionalFormatting>
  <conditionalFormatting sqref="D187:D188">
    <cfRule type="containsText" dxfId="1995" priority="374" operator="containsText" text="選択してください">
      <formula>NOT(ISERROR(SEARCH("選択してください",D187)))</formula>
    </cfRule>
  </conditionalFormatting>
  <conditionalFormatting sqref="D202:D203">
    <cfRule type="containsText" dxfId="1994" priority="364" operator="containsText" text="選択してください">
      <formula>NOT(ISERROR(SEARCH("選択してください",D202)))</formula>
    </cfRule>
  </conditionalFormatting>
  <conditionalFormatting sqref="D217:D218">
    <cfRule type="containsText" dxfId="1993" priority="354" operator="containsText" text="選択してください">
      <formula>NOT(ISERROR(SEARCH("選択してください",D217)))</formula>
    </cfRule>
  </conditionalFormatting>
  <conditionalFormatting sqref="D232:D233">
    <cfRule type="containsText" dxfId="1992" priority="344" operator="containsText" text="選択してください">
      <formula>NOT(ISERROR(SEARCH("選択してください",D232)))</formula>
    </cfRule>
  </conditionalFormatting>
  <conditionalFormatting sqref="D247:D248">
    <cfRule type="containsText" dxfId="1991" priority="334" operator="containsText" text="選択してください">
      <formula>NOT(ISERROR(SEARCH("選択してください",D247)))</formula>
    </cfRule>
  </conditionalFormatting>
  <conditionalFormatting sqref="D262:D263">
    <cfRule type="containsText" dxfId="1990" priority="324" operator="containsText" text="選択してください">
      <formula>NOT(ISERROR(SEARCH("選択してください",D262)))</formula>
    </cfRule>
  </conditionalFormatting>
  <conditionalFormatting sqref="D277:D278">
    <cfRule type="containsText" dxfId="1989" priority="314" operator="containsText" text="選択してください">
      <formula>NOT(ISERROR(SEARCH("選択してください",D277)))</formula>
    </cfRule>
  </conditionalFormatting>
  <conditionalFormatting sqref="D292:D293">
    <cfRule type="containsText" dxfId="1988" priority="304" operator="containsText" text="選択してください">
      <formula>NOT(ISERROR(SEARCH("選択してください",D292)))</formula>
    </cfRule>
  </conditionalFormatting>
  <conditionalFormatting sqref="D307:D308">
    <cfRule type="containsText" dxfId="1987" priority="294" operator="containsText" text="選択してください">
      <formula>NOT(ISERROR(SEARCH("選択してください",D307)))</formula>
    </cfRule>
  </conditionalFormatting>
  <conditionalFormatting sqref="D322:D323">
    <cfRule type="containsText" dxfId="1986" priority="284" operator="containsText" text="選択してください">
      <formula>NOT(ISERROR(SEARCH("選択してください",D322)))</formula>
    </cfRule>
  </conditionalFormatting>
  <conditionalFormatting sqref="D337:D338">
    <cfRule type="containsText" dxfId="1985" priority="274" operator="containsText" text="選択してください">
      <formula>NOT(ISERROR(SEARCH("選択してください",D337)))</formula>
    </cfRule>
  </conditionalFormatting>
  <conditionalFormatting sqref="D352:D353">
    <cfRule type="containsText" dxfId="1984" priority="264" operator="containsText" text="選択してください">
      <formula>NOT(ISERROR(SEARCH("選択してください",D352)))</formula>
    </cfRule>
  </conditionalFormatting>
  <conditionalFormatting sqref="D367:D368">
    <cfRule type="containsText" dxfId="1983" priority="254" operator="containsText" text="選択してください">
      <formula>NOT(ISERROR(SEARCH("選択してください",D367)))</formula>
    </cfRule>
  </conditionalFormatting>
  <conditionalFormatting sqref="D382:D383">
    <cfRule type="containsText" dxfId="1982" priority="244" operator="containsText" text="選択してください">
      <formula>NOT(ISERROR(SEARCH("選択してください",D382)))</formula>
    </cfRule>
  </conditionalFormatting>
  <conditionalFormatting sqref="D397:D398">
    <cfRule type="containsText" dxfId="1981" priority="234" operator="containsText" text="選択してください">
      <formula>NOT(ISERROR(SEARCH("選択してください",D397)))</formula>
    </cfRule>
  </conditionalFormatting>
  <conditionalFormatting sqref="D412:D413">
    <cfRule type="containsText" dxfId="1980" priority="224" operator="containsText" text="選択してください">
      <formula>NOT(ISERROR(SEARCH("選択してください",D412)))</formula>
    </cfRule>
  </conditionalFormatting>
  <conditionalFormatting sqref="D427:D428">
    <cfRule type="containsText" dxfId="1979" priority="214" operator="containsText" text="選択してください">
      <formula>NOT(ISERROR(SEARCH("選択してください",D427)))</formula>
    </cfRule>
  </conditionalFormatting>
  <conditionalFormatting sqref="D442:D443">
    <cfRule type="containsText" dxfId="1978" priority="204" operator="containsText" text="選択してください">
      <formula>NOT(ISERROR(SEARCH("選択してください",D442)))</formula>
    </cfRule>
  </conditionalFormatting>
  <conditionalFormatting sqref="D457:D458">
    <cfRule type="containsText" dxfId="1977" priority="194" operator="containsText" text="選択してください">
      <formula>NOT(ISERROR(SEARCH("選択してください",D457)))</formula>
    </cfRule>
  </conditionalFormatting>
  <conditionalFormatting sqref="D472:D473">
    <cfRule type="containsText" dxfId="1976" priority="184" operator="containsText" text="選択してください">
      <formula>NOT(ISERROR(SEARCH("選択してください",D472)))</formula>
    </cfRule>
  </conditionalFormatting>
  <conditionalFormatting sqref="D487:D488">
    <cfRule type="containsText" dxfId="1975" priority="174" operator="containsText" text="選択してください">
      <formula>NOT(ISERROR(SEARCH("選択してください",D487)))</formula>
    </cfRule>
  </conditionalFormatting>
  <conditionalFormatting sqref="D502:D503">
    <cfRule type="containsText" dxfId="1974" priority="164" operator="containsText" text="選択してください">
      <formula>NOT(ISERROR(SEARCH("選択してください",D502)))</formula>
    </cfRule>
  </conditionalFormatting>
  <conditionalFormatting sqref="D517:D518">
    <cfRule type="containsText" dxfId="1973" priority="154" operator="containsText" text="選択してください">
      <formula>NOT(ISERROR(SEARCH("選択してください",D517)))</formula>
    </cfRule>
  </conditionalFormatting>
  <conditionalFormatting sqref="D532:D533">
    <cfRule type="containsText" dxfId="1972" priority="144" operator="containsText" text="選択してください">
      <formula>NOT(ISERROR(SEARCH("選択してください",D532)))</formula>
    </cfRule>
  </conditionalFormatting>
  <conditionalFormatting sqref="D547:D548">
    <cfRule type="containsText" dxfId="1971" priority="134" operator="containsText" text="選択してください">
      <formula>NOT(ISERROR(SEARCH("選択してください",D547)))</formula>
    </cfRule>
  </conditionalFormatting>
  <conditionalFormatting sqref="D562:D563">
    <cfRule type="containsText" dxfId="1970" priority="124" operator="containsText" text="選択してください">
      <formula>NOT(ISERROR(SEARCH("選択してください",D562)))</formula>
    </cfRule>
  </conditionalFormatting>
  <conditionalFormatting sqref="D577:D578">
    <cfRule type="containsText" dxfId="1969" priority="114" operator="containsText" text="選択してください">
      <formula>NOT(ISERROR(SEARCH("選択してください",D577)))</formula>
    </cfRule>
  </conditionalFormatting>
  <conditionalFormatting sqref="D592:D593">
    <cfRule type="containsText" dxfId="1968" priority="104" operator="containsText" text="選択してください">
      <formula>NOT(ISERROR(SEARCH("選択してください",D592)))</formula>
    </cfRule>
  </conditionalFormatting>
  <conditionalFormatting sqref="D607:D608">
    <cfRule type="containsText" dxfId="1967" priority="94" operator="containsText" text="選択してください">
      <formula>NOT(ISERROR(SEARCH("選択してください",D607)))</formula>
    </cfRule>
  </conditionalFormatting>
  <conditionalFormatting sqref="D622:D623">
    <cfRule type="containsText" dxfId="1966" priority="84" operator="containsText" text="選択してください">
      <formula>NOT(ISERROR(SEARCH("選択してください",D622)))</formula>
    </cfRule>
  </conditionalFormatting>
  <conditionalFormatting sqref="D637:D638">
    <cfRule type="containsText" dxfId="1965" priority="74" operator="containsText" text="選択してください">
      <formula>NOT(ISERROR(SEARCH("選択してください",D637)))</formula>
    </cfRule>
  </conditionalFormatting>
  <conditionalFormatting sqref="D652:D653">
    <cfRule type="containsText" dxfId="1964" priority="64" operator="containsText" text="選択してください">
      <formula>NOT(ISERROR(SEARCH("選択してください",D652)))</formula>
    </cfRule>
  </conditionalFormatting>
  <conditionalFormatting sqref="D667:D668">
    <cfRule type="containsText" dxfId="1963" priority="54" operator="containsText" text="選択してください">
      <formula>NOT(ISERROR(SEARCH("選択してください",D667)))</formula>
    </cfRule>
  </conditionalFormatting>
  <conditionalFormatting sqref="D682:D683">
    <cfRule type="containsText" dxfId="1962" priority="44" operator="containsText" text="選択してください">
      <formula>NOT(ISERROR(SEARCH("選択してください",D682)))</formula>
    </cfRule>
  </conditionalFormatting>
  <conditionalFormatting sqref="D697:D698">
    <cfRule type="containsText" dxfId="1961" priority="34" operator="containsText" text="選択してください">
      <formula>NOT(ISERROR(SEARCH("選択してください",D697)))</formula>
    </cfRule>
  </conditionalFormatting>
  <conditionalFormatting sqref="D712:D713">
    <cfRule type="containsText" dxfId="1960" priority="24" operator="containsText" text="選択してください">
      <formula>NOT(ISERROR(SEARCH("選択してください",D712)))</formula>
    </cfRule>
  </conditionalFormatting>
  <conditionalFormatting sqref="D727:D728">
    <cfRule type="containsText" dxfId="1959" priority="14" operator="containsText" text="選択してください">
      <formula>NOT(ISERROR(SEARCH("選択してください",D727)))</formula>
    </cfRule>
  </conditionalFormatting>
  <conditionalFormatting sqref="D742:D743">
    <cfRule type="containsText" dxfId="1958" priority="4" operator="containsText" text="選択してください">
      <formula>NOT(ISERROR(SEARCH("選択してください",D742)))</formula>
    </cfRule>
  </conditionalFormatting>
  <conditionalFormatting sqref="E12:K15">
    <cfRule type="notContainsBlanks" dxfId="1957" priority="2154">
      <formula>LEN(TRIM(E12))&gt;0</formula>
    </cfRule>
  </conditionalFormatting>
  <conditionalFormatting sqref="E27:K30">
    <cfRule type="notContainsBlanks" dxfId="1956" priority="483">
      <formula>LEN(TRIM(E27))&gt;0</formula>
    </cfRule>
  </conditionalFormatting>
  <conditionalFormatting sqref="E42:K45">
    <cfRule type="notContainsBlanks" dxfId="1955" priority="473">
      <formula>LEN(TRIM(E42))&gt;0</formula>
    </cfRule>
  </conditionalFormatting>
  <conditionalFormatting sqref="E57:K60">
    <cfRule type="notContainsBlanks" dxfId="1954" priority="463">
      <formula>LEN(TRIM(E57))&gt;0</formula>
    </cfRule>
  </conditionalFormatting>
  <conditionalFormatting sqref="E72:K75">
    <cfRule type="notContainsBlanks" dxfId="1953" priority="453">
      <formula>LEN(TRIM(E72))&gt;0</formula>
    </cfRule>
  </conditionalFormatting>
  <conditionalFormatting sqref="E87:K90">
    <cfRule type="notContainsBlanks" dxfId="1952" priority="443">
      <formula>LEN(TRIM(E87))&gt;0</formula>
    </cfRule>
  </conditionalFormatting>
  <conditionalFormatting sqref="E102:K105">
    <cfRule type="notContainsBlanks" dxfId="1951" priority="433">
      <formula>LEN(TRIM(E102))&gt;0</formula>
    </cfRule>
  </conditionalFormatting>
  <conditionalFormatting sqref="E117:K120">
    <cfRule type="notContainsBlanks" dxfId="1950" priority="423">
      <formula>LEN(TRIM(E117))&gt;0</formula>
    </cfRule>
  </conditionalFormatting>
  <conditionalFormatting sqref="E132:K135">
    <cfRule type="notContainsBlanks" dxfId="1949" priority="413">
      <formula>LEN(TRIM(E132))&gt;0</formula>
    </cfRule>
  </conditionalFormatting>
  <conditionalFormatting sqref="E147:K150">
    <cfRule type="notContainsBlanks" dxfId="1948" priority="403">
      <formula>LEN(TRIM(E147))&gt;0</formula>
    </cfRule>
  </conditionalFormatting>
  <conditionalFormatting sqref="E162:K165">
    <cfRule type="notContainsBlanks" dxfId="1947" priority="393">
      <formula>LEN(TRIM(E162))&gt;0</formula>
    </cfRule>
  </conditionalFormatting>
  <conditionalFormatting sqref="E177:K180">
    <cfRule type="notContainsBlanks" dxfId="1946" priority="383">
      <formula>LEN(TRIM(E177))&gt;0</formula>
    </cfRule>
  </conditionalFormatting>
  <conditionalFormatting sqref="E192:K195">
    <cfRule type="notContainsBlanks" dxfId="1945" priority="373">
      <formula>LEN(TRIM(E192))&gt;0</formula>
    </cfRule>
  </conditionalFormatting>
  <conditionalFormatting sqref="E207:K210">
    <cfRule type="notContainsBlanks" dxfId="1944" priority="363">
      <formula>LEN(TRIM(E207))&gt;0</formula>
    </cfRule>
  </conditionalFormatting>
  <conditionalFormatting sqref="E222:K225">
    <cfRule type="notContainsBlanks" dxfId="1943" priority="353">
      <formula>LEN(TRIM(E222))&gt;0</formula>
    </cfRule>
  </conditionalFormatting>
  <conditionalFormatting sqref="E237:K240">
    <cfRule type="notContainsBlanks" dxfId="1942" priority="343">
      <formula>LEN(TRIM(E237))&gt;0</formula>
    </cfRule>
  </conditionalFormatting>
  <conditionalFormatting sqref="E252:K255">
    <cfRule type="notContainsBlanks" dxfId="1941" priority="333">
      <formula>LEN(TRIM(E252))&gt;0</formula>
    </cfRule>
  </conditionalFormatting>
  <conditionalFormatting sqref="E267:K270">
    <cfRule type="notContainsBlanks" dxfId="1940" priority="323">
      <formula>LEN(TRIM(E267))&gt;0</formula>
    </cfRule>
  </conditionalFormatting>
  <conditionalFormatting sqref="E282:K285">
    <cfRule type="notContainsBlanks" dxfId="1939" priority="313">
      <formula>LEN(TRIM(E282))&gt;0</formula>
    </cfRule>
  </conditionalFormatting>
  <conditionalFormatting sqref="E297:K300">
    <cfRule type="notContainsBlanks" dxfId="1938" priority="303">
      <formula>LEN(TRIM(E297))&gt;0</formula>
    </cfRule>
  </conditionalFormatting>
  <conditionalFormatting sqref="E312:K315">
    <cfRule type="notContainsBlanks" dxfId="1937" priority="293">
      <formula>LEN(TRIM(E312))&gt;0</formula>
    </cfRule>
  </conditionalFormatting>
  <conditionalFormatting sqref="E327:K330">
    <cfRule type="notContainsBlanks" dxfId="1936" priority="283">
      <formula>LEN(TRIM(E327))&gt;0</formula>
    </cfRule>
  </conditionalFormatting>
  <conditionalFormatting sqref="E342:K345">
    <cfRule type="notContainsBlanks" dxfId="1935" priority="273">
      <formula>LEN(TRIM(E342))&gt;0</formula>
    </cfRule>
  </conditionalFormatting>
  <conditionalFormatting sqref="E357:K360">
    <cfRule type="notContainsBlanks" dxfId="1934" priority="263">
      <formula>LEN(TRIM(E357))&gt;0</formula>
    </cfRule>
  </conditionalFormatting>
  <conditionalFormatting sqref="E372:K375">
    <cfRule type="notContainsBlanks" dxfId="1933" priority="253">
      <formula>LEN(TRIM(E372))&gt;0</formula>
    </cfRule>
  </conditionalFormatting>
  <conditionalFormatting sqref="E387:K390">
    <cfRule type="notContainsBlanks" dxfId="1932" priority="243">
      <formula>LEN(TRIM(E387))&gt;0</formula>
    </cfRule>
  </conditionalFormatting>
  <conditionalFormatting sqref="E402:K405">
    <cfRule type="notContainsBlanks" dxfId="1931" priority="233">
      <formula>LEN(TRIM(E402))&gt;0</formula>
    </cfRule>
  </conditionalFormatting>
  <conditionalFormatting sqref="E417:K420">
    <cfRule type="notContainsBlanks" dxfId="1930" priority="223">
      <formula>LEN(TRIM(E417))&gt;0</formula>
    </cfRule>
  </conditionalFormatting>
  <conditionalFormatting sqref="E432:K435">
    <cfRule type="notContainsBlanks" dxfId="1929" priority="213">
      <formula>LEN(TRIM(E432))&gt;0</formula>
    </cfRule>
  </conditionalFormatting>
  <conditionalFormatting sqref="E447:K450">
    <cfRule type="notContainsBlanks" dxfId="1928" priority="203">
      <formula>LEN(TRIM(E447))&gt;0</formula>
    </cfRule>
  </conditionalFormatting>
  <conditionalFormatting sqref="E462:K465">
    <cfRule type="notContainsBlanks" dxfId="1927" priority="193">
      <formula>LEN(TRIM(E462))&gt;0</formula>
    </cfRule>
  </conditionalFormatting>
  <conditionalFormatting sqref="E477:K480">
    <cfRule type="notContainsBlanks" dxfId="1926" priority="183">
      <formula>LEN(TRIM(E477))&gt;0</formula>
    </cfRule>
  </conditionalFormatting>
  <conditionalFormatting sqref="E492:K495">
    <cfRule type="notContainsBlanks" dxfId="1925" priority="173">
      <formula>LEN(TRIM(E492))&gt;0</formula>
    </cfRule>
  </conditionalFormatting>
  <conditionalFormatting sqref="E507:K510">
    <cfRule type="notContainsBlanks" dxfId="1924" priority="163">
      <formula>LEN(TRIM(E507))&gt;0</formula>
    </cfRule>
  </conditionalFormatting>
  <conditionalFormatting sqref="E522:K525">
    <cfRule type="notContainsBlanks" dxfId="1923" priority="153">
      <formula>LEN(TRIM(E522))&gt;0</formula>
    </cfRule>
  </conditionalFormatting>
  <conditionalFormatting sqref="E537:K540">
    <cfRule type="notContainsBlanks" dxfId="1922" priority="143">
      <formula>LEN(TRIM(E537))&gt;0</formula>
    </cfRule>
  </conditionalFormatting>
  <conditionalFormatting sqref="E552:K555">
    <cfRule type="notContainsBlanks" dxfId="1921" priority="133">
      <formula>LEN(TRIM(E552))&gt;0</formula>
    </cfRule>
  </conditionalFormatting>
  <conditionalFormatting sqref="E567:K570">
    <cfRule type="notContainsBlanks" dxfId="1920" priority="123">
      <formula>LEN(TRIM(E567))&gt;0</formula>
    </cfRule>
  </conditionalFormatting>
  <conditionalFormatting sqref="E582:K585">
    <cfRule type="notContainsBlanks" dxfId="1919" priority="113">
      <formula>LEN(TRIM(E582))&gt;0</formula>
    </cfRule>
  </conditionalFormatting>
  <conditionalFormatting sqref="E597:K600">
    <cfRule type="notContainsBlanks" dxfId="1918" priority="103">
      <formula>LEN(TRIM(E597))&gt;0</formula>
    </cfRule>
  </conditionalFormatting>
  <conditionalFormatting sqref="E612:K615">
    <cfRule type="notContainsBlanks" dxfId="1917" priority="93">
      <formula>LEN(TRIM(E612))&gt;0</formula>
    </cfRule>
  </conditionalFormatting>
  <conditionalFormatting sqref="E627:K630">
    <cfRule type="notContainsBlanks" dxfId="1916" priority="83">
      <formula>LEN(TRIM(E627))&gt;0</formula>
    </cfRule>
  </conditionalFormatting>
  <conditionalFormatting sqref="E642:K645">
    <cfRule type="notContainsBlanks" dxfId="1915" priority="73">
      <formula>LEN(TRIM(E642))&gt;0</formula>
    </cfRule>
  </conditionalFormatting>
  <conditionalFormatting sqref="E657:K660">
    <cfRule type="notContainsBlanks" dxfId="1914" priority="63">
      <formula>LEN(TRIM(E657))&gt;0</formula>
    </cfRule>
  </conditionalFormatting>
  <conditionalFormatting sqref="E672:K675">
    <cfRule type="notContainsBlanks" dxfId="1913" priority="53">
      <formula>LEN(TRIM(E672))&gt;0</formula>
    </cfRule>
  </conditionalFormatting>
  <conditionalFormatting sqref="E687:K690">
    <cfRule type="notContainsBlanks" dxfId="1912" priority="43">
      <formula>LEN(TRIM(E687))&gt;0</formula>
    </cfRule>
  </conditionalFormatting>
  <conditionalFormatting sqref="E702:K705">
    <cfRule type="notContainsBlanks" dxfId="1911" priority="33">
      <formula>LEN(TRIM(E702))&gt;0</formula>
    </cfRule>
  </conditionalFormatting>
  <conditionalFormatting sqref="E717:K720">
    <cfRule type="notContainsBlanks" dxfId="1910" priority="23">
      <formula>LEN(TRIM(E717))&gt;0</formula>
    </cfRule>
  </conditionalFormatting>
  <conditionalFormatting sqref="E732:K735">
    <cfRule type="notContainsBlanks" dxfId="1909" priority="13">
      <formula>LEN(TRIM(E732))&gt;0</formula>
    </cfRule>
  </conditionalFormatting>
  <conditionalFormatting sqref="E747:K750">
    <cfRule type="notContainsBlanks" dxfId="1908" priority="3">
      <formula>LEN(TRIM(E747))&gt;0</formula>
    </cfRule>
  </conditionalFormatting>
  <conditionalFormatting sqref="F7:F10">
    <cfRule type="containsBlanks" dxfId="1907" priority="3436">
      <formula>LEN(TRIM(F7))=0</formula>
    </cfRule>
  </conditionalFormatting>
  <conditionalFormatting sqref="F22:F25">
    <cfRule type="containsBlanks" dxfId="1906" priority="488">
      <formula>LEN(TRIM(F22))=0</formula>
    </cfRule>
  </conditionalFormatting>
  <conditionalFormatting sqref="F37:F40">
    <cfRule type="containsBlanks" dxfId="1905" priority="478">
      <formula>LEN(TRIM(F37))=0</formula>
    </cfRule>
  </conditionalFormatting>
  <conditionalFormatting sqref="F52:F55">
    <cfRule type="containsBlanks" dxfId="1904" priority="468">
      <formula>LEN(TRIM(F52))=0</formula>
    </cfRule>
  </conditionalFormatting>
  <conditionalFormatting sqref="F67:F70">
    <cfRule type="containsBlanks" dxfId="1903" priority="458">
      <formula>LEN(TRIM(F67))=0</formula>
    </cfRule>
  </conditionalFormatting>
  <conditionalFormatting sqref="F82:F85">
    <cfRule type="containsBlanks" dxfId="1902" priority="448">
      <formula>LEN(TRIM(F82))=0</formula>
    </cfRule>
  </conditionalFormatting>
  <conditionalFormatting sqref="F97:F100">
    <cfRule type="containsBlanks" dxfId="1901" priority="438">
      <formula>LEN(TRIM(F97))=0</formula>
    </cfRule>
  </conditionalFormatting>
  <conditionalFormatting sqref="F112:F115">
    <cfRule type="containsBlanks" dxfId="1900" priority="428">
      <formula>LEN(TRIM(F112))=0</formula>
    </cfRule>
  </conditionalFormatting>
  <conditionalFormatting sqref="F127:F130">
    <cfRule type="containsBlanks" dxfId="1899" priority="418">
      <formula>LEN(TRIM(F127))=0</formula>
    </cfRule>
  </conditionalFormatting>
  <conditionalFormatting sqref="F142:F145">
    <cfRule type="containsBlanks" dxfId="1898" priority="408">
      <formula>LEN(TRIM(F142))=0</formula>
    </cfRule>
  </conditionalFormatting>
  <conditionalFormatting sqref="F157:F160">
    <cfRule type="containsBlanks" dxfId="1897" priority="398">
      <formula>LEN(TRIM(F157))=0</formula>
    </cfRule>
  </conditionalFormatting>
  <conditionalFormatting sqref="F172:F175">
    <cfRule type="containsBlanks" dxfId="1896" priority="388">
      <formula>LEN(TRIM(F172))=0</formula>
    </cfRule>
  </conditionalFormatting>
  <conditionalFormatting sqref="F187:F190">
    <cfRule type="containsBlanks" dxfId="1895" priority="378">
      <formula>LEN(TRIM(F187))=0</formula>
    </cfRule>
  </conditionalFormatting>
  <conditionalFormatting sqref="F202:F205">
    <cfRule type="containsBlanks" dxfId="1894" priority="368">
      <formula>LEN(TRIM(F202))=0</formula>
    </cfRule>
  </conditionalFormatting>
  <conditionalFormatting sqref="F217:F220">
    <cfRule type="containsBlanks" dxfId="1893" priority="358">
      <formula>LEN(TRIM(F217))=0</formula>
    </cfRule>
  </conditionalFormatting>
  <conditionalFormatting sqref="F232:F235">
    <cfRule type="containsBlanks" dxfId="1892" priority="348">
      <formula>LEN(TRIM(F232))=0</formula>
    </cfRule>
  </conditionalFormatting>
  <conditionalFormatting sqref="F247:F250">
    <cfRule type="containsBlanks" dxfId="1891" priority="338">
      <formula>LEN(TRIM(F247))=0</formula>
    </cfRule>
  </conditionalFormatting>
  <conditionalFormatting sqref="F262:F265">
    <cfRule type="containsBlanks" dxfId="1890" priority="328">
      <formula>LEN(TRIM(F262))=0</formula>
    </cfRule>
  </conditionalFormatting>
  <conditionalFormatting sqref="F277:F280">
    <cfRule type="containsBlanks" dxfId="1889" priority="318">
      <formula>LEN(TRIM(F277))=0</formula>
    </cfRule>
  </conditionalFormatting>
  <conditionalFormatting sqref="F292:F295">
    <cfRule type="containsBlanks" dxfId="1888" priority="308">
      <formula>LEN(TRIM(F292))=0</formula>
    </cfRule>
  </conditionalFormatting>
  <conditionalFormatting sqref="F307:F310">
    <cfRule type="containsBlanks" dxfId="1887" priority="298">
      <formula>LEN(TRIM(F307))=0</formula>
    </cfRule>
  </conditionalFormatting>
  <conditionalFormatting sqref="F322:F325">
    <cfRule type="containsBlanks" dxfId="1886" priority="288">
      <formula>LEN(TRIM(F322))=0</formula>
    </cfRule>
  </conditionalFormatting>
  <conditionalFormatting sqref="F337:F340">
    <cfRule type="containsBlanks" dxfId="1885" priority="278">
      <formula>LEN(TRIM(F337))=0</formula>
    </cfRule>
  </conditionalFormatting>
  <conditionalFormatting sqref="F352:F355">
    <cfRule type="containsBlanks" dxfId="1884" priority="268">
      <formula>LEN(TRIM(F352))=0</formula>
    </cfRule>
  </conditionalFormatting>
  <conditionalFormatting sqref="F367:F370">
    <cfRule type="containsBlanks" dxfId="1883" priority="258">
      <formula>LEN(TRIM(F367))=0</formula>
    </cfRule>
  </conditionalFormatting>
  <conditionalFormatting sqref="F382:F385">
    <cfRule type="containsBlanks" dxfId="1882" priority="248">
      <formula>LEN(TRIM(F382))=0</formula>
    </cfRule>
  </conditionalFormatting>
  <conditionalFormatting sqref="F397:F400">
    <cfRule type="containsBlanks" dxfId="1881" priority="238">
      <formula>LEN(TRIM(F397))=0</formula>
    </cfRule>
  </conditionalFormatting>
  <conditionalFormatting sqref="F412:F415">
    <cfRule type="containsBlanks" dxfId="1880" priority="228">
      <formula>LEN(TRIM(F412))=0</formula>
    </cfRule>
  </conditionalFormatting>
  <conditionalFormatting sqref="F427:F430">
    <cfRule type="containsBlanks" dxfId="1879" priority="218">
      <formula>LEN(TRIM(F427))=0</formula>
    </cfRule>
  </conditionalFormatting>
  <conditionalFormatting sqref="F442:F445">
    <cfRule type="containsBlanks" dxfId="1878" priority="208">
      <formula>LEN(TRIM(F442))=0</formula>
    </cfRule>
  </conditionalFormatting>
  <conditionalFormatting sqref="F457:F460">
    <cfRule type="containsBlanks" dxfId="1877" priority="198">
      <formula>LEN(TRIM(F457))=0</formula>
    </cfRule>
  </conditionalFormatting>
  <conditionalFormatting sqref="F472:F475">
    <cfRule type="containsBlanks" dxfId="1876" priority="188">
      <formula>LEN(TRIM(F472))=0</formula>
    </cfRule>
  </conditionalFormatting>
  <conditionalFormatting sqref="F487:F490">
    <cfRule type="containsBlanks" dxfId="1875" priority="178">
      <formula>LEN(TRIM(F487))=0</formula>
    </cfRule>
  </conditionalFormatting>
  <conditionalFormatting sqref="F502:F505">
    <cfRule type="containsBlanks" dxfId="1874" priority="168">
      <formula>LEN(TRIM(F502))=0</formula>
    </cfRule>
  </conditionalFormatting>
  <conditionalFormatting sqref="F517:F520">
    <cfRule type="containsBlanks" dxfId="1873" priority="158">
      <formula>LEN(TRIM(F517))=0</formula>
    </cfRule>
  </conditionalFormatting>
  <conditionalFormatting sqref="F532:F535">
    <cfRule type="containsBlanks" dxfId="1872" priority="148">
      <formula>LEN(TRIM(F532))=0</formula>
    </cfRule>
  </conditionalFormatting>
  <conditionalFormatting sqref="F547:F550">
    <cfRule type="containsBlanks" dxfId="1871" priority="138">
      <formula>LEN(TRIM(F547))=0</formula>
    </cfRule>
  </conditionalFormatting>
  <conditionalFormatting sqref="F562:F565">
    <cfRule type="containsBlanks" dxfId="1870" priority="128">
      <formula>LEN(TRIM(F562))=0</formula>
    </cfRule>
  </conditionalFormatting>
  <conditionalFormatting sqref="F577:F580">
    <cfRule type="containsBlanks" dxfId="1869" priority="118">
      <formula>LEN(TRIM(F577))=0</formula>
    </cfRule>
  </conditionalFormatting>
  <conditionalFormatting sqref="F592:F595">
    <cfRule type="containsBlanks" dxfId="1868" priority="108">
      <formula>LEN(TRIM(F592))=0</formula>
    </cfRule>
  </conditionalFormatting>
  <conditionalFormatting sqref="F607:F610">
    <cfRule type="containsBlanks" dxfId="1867" priority="98">
      <formula>LEN(TRIM(F607))=0</formula>
    </cfRule>
  </conditionalFormatting>
  <conditionalFormatting sqref="F622:F625">
    <cfRule type="containsBlanks" dxfId="1866" priority="88">
      <formula>LEN(TRIM(F622))=0</formula>
    </cfRule>
  </conditionalFormatting>
  <conditionalFormatting sqref="F637:F640">
    <cfRule type="containsBlanks" dxfId="1865" priority="78">
      <formula>LEN(TRIM(F637))=0</formula>
    </cfRule>
  </conditionalFormatting>
  <conditionalFormatting sqref="F652:F655">
    <cfRule type="containsBlanks" dxfId="1864" priority="68">
      <formula>LEN(TRIM(F652))=0</formula>
    </cfRule>
  </conditionalFormatting>
  <conditionalFormatting sqref="F667:F670">
    <cfRule type="containsBlanks" dxfId="1863" priority="58">
      <formula>LEN(TRIM(F667))=0</formula>
    </cfRule>
  </conditionalFormatting>
  <conditionalFormatting sqref="F682:F685">
    <cfRule type="containsBlanks" dxfId="1862" priority="48">
      <formula>LEN(TRIM(F682))=0</formula>
    </cfRule>
  </conditionalFormatting>
  <conditionalFormatting sqref="F697:F700">
    <cfRule type="containsBlanks" dxfId="1861" priority="38">
      <formula>LEN(TRIM(F697))=0</formula>
    </cfRule>
  </conditionalFormatting>
  <conditionalFormatting sqref="F712:F715">
    <cfRule type="containsBlanks" dxfId="1860" priority="28">
      <formula>LEN(TRIM(F712))=0</formula>
    </cfRule>
  </conditionalFormatting>
  <conditionalFormatting sqref="F727:F730">
    <cfRule type="containsBlanks" dxfId="1859" priority="18">
      <formula>LEN(TRIM(F727))=0</formula>
    </cfRule>
  </conditionalFormatting>
  <conditionalFormatting sqref="F742:F745">
    <cfRule type="containsBlanks" dxfId="1858" priority="8">
      <formula>LEN(TRIM(F742))=0</formula>
    </cfRule>
  </conditionalFormatting>
  <conditionalFormatting sqref="F7:K7 F8 F9:K10">
    <cfRule type="expression" dxfId="1857" priority="2568">
      <formula>$F7&lt;&gt;$R7</formula>
    </cfRule>
  </conditionalFormatting>
  <conditionalFormatting sqref="F17:K17">
    <cfRule type="expression" dxfId="1856" priority="3439">
      <formula>$C7&lt;&gt;""</formula>
    </cfRule>
  </conditionalFormatting>
  <conditionalFormatting sqref="F17:K18">
    <cfRule type="notContainsBlanks" dxfId="1855" priority="1817">
      <formula>LEN(TRIM(F17))&gt;0</formula>
    </cfRule>
  </conditionalFormatting>
  <conditionalFormatting sqref="F18:K18">
    <cfRule type="expression" dxfId="1854" priority="3440">
      <formula>$C7&lt;&gt;""</formula>
    </cfRule>
  </conditionalFormatting>
  <conditionalFormatting sqref="F22:K22 F23 F24:K25">
    <cfRule type="expression" dxfId="1853" priority="486">
      <formula>$F22&lt;&gt;$R22</formula>
    </cfRule>
  </conditionalFormatting>
  <conditionalFormatting sqref="F32:K32">
    <cfRule type="expression" dxfId="1852" priority="489">
      <formula>$C22&lt;&gt;""</formula>
    </cfRule>
  </conditionalFormatting>
  <conditionalFormatting sqref="F32:K33">
    <cfRule type="notContainsBlanks" dxfId="1851" priority="481">
      <formula>LEN(TRIM(F32))&gt;0</formula>
    </cfRule>
  </conditionalFormatting>
  <conditionalFormatting sqref="F33:K33">
    <cfRule type="expression" dxfId="1850" priority="490">
      <formula>$C22&lt;&gt;""</formula>
    </cfRule>
  </conditionalFormatting>
  <conditionalFormatting sqref="F37:K37 F38 F39:K40">
    <cfRule type="expression" dxfId="1849" priority="476">
      <formula>$F37&lt;&gt;$R37</formula>
    </cfRule>
  </conditionalFormatting>
  <conditionalFormatting sqref="F47:K47">
    <cfRule type="expression" dxfId="1848" priority="479">
      <formula>$C37&lt;&gt;""</formula>
    </cfRule>
  </conditionalFormatting>
  <conditionalFormatting sqref="F47:K48">
    <cfRule type="notContainsBlanks" dxfId="1847" priority="471">
      <formula>LEN(TRIM(F47))&gt;0</formula>
    </cfRule>
  </conditionalFormatting>
  <conditionalFormatting sqref="F48:K48">
    <cfRule type="expression" dxfId="1846" priority="480">
      <formula>$C37&lt;&gt;""</formula>
    </cfRule>
  </conditionalFormatting>
  <conditionalFormatting sqref="F52:K52 F53 F54:K55">
    <cfRule type="expression" dxfId="1845" priority="466">
      <formula>$F52&lt;&gt;$R52</formula>
    </cfRule>
  </conditionalFormatting>
  <conditionalFormatting sqref="F62:K62">
    <cfRule type="expression" dxfId="1844" priority="469">
      <formula>$C52&lt;&gt;""</formula>
    </cfRule>
  </conditionalFormatting>
  <conditionalFormatting sqref="F62:K63">
    <cfRule type="notContainsBlanks" dxfId="1843" priority="461">
      <formula>LEN(TRIM(F62))&gt;0</formula>
    </cfRule>
  </conditionalFormatting>
  <conditionalFormatting sqref="F63:K63">
    <cfRule type="expression" dxfId="1842" priority="470">
      <formula>$C52&lt;&gt;""</formula>
    </cfRule>
  </conditionalFormatting>
  <conditionalFormatting sqref="F67:K67 F68 F69:K70">
    <cfRule type="expression" dxfId="1841" priority="456">
      <formula>$F67&lt;&gt;$R67</formula>
    </cfRule>
  </conditionalFormatting>
  <conditionalFormatting sqref="F77:K77">
    <cfRule type="expression" dxfId="1840" priority="459">
      <formula>$C67&lt;&gt;""</formula>
    </cfRule>
  </conditionalFormatting>
  <conditionalFormatting sqref="F77:K78">
    <cfRule type="notContainsBlanks" dxfId="1839" priority="451">
      <formula>LEN(TRIM(F77))&gt;0</formula>
    </cfRule>
  </conditionalFormatting>
  <conditionalFormatting sqref="F78:K78">
    <cfRule type="expression" dxfId="1838" priority="460">
      <formula>$C67&lt;&gt;""</formula>
    </cfRule>
  </conditionalFormatting>
  <conditionalFormatting sqref="F82:K82 F83 F84:K85">
    <cfRule type="expression" dxfId="1837" priority="446">
      <formula>$F82&lt;&gt;$R82</formula>
    </cfRule>
  </conditionalFormatting>
  <conditionalFormatting sqref="F92:K92">
    <cfRule type="expression" dxfId="1836" priority="449">
      <formula>$C82&lt;&gt;""</formula>
    </cfRule>
  </conditionalFormatting>
  <conditionalFormatting sqref="F92:K93">
    <cfRule type="notContainsBlanks" dxfId="1835" priority="441">
      <formula>LEN(TRIM(F92))&gt;0</formula>
    </cfRule>
  </conditionalFormatting>
  <conditionalFormatting sqref="F93:K93">
    <cfRule type="expression" dxfId="1834" priority="450">
      <formula>$C82&lt;&gt;""</formula>
    </cfRule>
  </conditionalFormatting>
  <conditionalFormatting sqref="F97:K97 F98 F99:K100">
    <cfRule type="expression" dxfId="1833" priority="436">
      <formula>$F97&lt;&gt;$R97</formula>
    </cfRule>
  </conditionalFormatting>
  <conditionalFormatting sqref="F107:K107">
    <cfRule type="expression" dxfId="1832" priority="439">
      <formula>$C97&lt;&gt;""</formula>
    </cfRule>
  </conditionalFormatting>
  <conditionalFormatting sqref="F107:K108">
    <cfRule type="notContainsBlanks" dxfId="1831" priority="431">
      <formula>LEN(TRIM(F107))&gt;0</formula>
    </cfRule>
  </conditionalFormatting>
  <conditionalFormatting sqref="F108:K108">
    <cfRule type="expression" dxfId="1830" priority="440">
      <formula>$C97&lt;&gt;""</formula>
    </cfRule>
  </conditionalFormatting>
  <conditionalFormatting sqref="F112:K112 F113 F114:K115">
    <cfRule type="expression" dxfId="1829" priority="426">
      <formula>$F112&lt;&gt;$R112</formula>
    </cfRule>
  </conditionalFormatting>
  <conditionalFormatting sqref="F122:K122">
    <cfRule type="expression" dxfId="1828" priority="429">
      <formula>$C112&lt;&gt;""</formula>
    </cfRule>
  </conditionalFormatting>
  <conditionalFormatting sqref="F122:K123">
    <cfRule type="notContainsBlanks" dxfId="1827" priority="421">
      <formula>LEN(TRIM(F122))&gt;0</formula>
    </cfRule>
  </conditionalFormatting>
  <conditionalFormatting sqref="F123:K123">
    <cfRule type="expression" dxfId="1826" priority="430">
      <formula>$C112&lt;&gt;""</formula>
    </cfRule>
  </conditionalFormatting>
  <conditionalFormatting sqref="F127:K127 F128 F129:K130">
    <cfRule type="expression" dxfId="1825" priority="416">
      <formula>$F127&lt;&gt;$R127</formula>
    </cfRule>
  </conditionalFormatting>
  <conditionalFormatting sqref="F137:K137">
    <cfRule type="expression" dxfId="1824" priority="419">
      <formula>$C127&lt;&gt;""</formula>
    </cfRule>
  </conditionalFormatting>
  <conditionalFormatting sqref="F137:K138">
    <cfRule type="notContainsBlanks" dxfId="1823" priority="411">
      <formula>LEN(TRIM(F137))&gt;0</formula>
    </cfRule>
  </conditionalFormatting>
  <conditionalFormatting sqref="F138:K138">
    <cfRule type="expression" dxfId="1822" priority="420">
      <formula>$C127&lt;&gt;""</formula>
    </cfRule>
  </conditionalFormatting>
  <conditionalFormatting sqref="F142:K142 F143 F144:K145">
    <cfRule type="expression" dxfId="1821" priority="406">
      <formula>$F142&lt;&gt;$R142</formula>
    </cfRule>
  </conditionalFormatting>
  <conditionalFormatting sqref="F152:K152">
    <cfRule type="expression" dxfId="1820" priority="409">
      <formula>$C142&lt;&gt;""</formula>
    </cfRule>
  </conditionalFormatting>
  <conditionalFormatting sqref="F152:K153">
    <cfRule type="notContainsBlanks" dxfId="1819" priority="401">
      <formula>LEN(TRIM(F152))&gt;0</formula>
    </cfRule>
  </conditionalFormatting>
  <conditionalFormatting sqref="F153:K153">
    <cfRule type="expression" dxfId="1818" priority="410">
      <formula>$C142&lt;&gt;""</formula>
    </cfRule>
  </conditionalFormatting>
  <conditionalFormatting sqref="F157:K157 F158 F159:K160">
    <cfRule type="expression" dxfId="1817" priority="396">
      <formula>$F157&lt;&gt;$R157</formula>
    </cfRule>
  </conditionalFormatting>
  <conditionalFormatting sqref="F167:K167">
    <cfRule type="expression" dxfId="1816" priority="399">
      <formula>$C157&lt;&gt;""</formula>
    </cfRule>
  </conditionalFormatting>
  <conditionalFormatting sqref="F167:K168">
    <cfRule type="notContainsBlanks" dxfId="1815" priority="391">
      <formula>LEN(TRIM(F167))&gt;0</formula>
    </cfRule>
  </conditionalFormatting>
  <conditionalFormatting sqref="F168:K168">
    <cfRule type="expression" dxfId="1814" priority="400">
      <formula>$C157&lt;&gt;""</formula>
    </cfRule>
  </conditionalFormatting>
  <conditionalFormatting sqref="F172:K172 F173 F174:K175">
    <cfRule type="expression" dxfId="1813" priority="386">
      <formula>$F172&lt;&gt;$R172</formula>
    </cfRule>
  </conditionalFormatting>
  <conditionalFormatting sqref="F182:K182">
    <cfRule type="expression" dxfId="1812" priority="389">
      <formula>$C172&lt;&gt;""</formula>
    </cfRule>
  </conditionalFormatting>
  <conditionalFormatting sqref="F182:K183">
    <cfRule type="notContainsBlanks" dxfId="1811" priority="381">
      <formula>LEN(TRIM(F182))&gt;0</formula>
    </cfRule>
  </conditionalFormatting>
  <conditionalFormatting sqref="F183:K183">
    <cfRule type="expression" dxfId="1810" priority="390">
      <formula>$C172&lt;&gt;""</formula>
    </cfRule>
  </conditionalFormatting>
  <conditionalFormatting sqref="F187:K187 F188 F189:K190">
    <cfRule type="expression" dxfId="1809" priority="376">
      <formula>$F187&lt;&gt;$R187</formula>
    </cfRule>
  </conditionalFormatting>
  <conditionalFormatting sqref="F197:K197">
    <cfRule type="expression" dxfId="1808" priority="379">
      <formula>$C187&lt;&gt;""</formula>
    </cfRule>
  </conditionalFormatting>
  <conditionalFormatting sqref="F197:K198">
    <cfRule type="notContainsBlanks" dxfId="1807" priority="371">
      <formula>LEN(TRIM(F197))&gt;0</formula>
    </cfRule>
  </conditionalFormatting>
  <conditionalFormatting sqref="F198:K198">
    <cfRule type="expression" dxfId="1806" priority="380">
      <formula>$C187&lt;&gt;""</formula>
    </cfRule>
  </conditionalFormatting>
  <conditionalFormatting sqref="F202:K202 F203 F204:K205">
    <cfRule type="expression" dxfId="1805" priority="366">
      <formula>$F202&lt;&gt;$R202</formula>
    </cfRule>
  </conditionalFormatting>
  <conditionalFormatting sqref="F212:K212">
    <cfRule type="expression" dxfId="1804" priority="369">
      <formula>$C202&lt;&gt;""</formula>
    </cfRule>
  </conditionalFormatting>
  <conditionalFormatting sqref="F212:K213">
    <cfRule type="notContainsBlanks" dxfId="1803" priority="361">
      <formula>LEN(TRIM(F212))&gt;0</formula>
    </cfRule>
  </conditionalFormatting>
  <conditionalFormatting sqref="F213:K213">
    <cfRule type="expression" dxfId="1802" priority="370">
      <formula>$C202&lt;&gt;""</formula>
    </cfRule>
  </conditionalFormatting>
  <conditionalFormatting sqref="F217:K217 F218 F219:K220">
    <cfRule type="expression" dxfId="1801" priority="356">
      <formula>$F217&lt;&gt;$R217</formula>
    </cfRule>
  </conditionalFormatting>
  <conditionalFormatting sqref="F227:K227">
    <cfRule type="expression" dxfId="1800" priority="359">
      <formula>$C217&lt;&gt;""</formula>
    </cfRule>
  </conditionalFormatting>
  <conditionalFormatting sqref="F227:K228">
    <cfRule type="notContainsBlanks" dxfId="1799" priority="351">
      <formula>LEN(TRIM(F227))&gt;0</formula>
    </cfRule>
  </conditionalFormatting>
  <conditionalFormatting sqref="F228:K228">
    <cfRule type="expression" dxfId="1798" priority="360">
      <formula>$C217&lt;&gt;""</formula>
    </cfRule>
  </conditionalFormatting>
  <conditionalFormatting sqref="F232:K232 F233 F234:K235">
    <cfRule type="expression" dxfId="1797" priority="346">
      <formula>$F232&lt;&gt;$R232</formula>
    </cfRule>
  </conditionalFormatting>
  <conditionalFormatting sqref="F242:K242">
    <cfRule type="expression" dxfId="1796" priority="349">
      <formula>$C232&lt;&gt;""</formula>
    </cfRule>
  </conditionalFormatting>
  <conditionalFormatting sqref="F242:K243">
    <cfRule type="notContainsBlanks" dxfId="1795" priority="341">
      <formula>LEN(TRIM(F242))&gt;0</formula>
    </cfRule>
  </conditionalFormatting>
  <conditionalFormatting sqref="F243:K243">
    <cfRule type="expression" dxfId="1794" priority="350">
      <formula>$C232&lt;&gt;""</formula>
    </cfRule>
  </conditionalFormatting>
  <conditionalFormatting sqref="F247:K247 F248 F249:K250">
    <cfRule type="expression" dxfId="1793" priority="336">
      <formula>$F247&lt;&gt;$R247</formula>
    </cfRule>
  </conditionalFormatting>
  <conditionalFormatting sqref="F257:K257">
    <cfRule type="expression" dxfId="1792" priority="339">
      <formula>$C247&lt;&gt;""</formula>
    </cfRule>
  </conditionalFormatting>
  <conditionalFormatting sqref="F257:K258">
    <cfRule type="notContainsBlanks" dxfId="1791" priority="331">
      <formula>LEN(TRIM(F257))&gt;0</formula>
    </cfRule>
  </conditionalFormatting>
  <conditionalFormatting sqref="F258:K258">
    <cfRule type="expression" dxfId="1790" priority="340">
      <formula>$C247&lt;&gt;""</formula>
    </cfRule>
  </conditionalFormatting>
  <conditionalFormatting sqref="F262:K262 F263 F264:K265">
    <cfRule type="expression" dxfId="1789" priority="326">
      <formula>$F262&lt;&gt;$R262</formula>
    </cfRule>
  </conditionalFormatting>
  <conditionalFormatting sqref="F272:K272">
    <cfRule type="expression" dxfId="1788" priority="329">
      <formula>$C262&lt;&gt;""</formula>
    </cfRule>
  </conditionalFormatting>
  <conditionalFormatting sqref="F272:K273">
    <cfRule type="notContainsBlanks" dxfId="1787" priority="321">
      <formula>LEN(TRIM(F272))&gt;0</formula>
    </cfRule>
  </conditionalFormatting>
  <conditionalFormatting sqref="F273:K273">
    <cfRule type="expression" dxfId="1786" priority="330">
      <formula>$C262&lt;&gt;""</formula>
    </cfRule>
  </conditionalFormatting>
  <conditionalFormatting sqref="F277:K277 F278 F279:K280">
    <cfRule type="expression" dxfId="1785" priority="316">
      <formula>$F277&lt;&gt;$R277</formula>
    </cfRule>
  </conditionalFormatting>
  <conditionalFormatting sqref="F287:K287">
    <cfRule type="expression" dxfId="1784" priority="319">
      <formula>$C277&lt;&gt;""</formula>
    </cfRule>
  </conditionalFormatting>
  <conditionalFormatting sqref="F287:K288">
    <cfRule type="notContainsBlanks" dxfId="1783" priority="311">
      <formula>LEN(TRIM(F287))&gt;0</formula>
    </cfRule>
  </conditionalFormatting>
  <conditionalFormatting sqref="F288:K288">
    <cfRule type="expression" dxfId="1782" priority="320">
      <formula>$C277&lt;&gt;""</formula>
    </cfRule>
  </conditionalFormatting>
  <conditionalFormatting sqref="F292:K292 F293 F294:K295">
    <cfRule type="expression" dxfId="1781" priority="306">
      <formula>$F292&lt;&gt;$R292</formula>
    </cfRule>
  </conditionalFormatting>
  <conditionalFormatting sqref="F302:K302">
    <cfRule type="expression" dxfId="1780" priority="309">
      <formula>$C292&lt;&gt;""</formula>
    </cfRule>
  </conditionalFormatting>
  <conditionalFormatting sqref="F302:K303">
    <cfRule type="notContainsBlanks" dxfId="1779" priority="301">
      <formula>LEN(TRIM(F302))&gt;0</formula>
    </cfRule>
  </conditionalFormatting>
  <conditionalFormatting sqref="F303:K303">
    <cfRule type="expression" dxfId="1778" priority="310">
      <formula>$C292&lt;&gt;""</formula>
    </cfRule>
  </conditionalFormatting>
  <conditionalFormatting sqref="F307:K307 F308 F309:K310">
    <cfRule type="expression" dxfId="1777" priority="296">
      <formula>$F307&lt;&gt;$R307</formula>
    </cfRule>
  </conditionalFormatting>
  <conditionalFormatting sqref="F317:K317">
    <cfRule type="expression" dxfId="1776" priority="299">
      <formula>$C307&lt;&gt;""</formula>
    </cfRule>
  </conditionalFormatting>
  <conditionalFormatting sqref="F317:K318">
    <cfRule type="notContainsBlanks" dxfId="1775" priority="291">
      <formula>LEN(TRIM(F317))&gt;0</formula>
    </cfRule>
  </conditionalFormatting>
  <conditionalFormatting sqref="F318:K318">
    <cfRule type="expression" dxfId="1774" priority="300">
      <formula>$C307&lt;&gt;""</formula>
    </cfRule>
  </conditionalFormatting>
  <conditionalFormatting sqref="F322:K322 F323 F324:K325">
    <cfRule type="expression" dxfId="1773" priority="286">
      <formula>$F322&lt;&gt;$R322</formula>
    </cfRule>
  </conditionalFormatting>
  <conditionalFormatting sqref="F332:K332">
    <cfRule type="expression" dxfId="1772" priority="289">
      <formula>$C322&lt;&gt;""</formula>
    </cfRule>
  </conditionalFormatting>
  <conditionalFormatting sqref="F332:K333">
    <cfRule type="notContainsBlanks" dxfId="1771" priority="281">
      <formula>LEN(TRIM(F332))&gt;0</formula>
    </cfRule>
  </conditionalFormatting>
  <conditionalFormatting sqref="F333:K333">
    <cfRule type="expression" dxfId="1770" priority="290">
      <formula>$C322&lt;&gt;""</formula>
    </cfRule>
  </conditionalFormatting>
  <conditionalFormatting sqref="F337:K337 F338 F339:K340">
    <cfRule type="expression" dxfId="1769" priority="276">
      <formula>$F337&lt;&gt;$R337</formula>
    </cfRule>
  </conditionalFormatting>
  <conditionalFormatting sqref="F347:K347">
    <cfRule type="expression" dxfId="1768" priority="279">
      <formula>$C337&lt;&gt;""</formula>
    </cfRule>
  </conditionalFormatting>
  <conditionalFormatting sqref="F347:K348">
    <cfRule type="notContainsBlanks" dxfId="1767" priority="271">
      <formula>LEN(TRIM(F347))&gt;0</formula>
    </cfRule>
  </conditionalFormatting>
  <conditionalFormatting sqref="F348:K348">
    <cfRule type="expression" dxfId="1766" priority="280">
      <formula>$C337&lt;&gt;""</formula>
    </cfRule>
  </conditionalFormatting>
  <conditionalFormatting sqref="F352:K352 F353 F354:K355">
    <cfRule type="expression" dxfId="1765" priority="266">
      <formula>$F352&lt;&gt;$R352</formula>
    </cfRule>
  </conditionalFormatting>
  <conditionalFormatting sqref="F362:K362">
    <cfRule type="expression" dxfId="1764" priority="269">
      <formula>$C352&lt;&gt;""</formula>
    </cfRule>
  </conditionalFormatting>
  <conditionalFormatting sqref="F362:K363">
    <cfRule type="notContainsBlanks" dxfId="1763" priority="261">
      <formula>LEN(TRIM(F362))&gt;0</formula>
    </cfRule>
  </conditionalFormatting>
  <conditionalFormatting sqref="F363:K363">
    <cfRule type="expression" dxfId="1762" priority="270">
      <formula>$C352&lt;&gt;""</formula>
    </cfRule>
  </conditionalFormatting>
  <conditionalFormatting sqref="F367:K367 F368 F369:K370">
    <cfRule type="expression" dxfId="1761" priority="256">
      <formula>$F367&lt;&gt;$R367</formula>
    </cfRule>
  </conditionalFormatting>
  <conditionalFormatting sqref="F377:K377">
    <cfRule type="expression" dxfId="1760" priority="259">
      <formula>$C367&lt;&gt;""</formula>
    </cfRule>
  </conditionalFormatting>
  <conditionalFormatting sqref="F377:K378">
    <cfRule type="notContainsBlanks" dxfId="1759" priority="251">
      <formula>LEN(TRIM(F377))&gt;0</formula>
    </cfRule>
  </conditionalFormatting>
  <conditionalFormatting sqref="F378:K378">
    <cfRule type="expression" dxfId="1758" priority="260">
      <formula>$C367&lt;&gt;""</formula>
    </cfRule>
  </conditionalFormatting>
  <conditionalFormatting sqref="F382:K382 F383 F384:K385">
    <cfRule type="expression" dxfId="1757" priority="246">
      <formula>$F382&lt;&gt;$R382</formula>
    </cfRule>
  </conditionalFormatting>
  <conditionalFormatting sqref="F392:K392">
    <cfRule type="expression" dxfId="1756" priority="249">
      <formula>$C382&lt;&gt;""</formula>
    </cfRule>
  </conditionalFormatting>
  <conditionalFormatting sqref="F392:K393">
    <cfRule type="notContainsBlanks" dxfId="1755" priority="241">
      <formula>LEN(TRIM(F392))&gt;0</formula>
    </cfRule>
  </conditionalFormatting>
  <conditionalFormatting sqref="F393:K393">
    <cfRule type="expression" dxfId="1754" priority="250">
      <formula>$C382&lt;&gt;""</formula>
    </cfRule>
  </conditionalFormatting>
  <conditionalFormatting sqref="F397:K397 F398 F399:K400">
    <cfRule type="expression" dxfId="1753" priority="236">
      <formula>$F397&lt;&gt;$R397</formula>
    </cfRule>
  </conditionalFormatting>
  <conditionalFormatting sqref="F407:K407">
    <cfRule type="expression" dxfId="1752" priority="239">
      <formula>$C397&lt;&gt;""</formula>
    </cfRule>
  </conditionalFormatting>
  <conditionalFormatting sqref="F407:K408">
    <cfRule type="notContainsBlanks" dxfId="1751" priority="231">
      <formula>LEN(TRIM(F407))&gt;0</formula>
    </cfRule>
  </conditionalFormatting>
  <conditionalFormatting sqref="F408:K408">
    <cfRule type="expression" dxfId="1750" priority="240">
      <formula>$C397&lt;&gt;""</formula>
    </cfRule>
  </conditionalFormatting>
  <conditionalFormatting sqref="F412:K412 F413 F414:K415">
    <cfRule type="expression" dxfId="1749" priority="226">
      <formula>$F412&lt;&gt;$R412</formula>
    </cfRule>
  </conditionalFormatting>
  <conditionalFormatting sqref="F422:K422">
    <cfRule type="expression" dxfId="1748" priority="229">
      <formula>$C412&lt;&gt;""</formula>
    </cfRule>
  </conditionalFormatting>
  <conditionalFormatting sqref="F422:K423">
    <cfRule type="notContainsBlanks" dxfId="1747" priority="221">
      <formula>LEN(TRIM(F422))&gt;0</formula>
    </cfRule>
  </conditionalFormatting>
  <conditionalFormatting sqref="F423:K423">
    <cfRule type="expression" dxfId="1746" priority="230">
      <formula>$C412&lt;&gt;""</formula>
    </cfRule>
  </conditionalFormatting>
  <conditionalFormatting sqref="F427:K427 F428 F429:K430">
    <cfRule type="expression" dxfId="1745" priority="216">
      <formula>$F427&lt;&gt;$R427</formula>
    </cfRule>
  </conditionalFormatting>
  <conditionalFormatting sqref="F437:K437">
    <cfRule type="expression" dxfId="1744" priority="219">
      <formula>$C427&lt;&gt;""</formula>
    </cfRule>
  </conditionalFormatting>
  <conditionalFormatting sqref="F437:K438">
    <cfRule type="notContainsBlanks" dxfId="1743" priority="211">
      <formula>LEN(TRIM(F437))&gt;0</formula>
    </cfRule>
  </conditionalFormatting>
  <conditionalFormatting sqref="F438:K438">
    <cfRule type="expression" dxfId="1742" priority="220">
      <formula>$C427&lt;&gt;""</formula>
    </cfRule>
  </conditionalFormatting>
  <conditionalFormatting sqref="F442:K442 F443 F444:K445">
    <cfRule type="expression" dxfId="1741" priority="206">
      <formula>$F442&lt;&gt;$R442</formula>
    </cfRule>
  </conditionalFormatting>
  <conditionalFormatting sqref="F452:K452">
    <cfRule type="expression" dxfId="1740" priority="209">
      <formula>$C442&lt;&gt;""</formula>
    </cfRule>
  </conditionalFormatting>
  <conditionalFormatting sqref="F452:K453">
    <cfRule type="notContainsBlanks" dxfId="1739" priority="201">
      <formula>LEN(TRIM(F452))&gt;0</formula>
    </cfRule>
  </conditionalFormatting>
  <conditionalFormatting sqref="F453:K453">
    <cfRule type="expression" dxfId="1738" priority="210">
      <formula>$C442&lt;&gt;""</formula>
    </cfRule>
  </conditionalFormatting>
  <conditionalFormatting sqref="F457:K457 F458 F459:K460">
    <cfRule type="expression" dxfId="1737" priority="196">
      <formula>$F457&lt;&gt;$R457</formula>
    </cfRule>
  </conditionalFormatting>
  <conditionalFormatting sqref="F467:K467">
    <cfRule type="expression" dxfId="1736" priority="199">
      <formula>$C457&lt;&gt;""</formula>
    </cfRule>
  </conditionalFormatting>
  <conditionalFormatting sqref="F467:K468">
    <cfRule type="notContainsBlanks" dxfId="1735" priority="191">
      <formula>LEN(TRIM(F467))&gt;0</formula>
    </cfRule>
  </conditionalFormatting>
  <conditionalFormatting sqref="F468:K468">
    <cfRule type="expression" dxfId="1734" priority="200">
      <formula>$C457&lt;&gt;""</formula>
    </cfRule>
  </conditionalFormatting>
  <conditionalFormatting sqref="F472:K472 F473 F474:K475">
    <cfRule type="expression" dxfId="1733" priority="186">
      <formula>$F472&lt;&gt;$R472</formula>
    </cfRule>
  </conditionalFormatting>
  <conditionalFormatting sqref="F482:K482">
    <cfRule type="expression" dxfId="1732" priority="189">
      <formula>$C472&lt;&gt;""</formula>
    </cfRule>
  </conditionalFormatting>
  <conditionalFormatting sqref="F482:K483">
    <cfRule type="notContainsBlanks" dxfId="1731" priority="181">
      <formula>LEN(TRIM(F482))&gt;0</formula>
    </cfRule>
  </conditionalFormatting>
  <conditionalFormatting sqref="F483:K483">
    <cfRule type="expression" dxfId="1730" priority="190">
      <formula>$C472&lt;&gt;""</formula>
    </cfRule>
  </conditionalFormatting>
  <conditionalFormatting sqref="F487:K487 F488 F489:K490">
    <cfRule type="expression" dxfId="1729" priority="176">
      <formula>$F487&lt;&gt;$R487</formula>
    </cfRule>
  </conditionalFormatting>
  <conditionalFormatting sqref="F497:K497">
    <cfRule type="expression" dxfId="1728" priority="179">
      <formula>$C487&lt;&gt;""</formula>
    </cfRule>
  </conditionalFormatting>
  <conditionalFormatting sqref="F497:K498">
    <cfRule type="notContainsBlanks" dxfId="1727" priority="171">
      <formula>LEN(TRIM(F497))&gt;0</formula>
    </cfRule>
  </conditionalFormatting>
  <conditionalFormatting sqref="F498:K498">
    <cfRule type="expression" dxfId="1726" priority="180">
      <formula>$C487&lt;&gt;""</formula>
    </cfRule>
  </conditionalFormatting>
  <conditionalFormatting sqref="F502:K502 F503 F504:K505">
    <cfRule type="expression" dxfId="1725" priority="166">
      <formula>$F502&lt;&gt;$R502</formula>
    </cfRule>
  </conditionalFormatting>
  <conditionalFormatting sqref="F512:K512">
    <cfRule type="expression" dxfId="1724" priority="169">
      <formula>$C502&lt;&gt;""</formula>
    </cfRule>
  </conditionalFormatting>
  <conditionalFormatting sqref="F512:K513">
    <cfRule type="notContainsBlanks" dxfId="1723" priority="161">
      <formula>LEN(TRIM(F512))&gt;0</formula>
    </cfRule>
  </conditionalFormatting>
  <conditionalFormatting sqref="F513:K513">
    <cfRule type="expression" dxfId="1722" priority="170">
      <formula>$C502&lt;&gt;""</formula>
    </cfRule>
  </conditionalFormatting>
  <conditionalFormatting sqref="F517:K517 F518 F519:K520">
    <cfRule type="expression" dxfId="1721" priority="156">
      <formula>$F517&lt;&gt;$R517</formula>
    </cfRule>
  </conditionalFormatting>
  <conditionalFormatting sqref="F527:K527">
    <cfRule type="expression" dxfId="1720" priority="159">
      <formula>$C517&lt;&gt;""</formula>
    </cfRule>
  </conditionalFormatting>
  <conditionalFormatting sqref="F527:K528">
    <cfRule type="notContainsBlanks" dxfId="1719" priority="151">
      <formula>LEN(TRIM(F527))&gt;0</formula>
    </cfRule>
  </conditionalFormatting>
  <conditionalFormatting sqref="F528:K528">
    <cfRule type="expression" dxfId="1718" priority="160">
      <formula>$C517&lt;&gt;""</formula>
    </cfRule>
  </conditionalFormatting>
  <conditionalFormatting sqref="F532:K532 F533 F534:K535">
    <cfRule type="expression" dxfId="1717" priority="146">
      <formula>$F532&lt;&gt;$R532</formula>
    </cfRule>
  </conditionalFormatting>
  <conditionalFormatting sqref="F542:K542">
    <cfRule type="expression" dxfId="1716" priority="149">
      <formula>$C532&lt;&gt;""</formula>
    </cfRule>
  </conditionalFormatting>
  <conditionalFormatting sqref="F542:K543">
    <cfRule type="notContainsBlanks" dxfId="1715" priority="141">
      <formula>LEN(TRIM(F542))&gt;0</formula>
    </cfRule>
  </conditionalFormatting>
  <conditionalFormatting sqref="F543:K543">
    <cfRule type="expression" dxfId="1714" priority="150">
      <formula>$C532&lt;&gt;""</formula>
    </cfRule>
  </conditionalFormatting>
  <conditionalFormatting sqref="F547:K547 F548 F549:K550">
    <cfRule type="expression" dxfId="1713" priority="136">
      <formula>$F547&lt;&gt;$R547</formula>
    </cfRule>
  </conditionalFormatting>
  <conditionalFormatting sqref="F557:K557">
    <cfRule type="expression" dxfId="1712" priority="139">
      <formula>$C547&lt;&gt;""</formula>
    </cfRule>
  </conditionalFormatting>
  <conditionalFormatting sqref="F557:K558">
    <cfRule type="notContainsBlanks" dxfId="1711" priority="131">
      <formula>LEN(TRIM(F557))&gt;0</formula>
    </cfRule>
  </conditionalFormatting>
  <conditionalFormatting sqref="F558:K558">
    <cfRule type="expression" dxfId="1710" priority="140">
      <formula>$C547&lt;&gt;""</formula>
    </cfRule>
  </conditionalFormatting>
  <conditionalFormatting sqref="F562:K562 F563 F564:K565">
    <cfRule type="expression" dxfId="1709" priority="126">
      <formula>$F562&lt;&gt;$R562</formula>
    </cfRule>
  </conditionalFormatting>
  <conditionalFormatting sqref="F572:K572">
    <cfRule type="expression" dxfId="1708" priority="129">
      <formula>$C562&lt;&gt;""</formula>
    </cfRule>
  </conditionalFormatting>
  <conditionalFormatting sqref="F572:K573">
    <cfRule type="notContainsBlanks" dxfId="1707" priority="121">
      <formula>LEN(TRIM(F572))&gt;0</formula>
    </cfRule>
  </conditionalFormatting>
  <conditionalFormatting sqref="F573:K573">
    <cfRule type="expression" dxfId="1706" priority="130">
      <formula>$C562&lt;&gt;""</formula>
    </cfRule>
  </conditionalFormatting>
  <conditionalFormatting sqref="F577:K577 F578 F579:K580">
    <cfRule type="expression" dxfId="1705" priority="116">
      <formula>$F577&lt;&gt;$R577</formula>
    </cfRule>
  </conditionalFormatting>
  <conditionalFormatting sqref="F587:K587">
    <cfRule type="expression" dxfId="1704" priority="119">
      <formula>$C577&lt;&gt;""</formula>
    </cfRule>
  </conditionalFormatting>
  <conditionalFormatting sqref="F587:K588">
    <cfRule type="notContainsBlanks" dxfId="1703" priority="111">
      <formula>LEN(TRIM(F587))&gt;0</formula>
    </cfRule>
  </conditionalFormatting>
  <conditionalFormatting sqref="F588:K588">
    <cfRule type="expression" dxfId="1702" priority="120">
      <formula>$C577&lt;&gt;""</formula>
    </cfRule>
  </conditionalFormatting>
  <conditionalFormatting sqref="F592:K592 F593 F594:K595">
    <cfRule type="expression" dxfId="1701" priority="106">
      <formula>$F592&lt;&gt;$R592</formula>
    </cfRule>
  </conditionalFormatting>
  <conditionalFormatting sqref="F602:K602">
    <cfRule type="expression" dxfId="1700" priority="109">
      <formula>$C592&lt;&gt;""</formula>
    </cfRule>
  </conditionalFormatting>
  <conditionalFormatting sqref="F602:K603">
    <cfRule type="notContainsBlanks" dxfId="1699" priority="101">
      <formula>LEN(TRIM(F602))&gt;0</formula>
    </cfRule>
  </conditionalFormatting>
  <conditionalFormatting sqref="F603:K603">
    <cfRule type="expression" dxfId="1698" priority="110">
      <formula>$C592&lt;&gt;""</formula>
    </cfRule>
  </conditionalFormatting>
  <conditionalFormatting sqref="F607:K607 F608 F609:K610">
    <cfRule type="expression" dxfId="1697" priority="96">
      <formula>$F607&lt;&gt;$R607</formula>
    </cfRule>
  </conditionalFormatting>
  <conditionalFormatting sqref="F617:K617">
    <cfRule type="expression" dxfId="1696" priority="99">
      <formula>$C607&lt;&gt;""</formula>
    </cfRule>
  </conditionalFormatting>
  <conditionalFormatting sqref="F617:K618">
    <cfRule type="notContainsBlanks" dxfId="1695" priority="91">
      <formula>LEN(TRIM(F617))&gt;0</formula>
    </cfRule>
  </conditionalFormatting>
  <conditionalFormatting sqref="F618:K618">
    <cfRule type="expression" dxfId="1694" priority="100">
      <formula>$C607&lt;&gt;""</formula>
    </cfRule>
  </conditionalFormatting>
  <conditionalFormatting sqref="F622:K622 F623 F624:K625">
    <cfRule type="expression" dxfId="1693" priority="86">
      <formula>$F622&lt;&gt;$R622</formula>
    </cfRule>
  </conditionalFormatting>
  <conditionalFormatting sqref="F632:K632">
    <cfRule type="expression" dxfId="1692" priority="89">
      <formula>$C622&lt;&gt;""</formula>
    </cfRule>
  </conditionalFormatting>
  <conditionalFormatting sqref="F632:K633">
    <cfRule type="notContainsBlanks" dxfId="1691" priority="81">
      <formula>LEN(TRIM(F632))&gt;0</formula>
    </cfRule>
  </conditionalFormatting>
  <conditionalFormatting sqref="F633:K633">
    <cfRule type="expression" dxfId="1690" priority="90">
      <formula>$C622&lt;&gt;""</formula>
    </cfRule>
  </conditionalFormatting>
  <conditionalFormatting sqref="F637:K637 F638 F639:K640">
    <cfRule type="expression" dxfId="1689" priority="76">
      <formula>$F637&lt;&gt;$R637</formula>
    </cfRule>
  </conditionalFormatting>
  <conditionalFormatting sqref="F647:K647">
    <cfRule type="expression" dxfId="1688" priority="79">
      <formula>$C637&lt;&gt;""</formula>
    </cfRule>
  </conditionalFormatting>
  <conditionalFormatting sqref="F647:K648">
    <cfRule type="notContainsBlanks" dxfId="1687" priority="71">
      <formula>LEN(TRIM(F647))&gt;0</formula>
    </cfRule>
  </conditionalFormatting>
  <conditionalFormatting sqref="F648:K648">
    <cfRule type="expression" dxfId="1686" priority="80">
      <formula>$C637&lt;&gt;""</formula>
    </cfRule>
  </conditionalFormatting>
  <conditionalFormatting sqref="F652:K652 F653 F654:K655">
    <cfRule type="expression" dxfId="1685" priority="66">
      <formula>$F652&lt;&gt;$R652</formula>
    </cfRule>
  </conditionalFormatting>
  <conditionalFormatting sqref="F662:K662">
    <cfRule type="expression" dxfId="1684" priority="69">
      <formula>$C652&lt;&gt;""</formula>
    </cfRule>
  </conditionalFormatting>
  <conditionalFormatting sqref="F662:K663">
    <cfRule type="notContainsBlanks" dxfId="1683" priority="61">
      <formula>LEN(TRIM(F662))&gt;0</formula>
    </cfRule>
  </conditionalFormatting>
  <conditionalFormatting sqref="F663:K663">
    <cfRule type="expression" dxfId="1682" priority="70">
      <formula>$C652&lt;&gt;""</formula>
    </cfRule>
  </conditionalFormatting>
  <conditionalFormatting sqref="F667:K667 F668 F669:K670">
    <cfRule type="expression" dxfId="1681" priority="56">
      <formula>$F667&lt;&gt;$R667</formula>
    </cfRule>
  </conditionalFormatting>
  <conditionalFormatting sqref="F677:K677">
    <cfRule type="expression" dxfId="1680" priority="59">
      <formula>$C667&lt;&gt;""</formula>
    </cfRule>
  </conditionalFormatting>
  <conditionalFormatting sqref="F677:K678">
    <cfRule type="notContainsBlanks" dxfId="1679" priority="51">
      <formula>LEN(TRIM(F677))&gt;0</formula>
    </cfRule>
  </conditionalFormatting>
  <conditionalFormatting sqref="F678:K678">
    <cfRule type="expression" dxfId="1678" priority="60">
      <formula>$C667&lt;&gt;""</formula>
    </cfRule>
  </conditionalFormatting>
  <conditionalFormatting sqref="F682:K682 F683 F684:K685">
    <cfRule type="expression" dxfId="1677" priority="46">
      <formula>$F682&lt;&gt;$R682</formula>
    </cfRule>
  </conditionalFormatting>
  <conditionalFormatting sqref="F692:K692">
    <cfRule type="expression" dxfId="1676" priority="49">
      <formula>$C682&lt;&gt;""</formula>
    </cfRule>
  </conditionalFormatting>
  <conditionalFormatting sqref="F692:K693">
    <cfRule type="notContainsBlanks" dxfId="1675" priority="41">
      <formula>LEN(TRIM(F692))&gt;0</formula>
    </cfRule>
  </conditionalFormatting>
  <conditionalFormatting sqref="F693:K693">
    <cfRule type="expression" dxfId="1674" priority="50">
      <formula>$C682&lt;&gt;""</formula>
    </cfRule>
  </conditionalFormatting>
  <conditionalFormatting sqref="F697:K697 F698 F699:K700">
    <cfRule type="expression" dxfId="1673" priority="36">
      <formula>$F697&lt;&gt;$R697</formula>
    </cfRule>
  </conditionalFormatting>
  <conditionalFormatting sqref="F707:K707">
    <cfRule type="expression" dxfId="1672" priority="39">
      <formula>$C697&lt;&gt;""</formula>
    </cfRule>
  </conditionalFormatting>
  <conditionalFormatting sqref="F707:K708">
    <cfRule type="notContainsBlanks" dxfId="1671" priority="31">
      <formula>LEN(TRIM(F707))&gt;0</formula>
    </cfRule>
  </conditionalFormatting>
  <conditionalFormatting sqref="F708:K708">
    <cfRule type="expression" dxfId="1670" priority="40">
      <formula>$C697&lt;&gt;""</formula>
    </cfRule>
  </conditionalFormatting>
  <conditionalFormatting sqref="F712:K712 F713 F714:K715">
    <cfRule type="expression" dxfId="1669" priority="26">
      <formula>$F712&lt;&gt;$R712</formula>
    </cfRule>
  </conditionalFormatting>
  <conditionalFormatting sqref="F722:K722">
    <cfRule type="expression" dxfId="1668" priority="29">
      <formula>$C712&lt;&gt;""</formula>
    </cfRule>
  </conditionalFormatting>
  <conditionalFormatting sqref="F722:K723">
    <cfRule type="notContainsBlanks" dxfId="1667" priority="21">
      <formula>LEN(TRIM(F722))&gt;0</formula>
    </cfRule>
  </conditionalFormatting>
  <conditionalFormatting sqref="F723:K723">
    <cfRule type="expression" dxfId="1666" priority="30">
      <formula>$C712&lt;&gt;""</formula>
    </cfRule>
  </conditionalFormatting>
  <conditionalFormatting sqref="F727:K727 F728 F729:K730">
    <cfRule type="expression" dxfId="1665" priority="16">
      <formula>$F727&lt;&gt;$R727</formula>
    </cfRule>
  </conditionalFormatting>
  <conditionalFormatting sqref="F737:K737">
    <cfRule type="expression" dxfId="1664" priority="19">
      <formula>$C727&lt;&gt;""</formula>
    </cfRule>
  </conditionalFormatting>
  <conditionalFormatting sqref="F737:K738">
    <cfRule type="notContainsBlanks" dxfId="1663" priority="11">
      <formula>LEN(TRIM(F737))&gt;0</formula>
    </cfRule>
  </conditionalFormatting>
  <conditionalFormatting sqref="F738:K738">
    <cfRule type="expression" dxfId="1662" priority="20">
      <formula>$C727&lt;&gt;""</formula>
    </cfRule>
  </conditionalFormatting>
  <conditionalFormatting sqref="F742:K742 F743 F744:K745">
    <cfRule type="expression" dxfId="1661" priority="6">
      <formula>$F742&lt;&gt;$R742</formula>
    </cfRule>
  </conditionalFormatting>
  <conditionalFormatting sqref="F752:K752">
    <cfRule type="expression" dxfId="1660" priority="9">
      <formula>$C742&lt;&gt;""</formula>
    </cfRule>
  </conditionalFormatting>
  <conditionalFormatting sqref="F752:K753">
    <cfRule type="notContainsBlanks" dxfId="1659" priority="1">
      <formula>LEN(TRIM(F752))&gt;0</formula>
    </cfRule>
  </conditionalFormatting>
  <conditionalFormatting sqref="F753:K753">
    <cfRule type="expression" dxfId="1658" priority="10">
      <formula>$C742&lt;&gt;""</formula>
    </cfRule>
  </conditionalFormatting>
  <dataValidations count="2">
    <dataValidation type="list" allowBlank="1" showInputMessage="1" showErrorMessage="1" sqref="G13 F12:F13 G12:J12 H13:J14 F14:G14 G28 F27:F28 G27:J27 H28:J29 F29:G29 G43 F42:F43 G42:J42 H43:J44 F44:G44 G58 F57:F58 G57:J57 H58:J59 F59:G59 G73 F72:F73 G72:J72 H73:J74 F74:G74 G88 F87:F88 G87:J87 H88:J89 F89:G89 G103 F102:F103 G102:J102 H103:J104 F104:G104 G118 F117:F118 G117:J117 H118:J119 F119:G119 G133 F132:F133 G132:J132 H133:J134 F134:G134 G148 F147:F148 G147:J147 H148:J149 F149:G149 G163 F162:F163 G162:J162 H163:J164 F164:G164 G178 F177:F178 G177:J177 H178:J179 F179:G179 G193 F192:F193 G192:J192 H193:J194 F194:G194 G208 F207:F208 G207:J207 H208:J209 F209:G209 G223 F222:F223 G222:J222 H223:J224 F224:G224 G238 F237:F238 G237:J237 H238:J239 F239:G239 G253 F252:F253 G252:J252 H253:J254 F254:G254 G268 F267:F268 G267:J267 H268:J269 F269:G269 G283 F282:F283 G282:J282 H283:J284 F284:G284 G298 F297:F298 G297:J297 H298:J299 F299:G299 G313 F312:F313 G312:J312 H313:J314 F314:G314 G328 F327:F328 G327:J327 H328:J329 F329:G329 G343 F342:F343 G342:J342 H343:J344 F344:G344 G358 F357:F358 G357:J357 H358:J359 F359:G359 G373 F372:F373 G372:J372 H373:J374 F374:G374 G388 F387:F388 G387:J387 H388:J389 F389:G389 G403 F402:F403 G402:J402 H403:J404 F404:G404 G418 F417:F418 G417:J417 H418:J419 F419:G419 G433 F432:F433 G432:J432 H433:J434 F434:G434 G448 F447:F448 G447:J447 H448:J449 F449:G449 G463 F462:F463 G462:J462 H463:J464 F464:G464 G478 F477:F478 G477:J477 H478:J479 F479:G479 G493 F492:F493 G492:J492 H493:J494 F494:G494 G508 F507:F508 G507:J507 H508:J509 F509:G509 G523 F522:F523 G522:J522 H523:J524 F524:G524 G538 F537:F538 G537:J537 H538:J539 F539:G539 G553 F552:F553 G552:J552 H553:J554 F554:G554 G568 F567:F568 G567:J567 H568:J569 F569:G569 G583 F582:F583 G582:J582 H583:J584 F584:G584 G598 F597:F598 G597:J597 H598:J599 F599:G599 G613 F612:F613 G612:J612 H613:J614 F614:G614 G628 F627:F628 G627:J627 H628:J629 F629:G629 G643 F642:F643 G642:J642 H643:J644 F644:G644 G658 F657:F658 G657:J657 H658:J659 F659:G659 G673 F672:F673 G672:J672 H673:J674 F674:G674 G688 F687:F688 G687:J687 H688:J689 F689:G689 G703 F702:F703 G702:J702 H703:J704 F704:G704 G718 F717:F718 G717:J717 H718:J719 F719:G719 G733 F732:F733 G732:J732 H733:J734 F734:G734 G748 F747:F748 G747:J747 H748:J749 F749:G749" xr:uid="{E47D393A-BEC1-48DC-9394-9F241E9C0475}">
      <formula1>"未実施,実施中,実施済"</formula1>
    </dataValidation>
    <dataValidation type="list" allowBlank="1" showInputMessage="1" showErrorMessage="1" sqref="K12:K14 K27:K29 K42:K44 K57:K59 K72:K74 K87:K89 K102:K104 K117:K119 K132:K134 K147:K149 K162:K164 K177:K179 K192:K194 K207:K209 K222:K224 K237:K239 K252:K254 K267:K269 K282:K284 K297:K299 K312:K314 K327:K329 K342:K344 K357:K359 K372:K374 K387:K389 K402:K404 K417:K419 K432:K434 K447:K449 K462:K464 K477:K479 K492:K494 K507:K509 K522:K524 K537:K539 K552:K554 K567:K569 K582:K584 K597:K599 K612:K614 K627:K629 K642:K644 K657:K659 K672:K674 K687:K689 K702:K704 K717:K719 K732:K734 K747:K749" xr:uid="{22847654-E6FE-4DFA-ADBE-CF72A1A09987}">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showErrorMessage="1" xr:uid="{8EEF95BA-9B4C-4F53-A02C-939A48CA6B44}">
          <x14:formula1>
            <xm:f>IF('4.2民生電力需要量'!$U$2=1,OFFSET('4.2民生電力需要量'!$Y$8,1,0,'4.2民生電力需要量'!$U$3,1),OFFSET('4.2民生電力需要量'!$U$8,1,0,'4.2民生電力需要量'!$R$3,1))</xm:f>
          </x14:formula1>
          <xm:sqref>D7:D8 D22:D23 D37:D38 D52:D53 D67:D68 D82:D83 D97:D98 D112:D113 D127:D128 D142:D143 D157:D158 D172:D173 D187:D188 D202:D203 D217:D218 D232:D233 D247:D248 D262:D263 D277:D278 D292:D293 D307:D308 D322:D323 D337:D338 D352:D353 D367:D368 D382:D383 D397:D398 D412:D413 D427:D428 D442:D443 D457:D458 D472:D473 D487:D488 D502:D503 D517:D518 D532:D533 D547:D548 D562:D563 D577:D578 D592:D593 D607:D608 D622:D623 D637:D638 D652:D653 D667:D668 D682:D683 D697:D698 D712:D713 D727:D728 D742:D743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AA99-2AFB-40E0-91E4-7DB0A5171B92}">
  <sheetPr codeName="Sheet33">
    <tabColor theme="7" tint="0.79998168889431442"/>
    <pageSetUpPr autoPageBreaks="0" fitToPage="1"/>
  </sheetPr>
  <dimension ref="A1:AA804"/>
  <sheetViews>
    <sheetView showGridLines="0" zoomScaleNormal="100" zoomScaleSheetLayoutView="73" workbookViewId="0"/>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1" customWidth="1"/>
    <col min="6" max="12" width="15" style="11" customWidth="1"/>
    <col min="13" max="13" width="2" style="11" customWidth="1"/>
    <col min="14" max="14" width="4.08203125" style="99" customWidth="1"/>
    <col min="15" max="15" width="9" style="99"/>
    <col min="16" max="16" width="9" style="99" customWidth="1"/>
    <col min="17" max="17" width="9" style="11"/>
    <col min="18" max="25" width="12.58203125" style="11" hidden="1" customWidth="1"/>
    <col min="26" max="27" width="9" style="11" hidden="1" customWidth="1"/>
    <col min="28" max="16384" width="9" style="11"/>
  </cols>
  <sheetData>
    <row r="1" spans="1:27" customFormat="1">
      <c r="A1" s="44" t="s">
        <v>359</v>
      </c>
      <c r="B1" s="1"/>
      <c r="C1" s="1"/>
      <c r="N1" s="2"/>
      <c r="O1" s="2"/>
      <c r="P1" s="2"/>
    </row>
    <row r="2" spans="1:27" customFormat="1" ht="18.75" customHeight="1">
      <c r="B2" t="s">
        <v>427</v>
      </c>
    </row>
    <row r="3" spans="1:27" customFormat="1">
      <c r="B3" s="11"/>
      <c r="C3" t="s">
        <v>507</v>
      </c>
      <c r="N3" s="2"/>
      <c r="O3" s="2"/>
      <c r="P3" s="2"/>
    </row>
    <row r="4" spans="1:27" customFormat="1">
      <c r="B4" s="11"/>
      <c r="C4" t="s">
        <v>428</v>
      </c>
      <c r="N4" s="2"/>
      <c r="O4" s="2"/>
      <c r="P4" s="2"/>
      <c r="R4" t="s">
        <v>314</v>
      </c>
    </row>
    <row r="5" spans="1:27" customFormat="1" ht="13.5" customHeight="1">
      <c r="N5" s="2"/>
      <c r="O5" s="2"/>
      <c r="P5" s="2"/>
      <c r="Z5">
        <f ca="1">PRODUCT(AA:AA)</f>
        <v>1</v>
      </c>
    </row>
    <row r="6" spans="1:27" customFormat="1" ht="15" customHeight="1">
      <c r="B6" s="10"/>
      <c r="C6" s="5"/>
      <c r="D6" s="5"/>
      <c r="E6" s="5"/>
      <c r="F6" s="5"/>
      <c r="G6" s="5"/>
      <c r="H6" s="5"/>
      <c r="I6" s="5"/>
      <c r="J6" s="5"/>
      <c r="K6" s="5"/>
      <c r="L6" s="5"/>
      <c r="M6" s="6"/>
      <c r="R6" s="11" t="str">
        <f>D7</f>
        <v>(選択してください)</v>
      </c>
    </row>
    <row r="7" spans="1:27" customFormat="1">
      <c r="B7" s="7"/>
      <c r="C7" s="77" t="str">
        <f ca="1">IFERROR(OFFSET('4.2民生電力需要量'!$C$1,MATCH(D7,'4.2民生電力需要量'!$E:$E,0)-1,0),"")</f>
        <v/>
      </c>
      <c r="D7" s="94" t="s">
        <v>130</v>
      </c>
      <c r="E7" s="72" t="s">
        <v>131</v>
      </c>
      <c r="F7" s="1451" t="str">
        <f ca="1">IFERROR(OFFSET('4.2民生電力需要量'!$G$1,MATCH($D7,'4.2民生電力需要量'!$E:$E,0)-1,0),"")</f>
        <v/>
      </c>
      <c r="G7" s="1451"/>
      <c r="H7" s="1451"/>
      <c r="I7" s="1451"/>
      <c r="J7" s="1451"/>
      <c r="K7" s="1451"/>
      <c r="L7" s="1451"/>
      <c r="M7" s="8"/>
      <c r="R7" s="255" t="str">
        <f ca="1">IFERROR(OFFSET('4.2民生電力需要量'!$G$1,MATCH($D7,'4.2民生電力需要量'!$E:$E,0)-1,0),"")</f>
        <v/>
      </c>
      <c r="S7" s="175"/>
      <c r="T7" s="175"/>
      <c r="U7" s="175"/>
      <c r="V7" s="175"/>
      <c r="W7" s="175"/>
      <c r="X7" s="175"/>
      <c r="Y7" s="175"/>
      <c r="Z7" s="175"/>
      <c r="AA7" s="175">
        <f ca="1">(F7=R7)*1</f>
        <v>1</v>
      </c>
    </row>
    <row r="8" spans="1:27" customFormat="1">
      <c r="B8" s="7"/>
      <c r="C8" s="915"/>
      <c r="D8" s="97"/>
      <c r="E8" s="72" t="s">
        <v>612</v>
      </c>
      <c r="F8" s="1447" t="str">
        <f ca="1">IFERROR(OFFSET('4.2民生電力需要量'!$L$1,MATCH($D7,'4.2民生電力需要量'!$E:$E,0)-1,0),"")</f>
        <v/>
      </c>
      <c r="G8" s="1448"/>
      <c r="H8" s="1448"/>
      <c r="I8" s="1448"/>
      <c r="J8" s="1448"/>
      <c r="K8" s="1448"/>
      <c r="L8" s="1449"/>
      <c r="M8" s="8"/>
      <c r="R8" s="255" t="str">
        <f ca="1">IFERROR(OFFSET('4.2民生電力需要量'!$L$1,MATCH($D7,'4.2民生電力需要量'!$E:$E,0)-1,0),"")</f>
        <v/>
      </c>
      <c r="S8" s="175"/>
      <c r="T8" s="175"/>
      <c r="U8" s="175"/>
      <c r="V8" s="175"/>
      <c r="W8" s="175"/>
      <c r="X8" s="175"/>
      <c r="Y8" s="175"/>
      <c r="Z8" s="175"/>
      <c r="AA8" s="175">
        <f ca="1">(F8=R8)*1</f>
        <v>1</v>
      </c>
    </row>
    <row r="9" spans="1:27" customFormat="1">
      <c r="B9" s="7"/>
      <c r="C9" s="74"/>
      <c r="D9" s="66"/>
      <c r="E9" s="72" t="s">
        <v>220</v>
      </c>
      <c r="F9" s="1450" t="str">
        <f ca="1">IFERROR(OFFSET('4.2民生電力需要量'!$I$1,MATCH($D7,'4.2民生電力需要量'!$E:$E,0)-1,0),"")</f>
        <v/>
      </c>
      <c r="G9" s="1450"/>
      <c r="H9" s="1450"/>
      <c r="I9" s="1450"/>
      <c r="J9" s="1450"/>
      <c r="K9" s="1450"/>
      <c r="L9" s="1450"/>
      <c r="M9" s="8"/>
      <c r="R9" s="255" t="str">
        <f ca="1">IFERROR(OFFSET('4.2民生電力需要量'!$I$1,MATCH($D7,'4.2民生電力需要量'!$E:$E,0)-1,0),"")</f>
        <v/>
      </c>
      <c r="S9" s="175"/>
      <c r="T9" s="175"/>
      <c r="U9" s="175"/>
      <c r="V9" s="175"/>
      <c r="W9" s="175"/>
      <c r="X9" s="175"/>
      <c r="Y9" s="175"/>
      <c r="Z9" s="175"/>
      <c r="AA9" s="175">
        <f t="shared" ref="AA9:AA10" ca="1" si="0">(F9=R9)*1</f>
        <v>1</v>
      </c>
    </row>
    <row r="10" spans="1:27" customFormat="1">
      <c r="B10" s="7"/>
      <c r="C10" s="74"/>
      <c r="D10" s="66"/>
      <c r="E10" s="72" t="s">
        <v>175</v>
      </c>
      <c r="F10" s="1451" t="str">
        <f>_xlfn.IFNA(R10,"")</f>
        <v/>
      </c>
      <c r="G10" s="1451"/>
      <c r="H10" s="1451"/>
      <c r="I10" s="1451"/>
      <c r="J10" s="1451"/>
      <c r="K10" s="1451"/>
      <c r="L10" s="1451"/>
      <c r="M10" s="8"/>
      <c r="R10" s="129" t="str">
        <f>IF(OR(COUNTIF($E12:$E17,"&lt;&gt;〇〇(合意形成対象者名に書き換え)")=3,COUNTIF($E12:$E17,"")&gt;3),"",IF(PRODUCT($Y12:$Y17)=1,Z12,""))</f>
        <v/>
      </c>
      <c r="S10" s="175"/>
      <c r="T10" s="175"/>
      <c r="U10" s="175"/>
      <c r="V10" s="175"/>
      <c r="W10" s="175"/>
      <c r="X10" s="175"/>
      <c r="Y10" s="175"/>
      <c r="Z10" s="175"/>
      <c r="AA10" s="175">
        <f t="shared" si="0"/>
        <v>1</v>
      </c>
    </row>
    <row r="11" spans="1:27" ht="63.75" customHeight="1">
      <c r="B11" s="95"/>
      <c r="C11" s="96"/>
      <c r="D11" s="97"/>
      <c r="E11" s="372"/>
      <c r="F11" s="313" t="s">
        <v>268</v>
      </c>
      <c r="G11" s="313" t="s">
        <v>271</v>
      </c>
      <c r="H11" s="313" t="s">
        <v>272</v>
      </c>
      <c r="I11" s="313" t="s">
        <v>269</v>
      </c>
      <c r="J11" s="313" t="s">
        <v>434</v>
      </c>
      <c r="K11" s="313" t="s">
        <v>435</v>
      </c>
      <c r="L11" s="313" t="s">
        <v>270</v>
      </c>
      <c r="M11" s="98"/>
      <c r="N11" s="11"/>
      <c r="R11" s="126" t="s">
        <v>299</v>
      </c>
      <c r="S11" s="257" t="s">
        <v>423</v>
      </c>
      <c r="T11" s="126" t="s">
        <v>424</v>
      </c>
      <c r="U11" s="296" t="s">
        <v>436</v>
      </c>
      <c r="V11" s="256" t="s">
        <v>270</v>
      </c>
      <c r="W11" s="126" t="s">
        <v>426</v>
      </c>
      <c r="X11" s="129" t="s">
        <v>402</v>
      </c>
      <c r="Y11" s="129" t="s">
        <v>430</v>
      </c>
      <c r="Z11" s="126" t="s">
        <v>425</v>
      </c>
      <c r="AA11" s="255"/>
    </row>
    <row r="12" spans="1:27" hidden="1">
      <c r="B12" s="95"/>
      <c r="C12" s="96"/>
      <c r="D12" s="97"/>
      <c r="E12" s="442"/>
      <c r="F12" s="443"/>
      <c r="G12" s="439"/>
      <c r="H12" s="443"/>
      <c r="I12" s="439"/>
      <c r="J12" s="443"/>
      <c r="K12" s="439"/>
      <c r="L12" s="444"/>
      <c r="M12" s="98"/>
      <c r="N12" s="11"/>
      <c r="R12" s="129">
        <f t="shared" ref="R12:R17" si="1">IF(F12="実施済",1,0)</f>
        <v>0</v>
      </c>
      <c r="S12" s="258"/>
      <c r="T12" s="129">
        <f t="shared" ref="T12:T17" si="2">IF(AND(H12="実施済",I12="実施済"),R12*1,0)</f>
        <v>0</v>
      </c>
      <c r="U12" s="129">
        <f>IF(AND(J12="実施済",K12="実施済"),$T12*1,0)</f>
        <v>0</v>
      </c>
      <c r="V12" s="258"/>
      <c r="W12" s="129" t="str">
        <f>IF(OR(E12="〇〇(合意形成対象者名に書き換え)",E12=""),"",SUM(R12,T12,U12))</f>
        <v/>
      </c>
      <c r="X12" s="129">
        <f t="shared" ref="X12:X17" si="3">MIN($W$12:$W$17)+1</f>
        <v>1</v>
      </c>
      <c r="Y12" s="129">
        <f>IF(E12="",1,IF(AND(E12="〇〇(合意形成対象者名に書き換え)",COUNTA($F12:$L12)=0),1,IF(AND(E12&lt;&gt;"〇〇(合意形成対象者名に書き換え)",COUNTA($F12:$L12)=7),1,0)))</f>
        <v>1</v>
      </c>
      <c r="Z12" s="129" t="str" cm="1">
        <f t="array" ref="Z12">_xlfn.IFS(X12=4,"A",X12=3,"B",X12=2,"C",X12=1,"D")</f>
        <v>D</v>
      </c>
      <c r="AA12" s="255"/>
    </row>
    <row r="13" spans="1:27">
      <c r="B13" s="95"/>
      <c r="C13" s="96"/>
      <c r="D13" s="97"/>
      <c r="E13" s="447" t="s">
        <v>129</v>
      </c>
      <c r="F13" s="446"/>
      <c r="G13" s="441"/>
      <c r="H13" s="446"/>
      <c r="I13" s="441"/>
      <c r="J13" s="446"/>
      <c r="K13" s="441"/>
      <c r="L13" s="441"/>
      <c r="M13" s="98"/>
      <c r="N13" s="11"/>
      <c r="R13" s="129">
        <f t="shared" si="1"/>
        <v>0</v>
      </c>
      <c r="S13" s="258"/>
      <c r="T13" s="129">
        <f t="shared" si="2"/>
        <v>0</v>
      </c>
      <c r="U13" s="129">
        <f t="shared" ref="U13:U17" si="4">IF(AND(J13="実施済",K13="実施済"),$T13*1,0)</f>
        <v>0</v>
      </c>
      <c r="V13" s="258"/>
      <c r="W13" s="129" t="str">
        <f t="shared" ref="W13:W17" si="5">IF(OR(E13="〇〇(合意形成対象者名に書き換え)",E13=""),"",SUM(R13,T13,U13))</f>
        <v/>
      </c>
      <c r="X13" s="129">
        <f t="shared" si="3"/>
        <v>1</v>
      </c>
      <c r="Y13" s="129">
        <f t="shared" ref="Y13:Y17" si="6">IF(E13="",1,IF(AND(E13="〇〇(合意形成対象者名に書き換え)",COUNTA($F13:$L13)=0),1,IF(AND(E13&lt;&gt;"〇〇(合意形成対象者名に書き換え)",COUNTA($F13:$L13)=7),1,0)))</f>
        <v>1</v>
      </c>
      <c r="Z13" s="129" t="str" cm="1">
        <f t="array" ref="Z13">_xlfn.IFS(X13=4,"A",X13=3,"B",X13=2,"C",X13=1,"D")</f>
        <v>D</v>
      </c>
      <c r="AA13" s="255"/>
    </row>
    <row r="14" spans="1:27">
      <c r="B14" s="95"/>
      <c r="C14" s="96"/>
      <c r="D14" s="97"/>
      <c r="E14" s="447" t="s">
        <v>129</v>
      </c>
      <c r="F14" s="446"/>
      <c r="G14" s="441"/>
      <c r="H14" s="446"/>
      <c r="I14" s="441"/>
      <c r="J14" s="446"/>
      <c r="K14" s="441"/>
      <c r="L14" s="441"/>
      <c r="M14" s="98"/>
      <c r="N14" s="11"/>
      <c r="R14" s="129">
        <f t="shared" si="1"/>
        <v>0</v>
      </c>
      <c r="S14" s="258"/>
      <c r="T14" s="129">
        <f t="shared" si="2"/>
        <v>0</v>
      </c>
      <c r="U14" s="129">
        <f t="shared" si="4"/>
        <v>0</v>
      </c>
      <c r="V14" s="258"/>
      <c r="W14" s="129" t="str">
        <f t="shared" si="5"/>
        <v/>
      </c>
      <c r="X14" s="129">
        <f t="shared" si="3"/>
        <v>1</v>
      </c>
      <c r="Y14" s="129">
        <f t="shared" si="6"/>
        <v>1</v>
      </c>
      <c r="Z14" s="129" t="str" cm="1">
        <f t="array" ref="Z14">_xlfn.IFS(X14=4,"A",X14=3,"B",X14=2,"C",X14=1,"D")</f>
        <v>D</v>
      </c>
      <c r="AA14" s="255"/>
    </row>
    <row r="15" spans="1:27" s="99" customFormat="1">
      <c r="A15" s="11"/>
      <c r="B15" s="95"/>
      <c r="C15" s="96"/>
      <c r="D15" s="97"/>
      <c r="E15" s="447" t="s">
        <v>129</v>
      </c>
      <c r="F15" s="446"/>
      <c r="G15" s="441"/>
      <c r="H15" s="446"/>
      <c r="I15" s="441"/>
      <c r="J15" s="446"/>
      <c r="K15" s="441"/>
      <c r="L15" s="441"/>
      <c r="M15" s="98"/>
      <c r="N15" s="11"/>
      <c r="Q15" s="11"/>
      <c r="R15" s="129">
        <f t="shared" si="1"/>
        <v>0</v>
      </c>
      <c r="S15" s="258"/>
      <c r="T15" s="129">
        <f t="shared" si="2"/>
        <v>0</v>
      </c>
      <c r="U15" s="129">
        <f t="shared" si="4"/>
        <v>0</v>
      </c>
      <c r="V15" s="258"/>
      <c r="W15" s="129" t="str">
        <f t="shared" si="5"/>
        <v/>
      </c>
      <c r="X15" s="129">
        <f t="shared" si="3"/>
        <v>1</v>
      </c>
      <c r="Y15" s="129">
        <f t="shared" si="6"/>
        <v>1</v>
      </c>
      <c r="Z15" s="129" t="str" cm="1">
        <f t="array" ref="Z15">_xlfn.IFS(X15=4,"A",X15=3,"B",X15=2,"C",X15=1,"D")</f>
        <v>D</v>
      </c>
      <c r="AA15" s="129"/>
    </row>
    <row r="16" spans="1:27" customFormat="1" ht="7.5" customHeight="1">
      <c r="B16" s="65"/>
      <c r="C16" s="4"/>
      <c r="D16" s="4"/>
      <c r="E16" s="4"/>
      <c r="F16" s="4"/>
      <c r="G16" s="4"/>
      <c r="H16" s="4"/>
      <c r="I16" s="4"/>
      <c r="J16" s="4"/>
      <c r="K16" s="4"/>
      <c r="L16" s="4"/>
      <c r="M16" s="9"/>
      <c r="N16" s="2"/>
      <c r="O16" s="2"/>
      <c r="P16" s="2"/>
      <c r="R16" s="129">
        <f t="shared" si="1"/>
        <v>0</v>
      </c>
      <c r="S16" s="258"/>
      <c r="T16" s="129">
        <f t="shared" si="2"/>
        <v>0</v>
      </c>
      <c r="U16" s="129">
        <f>IF(AND(J16="実施済",K16="実施済"),$T16*1,0)</f>
        <v>0</v>
      </c>
      <c r="V16" s="258"/>
      <c r="W16" s="129" t="str">
        <f t="shared" si="5"/>
        <v/>
      </c>
      <c r="X16" s="129">
        <f t="shared" si="3"/>
        <v>1</v>
      </c>
      <c r="Y16" s="129">
        <f t="shared" si="6"/>
        <v>1</v>
      </c>
      <c r="Z16" s="129" t="str" cm="1">
        <f t="array" ref="Z16">_xlfn.IFS(X16=4,"A",X16=3,"B",X16=2,"C",X16=1,"D")</f>
        <v>D</v>
      </c>
      <c r="AA16" s="175"/>
    </row>
    <row r="17" spans="1:27" customFormat="1" ht="18" customHeight="1">
      <c r="N17" s="2"/>
      <c r="O17" s="2"/>
      <c r="P17" s="2"/>
      <c r="R17" s="129">
        <f t="shared" si="1"/>
        <v>0</v>
      </c>
      <c r="S17" s="258"/>
      <c r="T17" s="129">
        <f t="shared" si="2"/>
        <v>0</v>
      </c>
      <c r="U17" s="129">
        <f t="shared" si="4"/>
        <v>0</v>
      </c>
      <c r="V17" s="258"/>
      <c r="W17" s="129" t="str">
        <f t="shared" si="5"/>
        <v/>
      </c>
      <c r="X17" s="129">
        <f t="shared" si="3"/>
        <v>1</v>
      </c>
      <c r="Y17" s="129">
        <f t="shared" si="6"/>
        <v>1</v>
      </c>
      <c r="Z17" s="129" t="str" cm="1">
        <f t="array" ref="Z17">_xlfn.IFS(X17=4,"A",X17=3,"B",X17=2,"C",X17=1,"D")</f>
        <v>D</v>
      </c>
      <c r="AA17" s="175"/>
    </row>
    <row r="18" spans="1:27" customFormat="1" ht="103.5" customHeight="1">
      <c r="C18" s="78"/>
      <c r="D18" s="79"/>
      <c r="E18" s="71" t="s">
        <v>236</v>
      </c>
      <c r="F18" s="1452"/>
      <c r="G18" s="1452"/>
      <c r="H18" s="1452"/>
      <c r="I18" s="1452"/>
      <c r="J18" s="1452"/>
      <c r="K18" s="1452"/>
      <c r="L18" s="1452"/>
      <c r="M18" s="80" t="s">
        <v>132</v>
      </c>
      <c r="N18" s="80"/>
    </row>
    <row r="19" spans="1:27" customFormat="1" ht="146.25" customHeight="1">
      <c r="C19" s="75"/>
      <c r="D19" s="68"/>
      <c r="E19" s="71" t="s">
        <v>235</v>
      </c>
      <c r="F19" s="1452"/>
      <c r="G19" s="1452"/>
      <c r="H19" s="1452"/>
      <c r="I19" s="1452"/>
      <c r="J19" s="1452"/>
      <c r="K19" s="1452"/>
      <c r="L19" s="1452"/>
      <c r="N19" s="2"/>
      <c r="O19" s="2"/>
      <c r="P19" s="2"/>
    </row>
    <row r="20" spans="1:27" customFormat="1" ht="13.5" customHeight="1" thickBot="1">
      <c r="A20" s="81"/>
      <c r="B20" s="81"/>
      <c r="C20" s="81"/>
      <c r="D20" s="81"/>
      <c r="E20" s="81"/>
      <c r="F20" s="81"/>
      <c r="G20" s="81"/>
      <c r="H20" s="81"/>
      <c r="I20" s="81"/>
      <c r="J20" s="81"/>
      <c r="K20" s="81"/>
      <c r="L20" s="81"/>
      <c r="M20" s="81"/>
      <c r="N20" s="82"/>
      <c r="O20" s="2"/>
      <c r="P20" s="2"/>
    </row>
    <row r="21" spans="1:27" customFormat="1" ht="13.5" customHeight="1">
      <c r="N21" s="2"/>
      <c r="O21" s="2"/>
      <c r="P21" s="2"/>
    </row>
    <row r="22" spans="1:27" customFormat="1" ht="15" customHeight="1">
      <c r="B22" s="10"/>
      <c r="C22" s="5"/>
      <c r="D22" s="5"/>
      <c r="E22" s="5"/>
      <c r="F22" s="5"/>
      <c r="G22" s="5"/>
      <c r="H22" s="5"/>
      <c r="I22" s="5"/>
      <c r="J22" s="5"/>
      <c r="K22" s="5"/>
      <c r="L22" s="5"/>
      <c r="M22" s="6"/>
      <c r="R22" s="11" t="str">
        <f>D23</f>
        <v>(選択してください)</v>
      </c>
    </row>
    <row r="23" spans="1:27" customFormat="1">
      <c r="B23" s="7"/>
      <c r="C23" s="77" t="str">
        <f ca="1">IFERROR(OFFSET('4.2民生電力需要量'!$C$1,MATCH(D23,'4.2民生電力需要量'!$E:$E,0)-1,0),"")</f>
        <v/>
      </c>
      <c r="D23" s="94" t="s">
        <v>130</v>
      </c>
      <c r="E23" s="72" t="s">
        <v>131</v>
      </c>
      <c r="F23" s="1451" t="str">
        <f ca="1">IFERROR(OFFSET('4.2民生電力需要量'!$G$1,MATCH($D23,'4.2民生電力需要量'!$E:$E,0)-1,0),"")</f>
        <v/>
      </c>
      <c r="G23" s="1451"/>
      <c r="H23" s="1451"/>
      <c r="I23" s="1451"/>
      <c r="J23" s="1451"/>
      <c r="K23" s="1451"/>
      <c r="L23" s="1451"/>
      <c r="M23" s="8"/>
      <c r="R23" s="255" t="str">
        <f ca="1">IFERROR(OFFSET('4.2民生電力需要量'!$G$1,MATCH($D23,'4.2民生電力需要量'!$E:$E,0)-1,0),"")</f>
        <v/>
      </c>
      <c r="S23" s="175"/>
      <c r="T23" s="175"/>
      <c r="U23" s="175"/>
      <c r="V23" s="175"/>
      <c r="W23" s="175"/>
      <c r="X23" s="175"/>
      <c r="Y23" s="175"/>
      <c r="Z23" s="175"/>
      <c r="AA23" s="175">
        <f ca="1">(F23=R23)*1</f>
        <v>1</v>
      </c>
    </row>
    <row r="24" spans="1:27" customFormat="1">
      <c r="B24" s="7"/>
      <c r="C24" s="915"/>
      <c r="D24" s="97"/>
      <c r="E24" s="72" t="s">
        <v>612</v>
      </c>
      <c r="F24" s="1447" t="str">
        <f ca="1">IFERROR(OFFSET('4.2民生電力需要量'!$L$1,MATCH($D23,'4.2民生電力需要量'!$E:$E,0)-1,0),"")</f>
        <v/>
      </c>
      <c r="G24" s="1448"/>
      <c r="H24" s="1448"/>
      <c r="I24" s="1448"/>
      <c r="J24" s="1448"/>
      <c r="K24" s="1448"/>
      <c r="L24" s="1449"/>
      <c r="M24" s="8"/>
      <c r="R24" s="255" t="str">
        <f ca="1">IFERROR(OFFSET('4.2民生電力需要量'!$L$1,MATCH($D23,'4.2民生電力需要量'!$E:$E,0)-1,0),"")</f>
        <v/>
      </c>
      <c r="S24" s="175"/>
      <c r="T24" s="175"/>
      <c r="U24" s="175"/>
      <c r="V24" s="175"/>
      <c r="W24" s="175"/>
      <c r="X24" s="175"/>
      <c r="Y24" s="175"/>
      <c r="Z24" s="175"/>
      <c r="AA24" s="175">
        <f ca="1">(F24=R24)*1</f>
        <v>1</v>
      </c>
    </row>
    <row r="25" spans="1:27" customFormat="1">
      <c r="B25" s="7"/>
      <c r="C25" s="74"/>
      <c r="D25" s="66"/>
      <c r="E25" s="72" t="s">
        <v>220</v>
      </c>
      <c r="F25" s="1450" t="str">
        <f ca="1">IFERROR(OFFSET('4.2民生電力需要量'!$I$1,MATCH($D23,'4.2民生電力需要量'!$E:$E,0)-1,0),"")</f>
        <v/>
      </c>
      <c r="G25" s="1450"/>
      <c r="H25" s="1450"/>
      <c r="I25" s="1450"/>
      <c r="J25" s="1450"/>
      <c r="K25" s="1450"/>
      <c r="L25" s="1450"/>
      <c r="M25" s="8"/>
      <c r="R25" s="255" t="str">
        <f ca="1">IFERROR(OFFSET('4.2民生電力需要量'!$I$1,MATCH($D23,'4.2民生電力需要量'!$E:$E,0)-1,0),"")</f>
        <v/>
      </c>
      <c r="S25" s="175"/>
      <c r="T25" s="175"/>
      <c r="U25" s="175"/>
      <c r="V25" s="175"/>
      <c r="W25" s="175"/>
      <c r="X25" s="175"/>
      <c r="Y25" s="175"/>
      <c r="Z25" s="175"/>
      <c r="AA25" s="175">
        <f t="shared" ref="AA25:AA26" ca="1" si="7">(F25=R25)*1</f>
        <v>1</v>
      </c>
    </row>
    <row r="26" spans="1:27" customFormat="1">
      <c r="B26" s="7"/>
      <c r="C26" s="74"/>
      <c r="D26" s="66"/>
      <c r="E26" s="72" t="s">
        <v>175</v>
      </c>
      <c r="F26" s="1451" t="str">
        <f>_xlfn.IFNA(R26,"")</f>
        <v/>
      </c>
      <c r="G26" s="1451"/>
      <c r="H26" s="1451"/>
      <c r="I26" s="1451"/>
      <c r="J26" s="1451"/>
      <c r="K26" s="1451"/>
      <c r="L26" s="1451"/>
      <c r="M26" s="8"/>
      <c r="R26" s="129" t="str">
        <f>IF(OR(COUNTIF($E28:$E33,"&lt;&gt;〇〇(合意形成対象者名に書き換え)")=3,COUNTIF($E28:$E33,"")&gt;3),"",IF(PRODUCT($Y28:$Y33)=1,Z28,""))</f>
        <v/>
      </c>
      <c r="S26" s="175"/>
      <c r="T26" s="175"/>
      <c r="U26" s="175"/>
      <c r="V26" s="175"/>
      <c r="W26" s="175"/>
      <c r="X26" s="175"/>
      <c r="Y26" s="175"/>
      <c r="Z26" s="175"/>
      <c r="AA26" s="175">
        <f t="shared" si="7"/>
        <v>1</v>
      </c>
    </row>
    <row r="27" spans="1:27" ht="63.75" customHeight="1">
      <c r="B27" s="95"/>
      <c r="C27" s="96"/>
      <c r="D27" s="97"/>
      <c r="E27" s="372"/>
      <c r="F27" s="313" t="s">
        <v>268</v>
      </c>
      <c r="G27" s="313" t="s">
        <v>271</v>
      </c>
      <c r="H27" s="313" t="s">
        <v>272</v>
      </c>
      <c r="I27" s="313" t="s">
        <v>269</v>
      </c>
      <c r="J27" s="313" t="s">
        <v>434</v>
      </c>
      <c r="K27" s="313" t="s">
        <v>435</v>
      </c>
      <c r="L27" s="313" t="s">
        <v>270</v>
      </c>
      <c r="M27" s="98"/>
      <c r="N27" s="11"/>
      <c r="R27" s="126" t="s">
        <v>299</v>
      </c>
      <c r="S27" s="257" t="s">
        <v>423</v>
      </c>
      <c r="T27" s="126" t="s">
        <v>424</v>
      </c>
      <c r="U27" s="296" t="s">
        <v>436</v>
      </c>
      <c r="V27" s="256" t="s">
        <v>270</v>
      </c>
      <c r="W27" s="126" t="s">
        <v>426</v>
      </c>
      <c r="X27" s="129" t="s">
        <v>402</v>
      </c>
      <c r="Y27" s="129" t="s">
        <v>430</v>
      </c>
      <c r="Z27" s="126" t="s">
        <v>425</v>
      </c>
      <c r="AA27" s="255"/>
    </row>
    <row r="28" spans="1:27" hidden="1">
      <c r="B28" s="95"/>
      <c r="C28" s="96"/>
      <c r="D28" s="97"/>
      <c r="E28" s="442"/>
      <c r="F28" s="443"/>
      <c r="G28" s="439"/>
      <c r="H28" s="443"/>
      <c r="I28" s="439"/>
      <c r="J28" s="443"/>
      <c r="K28" s="439"/>
      <c r="L28" s="444"/>
      <c r="M28" s="98"/>
      <c r="N28" s="11"/>
      <c r="R28" s="129">
        <f t="shared" ref="R28:R33" si="8">IF(F28="実施済",1,0)</f>
        <v>0</v>
      </c>
      <c r="S28" s="258"/>
      <c r="T28" s="129">
        <f t="shared" ref="T28:T33" si="9">IF(AND(H28="実施済",I28="実施済"),R28*1,0)</f>
        <v>0</v>
      </c>
      <c r="U28" s="129">
        <f>IF(AND(J28="実施済",K28="実施済"),$T28*1,0)</f>
        <v>0</v>
      </c>
      <c r="V28" s="258"/>
      <c r="W28" s="129" t="str">
        <f>IF(OR(E28="〇〇(合意形成対象者名に書き換え)",E28=""),"",SUM(R28,T28,U28))</f>
        <v/>
      </c>
      <c r="X28" s="129">
        <f t="shared" ref="X28:X33" si="10">MIN($W$28:$W$33)+1</f>
        <v>1</v>
      </c>
      <c r="Y28" s="129">
        <f>IF(E28="",1,IF(AND(E28="〇〇(合意形成対象者名に書き換え)",COUNTA($F28:$L28)=0),1,IF(AND(E28&lt;&gt;"〇〇(合意形成対象者名に書き換え)",COUNTA($F28:$L28)=7),1,0)))</f>
        <v>1</v>
      </c>
      <c r="Z28" s="129" t="str" cm="1">
        <f t="array" ref="Z28">_xlfn.IFS(X28=4,"A",X28=3,"B",X28=2,"C",X28=1,"D")</f>
        <v>D</v>
      </c>
      <c r="AA28" s="255"/>
    </row>
    <row r="29" spans="1:27">
      <c r="B29" s="95"/>
      <c r="C29" s="96"/>
      <c r="D29" s="97"/>
      <c r="E29" s="447" t="s">
        <v>129</v>
      </c>
      <c r="F29" s="446"/>
      <c r="G29" s="441"/>
      <c r="H29" s="446"/>
      <c r="I29" s="441"/>
      <c r="J29" s="446"/>
      <c r="K29" s="441"/>
      <c r="L29" s="441"/>
      <c r="M29" s="98"/>
      <c r="N29" s="11"/>
      <c r="R29" s="129">
        <f t="shared" si="8"/>
        <v>0</v>
      </c>
      <c r="S29" s="258"/>
      <c r="T29" s="129">
        <f t="shared" si="9"/>
        <v>0</v>
      </c>
      <c r="U29" s="129">
        <f t="shared" ref="U29:U31" si="11">IF(AND(J29="実施済",K29="実施済"),$T29*1,0)</f>
        <v>0</v>
      </c>
      <c r="V29" s="258"/>
      <c r="W29" s="129" t="str">
        <f t="shared" ref="W29:W33" si="12">IF(OR(E29="〇〇(合意形成対象者名に書き換え)",E29=""),"",SUM(R29,T29,U29))</f>
        <v/>
      </c>
      <c r="X29" s="129">
        <f t="shared" si="10"/>
        <v>1</v>
      </c>
      <c r="Y29" s="129">
        <f t="shared" ref="Y29:Y33" si="13">IF(E29="",1,IF(AND(E29="〇〇(合意形成対象者名に書き換え)",COUNTA($F29:$L29)=0),1,IF(AND(E29&lt;&gt;"〇〇(合意形成対象者名に書き換え)",COUNTA($F29:$L29)=7),1,0)))</f>
        <v>1</v>
      </c>
      <c r="Z29" s="129" t="str" cm="1">
        <f t="array" ref="Z29">_xlfn.IFS(X29=4,"A",X29=3,"B",X29=2,"C",X29=1,"D")</f>
        <v>D</v>
      </c>
      <c r="AA29" s="255"/>
    </row>
    <row r="30" spans="1:27">
      <c r="B30" s="95"/>
      <c r="C30" s="96"/>
      <c r="D30" s="97"/>
      <c r="E30" s="447" t="s">
        <v>129</v>
      </c>
      <c r="F30" s="446"/>
      <c r="G30" s="441"/>
      <c r="H30" s="446"/>
      <c r="I30" s="441"/>
      <c r="J30" s="446"/>
      <c r="K30" s="441"/>
      <c r="L30" s="441"/>
      <c r="M30" s="98"/>
      <c r="N30" s="11"/>
      <c r="R30" s="129">
        <f t="shared" si="8"/>
        <v>0</v>
      </c>
      <c r="S30" s="258"/>
      <c r="T30" s="129">
        <f t="shared" si="9"/>
        <v>0</v>
      </c>
      <c r="U30" s="129">
        <f t="shared" si="11"/>
        <v>0</v>
      </c>
      <c r="V30" s="258"/>
      <c r="W30" s="129" t="str">
        <f t="shared" si="12"/>
        <v/>
      </c>
      <c r="X30" s="129">
        <f t="shared" si="10"/>
        <v>1</v>
      </c>
      <c r="Y30" s="129">
        <f t="shared" si="13"/>
        <v>1</v>
      </c>
      <c r="Z30" s="129" t="str" cm="1">
        <f t="array" ref="Z30">_xlfn.IFS(X30=4,"A",X30=3,"B",X30=2,"C",X30=1,"D")</f>
        <v>D</v>
      </c>
      <c r="AA30" s="255"/>
    </row>
    <row r="31" spans="1:27" s="99" customFormat="1">
      <c r="A31" s="11"/>
      <c r="B31" s="95"/>
      <c r="C31" s="96"/>
      <c r="D31" s="97"/>
      <c r="E31" s="447" t="s">
        <v>129</v>
      </c>
      <c r="F31" s="446"/>
      <c r="G31" s="441"/>
      <c r="H31" s="446"/>
      <c r="I31" s="441"/>
      <c r="J31" s="446"/>
      <c r="K31" s="441"/>
      <c r="L31" s="441"/>
      <c r="M31" s="98"/>
      <c r="N31" s="11"/>
      <c r="Q31" s="11"/>
      <c r="R31" s="129">
        <f t="shared" si="8"/>
        <v>0</v>
      </c>
      <c r="S31" s="258"/>
      <c r="T31" s="129">
        <f t="shared" si="9"/>
        <v>0</v>
      </c>
      <c r="U31" s="129">
        <f t="shared" si="11"/>
        <v>0</v>
      </c>
      <c r="V31" s="258"/>
      <c r="W31" s="129" t="str">
        <f t="shared" si="12"/>
        <v/>
      </c>
      <c r="X31" s="129">
        <f t="shared" si="10"/>
        <v>1</v>
      </c>
      <c r="Y31" s="129">
        <f t="shared" si="13"/>
        <v>1</v>
      </c>
      <c r="Z31" s="129" t="str" cm="1">
        <f t="array" ref="Z31">_xlfn.IFS(X31=4,"A",X31=3,"B",X31=2,"C",X31=1,"D")</f>
        <v>D</v>
      </c>
      <c r="AA31" s="129"/>
    </row>
    <row r="32" spans="1:27" customFormat="1" ht="7.5" customHeight="1">
      <c r="B32" s="65"/>
      <c r="C32" s="4"/>
      <c r="D32" s="4"/>
      <c r="E32" s="4"/>
      <c r="F32" s="4"/>
      <c r="G32" s="4"/>
      <c r="H32" s="4"/>
      <c r="I32" s="4"/>
      <c r="J32" s="4"/>
      <c r="K32" s="4"/>
      <c r="L32" s="4"/>
      <c r="M32" s="9"/>
      <c r="N32" s="2"/>
      <c r="O32" s="2"/>
      <c r="P32" s="2"/>
      <c r="R32" s="129">
        <f t="shared" si="8"/>
        <v>0</v>
      </c>
      <c r="S32" s="258"/>
      <c r="T32" s="129">
        <f t="shared" si="9"/>
        <v>0</v>
      </c>
      <c r="U32" s="129">
        <f>IF(AND(J32="実施済",K32="実施済"),$T32*1,0)</f>
        <v>0</v>
      </c>
      <c r="V32" s="258"/>
      <c r="W32" s="129" t="str">
        <f t="shared" si="12"/>
        <v/>
      </c>
      <c r="X32" s="129">
        <f t="shared" si="10"/>
        <v>1</v>
      </c>
      <c r="Y32" s="129">
        <f t="shared" si="13"/>
        <v>1</v>
      </c>
      <c r="Z32" s="129" t="str" cm="1">
        <f t="array" ref="Z32">_xlfn.IFS(X32=4,"A",X32=3,"B",X32=2,"C",X32=1,"D")</f>
        <v>D</v>
      </c>
      <c r="AA32" s="175"/>
    </row>
    <row r="33" spans="1:27" customFormat="1" ht="18" customHeight="1">
      <c r="N33" s="2"/>
      <c r="O33" s="2"/>
      <c r="P33" s="2"/>
      <c r="R33" s="129">
        <f t="shared" si="8"/>
        <v>0</v>
      </c>
      <c r="S33" s="258"/>
      <c r="T33" s="129">
        <f t="shared" si="9"/>
        <v>0</v>
      </c>
      <c r="U33" s="129">
        <f t="shared" ref="U33" si="14">IF(AND(J33="実施済",K33="実施済"),$T33*1,0)</f>
        <v>0</v>
      </c>
      <c r="V33" s="258"/>
      <c r="W33" s="129" t="str">
        <f t="shared" si="12"/>
        <v/>
      </c>
      <c r="X33" s="129">
        <f t="shared" si="10"/>
        <v>1</v>
      </c>
      <c r="Y33" s="129">
        <f t="shared" si="13"/>
        <v>1</v>
      </c>
      <c r="Z33" s="129" t="str" cm="1">
        <f t="array" ref="Z33">_xlfn.IFS(X33=4,"A",X33=3,"B",X33=2,"C",X33=1,"D")</f>
        <v>D</v>
      </c>
      <c r="AA33" s="175"/>
    </row>
    <row r="34" spans="1:27" customFormat="1" ht="103.5" customHeight="1">
      <c r="C34" s="78"/>
      <c r="D34" s="79"/>
      <c r="E34" s="71" t="s">
        <v>236</v>
      </c>
      <c r="F34" s="1452"/>
      <c r="G34" s="1452"/>
      <c r="H34" s="1452"/>
      <c r="I34" s="1452"/>
      <c r="J34" s="1452"/>
      <c r="K34" s="1452"/>
      <c r="L34" s="1452"/>
      <c r="M34" s="80" t="s">
        <v>132</v>
      </c>
      <c r="N34" s="80"/>
    </row>
    <row r="35" spans="1:27" customFormat="1" ht="146.25" customHeight="1">
      <c r="C35" s="75"/>
      <c r="D35" s="68"/>
      <c r="E35" s="71" t="s">
        <v>235</v>
      </c>
      <c r="F35" s="1452"/>
      <c r="G35" s="1452"/>
      <c r="H35" s="1452"/>
      <c r="I35" s="1452"/>
      <c r="J35" s="1452"/>
      <c r="K35" s="1452"/>
      <c r="L35" s="1452"/>
      <c r="N35" s="2"/>
      <c r="O35" s="2"/>
      <c r="P35" s="2"/>
    </row>
    <row r="36" spans="1:27" customFormat="1" ht="13.5" customHeight="1" thickBot="1">
      <c r="A36" s="81"/>
      <c r="B36" s="81"/>
      <c r="C36" s="81"/>
      <c r="D36" s="81"/>
      <c r="E36" s="81"/>
      <c r="F36" s="81"/>
      <c r="G36" s="81"/>
      <c r="H36" s="81"/>
      <c r="I36" s="81"/>
      <c r="J36" s="81"/>
      <c r="K36" s="81"/>
      <c r="L36" s="81"/>
      <c r="M36" s="81"/>
      <c r="N36" s="82"/>
      <c r="O36" s="2"/>
      <c r="P36" s="2"/>
    </row>
    <row r="37" spans="1:27" customFormat="1" ht="13.5" customHeight="1">
      <c r="N37" s="2"/>
      <c r="O37" s="2"/>
      <c r="P37" s="2"/>
    </row>
    <row r="38" spans="1:27" customFormat="1" ht="15" customHeight="1">
      <c r="B38" s="10"/>
      <c r="C38" s="5"/>
      <c r="D38" s="5"/>
      <c r="E38" s="5"/>
      <c r="F38" s="5"/>
      <c r="G38" s="5"/>
      <c r="H38" s="5"/>
      <c r="I38" s="5"/>
      <c r="J38" s="5"/>
      <c r="K38" s="5"/>
      <c r="L38" s="5"/>
      <c r="M38" s="6"/>
      <c r="R38" s="11" t="str">
        <f>D39</f>
        <v>(選択してください)</v>
      </c>
    </row>
    <row r="39" spans="1:27" customFormat="1">
      <c r="B39" s="7"/>
      <c r="C39" s="77" t="str">
        <f ca="1">IFERROR(OFFSET('4.2民生電力需要量'!$C$1,MATCH(D39,'4.2民生電力需要量'!$E:$E,0)-1,0),"")</f>
        <v/>
      </c>
      <c r="D39" s="94" t="s">
        <v>130</v>
      </c>
      <c r="E39" s="72" t="s">
        <v>131</v>
      </c>
      <c r="F39" s="1451" t="str">
        <f ca="1">IFERROR(OFFSET('4.2民生電力需要量'!$G$1,MATCH($D39,'4.2民生電力需要量'!$E:$E,0)-1,0),"")</f>
        <v/>
      </c>
      <c r="G39" s="1451"/>
      <c r="H39" s="1451"/>
      <c r="I39" s="1451"/>
      <c r="J39" s="1451"/>
      <c r="K39" s="1451"/>
      <c r="L39" s="1451"/>
      <c r="M39" s="8"/>
      <c r="R39" s="255" t="str">
        <f ca="1">IFERROR(OFFSET('4.2民生電力需要量'!$G$1,MATCH($D39,'4.2民生電力需要量'!$E:$E,0)-1,0),"")</f>
        <v/>
      </c>
      <c r="S39" s="175"/>
      <c r="T39" s="175"/>
      <c r="U39" s="175"/>
      <c r="V39" s="175"/>
      <c r="W39" s="175"/>
      <c r="X39" s="175"/>
      <c r="Y39" s="175"/>
      <c r="Z39" s="175"/>
      <c r="AA39" s="175">
        <f ca="1">(F39=R39)*1</f>
        <v>1</v>
      </c>
    </row>
    <row r="40" spans="1:27" customFormat="1">
      <c r="B40" s="7"/>
      <c r="C40" s="915"/>
      <c r="D40" s="97"/>
      <c r="E40" s="72" t="s">
        <v>612</v>
      </c>
      <c r="F40" s="1447" t="str">
        <f ca="1">IFERROR(OFFSET('4.2民生電力需要量'!$L$1,MATCH($D39,'4.2民生電力需要量'!$E:$E,0)-1,0),"")</f>
        <v/>
      </c>
      <c r="G40" s="1448"/>
      <c r="H40" s="1448"/>
      <c r="I40" s="1448"/>
      <c r="J40" s="1448"/>
      <c r="K40" s="1448"/>
      <c r="L40" s="1449"/>
      <c r="M40" s="8"/>
      <c r="R40" s="255" t="str">
        <f ca="1">IFERROR(OFFSET('4.2民生電力需要量'!$L$1,MATCH($D39,'4.2民生電力需要量'!$E:$E,0)-1,0),"")</f>
        <v/>
      </c>
      <c r="S40" s="175"/>
      <c r="T40" s="175"/>
      <c r="U40" s="175"/>
      <c r="V40" s="175"/>
      <c r="W40" s="175"/>
      <c r="X40" s="175"/>
      <c r="Y40" s="175"/>
      <c r="Z40" s="175"/>
      <c r="AA40" s="175">
        <f ca="1">(F40=R40)*1</f>
        <v>1</v>
      </c>
    </row>
    <row r="41" spans="1:27" customFormat="1">
      <c r="B41" s="7"/>
      <c r="C41" s="74"/>
      <c r="D41" s="66"/>
      <c r="E41" s="72" t="s">
        <v>220</v>
      </c>
      <c r="F41" s="1450" t="str">
        <f ca="1">IFERROR(OFFSET('4.2民生電力需要量'!$I$1,MATCH($D39,'4.2民生電力需要量'!$E:$E,0)-1,0),"")</f>
        <v/>
      </c>
      <c r="G41" s="1450"/>
      <c r="H41" s="1450"/>
      <c r="I41" s="1450"/>
      <c r="J41" s="1450"/>
      <c r="K41" s="1450"/>
      <c r="L41" s="1450"/>
      <c r="M41" s="8"/>
      <c r="R41" s="255" t="str">
        <f ca="1">IFERROR(OFFSET('4.2民生電力需要量'!$I$1,MATCH($D39,'4.2民生電力需要量'!$E:$E,0)-1,0),"")</f>
        <v/>
      </c>
      <c r="S41" s="175"/>
      <c r="T41" s="175"/>
      <c r="U41" s="175"/>
      <c r="V41" s="175"/>
      <c r="W41" s="175"/>
      <c r="X41" s="175"/>
      <c r="Y41" s="175"/>
      <c r="Z41" s="175"/>
      <c r="AA41" s="175">
        <f t="shared" ref="AA41:AA42" ca="1" si="15">(F41=R41)*1</f>
        <v>1</v>
      </c>
    </row>
    <row r="42" spans="1:27" customFormat="1">
      <c r="B42" s="7"/>
      <c r="C42" s="74"/>
      <c r="D42" s="66"/>
      <c r="E42" s="72" t="s">
        <v>175</v>
      </c>
      <c r="F42" s="1451" t="str">
        <f>_xlfn.IFNA(R42,"")</f>
        <v/>
      </c>
      <c r="G42" s="1451"/>
      <c r="H42" s="1451"/>
      <c r="I42" s="1451"/>
      <c r="J42" s="1451"/>
      <c r="K42" s="1451"/>
      <c r="L42" s="1451"/>
      <c r="M42" s="8"/>
      <c r="R42" s="129" t="str">
        <f>IF(OR(COUNTIF($E44:$E49,"&lt;&gt;〇〇(合意形成対象者名に書き換え)")=3,COUNTIF($E44:$E49,"")&gt;3),"",IF(PRODUCT($Y44:$Y49)=1,Z44,""))</f>
        <v/>
      </c>
      <c r="S42" s="175"/>
      <c r="T42" s="175"/>
      <c r="U42" s="175"/>
      <c r="V42" s="175"/>
      <c r="W42" s="175"/>
      <c r="X42" s="175"/>
      <c r="Y42" s="175"/>
      <c r="Z42" s="175"/>
      <c r="AA42" s="175">
        <f t="shared" si="15"/>
        <v>1</v>
      </c>
    </row>
    <row r="43" spans="1:27" ht="63.75" customHeight="1">
      <c r="B43" s="95"/>
      <c r="C43" s="96"/>
      <c r="D43" s="97"/>
      <c r="E43" s="372"/>
      <c r="F43" s="313" t="s">
        <v>268</v>
      </c>
      <c r="G43" s="313" t="s">
        <v>271</v>
      </c>
      <c r="H43" s="313" t="s">
        <v>272</v>
      </c>
      <c r="I43" s="313" t="s">
        <v>269</v>
      </c>
      <c r="J43" s="313" t="s">
        <v>434</v>
      </c>
      <c r="K43" s="313" t="s">
        <v>435</v>
      </c>
      <c r="L43" s="313" t="s">
        <v>270</v>
      </c>
      <c r="M43" s="98"/>
      <c r="N43" s="11"/>
      <c r="R43" s="126" t="s">
        <v>299</v>
      </c>
      <c r="S43" s="257" t="s">
        <v>423</v>
      </c>
      <c r="T43" s="126" t="s">
        <v>424</v>
      </c>
      <c r="U43" s="296" t="s">
        <v>436</v>
      </c>
      <c r="V43" s="256" t="s">
        <v>270</v>
      </c>
      <c r="W43" s="126" t="s">
        <v>426</v>
      </c>
      <c r="X43" s="129" t="s">
        <v>402</v>
      </c>
      <c r="Y43" s="129" t="s">
        <v>430</v>
      </c>
      <c r="Z43" s="126" t="s">
        <v>425</v>
      </c>
      <c r="AA43" s="255"/>
    </row>
    <row r="44" spans="1:27" hidden="1">
      <c r="B44" s="95"/>
      <c r="C44" s="96"/>
      <c r="D44" s="97"/>
      <c r="E44" s="442"/>
      <c r="F44" s="443"/>
      <c r="G44" s="439"/>
      <c r="H44" s="443"/>
      <c r="I44" s="439"/>
      <c r="J44" s="443"/>
      <c r="K44" s="439"/>
      <c r="L44" s="444"/>
      <c r="M44" s="98"/>
      <c r="N44" s="11"/>
      <c r="R44" s="129">
        <f t="shared" ref="R44:R49" si="16">IF(F44="実施済",1,0)</f>
        <v>0</v>
      </c>
      <c r="S44" s="258"/>
      <c r="T44" s="129">
        <f t="shared" ref="T44:T49" si="17">IF(AND(H44="実施済",I44="実施済"),R44*1,0)</f>
        <v>0</v>
      </c>
      <c r="U44" s="129">
        <f>IF(AND(J44="実施済",K44="実施済"),$T44*1,0)</f>
        <v>0</v>
      </c>
      <c r="V44" s="258"/>
      <c r="W44" s="129" t="str">
        <f>IF(OR(E44="〇〇(合意形成対象者名に書き換え)",E44=""),"",SUM(R44,T44,U44))</f>
        <v/>
      </c>
      <c r="X44" s="129">
        <f t="shared" ref="X44:X49" si="18">MIN($W$44:$W$49)+1</f>
        <v>1</v>
      </c>
      <c r="Y44" s="129">
        <f>IF(E44="",1,IF(AND(E44="〇〇(合意形成対象者名に書き換え)",COUNTA($F44:$L44)=0),1,IF(AND(E44&lt;&gt;"〇〇(合意形成対象者名に書き換え)",COUNTA($F44:$L44)=7),1,0)))</f>
        <v>1</v>
      </c>
      <c r="Z44" s="129" t="str" cm="1">
        <f t="array" ref="Z44">_xlfn.IFS(X44=4,"A",X44=3,"B",X44=2,"C",X44=1,"D")</f>
        <v>D</v>
      </c>
      <c r="AA44" s="255"/>
    </row>
    <row r="45" spans="1:27">
      <c r="B45" s="95"/>
      <c r="C45" s="96"/>
      <c r="D45" s="97"/>
      <c r="E45" s="447" t="s">
        <v>129</v>
      </c>
      <c r="F45" s="446"/>
      <c r="G45" s="441"/>
      <c r="H45" s="446"/>
      <c r="I45" s="441"/>
      <c r="J45" s="446"/>
      <c r="K45" s="441"/>
      <c r="L45" s="441"/>
      <c r="M45" s="98"/>
      <c r="N45" s="11"/>
      <c r="R45" s="129">
        <f t="shared" si="16"/>
        <v>0</v>
      </c>
      <c r="S45" s="258"/>
      <c r="T45" s="129">
        <f t="shared" si="17"/>
        <v>0</v>
      </c>
      <c r="U45" s="129">
        <f t="shared" ref="U45:U47" si="19">IF(AND(J45="実施済",K45="実施済"),$T45*1,0)</f>
        <v>0</v>
      </c>
      <c r="V45" s="258"/>
      <c r="W45" s="129" t="str">
        <f t="shared" ref="W45:W49" si="20">IF(OR(E45="〇〇(合意形成対象者名に書き換え)",E45=""),"",SUM(R45,T45,U45))</f>
        <v/>
      </c>
      <c r="X45" s="129">
        <f t="shared" si="18"/>
        <v>1</v>
      </c>
      <c r="Y45" s="129">
        <f t="shared" ref="Y45:Y49" si="21">IF(E45="",1,IF(AND(E45="〇〇(合意形成対象者名に書き換え)",COUNTA($F45:$L45)=0),1,IF(AND(E45&lt;&gt;"〇〇(合意形成対象者名に書き換え)",COUNTA($F45:$L45)=7),1,0)))</f>
        <v>1</v>
      </c>
      <c r="Z45" s="129" t="str" cm="1">
        <f t="array" ref="Z45">_xlfn.IFS(X45=4,"A",X45=3,"B",X45=2,"C",X45=1,"D")</f>
        <v>D</v>
      </c>
      <c r="AA45" s="255"/>
    </row>
    <row r="46" spans="1:27">
      <c r="B46" s="95"/>
      <c r="C46" s="96"/>
      <c r="D46" s="97"/>
      <c r="E46" s="447" t="s">
        <v>129</v>
      </c>
      <c r="F46" s="446"/>
      <c r="G46" s="441"/>
      <c r="H46" s="446"/>
      <c r="I46" s="441"/>
      <c r="J46" s="446"/>
      <c r="K46" s="441"/>
      <c r="L46" s="441"/>
      <c r="M46" s="98"/>
      <c r="N46" s="11"/>
      <c r="R46" s="129">
        <f t="shared" si="16"/>
        <v>0</v>
      </c>
      <c r="S46" s="258"/>
      <c r="T46" s="129">
        <f t="shared" si="17"/>
        <v>0</v>
      </c>
      <c r="U46" s="129">
        <f t="shared" si="19"/>
        <v>0</v>
      </c>
      <c r="V46" s="258"/>
      <c r="W46" s="129" t="str">
        <f t="shared" si="20"/>
        <v/>
      </c>
      <c r="X46" s="129">
        <f t="shared" si="18"/>
        <v>1</v>
      </c>
      <c r="Y46" s="129">
        <f t="shared" si="21"/>
        <v>1</v>
      </c>
      <c r="Z46" s="129" t="str" cm="1">
        <f t="array" ref="Z46">_xlfn.IFS(X46=4,"A",X46=3,"B",X46=2,"C",X46=1,"D")</f>
        <v>D</v>
      </c>
      <c r="AA46" s="255"/>
    </row>
    <row r="47" spans="1:27" s="99" customFormat="1">
      <c r="A47" s="11"/>
      <c r="B47" s="95"/>
      <c r="C47" s="96"/>
      <c r="D47" s="97"/>
      <c r="E47" s="447" t="s">
        <v>129</v>
      </c>
      <c r="F47" s="446"/>
      <c r="G47" s="441"/>
      <c r="H47" s="446"/>
      <c r="I47" s="441"/>
      <c r="J47" s="446"/>
      <c r="K47" s="441"/>
      <c r="L47" s="441"/>
      <c r="M47" s="98"/>
      <c r="N47" s="11"/>
      <c r="Q47" s="11"/>
      <c r="R47" s="129">
        <f t="shared" si="16"/>
        <v>0</v>
      </c>
      <c r="S47" s="258"/>
      <c r="T47" s="129">
        <f t="shared" si="17"/>
        <v>0</v>
      </c>
      <c r="U47" s="129">
        <f t="shared" si="19"/>
        <v>0</v>
      </c>
      <c r="V47" s="258"/>
      <c r="W47" s="129" t="str">
        <f t="shared" si="20"/>
        <v/>
      </c>
      <c r="X47" s="129">
        <f t="shared" si="18"/>
        <v>1</v>
      </c>
      <c r="Y47" s="129">
        <f t="shared" si="21"/>
        <v>1</v>
      </c>
      <c r="Z47" s="129" t="str" cm="1">
        <f t="array" ref="Z47">_xlfn.IFS(X47=4,"A",X47=3,"B",X47=2,"C",X47=1,"D")</f>
        <v>D</v>
      </c>
      <c r="AA47" s="129"/>
    </row>
    <row r="48" spans="1:27" customFormat="1" ht="7.5" customHeight="1">
      <c r="B48" s="65"/>
      <c r="C48" s="4"/>
      <c r="D48" s="4"/>
      <c r="E48" s="4"/>
      <c r="F48" s="4"/>
      <c r="G48" s="4"/>
      <c r="H48" s="4"/>
      <c r="I48" s="4"/>
      <c r="J48" s="4"/>
      <c r="K48" s="4"/>
      <c r="L48" s="4"/>
      <c r="M48" s="9"/>
      <c r="N48" s="2"/>
      <c r="O48" s="2"/>
      <c r="P48" s="2"/>
      <c r="R48" s="129">
        <f t="shared" si="16"/>
        <v>0</v>
      </c>
      <c r="S48" s="258"/>
      <c r="T48" s="129">
        <f t="shared" si="17"/>
        <v>0</v>
      </c>
      <c r="U48" s="129">
        <f>IF(AND(J48="実施済",K48="実施済"),$T48*1,0)</f>
        <v>0</v>
      </c>
      <c r="V48" s="258"/>
      <c r="W48" s="129" t="str">
        <f t="shared" si="20"/>
        <v/>
      </c>
      <c r="X48" s="129">
        <f t="shared" si="18"/>
        <v>1</v>
      </c>
      <c r="Y48" s="129">
        <f t="shared" si="21"/>
        <v>1</v>
      </c>
      <c r="Z48" s="129" t="str" cm="1">
        <f t="array" ref="Z48">_xlfn.IFS(X48=4,"A",X48=3,"B",X48=2,"C",X48=1,"D")</f>
        <v>D</v>
      </c>
      <c r="AA48" s="175"/>
    </row>
    <row r="49" spans="1:27" customFormat="1" ht="18" customHeight="1">
      <c r="N49" s="2"/>
      <c r="O49" s="2"/>
      <c r="P49" s="2"/>
      <c r="R49" s="129">
        <f t="shared" si="16"/>
        <v>0</v>
      </c>
      <c r="S49" s="258"/>
      <c r="T49" s="129">
        <f t="shared" si="17"/>
        <v>0</v>
      </c>
      <c r="U49" s="129">
        <f t="shared" ref="U49" si="22">IF(AND(J49="実施済",K49="実施済"),$T49*1,0)</f>
        <v>0</v>
      </c>
      <c r="V49" s="258"/>
      <c r="W49" s="129" t="str">
        <f t="shared" si="20"/>
        <v/>
      </c>
      <c r="X49" s="129">
        <f t="shared" si="18"/>
        <v>1</v>
      </c>
      <c r="Y49" s="129">
        <f t="shared" si="21"/>
        <v>1</v>
      </c>
      <c r="Z49" s="129" t="str" cm="1">
        <f t="array" ref="Z49">_xlfn.IFS(X49=4,"A",X49=3,"B",X49=2,"C",X49=1,"D")</f>
        <v>D</v>
      </c>
      <c r="AA49" s="175"/>
    </row>
    <row r="50" spans="1:27" customFormat="1" ht="103.5" customHeight="1">
      <c r="C50" s="78"/>
      <c r="D50" s="79"/>
      <c r="E50" s="71" t="s">
        <v>236</v>
      </c>
      <c r="F50" s="1452"/>
      <c r="G50" s="1452"/>
      <c r="H50" s="1452"/>
      <c r="I50" s="1452"/>
      <c r="J50" s="1452"/>
      <c r="K50" s="1452"/>
      <c r="L50" s="1452"/>
      <c r="M50" s="80" t="s">
        <v>132</v>
      </c>
      <c r="N50" s="80"/>
    </row>
    <row r="51" spans="1:27" customFormat="1" ht="146.25" customHeight="1">
      <c r="C51" s="75"/>
      <c r="D51" s="68"/>
      <c r="E51" s="71" t="s">
        <v>235</v>
      </c>
      <c r="F51" s="1452"/>
      <c r="G51" s="1452"/>
      <c r="H51" s="1452"/>
      <c r="I51" s="1452"/>
      <c r="J51" s="1452"/>
      <c r="K51" s="1452"/>
      <c r="L51" s="1452"/>
      <c r="N51" s="2"/>
      <c r="O51" s="2"/>
      <c r="P51" s="2"/>
    </row>
    <row r="52" spans="1:27" customFormat="1" ht="13.5" customHeight="1" thickBot="1">
      <c r="A52" s="81"/>
      <c r="B52" s="81"/>
      <c r="C52" s="81"/>
      <c r="D52" s="81"/>
      <c r="E52" s="81"/>
      <c r="F52" s="81"/>
      <c r="G52" s="81"/>
      <c r="H52" s="81"/>
      <c r="I52" s="81"/>
      <c r="J52" s="81"/>
      <c r="K52" s="81"/>
      <c r="L52" s="81"/>
      <c r="M52" s="81"/>
      <c r="N52" s="82"/>
      <c r="O52" s="2"/>
      <c r="P52" s="2"/>
    </row>
    <row r="53" spans="1:27" customFormat="1" ht="13.5" customHeight="1">
      <c r="N53" s="2"/>
      <c r="O53" s="2"/>
      <c r="P53" s="2"/>
    </row>
    <row r="54" spans="1:27" customFormat="1" ht="15" customHeight="1">
      <c r="B54" s="10"/>
      <c r="C54" s="5"/>
      <c r="D54" s="5"/>
      <c r="E54" s="5"/>
      <c r="F54" s="5"/>
      <c r="G54" s="5"/>
      <c r="H54" s="5"/>
      <c r="I54" s="5"/>
      <c r="J54" s="5"/>
      <c r="K54" s="5"/>
      <c r="L54" s="5"/>
      <c r="M54" s="6"/>
      <c r="R54" s="11" t="str">
        <f>D55</f>
        <v>(選択してください)</v>
      </c>
    </row>
    <row r="55" spans="1:27" customFormat="1">
      <c r="B55" s="7"/>
      <c r="C55" s="77" t="str">
        <f ca="1">IFERROR(OFFSET('4.2民生電力需要量'!$C$1,MATCH(D55,'4.2民生電力需要量'!$E:$E,0)-1,0),"")</f>
        <v/>
      </c>
      <c r="D55" s="94" t="s">
        <v>130</v>
      </c>
      <c r="E55" s="72" t="s">
        <v>131</v>
      </c>
      <c r="F55" s="1451" t="str">
        <f ca="1">IFERROR(OFFSET('4.2民生電力需要量'!$G$1,MATCH($D55,'4.2民生電力需要量'!$E:$E,0)-1,0),"")</f>
        <v/>
      </c>
      <c r="G55" s="1451"/>
      <c r="H55" s="1451"/>
      <c r="I55" s="1451"/>
      <c r="J55" s="1451"/>
      <c r="K55" s="1451"/>
      <c r="L55" s="1451"/>
      <c r="M55" s="8"/>
      <c r="R55" s="255" t="str">
        <f ca="1">IFERROR(OFFSET('4.2民生電力需要量'!$G$1,MATCH($D55,'4.2民生電力需要量'!$E:$E,0)-1,0),"")</f>
        <v/>
      </c>
      <c r="S55" s="175"/>
      <c r="T55" s="175"/>
      <c r="U55" s="175"/>
      <c r="V55" s="175"/>
      <c r="W55" s="175"/>
      <c r="X55" s="175"/>
      <c r="Y55" s="175"/>
      <c r="Z55" s="175"/>
      <c r="AA55" s="175">
        <f ca="1">(F55=R55)*1</f>
        <v>1</v>
      </c>
    </row>
    <row r="56" spans="1:27" customFormat="1">
      <c r="B56" s="7"/>
      <c r="C56" s="915"/>
      <c r="D56" s="97"/>
      <c r="E56" s="72" t="s">
        <v>612</v>
      </c>
      <c r="F56" s="1447" t="str">
        <f ca="1">IFERROR(OFFSET('4.2民生電力需要量'!$L$1,MATCH($D55,'4.2民生電力需要量'!$E:$E,0)-1,0),"")</f>
        <v/>
      </c>
      <c r="G56" s="1448"/>
      <c r="H56" s="1448"/>
      <c r="I56" s="1448"/>
      <c r="J56" s="1448"/>
      <c r="K56" s="1448"/>
      <c r="L56" s="1449"/>
      <c r="M56" s="8"/>
      <c r="R56" s="255" t="str">
        <f ca="1">IFERROR(OFFSET('4.2民生電力需要量'!$L$1,MATCH($D55,'4.2民生電力需要量'!$E:$E,0)-1,0),"")</f>
        <v/>
      </c>
      <c r="S56" s="175"/>
      <c r="T56" s="175"/>
      <c r="U56" s="175"/>
      <c r="V56" s="175"/>
      <c r="W56" s="175"/>
      <c r="X56" s="175"/>
      <c r="Y56" s="175"/>
      <c r="Z56" s="175"/>
      <c r="AA56" s="175">
        <f ca="1">(F56=R56)*1</f>
        <v>1</v>
      </c>
    </row>
    <row r="57" spans="1:27" customFormat="1">
      <c r="B57" s="7"/>
      <c r="C57" s="74"/>
      <c r="D57" s="66"/>
      <c r="E57" s="72" t="s">
        <v>220</v>
      </c>
      <c r="F57" s="1450" t="str">
        <f ca="1">IFERROR(OFFSET('4.2民生電力需要量'!$I$1,MATCH($D55,'4.2民生電力需要量'!$E:$E,0)-1,0),"")</f>
        <v/>
      </c>
      <c r="G57" s="1450"/>
      <c r="H57" s="1450"/>
      <c r="I57" s="1450"/>
      <c r="J57" s="1450"/>
      <c r="K57" s="1450"/>
      <c r="L57" s="1450"/>
      <c r="M57" s="8"/>
      <c r="R57" s="255" t="str">
        <f ca="1">IFERROR(OFFSET('4.2民生電力需要量'!$I$1,MATCH($D55,'4.2民生電力需要量'!$E:$E,0)-1,0),"")</f>
        <v/>
      </c>
      <c r="S57" s="175"/>
      <c r="T57" s="175"/>
      <c r="U57" s="175"/>
      <c r="V57" s="175"/>
      <c r="W57" s="175"/>
      <c r="X57" s="175"/>
      <c r="Y57" s="175"/>
      <c r="Z57" s="175"/>
      <c r="AA57" s="175">
        <f t="shared" ref="AA57:AA58" ca="1" si="23">(F57=R57)*1</f>
        <v>1</v>
      </c>
    </row>
    <row r="58" spans="1:27" customFormat="1">
      <c r="B58" s="7"/>
      <c r="C58" s="74"/>
      <c r="D58" s="66"/>
      <c r="E58" s="72" t="s">
        <v>175</v>
      </c>
      <c r="F58" s="1451" t="str">
        <f>_xlfn.IFNA(R58,"")</f>
        <v/>
      </c>
      <c r="G58" s="1451"/>
      <c r="H58" s="1451"/>
      <c r="I58" s="1451"/>
      <c r="J58" s="1451"/>
      <c r="K58" s="1451"/>
      <c r="L58" s="1451"/>
      <c r="M58" s="8"/>
      <c r="R58" s="129" t="str">
        <f>IF(OR(COUNTIF($E60:$E65,"&lt;&gt;〇〇(合意形成対象者名に書き換え)")=3,COUNTIF($E60:$E65,"")&gt;3),"",IF(PRODUCT($Y60:$Y65)=1,Z60,""))</f>
        <v/>
      </c>
      <c r="S58" s="175"/>
      <c r="T58" s="175"/>
      <c r="U58" s="175"/>
      <c r="V58" s="175"/>
      <c r="W58" s="175"/>
      <c r="X58" s="175"/>
      <c r="Y58" s="175"/>
      <c r="Z58" s="175"/>
      <c r="AA58" s="175">
        <f t="shared" si="23"/>
        <v>1</v>
      </c>
    </row>
    <row r="59" spans="1:27" ht="63.75" customHeight="1">
      <c r="B59" s="95"/>
      <c r="C59" s="96"/>
      <c r="D59" s="97"/>
      <c r="E59" s="372"/>
      <c r="F59" s="313" t="s">
        <v>268</v>
      </c>
      <c r="G59" s="313" t="s">
        <v>271</v>
      </c>
      <c r="H59" s="313" t="s">
        <v>272</v>
      </c>
      <c r="I59" s="313" t="s">
        <v>269</v>
      </c>
      <c r="J59" s="313" t="s">
        <v>434</v>
      </c>
      <c r="K59" s="313" t="s">
        <v>435</v>
      </c>
      <c r="L59" s="313" t="s">
        <v>270</v>
      </c>
      <c r="M59" s="98"/>
      <c r="N59" s="11"/>
      <c r="R59" s="126" t="s">
        <v>299</v>
      </c>
      <c r="S59" s="257" t="s">
        <v>423</v>
      </c>
      <c r="T59" s="126" t="s">
        <v>424</v>
      </c>
      <c r="U59" s="296" t="s">
        <v>436</v>
      </c>
      <c r="V59" s="256" t="s">
        <v>270</v>
      </c>
      <c r="W59" s="126" t="s">
        <v>426</v>
      </c>
      <c r="X59" s="129" t="s">
        <v>402</v>
      </c>
      <c r="Y59" s="129" t="s">
        <v>430</v>
      </c>
      <c r="Z59" s="126" t="s">
        <v>425</v>
      </c>
      <c r="AA59" s="255"/>
    </row>
    <row r="60" spans="1:27" hidden="1">
      <c r="B60" s="95"/>
      <c r="C60" s="96"/>
      <c r="D60" s="97"/>
      <c r="E60" s="442"/>
      <c r="F60" s="443"/>
      <c r="G60" s="439"/>
      <c r="H60" s="443"/>
      <c r="I60" s="439"/>
      <c r="J60" s="443"/>
      <c r="K60" s="439"/>
      <c r="L60" s="444"/>
      <c r="M60" s="98"/>
      <c r="N60" s="11"/>
      <c r="R60" s="129">
        <f t="shared" ref="R60:R65" si="24">IF(F60="実施済",1,0)</f>
        <v>0</v>
      </c>
      <c r="S60" s="258"/>
      <c r="T60" s="129">
        <f t="shared" ref="T60:T65" si="25">IF(AND(H60="実施済",I60="実施済"),R60*1,0)</f>
        <v>0</v>
      </c>
      <c r="U60" s="129">
        <f>IF(AND(J60="実施済",K60="実施済"),$T60*1,0)</f>
        <v>0</v>
      </c>
      <c r="V60" s="258"/>
      <c r="W60" s="129" t="str">
        <f>IF(OR(E60="〇〇(合意形成対象者名に書き換え)",E60=""),"",SUM(R60,T60,U60))</f>
        <v/>
      </c>
      <c r="X60" s="129">
        <f t="shared" ref="X60:X65" si="26">MIN($W$60:$W$65)+1</f>
        <v>1</v>
      </c>
      <c r="Y60" s="129">
        <f>IF(E60="",1,IF(AND(E60="〇〇(合意形成対象者名に書き換え)",COUNTA($F60:$L60)=0),1,IF(AND(E60&lt;&gt;"〇〇(合意形成対象者名に書き換え)",COUNTA($F60:$L60)=7),1,0)))</f>
        <v>1</v>
      </c>
      <c r="Z60" s="129" t="str" cm="1">
        <f t="array" ref="Z60">_xlfn.IFS(X60=4,"A",X60=3,"B",X60=2,"C",X60=1,"D")</f>
        <v>D</v>
      </c>
      <c r="AA60" s="255"/>
    </row>
    <row r="61" spans="1:27">
      <c r="B61" s="95"/>
      <c r="C61" s="96"/>
      <c r="D61" s="97"/>
      <c r="E61" s="447" t="s">
        <v>129</v>
      </c>
      <c r="F61" s="446"/>
      <c r="G61" s="441"/>
      <c r="H61" s="446"/>
      <c r="I61" s="441"/>
      <c r="J61" s="446"/>
      <c r="K61" s="441"/>
      <c r="L61" s="441"/>
      <c r="M61" s="98"/>
      <c r="N61" s="11"/>
      <c r="R61" s="129">
        <f t="shared" si="24"/>
        <v>0</v>
      </c>
      <c r="S61" s="258"/>
      <c r="T61" s="129">
        <f t="shared" si="25"/>
        <v>0</v>
      </c>
      <c r="U61" s="129">
        <f t="shared" ref="U61:U63" si="27">IF(AND(J61="実施済",K61="実施済"),$T61*1,0)</f>
        <v>0</v>
      </c>
      <c r="V61" s="258"/>
      <c r="W61" s="129" t="str">
        <f t="shared" ref="W61:W65" si="28">IF(OR(E61="〇〇(合意形成対象者名に書き換え)",E61=""),"",SUM(R61,T61,U61))</f>
        <v/>
      </c>
      <c r="X61" s="129">
        <f t="shared" si="26"/>
        <v>1</v>
      </c>
      <c r="Y61" s="129">
        <f t="shared" ref="Y61:Y65" si="29">IF(E61="",1,IF(AND(E61="〇〇(合意形成対象者名に書き換え)",COUNTA($F61:$L61)=0),1,IF(AND(E61&lt;&gt;"〇〇(合意形成対象者名に書き換え)",COUNTA($F61:$L61)=7),1,0)))</f>
        <v>1</v>
      </c>
      <c r="Z61" s="129" t="str" cm="1">
        <f t="array" ref="Z61">_xlfn.IFS(X61=4,"A",X61=3,"B",X61=2,"C",X61=1,"D")</f>
        <v>D</v>
      </c>
      <c r="AA61" s="255"/>
    </row>
    <row r="62" spans="1:27">
      <c r="B62" s="95"/>
      <c r="C62" s="96"/>
      <c r="D62" s="97"/>
      <c r="E62" s="447" t="s">
        <v>129</v>
      </c>
      <c r="F62" s="446"/>
      <c r="G62" s="441"/>
      <c r="H62" s="446"/>
      <c r="I62" s="441"/>
      <c r="J62" s="446"/>
      <c r="K62" s="441"/>
      <c r="L62" s="441"/>
      <c r="M62" s="98"/>
      <c r="N62" s="11"/>
      <c r="R62" s="129">
        <f t="shared" si="24"/>
        <v>0</v>
      </c>
      <c r="S62" s="258"/>
      <c r="T62" s="129">
        <f t="shared" si="25"/>
        <v>0</v>
      </c>
      <c r="U62" s="129">
        <f t="shared" si="27"/>
        <v>0</v>
      </c>
      <c r="V62" s="258"/>
      <c r="W62" s="129" t="str">
        <f t="shared" si="28"/>
        <v/>
      </c>
      <c r="X62" s="129">
        <f t="shared" si="26"/>
        <v>1</v>
      </c>
      <c r="Y62" s="129">
        <f t="shared" si="29"/>
        <v>1</v>
      </c>
      <c r="Z62" s="129" t="str" cm="1">
        <f t="array" ref="Z62">_xlfn.IFS(X62=4,"A",X62=3,"B",X62=2,"C",X62=1,"D")</f>
        <v>D</v>
      </c>
      <c r="AA62" s="255"/>
    </row>
    <row r="63" spans="1:27" s="99" customFormat="1">
      <c r="A63" s="11"/>
      <c r="B63" s="95"/>
      <c r="C63" s="96"/>
      <c r="D63" s="97"/>
      <c r="E63" s="447" t="s">
        <v>129</v>
      </c>
      <c r="F63" s="446"/>
      <c r="G63" s="441"/>
      <c r="H63" s="446"/>
      <c r="I63" s="441"/>
      <c r="J63" s="446"/>
      <c r="K63" s="441"/>
      <c r="L63" s="441"/>
      <c r="M63" s="98"/>
      <c r="N63" s="11"/>
      <c r="Q63" s="11"/>
      <c r="R63" s="129">
        <f t="shared" si="24"/>
        <v>0</v>
      </c>
      <c r="S63" s="258"/>
      <c r="T63" s="129">
        <f t="shared" si="25"/>
        <v>0</v>
      </c>
      <c r="U63" s="129">
        <f t="shared" si="27"/>
        <v>0</v>
      </c>
      <c r="V63" s="258"/>
      <c r="W63" s="129" t="str">
        <f t="shared" si="28"/>
        <v/>
      </c>
      <c r="X63" s="129">
        <f t="shared" si="26"/>
        <v>1</v>
      </c>
      <c r="Y63" s="129">
        <f t="shared" si="29"/>
        <v>1</v>
      </c>
      <c r="Z63" s="129" t="str" cm="1">
        <f t="array" ref="Z63">_xlfn.IFS(X63=4,"A",X63=3,"B",X63=2,"C",X63=1,"D")</f>
        <v>D</v>
      </c>
      <c r="AA63" s="129"/>
    </row>
    <row r="64" spans="1:27" customFormat="1" ht="7.5" customHeight="1">
      <c r="B64" s="65"/>
      <c r="C64" s="4"/>
      <c r="D64" s="4"/>
      <c r="E64" s="4"/>
      <c r="F64" s="4"/>
      <c r="G64" s="4"/>
      <c r="H64" s="4"/>
      <c r="I64" s="4"/>
      <c r="J64" s="4"/>
      <c r="K64" s="4"/>
      <c r="L64" s="4"/>
      <c r="M64" s="9"/>
      <c r="N64" s="2"/>
      <c r="O64" s="2"/>
      <c r="P64" s="2"/>
      <c r="R64" s="129">
        <f t="shared" si="24"/>
        <v>0</v>
      </c>
      <c r="S64" s="258"/>
      <c r="T64" s="129">
        <f t="shared" si="25"/>
        <v>0</v>
      </c>
      <c r="U64" s="129">
        <f>IF(AND(J64="実施済",K64="実施済"),$T64*1,0)</f>
        <v>0</v>
      </c>
      <c r="V64" s="258"/>
      <c r="W64" s="129" t="str">
        <f t="shared" si="28"/>
        <v/>
      </c>
      <c r="X64" s="129">
        <f t="shared" si="26"/>
        <v>1</v>
      </c>
      <c r="Y64" s="129">
        <f t="shared" si="29"/>
        <v>1</v>
      </c>
      <c r="Z64" s="129" t="str" cm="1">
        <f t="array" ref="Z64">_xlfn.IFS(X64=4,"A",X64=3,"B",X64=2,"C",X64=1,"D")</f>
        <v>D</v>
      </c>
      <c r="AA64" s="175"/>
    </row>
    <row r="65" spans="1:27" customFormat="1" ht="18" customHeight="1">
      <c r="N65" s="2"/>
      <c r="O65" s="2"/>
      <c r="P65" s="2"/>
      <c r="R65" s="129">
        <f t="shared" si="24"/>
        <v>0</v>
      </c>
      <c r="S65" s="258"/>
      <c r="T65" s="129">
        <f t="shared" si="25"/>
        <v>0</v>
      </c>
      <c r="U65" s="129">
        <f t="shared" ref="U65" si="30">IF(AND(J65="実施済",K65="実施済"),$T65*1,0)</f>
        <v>0</v>
      </c>
      <c r="V65" s="258"/>
      <c r="W65" s="129" t="str">
        <f t="shared" si="28"/>
        <v/>
      </c>
      <c r="X65" s="129">
        <f t="shared" si="26"/>
        <v>1</v>
      </c>
      <c r="Y65" s="129">
        <f t="shared" si="29"/>
        <v>1</v>
      </c>
      <c r="Z65" s="129" t="str" cm="1">
        <f t="array" ref="Z65">_xlfn.IFS(X65=4,"A",X65=3,"B",X65=2,"C",X65=1,"D")</f>
        <v>D</v>
      </c>
      <c r="AA65" s="175"/>
    </row>
    <row r="66" spans="1:27" customFormat="1" ht="103.5" customHeight="1">
      <c r="C66" s="78"/>
      <c r="D66" s="79"/>
      <c r="E66" s="71" t="s">
        <v>236</v>
      </c>
      <c r="F66" s="1452"/>
      <c r="G66" s="1452"/>
      <c r="H66" s="1452"/>
      <c r="I66" s="1452"/>
      <c r="J66" s="1452"/>
      <c r="K66" s="1452"/>
      <c r="L66" s="1452"/>
      <c r="M66" s="80" t="s">
        <v>132</v>
      </c>
      <c r="N66" s="80"/>
    </row>
    <row r="67" spans="1:27" customFormat="1" ht="146.25" customHeight="1">
      <c r="C67" s="75"/>
      <c r="D67" s="68"/>
      <c r="E67" s="71" t="s">
        <v>235</v>
      </c>
      <c r="F67" s="1452"/>
      <c r="G67" s="1452"/>
      <c r="H67" s="1452"/>
      <c r="I67" s="1452"/>
      <c r="J67" s="1452"/>
      <c r="K67" s="1452"/>
      <c r="L67" s="1452"/>
      <c r="N67" s="2"/>
      <c r="O67" s="2"/>
      <c r="P67" s="2"/>
    </row>
    <row r="68" spans="1:27" customFormat="1" ht="13.5" customHeight="1" thickBot="1">
      <c r="A68" s="81"/>
      <c r="B68" s="81"/>
      <c r="C68" s="81"/>
      <c r="D68" s="81"/>
      <c r="E68" s="81"/>
      <c r="F68" s="81"/>
      <c r="G68" s="81"/>
      <c r="H68" s="81"/>
      <c r="I68" s="81"/>
      <c r="J68" s="81"/>
      <c r="K68" s="81"/>
      <c r="L68" s="81"/>
      <c r="M68" s="81"/>
      <c r="N68" s="82"/>
      <c r="O68" s="2"/>
      <c r="P68" s="2"/>
    </row>
    <row r="69" spans="1:27" customFormat="1" ht="13.5" customHeight="1">
      <c r="N69" s="2"/>
      <c r="O69" s="2"/>
      <c r="P69" s="2"/>
    </row>
    <row r="70" spans="1:27" customFormat="1" ht="15" customHeight="1">
      <c r="B70" s="10"/>
      <c r="C70" s="5"/>
      <c r="D70" s="5"/>
      <c r="E70" s="5"/>
      <c r="F70" s="5"/>
      <c r="G70" s="5"/>
      <c r="H70" s="5"/>
      <c r="I70" s="5"/>
      <c r="J70" s="5"/>
      <c r="K70" s="5"/>
      <c r="L70" s="5"/>
      <c r="M70" s="6"/>
      <c r="R70" s="11" t="str">
        <f>D71</f>
        <v>(選択してください)</v>
      </c>
    </row>
    <row r="71" spans="1:27" customFormat="1">
      <c r="B71" s="7"/>
      <c r="C71" s="77" t="str">
        <f ca="1">IFERROR(OFFSET('4.2民生電力需要量'!$C$1,MATCH(D71,'4.2民生電力需要量'!$E:$E,0)-1,0),"")</f>
        <v/>
      </c>
      <c r="D71" s="94" t="s">
        <v>130</v>
      </c>
      <c r="E71" s="72" t="s">
        <v>131</v>
      </c>
      <c r="F71" s="1451" t="str">
        <f ca="1">IFERROR(OFFSET('4.2民生電力需要量'!$G$1,MATCH($D71,'4.2民生電力需要量'!$E:$E,0)-1,0),"")</f>
        <v/>
      </c>
      <c r="G71" s="1451"/>
      <c r="H71" s="1451"/>
      <c r="I71" s="1451"/>
      <c r="J71" s="1451"/>
      <c r="K71" s="1451"/>
      <c r="L71" s="1451"/>
      <c r="M71" s="8"/>
      <c r="R71" s="255" t="str">
        <f ca="1">IFERROR(OFFSET('4.2民生電力需要量'!$G$1,MATCH($D71,'4.2民生電力需要量'!$E:$E,0)-1,0),"")</f>
        <v/>
      </c>
      <c r="S71" s="175"/>
      <c r="T71" s="175"/>
      <c r="U71" s="175"/>
      <c r="V71" s="175"/>
      <c r="W71" s="175"/>
      <c r="X71" s="175"/>
      <c r="Y71" s="175"/>
      <c r="Z71" s="175"/>
      <c r="AA71" s="175">
        <f ca="1">(F71=R71)*1</f>
        <v>1</v>
      </c>
    </row>
    <row r="72" spans="1:27" customFormat="1">
      <c r="B72" s="7"/>
      <c r="C72" s="915"/>
      <c r="D72" s="97"/>
      <c r="E72" s="72" t="s">
        <v>612</v>
      </c>
      <c r="F72" s="1447" t="str">
        <f ca="1">IFERROR(OFFSET('4.2民生電力需要量'!$L$1,MATCH($D71,'4.2民生電力需要量'!$E:$E,0)-1,0),"")</f>
        <v/>
      </c>
      <c r="G72" s="1448"/>
      <c r="H72" s="1448"/>
      <c r="I72" s="1448"/>
      <c r="J72" s="1448"/>
      <c r="K72" s="1448"/>
      <c r="L72" s="1449"/>
      <c r="M72" s="8"/>
      <c r="R72" s="255" t="str">
        <f ca="1">IFERROR(OFFSET('4.2民生電力需要量'!$L$1,MATCH($D71,'4.2民生電力需要量'!$E:$E,0)-1,0),"")</f>
        <v/>
      </c>
      <c r="S72" s="175"/>
      <c r="T72" s="175"/>
      <c r="U72" s="175"/>
      <c r="V72" s="175"/>
      <c r="W72" s="175"/>
      <c r="X72" s="175"/>
      <c r="Y72" s="175"/>
      <c r="Z72" s="175"/>
      <c r="AA72" s="175">
        <f ca="1">(F72=R72)*1</f>
        <v>1</v>
      </c>
    </row>
    <row r="73" spans="1:27" customFormat="1">
      <c r="B73" s="7"/>
      <c r="C73" s="74"/>
      <c r="D73" s="66"/>
      <c r="E73" s="72" t="s">
        <v>220</v>
      </c>
      <c r="F73" s="1450" t="str">
        <f ca="1">IFERROR(OFFSET('4.2民生電力需要量'!$I$1,MATCH($D71,'4.2民生電力需要量'!$E:$E,0)-1,0),"")</f>
        <v/>
      </c>
      <c r="G73" s="1450"/>
      <c r="H73" s="1450"/>
      <c r="I73" s="1450"/>
      <c r="J73" s="1450"/>
      <c r="K73" s="1450"/>
      <c r="L73" s="1450"/>
      <c r="M73" s="8"/>
      <c r="R73" s="255" t="str">
        <f ca="1">IFERROR(OFFSET('4.2民生電力需要量'!$I$1,MATCH($D71,'4.2民生電力需要量'!$E:$E,0)-1,0),"")</f>
        <v/>
      </c>
      <c r="S73" s="175"/>
      <c r="T73" s="175"/>
      <c r="U73" s="175"/>
      <c r="V73" s="175"/>
      <c r="W73" s="175"/>
      <c r="X73" s="175"/>
      <c r="Y73" s="175"/>
      <c r="Z73" s="175"/>
      <c r="AA73" s="175">
        <f t="shared" ref="AA73:AA74" ca="1" si="31">(F73=R73)*1</f>
        <v>1</v>
      </c>
    </row>
    <row r="74" spans="1:27" customFormat="1">
      <c r="B74" s="7"/>
      <c r="C74" s="74"/>
      <c r="D74" s="66"/>
      <c r="E74" s="72" t="s">
        <v>175</v>
      </c>
      <c r="F74" s="1451" t="str">
        <f>_xlfn.IFNA(R74,"")</f>
        <v/>
      </c>
      <c r="G74" s="1451"/>
      <c r="H74" s="1451"/>
      <c r="I74" s="1451"/>
      <c r="J74" s="1451"/>
      <c r="K74" s="1451"/>
      <c r="L74" s="1451"/>
      <c r="M74" s="8"/>
      <c r="R74" s="129" t="str">
        <f>IF(OR(COUNTIF($E76:$E81,"&lt;&gt;〇〇(合意形成対象者名に書き換え)")=3,COUNTIF($E76:$E81,"")&gt;3),"",IF(PRODUCT($Y76:$Y81)=1,Z76,""))</f>
        <v/>
      </c>
      <c r="S74" s="175"/>
      <c r="T74" s="175"/>
      <c r="U74" s="175"/>
      <c r="V74" s="175"/>
      <c r="W74" s="175"/>
      <c r="X74" s="175"/>
      <c r="Y74" s="175"/>
      <c r="Z74" s="175"/>
      <c r="AA74" s="175">
        <f t="shared" si="31"/>
        <v>1</v>
      </c>
    </row>
    <row r="75" spans="1:27" ht="63.75" customHeight="1">
      <c r="B75" s="95"/>
      <c r="C75" s="96"/>
      <c r="D75" s="97"/>
      <c r="E75" s="372"/>
      <c r="F75" s="313" t="s">
        <v>268</v>
      </c>
      <c r="G75" s="313" t="s">
        <v>271</v>
      </c>
      <c r="H75" s="313" t="s">
        <v>272</v>
      </c>
      <c r="I75" s="313" t="s">
        <v>269</v>
      </c>
      <c r="J75" s="313" t="s">
        <v>434</v>
      </c>
      <c r="K75" s="313" t="s">
        <v>435</v>
      </c>
      <c r="L75" s="313" t="s">
        <v>270</v>
      </c>
      <c r="M75" s="98"/>
      <c r="N75" s="11"/>
      <c r="R75" s="126" t="s">
        <v>299</v>
      </c>
      <c r="S75" s="257" t="s">
        <v>423</v>
      </c>
      <c r="T75" s="126" t="s">
        <v>424</v>
      </c>
      <c r="U75" s="296" t="s">
        <v>436</v>
      </c>
      <c r="V75" s="256" t="s">
        <v>270</v>
      </c>
      <c r="W75" s="126" t="s">
        <v>426</v>
      </c>
      <c r="X75" s="129" t="s">
        <v>402</v>
      </c>
      <c r="Y75" s="129" t="s">
        <v>430</v>
      </c>
      <c r="Z75" s="126" t="s">
        <v>425</v>
      </c>
      <c r="AA75" s="255"/>
    </row>
    <row r="76" spans="1:27" hidden="1">
      <c r="B76" s="95"/>
      <c r="C76" s="96"/>
      <c r="D76" s="97"/>
      <c r="E76" s="442"/>
      <c r="F76" s="443"/>
      <c r="G76" s="439"/>
      <c r="H76" s="443"/>
      <c r="I76" s="439"/>
      <c r="J76" s="443"/>
      <c r="K76" s="439"/>
      <c r="L76" s="444"/>
      <c r="M76" s="98"/>
      <c r="N76" s="11"/>
      <c r="R76" s="129">
        <f t="shared" ref="R76:R81" si="32">IF(F76="実施済",1,0)</f>
        <v>0</v>
      </c>
      <c r="S76" s="258"/>
      <c r="T76" s="129">
        <f t="shared" ref="T76:T81" si="33">IF(AND(H76="実施済",I76="実施済"),R76*1,0)</f>
        <v>0</v>
      </c>
      <c r="U76" s="129">
        <f>IF(AND(J76="実施済",K76="実施済"),$T76*1,0)</f>
        <v>0</v>
      </c>
      <c r="V76" s="258"/>
      <c r="W76" s="129" t="str">
        <f>IF(OR(E76="〇〇(合意形成対象者名に書き換え)",E76=""),"",SUM(R76,T76,U76))</f>
        <v/>
      </c>
      <c r="X76" s="129">
        <f t="shared" ref="X76:X81" si="34">MIN($W$76:$W$81)+1</f>
        <v>1</v>
      </c>
      <c r="Y76" s="129">
        <f>IF(E76="",1,IF(AND(E76="〇〇(合意形成対象者名に書き換え)",COUNTA($F76:$L76)=0),1,IF(AND(E76&lt;&gt;"〇〇(合意形成対象者名に書き換え)",COUNTA($F76:$L76)=7),1,0)))</f>
        <v>1</v>
      </c>
      <c r="Z76" s="129" t="str" cm="1">
        <f t="array" ref="Z76">_xlfn.IFS(X76=4,"A",X76=3,"B",X76=2,"C",X76=1,"D")</f>
        <v>D</v>
      </c>
      <c r="AA76" s="255"/>
    </row>
    <row r="77" spans="1:27">
      <c r="B77" s="95"/>
      <c r="C77" s="96"/>
      <c r="D77" s="97"/>
      <c r="E77" s="447" t="s">
        <v>129</v>
      </c>
      <c r="F77" s="446"/>
      <c r="G77" s="441"/>
      <c r="H77" s="446"/>
      <c r="I77" s="441"/>
      <c r="J77" s="446"/>
      <c r="K77" s="441"/>
      <c r="L77" s="441"/>
      <c r="M77" s="98"/>
      <c r="N77" s="11"/>
      <c r="R77" s="129">
        <f t="shared" si="32"/>
        <v>0</v>
      </c>
      <c r="S77" s="258"/>
      <c r="T77" s="129">
        <f t="shared" si="33"/>
        <v>0</v>
      </c>
      <c r="U77" s="129">
        <f t="shared" ref="U77:U79" si="35">IF(AND(J77="実施済",K77="実施済"),$T77*1,0)</f>
        <v>0</v>
      </c>
      <c r="V77" s="258"/>
      <c r="W77" s="129" t="str">
        <f t="shared" ref="W77:W81" si="36">IF(OR(E77="〇〇(合意形成対象者名に書き換え)",E77=""),"",SUM(R77,T77,U77))</f>
        <v/>
      </c>
      <c r="X77" s="129">
        <f t="shared" si="34"/>
        <v>1</v>
      </c>
      <c r="Y77" s="129">
        <f t="shared" ref="Y77:Y81" si="37">IF(E77="",1,IF(AND(E77="〇〇(合意形成対象者名に書き換え)",COUNTA($F77:$L77)=0),1,IF(AND(E77&lt;&gt;"〇〇(合意形成対象者名に書き換え)",COUNTA($F77:$L77)=7),1,0)))</f>
        <v>1</v>
      </c>
      <c r="Z77" s="129" t="str" cm="1">
        <f t="array" ref="Z77">_xlfn.IFS(X77=4,"A",X77=3,"B",X77=2,"C",X77=1,"D")</f>
        <v>D</v>
      </c>
      <c r="AA77" s="255"/>
    </row>
    <row r="78" spans="1:27">
      <c r="B78" s="95"/>
      <c r="C78" s="96"/>
      <c r="D78" s="97"/>
      <c r="E78" s="447" t="s">
        <v>129</v>
      </c>
      <c r="F78" s="446"/>
      <c r="G78" s="441"/>
      <c r="H78" s="446"/>
      <c r="I78" s="441"/>
      <c r="J78" s="446"/>
      <c r="K78" s="441"/>
      <c r="L78" s="441"/>
      <c r="M78" s="98"/>
      <c r="N78" s="11"/>
      <c r="R78" s="129">
        <f t="shared" si="32"/>
        <v>0</v>
      </c>
      <c r="S78" s="258"/>
      <c r="T78" s="129">
        <f t="shared" si="33"/>
        <v>0</v>
      </c>
      <c r="U78" s="129">
        <f t="shared" si="35"/>
        <v>0</v>
      </c>
      <c r="V78" s="258"/>
      <c r="W78" s="129" t="str">
        <f t="shared" si="36"/>
        <v/>
      </c>
      <c r="X78" s="129">
        <f t="shared" si="34"/>
        <v>1</v>
      </c>
      <c r="Y78" s="129">
        <f t="shared" si="37"/>
        <v>1</v>
      </c>
      <c r="Z78" s="129" t="str" cm="1">
        <f t="array" ref="Z78">_xlfn.IFS(X78=4,"A",X78=3,"B",X78=2,"C",X78=1,"D")</f>
        <v>D</v>
      </c>
      <c r="AA78" s="255"/>
    </row>
    <row r="79" spans="1:27" s="99" customFormat="1">
      <c r="A79" s="11"/>
      <c r="B79" s="95"/>
      <c r="C79" s="96"/>
      <c r="D79" s="97"/>
      <c r="E79" s="447" t="s">
        <v>129</v>
      </c>
      <c r="F79" s="446"/>
      <c r="G79" s="441"/>
      <c r="H79" s="446"/>
      <c r="I79" s="441"/>
      <c r="J79" s="446"/>
      <c r="K79" s="441"/>
      <c r="L79" s="441"/>
      <c r="M79" s="98"/>
      <c r="N79" s="11"/>
      <c r="Q79" s="11"/>
      <c r="R79" s="129">
        <f t="shared" si="32"/>
        <v>0</v>
      </c>
      <c r="S79" s="258"/>
      <c r="T79" s="129">
        <f t="shared" si="33"/>
        <v>0</v>
      </c>
      <c r="U79" s="129">
        <f t="shared" si="35"/>
        <v>0</v>
      </c>
      <c r="V79" s="258"/>
      <c r="W79" s="129" t="str">
        <f t="shared" si="36"/>
        <v/>
      </c>
      <c r="X79" s="129">
        <f t="shared" si="34"/>
        <v>1</v>
      </c>
      <c r="Y79" s="129">
        <f t="shared" si="37"/>
        <v>1</v>
      </c>
      <c r="Z79" s="129" t="str" cm="1">
        <f t="array" ref="Z79">_xlfn.IFS(X79=4,"A",X79=3,"B",X79=2,"C",X79=1,"D")</f>
        <v>D</v>
      </c>
      <c r="AA79" s="129"/>
    </row>
    <row r="80" spans="1:27" customFormat="1" ht="7.5" customHeight="1">
      <c r="B80" s="65"/>
      <c r="C80" s="4"/>
      <c r="D80" s="4"/>
      <c r="E80" s="4"/>
      <c r="F80" s="4"/>
      <c r="G80" s="4"/>
      <c r="H80" s="4"/>
      <c r="I80" s="4"/>
      <c r="J80" s="4"/>
      <c r="K80" s="4"/>
      <c r="L80" s="4"/>
      <c r="M80" s="9"/>
      <c r="N80" s="2"/>
      <c r="O80" s="2"/>
      <c r="P80" s="2"/>
      <c r="R80" s="129">
        <f t="shared" si="32"/>
        <v>0</v>
      </c>
      <c r="S80" s="258"/>
      <c r="T80" s="129">
        <f t="shared" si="33"/>
        <v>0</v>
      </c>
      <c r="U80" s="129">
        <f>IF(AND(J80="実施済",K80="実施済"),$T80*1,0)</f>
        <v>0</v>
      </c>
      <c r="V80" s="258"/>
      <c r="W80" s="129" t="str">
        <f t="shared" si="36"/>
        <v/>
      </c>
      <c r="X80" s="129">
        <f t="shared" si="34"/>
        <v>1</v>
      </c>
      <c r="Y80" s="129">
        <f t="shared" si="37"/>
        <v>1</v>
      </c>
      <c r="Z80" s="129" t="str" cm="1">
        <f t="array" ref="Z80">_xlfn.IFS(X80=4,"A",X80=3,"B",X80=2,"C",X80=1,"D")</f>
        <v>D</v>
      </c>
      <c r="AA80" s="175"/>
    </row>
    <row r="81" spans="1:27" customFormat="1" ht="18" customHeight="1">
      <c r="N81" s="2"/>
      <c r="O81" s="2"/>
      <c r="P81" s="2"/>
      <c r="R81" s="129">
        <f t="shared" si="32"/>
        <v>0</v>
      </c>
      <c r="S81" s="258"/>
      <c r="T81" s="129">
        <f t="shared" si="33"/>
        <v>0</v>
      </c>
      <c r="U81" s="129">
        <f t="shared" ref="U81" si="38">IF(AND(J81="実施済",K81="実施済"),$T81*1,0)</f>
        <v>0</v>
      </c>
      <c r="V81" s="258"/>
      <c r="W81" s="129" t="str">
        <f t="shared" si="36"/>
        <v/>
      </c>
      <c r="X81" s="129">
        <f t="shared" si="34"/>
        <v>1</v>
      </c>
      <c r="Y81" s="129">
        <f t="shared" si="37"/>
        <v>1</v>
      </c>
      <c r="Z81" s="129" t="str" cm="1">
        <f t="array" ref="Z81">_xlfn.IFS(X81=4,"A",X81=3,"B",X81=2,"C",X81=1,"D")</f>
        <v>D</v>
      </c>
      <c r="AA81" s="175"/>
    </row>
    <row r="82" spans="1:27" customFormat="1" ht="103.5" customHeight="1">
      <c r="C82" s="78"/>
      <c r="D82" s="79"/>
      <c r="E82" s="71" t="s">
        <v>236</v>
      </c>
      <c r="F82" s="1452"/>
      <c r="G82" s="1452"/>
      <c r="H82" s="1452"/>
      <c r="I82" s="1452"/>
      <c r="J82" s="1452"/>
      <c r="K82" s="1452"/>
      <c r="L82" s="1452"/>
      <c r="M82" s="80" t="s">
        <v>132</v>
      </c>
      <c r="N82" s="80"/>
    </row>
    <row r="83" spans="1:27" customFormat="1" ht="146.25" customHeight="1">
      <c r="C83" s="75"/>
      <c r="D83" s="68"/>
      <c r="E83" s="71" t="s">
        <v>235</v>
      </c>
      <c r="F83" s="1452"/>
      <c r="G83" s="1452"/>
      <c r="H83" s="1452"/>
      <c r="I83" s="1452"/>
      <c r="J83" s="1452"/>
      <c r="K83" s="1452"/>
      <c r="L83" s="1452"/>
      <c r="N83" s="2"/>
      <c r="O83" s="2"/>
      <c r="P83" s="2"/>
    </row>
    <row r="84" spans="1:27" customFormat="1" ht="13.5" customHeight="1" thickBot="1">
      <c r="A84" s="81"/>
      <c r="B84" s="81"/>
      <c r="C84" s="81"/>
      <c r="D84" s="81"/>
      <c r="E84" s="81"/>
      <c r="F84" s="81"/>
      <c r="G84" s="81"/>
      <c r="H84" s="81"/>
      <c r="I84" s="81"/>
      <c r="J84" s="81"/>
      <c r="K84" s="81"/>
      <c r="L84" s="81"/>
      <c r="M84" s="81"/>
      <c r="N84" s="82"/>
      <c r="O84" s="2"/>
      <c r="P84" s="2"/>
    </row>
    <row r="85" spans="1:27" customFormat="1" ht="13.5" customHeight="1">
      <c r="N85" s="2"/>
      <c r="O85" s="2"/>
      <c r="P85" s="2"/>
    </row>
    <row r="86" spans="1:27" customFormat="1" ht="15" customHeight="1">
      <c r="B86" s="10"/>
      <c r="C86" s="5"/>
      <c r="D86" s="5"/>
      <c r="E86" s="5"/>
      <c r="F86" s="5"/>
      <c r="G86" s="5"/>
      <c r="H86" s="5"/>
      <c r="I86" s="5"/>
      <c r="J86" s="5"/>
      <c r="K86" s="5"/>
      <c r="L86" s="5"/>
      <c r="M86" s="6"/>
      <c r="R86" s="11" t="str">
        <f>D87</f>
        <v>(選択してください)</v>
      </c>
    </row>
    <row r="87" spans="1:27" customFormat="1">
      <c r="B87" s="7"/>
      <c r="C87" s="77" t="str">
        <f ca="1">IFERROR(OFFSET('4.2民生電力需要量'!$C$1,MATCH(D87,'4.2民生電力需要量'!$E:$E,0)-1,0),"")</f>
        <v/>
      </c>
      <c r="D87" s="94" t="s">
        <v>130</v>
      </c>
      <c r="E87" s="72" t="s">
        <v>131</v>
      </c>
      <c r="F87" s="1451" t="str">
        <f ca="1">IFERROR(OFFSET('4.2民生電力需要量'!$G$1,MATCH($D87,'4.2民生電力需要量'!$E:$E,0)-1,0),"")</f>
        <v/>
      </c>
      <c r="G87" s="1451"/>
      <c r="H87" s="1451"/>
      <c r="I87" s="1451"/>
      <c r="J87" s="1451"/>
      <c r="K87" s="1451"/>
      <c r="L87" s="1451"/>
      <c r="M87" s="8"/>
      <c r="R87" s="255" t="str">
        <f ca="1">IFERROR(OFFSET('4.2民生電力需要量'!$G$1,MATCH($D87,'4.2民生電力需要量'!$E:$E,0)-1,0),"")</f>
        <v/>
      </c>
      <c r="S87" s="175"/>
      <c r="T87" s="175"/>
      <c r="U87" s="175"/>
      <c r="V87" s="175"/>
      <c r="W87" s="175"/>
      <c r="X87" s="175"/>
      <c r="Y87" s="175"/>
      <c r="Z87" s="175"/>
      <c r="AA87" s="175">
        <f ca="1">(F87=R87)*1</f>
        <v>1</v>
      </c>
    </row>
    <row r="88" spans="1:27" customFormat="1">
      <c r="B88" s="7"/>
      <c r="C88" s="915"/>
      <c r="D88" s="97"/>
      <c r="E88" s="72" t="s">
        <v>612</v>
      </c>
      <c r="F88" s="1447" t="str">
        <f ca="1">IFERROR(OFFSET('4.2民生電力需要量'!$L$1,MATCH($D87,'4.2民生電力需要量'!$E:$E,0)-1,0),"")</f>
        <v/>
      </c>
      <c r="G88" s="1448"/>
      <c r="H88" s="1448"/>
      <c r="I88" s="1448"/>
      <c r="J88" s="1448"/>
      <c r="K88" s="1448"/>
      <c r="L88" s="1449"/>
      <c r="M88" s="8"/>
      <c r="R88" s="255" t="str">
        <f ca="1">IFERROR(OFFSET('4.2民生電力需要量'!$L$1,MATCH($D87,'4.2民生電力需要量'!$E:$E,0)-1,0),"")</f>
        <v/>
      </c>
      <c r="S88" s="175"/>
      <c r="T88" s="175"/>
      <c r="U88" s="175"/>
      <c r="V88" s="175"/>
      <c r="W88" s="175"/>
      <c r="X88" s="175"/>
      <c r="Y88" s="175"/>
      <c r="Z88" s="175"/>
      <c r="AA88" s="175">
        <f ca="1">(F88=R88)*1</f>
        <v>1</v>
      </c>
    </row>
    <row r="89" spans="1:27" customFormat="1">
      <c r="B89" s="7"/>
      <c r="C89" s="74"/>
      <c r="D89" s="66"/>
      <c r="E89" s="72" t="s">
        <v>220</v>
      </c>
      <c r="F89" s="1450" t="str">
        <f ca="1">IFERROR(OFFSET('4.2民生電力需要量'!$I$1,MATCH($D87,'4.2民生電力需要量'!$E:$E,0)-1,0),"")</f>
        <v/>
      </c>
      <c r="G89" s="1450"/>
      <c r="H89" s="1450"/>
      <c r="I89" s="1450"/>
      <c r="J89" s="1450"/>
      <c r="K89" s="1450"/>
      <c r="L89" s="1450"/>
      <c r="M89" s="8"/>
      <c r="R89" s="255" t="str">
        <f ca="1">IFERROR(OFFSET('4.2民生電力需要量'!$I$1,MATCH($D87,'4.2民生電力需要量'!$E:$E,0)-1,0),"")</f>
        <v/>
      </c>
      <c r="S89" s="175"/>
      <c r="T89" s="175"/>
      <c r="U89" s="175"/>
      <c r="V89" s="175"/>
      <c r="W89" s="175"/>
      <c r="X89" s="175"/>
      <c r="Y89" s="175"/>
      <c r="Z89" s="175"/>
      <c r="AA89" s="175">
        <f t="shared" ref="AA89:AA90" ca="1" si="39">(F89=R89)*1</f>
        <v>1</v>
      </c>
    </row>
    <row r="90" spans="1:27" customFormat="1">
      <c r="B90" s="7"/>
      <c r="C90" s="74"/>
      <c r="D90" s="66"/>
      <c r="E90" s="72" t="s">
        <v>175</v>
      </c>
      <c r="F90" s="1451" t="str">
        <f>_xlfn.IFNA(R90,"")</f>
        <v/>
      </c>
      <c r="G90" s="1451"/>
      <c r="H90" s="1451"/>
      <c r="I90" s="1451"/>
      <c r="J90" s="1451"/>
      <c r="K90" s="1451"/>
      <c r="L90" s="1451"/>
      <c r="M90" s="8"/>
      <c r="R90" s="129" t="str">
        <f>IF(OR(COUNTIF($E92:$E97,"&lt;&gt;〇〇(合意形成対象者名に書き換え)")=3,COUNTIF($E92:$E97,"")&gt;3),"",IF(PRODUCT($Y92:$Y97)=1,Z92,""))</f>
        <v/>
      </c>
      <c r="S90" s="175"/>
      <c r="T90" s="175"/>
      <c r="U90" s="175"/>
      <c r="V90" s="175"/>
      <c r="W90" s="175"/>
      <c r="X90" s="175"/>
      <c r="Y90" s="175"/>
      <c r="Z90" s="175"/>
      <c r="AA90" s="175">
        <f t="shared" si="39"/>
        <v>1</v>
      </c>
    </row>
    <row r="91" spans="1:27" ht="63.75" customHeight="1">
      <c r="B91" s="95"/>
      <c r="C91" s="96"/>
      <c r="D91" s="97"/>
      <c r="E91" s="372"/>
      <c r="F91" s="313" t="s">
        <v>268</v>
      </c>
      <c r="G91" s="313" t="s">
        <v>271</v>
      </c>
      <c r="H91" s="313" t="s">
        <v>272</v>
      </c>
      <c r="I91" s="313" t="s">
        <v>269</v>
      </c>
      <c r="J91" s="313" t="s">
        <v>434</v>
      </c>
      <c r="K91" s="313" t="s">
        <v>435</v>
      </c>
      <c r="L91" s="313" t="s">
        <v>270</v>
      </c>
      <c r="M91" s="98"/>
      <c r="N91" s="11"/>
      <c r="R91" s="126" t="s">
        <v>299</v>
      </c>
      <c r="S91" s="257" t="s">
        <v>423</v>
      </c>
      <c r="T91" s="126" t="s">
        <v>424</v>
      </c>
      <c r="U91" s="296" t="s">
        <v>436</v>
      </c>
      <c r="V91" s="256" t="s">
        <v>270</v>
      </c>
      <c r="W91" s="126" t="s">
        <v>426</v>
      </c>
      <c r="X91" s="129" t="s">
        <v>402</v>
      </c>
      <c r="Y91" s="129" t="s">
        <v>430</v>
      </c>
      <c r="Z91" s="126" t="s">
        <v>425</v>
      </c>
      <c r="AA91" s="255"/>
    </row>
    <row r="92" spans="1:27" hidden="1">
      <c r="B92" s="95"/>
      <c r="C92" s="96"/>
      <c r="D92" s="97"/>
      <c r="E92" s="442"/>
      <c r="F92" s="443"/>
      <c r="G92" s="439"/>
      <c r="H92" s="443"/>
      <c r="I92" s="439"/>
      <c r="J92" s="443"/>
      <c r="K92" s="439"/>
      <c r="L92" s="444"/>
      <c r="M92" s="98"/>
      <c r="N92" s="11"/>
      <c r="R92" s="129">
        <f t="shared" ref="R92:R97" si="40">IF(F92="実施済",1,0)</f>
        <v>0</v>
      </c>
      <c r="S92" s="258"/>
      <c r="T92" s="129">
        <f t="shared" ref="T92:T97" si="41">IF(AND(H92="実施済",I92="実施済"),R92*1,0)</f>
        <v>0</v>
      </c>
      <c r="U92" s="129">
        <f>IF(AND(J92="実施済",K92="実施済"),$T92*1,0)</f>
        <v>0</v>
      </c>
      <c r="V92" s="258"/>
      <c r="W92" s="129" t="str">
        <f>IF(OR(E92="〇〇(合意形成対象者名に書き換え)",E92=""),"",SUM(R92,T92,U92))</f>
        <v/>
      </c>
      <c r="X92" s="129">
        <f t="shared" ref="X92:X97" si="42">MIN($W$92:$W$97)+1</f>
        <v>1</v>
      </c>
      <c r="Y92" s="129">
        <f>IF(E92="",1,IF(AND(E92="〇〇(合意形成対象者名に書き換え)",COUNTA($F92:$L92)=0),1,IF(AND(E92&lt;&gt;"〇〇(合意形成対象者名に書き換え)",COUNTA($F92:$L92)=7),1,0)))</f>
        <v>1</v>
      </c>
      <c r="Z92" s="129" t="str" cm="1">
        <f t="array" ref="Z92">_xlfn.IFS(X92=4,"A",X92=3,"B",X92=2,"C",X92=1,"D")</f>
        <v>D</v>
      </c>
      <c r="AA92" s="255"/>
    </row>
    <row r="93" spans="1:27">
      <c r="B93" s="95"/>
      <c r="C93" s="96"/>
      <c r="D93" s="97"/>
      <c r="E93" s="447" t="s">
        <v>129</v>
      </c>
      <c r="F93" s="446"/>
      <c r="G93" s="441"/>
      <c r="H93" s="446"/>
      <c r="I93" s="441"/>
      <c r="J93" s="446"/>
      <c r="K93" s="441"/>
      <c r="L93" s="441"/>
      <c r="M93" s="98"/>
      <c r="N93" s="11"/>
      <c r="R93" s="129">
        <f t="shared" si="40"/>
        <v>0</v>
      </c>
      <c r="S93" s="258"/>
      <c r="T93" s="129">
        <f t="shared" si="41"/>
        <v>0</v>
      </c>
      <c r="U93" s="129">
        <f t="shared" ref="U93:U95" si="43">IF(AND(J93="実施済",K93="実施済"),$T93*1,0)</f>
        <v>0</v>
      </c>
      <c r="V93" s="258"/>
      <c r="W93" s="129" t="str">
        <f t="shared" ref="W93:W97" si="44">IF(OR(E93="〇〇(合意形成対象者名に書き換え)",E93=""),"",SUM(R93,T93,U93))</f>
        <v/>
      </c>
      <c r="X93" s="129">
        <f t="shared" si="42"/>
        <v>1</v>
      </c>
      <c r="Y93" s="129">
        <f t="shared" ref="Y93:Y97" si="45">IF(E93="",1,IF(AND(E93="〇〇(合意形成対象者名に書き換え)",COUNTA($F93:$L93)=0),1,IF(AND(E93&lt;&gt;"〇〇(合意形成対象者名に書き換え)",COUNTA($F93:$L93)=7),1,0)))</f>
        <v>1</v>
      </c>
      <c r="Z93" s="129" t="str" cm="1">
        <f t="array" ref="Z93">_xlfn.IFS(X93=4,"A",X93=3,"B",X93=2,"C",X93=1,"D")</f>
        <v>D</v>
      </c>
      <c r="AA93" s="255"/>
    </row>
    <row r="94" spans="1:27">
      <c r="B94" s="95"/>
      <c r="C94" s="96"/>
      <c r="D94" s="97"/>
      <c r="E94" s="447" t="s">
        <v>129</v>
      </c>
      <c r="F94" s="446"/>
      <c r="G94" s="441"/>
      <c r="H94" s="446"/>
      <c r="I94" s="441"/>
      <c r="J94" s="446"/>
      <c r="K94" s="441"/>
      <c r="L94" s="441"/>
      <c r="M94" s="98"/>
      <c r="N94" s="11"/>
      <c r="R94" s="129">
        <f t="shared" si="40"/>
        <v>0</v>
      </c>
      <c r="S94" s="258"/>
      <c r="T94" s="129">
        <f t="shared" si="41"/>
        <v>0</v>
      </c>
      <c r="U94" s="129">
        <f t="shared" si="43"/>
        <v>0</v>
      </c>
      <c r="V94" s="258"/>
      <c r="W94" s="129" t="str">
        <f t="shared" si="44"/>
        <v/>
      </c>
      <c r="X94" s="129">
        <f t="shared" si="42"/>
        <v>1</v>
      </c>
      <c r="Y94" s="129">
        <f t="shared" si="45"/>
        <v>1</v>
      </c>
      <c r="Z94" s="129" t="str" cm="1">
        <f t="array" ref="Z94">_xlfn.IFS(X94=4,"A",X94=3,"B",X94=2,"C",X94=1,"D")</f>
        <v>D</v>
      </c>
      <c r="AA94" s="255"/>
    </row>
    <row r="95" spans="1:27" s="99" customFormat="1">
      <c r="A95" s="11"/>
      <c r="B95" s="95"/>
      <c r="C95" s="96"/>
      <c r="D95" s="97"/>
      <c r="E95" s="447" t="s">
        <v>129</v>
      </c>
      <c r="F95" s="446"/>
      <c r="G95" s="441"/>
      <c r="H95" s="446"/>
      <c r="I95" s="441"/>
      <c r="J95" s="446"/>
      <c r="K95" s="441"/>
      <c r="L95" s="441"/>
      <c r="M95" s="98"/>
      <c r="N95" s="11"/>
      <c r="Q95" s="11"/>
      <c r="R95" s="129">
        <f t="shared" si="40"/>
        <v>0</v>
      </c>
      <c r="S95" s="258"/>
      <c r="T95" s="129">
        <f t="shared" si="41"/>
        <v>0</v>
      </c>
      <c r="U95" s="129">
        <f t="shared" si="43"/>
        <v>0</v>
      </c>
      <c r="V95" s="258"/>
      <c r="W95" s="129" t="str">
        <f t="shared" si="44"/>
        <v/>
      </c>
      <c r="X95" s="129">
        <f t="shared" si="42"/>
        <v>1</v>
      </c>
      <c r="Y95" s="129">
        <f t="shared" si="45"/>
        <v>1</v>
      </c>
      <c r="Z95" s="129" t="str" cm="1">
        <f t="array" ref="Z95">_xlfn.IFS(X95=4,"A",X95=3,"B",X95=2,"C",X95=1,"D")</f>
        <v>D</v>
      </c>
      <c r="AA95" s="129"/>
    </row>
    <row r="96" spans="1:27" customFormat="1" ht="7.5" customHeight="1">
      <c r="B96" s="65"/>
      <c r="C96" s="4"/>
      <c r="D96" s="4"/>
      <c r="E96" s="4"/>
      <c r="F96" s="4"/>
      <c r="G96" s="4"/>
      <c r="H96" s="4"/>
      <c r="I96" s="4"/>
      <c r="J96" s="4"/>
      <c r="K96" s="4"/>
      <c r="L96" s="4"/>
      <c r="M96" s="9"/>
      <c r="N96" s="2"/>
      <c r="O96" s="2"/>
      <c r="P96" s="2"/>
      <c r="R96" s="129">
        <f t="shared" si="40"/>
        <v>0</v>
      </c>
      <c r="S96" s="258"/>
      <c r="T96" s="129">
        <f t="shared" si="41"/>
        <v>0</v>
      </c>
      <c r="U96" s="129">
        <f>IF(AND(J96="実施済",K96="実施済"),$T96*1,0)</f>
        <v>0</v>
      </c>
      <c r="V96" s="258"/>
      <c r="W96" s="129" t="str">
        <f t="shared" si="44"/>
        <v/>
      </c>
      <c r="X96" s="129">
        <f t="shared" si="42"/>
        <v>1</v>
      </c>
      <c r="Y96" s="129">
        <f t="shared" si="45"/>
        <v>1</v>
      </c>
      <c r="Z96" s="129" t="str" cm="1">
        <f t="array" ref="Z96">_xlfn.IFS(X96=4,"A",X96=3,"B",X96=2,"C",X96=1,"D")</f>
        <v>D</v>
      </c>
      <c r="AA96" s="175"/>
    </row>
    <row r="97" spans="1:27" customFormat="1" ht="18" customHeight="1">
      <c r="N97" s="2"/>
      <c r="O97" s="2"/>
      <c r="P97" s="2"/>
      <c r="R97" s="129">
        <f t="shared" si="40"/>
        <v>0</v>
      </c>
      <c r="S97" s="258"/>
      <c r="T97" s="129">
        <f t="shared" si="41"/>
        <v>0</v>
      </c>
      <c r="U97" s="129">
        <f t="shared" ref="U97" si="46">IF(AND(J97="実施済",K97="実施済"),$T97*1,0)</f>
        <v>0</v>
      </c>
      <c r="V97" s="258"/>
      <c r="W97" s="129" t="str">
        <f t="shared" si="44"/>
        <v/>
      </c>
      <c r="X97" s="129">
        <f t="shared" si="42"/>
        <v>1</v>
      </c>
      <c r="Y97" s="129">
        <f t="shared" si="45"/>
        <v>1</v>
      </c>
      <c r="Z97" s="129" t="str" cm="1">
        <f t="array" ref="Z97">_xlfn.IFS(X97=4,"A",X97=3,"B",X97=2,"C",X97=1,"D")</f>
        <v>D</v>
      </c>
      <c r="AA97" s="175"/>
    </row>
    <row r="98" spans="1:27" customFormat="1" ht="103.5" customHeight="1">
      <c r="C98" s="78"/>
      <c r="D98" s="79"/>
      <c r="E98" s="71" t="s">
        <v>236</v>
      </c>
      <c r="F98" s="1452"/>
      <c r="G98" s="1452"/>
      <c r="H98" s="1452"/>
      <c r="I98" s="1452"/>
      <c r="J98" s="1452"/>
      <c r="K98" s="1452"/>
      <c r="L98" s="1452"/>
      <c r="M98" s="80" t="s">
        <v>132</v>
      </c>
      <c r="N98" s="80"/>
    </row>
    <row r="99" spans="1:27" customFormat="1" ht="146.25" customHeight="1">
      <c r="C99" s="75"/>
      <c r="D99" s="68"/>
      <c r="E99" s="71" t="s">
        <v>235</v>
      </c>
      <c r="F99" s="1452"/>
      <c r="G99" s="1452"/>
      <c r="H99" s="1452"/>
      <c r="I99" s="1452"/>
      <c r="J99" s="1452"/>
      <c r="K99" s="1452"/>
      <c r="L99" s="1452"/>
      <c r="N99" s="2"/>
      <c r="O99" s="2"/>
      <c r="P99" s="2"/>
    </row>
    <row r="100" spans="1:27" customFormat="1" ht="13.5" customHeight="1" thickBot="1">
      <c r="A100" s="81"/>
      <c r="B100" s="81"/>
      <c r="C100" s="81"/>
      <c r="D100" s="81"/>
      <c r="E100" s="81"/>
      <c r="F100" s="81"/>
      <c r="G100" s="81"/>
      <c r="H100" s="81"/>
      <c r="I100" s="81"/>
      <c r="J100" s="81"/>
      <c r="K100" s="81"/>
      <c r="L100" s="81"/>
      <c r="M100" s="81"/>
      <c r="N100" s="82"/>
      <c r="O100" s="2"/>
      <c r="P100" s="2"/>
    </row>
    <row r="101" spans="1:27" customFormat="1" ht="13.5" customHeight="1">
      <c r="N101" s="2"/>
      <c r="O101" s="2"/>
      <c r="P101" s="2"/>
    </row>
    <row r="102" spans="1:27" customFormat="1" ht="15" customHeight="1">
      <c r="B102" s="10"/>
      <c r="C102" s="5"/>
      <c r="D102" s="5"/>
      <c r="E102" s="5"/>
      <c r="F102" s="5"/>
      <c r="G102" s="5"/>
      <c r="H102" s="5"/>
      <c r="I102" s="5"/>
      <c r="J102" s="5"/>
      <c r="K102" s="5"/>
      <c r="L102" s="5"/>
      <c r="M102" s="6"/>
      <c r="R102" s="11" t="str">
        <f>D103</f>
        <v>(選択してください)</v>
      </c>
    </row>
    <row r="103" spans="1:27" customFormat="1">
      <c r="B103" s="7"/>
      <c r="C103" s="77" t="str">
        <f ca="1">IFERROR(OFFSET('4.2民生電力需要量'!$C$1,MATCH(D103,'4.2民生電力需要量'!$E:$E,0)-1,0),"")</f>
        <v/>
      </c>
      <c r="D103" s="94" t="s">
        <v>130</v>
      </c>
      <c r="E103" s="72" t="s">
        <v>131</v>
      </c>
      <c r="F103" s="1451" t="str">
        <f ca="1">IFERROR(OFFSET('4.2民生電力需要量'!$G$1,MATCH($D103,'4.2民生電力需要量'!$E:$E,0)-1,0),"")</f>
        <v/>
      </c>
      <c r="G103" s="1451"/>
      <c r="H103" s="1451"/>
      <c r="I103" s="1451"/>
      <c r="J103" s="1451"/>
      <c r="K103" s="1451"/>
      <c r="L103" s="1451"/>
      <c r="M103" s="8"/>
      <c r="R103" s="255" t="str">
        <f ca="1">IFERROR(OFFSET('4.2民生電力需要量'!$G$1,MATCH($D103,'4.2民生電力需要量'!$E:$E,0)-1,0),"")</f>
        <v/>
      </c>
      <c r="S103" s="175"/>
      <c r="T103" s="175"/>
      <c r="U103" s="175"/>
      <c r="V103" s="175"/>
      <c r="W103" s="175"/>
      <c r="X103" s="175"/>
      <c r="Y103" s="175"/>
      <c r="Z103" s="175"/>
      <c r="AA103" s="175">
        <f ca="1">(F103=R103)*1</f>
        <v>1</v>
      </c>
    </row>
    <row r="104" spans="1:27" customFormat="1">
      <c r="B104" s="7"/>
      <c r="C104" s="915"/>
      <c r="D104" s="97"/>
      <c r="E104" s="72" t="s">
        <v>612</v>
      </c>
      <c r="F104" s="1447" t="str">
        <f ca="1">IFERROR(OFFSET('4.2民生電力需要量'!$L$1,MATCH($D103,'4.2民生電力需要量'!$E:$E,0)-1,0),"")</f>
        <v/>
      </c>
      <c r="G104" s="1448"/>
      <c r="H104" s="1448"/>
      <c r="I104" s="1448"/>
      <c r="J104" s="1448"/>
      <c r="K104" s="1448"/>
      <c r="L104" s="1449"/>
      <c r="M104" s="8"/>
      <c r="R104" s="255" t="str">
        <f ca="1">IFERROR(OFFSET('4.2民生電力需要量'!$L$1,MATCH($D103,'4.2民生電力需要量'!$E:$E,0)-1,0),"")</f>
        <v/>
      </c>
      <c r="S104" s="175"/>
      <c r="T104" s="175"/>
      <c r="U104" s="175"/>
      <c r="V104" s="175"/>
      <c r="W104" s="175"/>
      <c r="X104" s="175"/>
      <c r="Y104" s="175"/>
      <c r="Z104" s="175"/>
      <c r="AA104" s="175">
        <f ca="1">(F104=R104)*1</f>
        <v>1</v>
      </c>
    </row>
    <row r="105" spans="1:27" customFormat="1">
      <c r="B105" s="7"/>
      <c r="C105" s="74"/>
      <c r="D105" s="66"/>
      <c r="E105" s="72" t="s">
        <v>220</v>
      </c>
      <c r="F105" s="1450" t="str">
        <f ca="1">IFERROR(OFFSET('4.2民生電力需要量'!$I$1,MATCH($D103,'4.2民生電力需要量'!$E:$E,0)-1,0),"")</f>
        <v/>
      </c>
      <c r="G105" s="1450"/>
      <c r="H105" s="1450"/>
      <c r="I105" s="1450"/>
      <c r="J105" s="1450"/>
      <c r="K105" s="1450"/>
      <c r="L105" s="1450"/>
      <c r="M105" s="8"/>
      <c r="R105" s="255" t="str">
        <f ca="1">IFERROR(OFFSET('4.2民生電力需要量'!$I$1,MATCH($D103,'4.2民生電力需要量'!$E:$E,0)-1,0),"")</f>
        <v/>
      </c>
      <c r="S105" s="175"/>
      <c r="T105" s="175"/>
      <c r="U105" s="175"/>
      <c r="V105" s="175"/>
      <c r="W105" s="175"/>
      <c r="X105" s="175"/>
      <c r="Y105" s="175"/>
      <c r="Z105" s="175"/>
      <c r="AA105" s="175">
        <f t="shared" ref="AA105:AA106" ca="1" si="47">(F105=R105)*1</f>
        <v>1</v>
      </c>
    </row>
    <row r="106" spans="1:27" customFormat="1">
      <c r="B106" s="7"/>
      <c r="C106" s="74"/>
      <c r="D106" s="66"/>
      <c r="E106" s="72" t="s">
        <v>175</v>
      </c>
      <c r="F106" s="1451" t="str">
        <f>_xlfn.IFNA(R106,"")</f>
        <v/>
      </c>
      <c r="G106" s="1451"/>
      <c r="H106" s="1451"/>
      <c r="I106" s="1451"/>
      <c r="J106" s="1451"/>
      <c r="K106" s="1451"/>
      <c r="L106" s="1451"/>
      <c r="M106" s="8"/>
      <c r="R106" s="129" t="str">
        <f>IF(OR(COUNTIF($E108:$E113,"&lt;&gt;〇〇(合意形成対象者名に書き換え)")=3,COUNTIF($E108:$E113,"")&gt;3),"",IF(PRODUCT($Y108:$Y113)=1,Z108,""))</f>
        <v/>
      </c>
      <c r="S106" s="175"/>
      <c r="T106" s="175"/>
      <c r="U106" s="175"/>
      <c r="V106" s="175"/>
      <c r="W106" s="175"/>
      <c r="X106" s="175"/>
      <c r="Y106" s="175"/>
      <c r="Z106" s="175"/>
      <c r="AA106" s="175">
        <f t="shared" si="47"/>
        <v>1</v>
      </c>
    </row>
    <row r="107" spans="1:27" ht="63.75" customHeight="1">
      <c r="B107" s="95"/>
      <c r="C107" s="96"/>
      <c r="D107" s="97"/>
      <c r="E107" s="372"/>
      <c r="F107" s="313" t="s">
        <v>268</v>
      </c>
      <c r="G107" s="313" t="s">
        <v>271</v>
      </c>
      <c r="H107" s="313" t="s">
        <v>272</v>
      </c>
      <c r="I107" s="313" t="s">
        <v>269</v>
      </c>
      <c r="J107" s="313" t="s">
        <v>434</v>
      </c>
      <c r="K107" s="313" t="s">
        <v>435</v>
      </c>
      <c r="L107" s="313" t="s">
        <v>270</v>
      </c>
      <c r="M107" s="98"/>
      <c r="N107" s="11"/>
      <c r="R107" s="126" t="s">
        <v>299</v>
      </c>
      <c r="S107" s="257" t="s">
        <v>423</v>
      </c>
      <c r="T107" s="126" t="s">
        <v>424</v>
      </c>
      <c r="U107" s="296" t="s">
        <v>436</v>
      </c>
      <c r="V107" s="256" t="s">
        <v>270</v>
      </c>
      <c r="W107" s="126" t="s">
        <v>426</v>
      </c>
      <c r="X107" s="129" t="s">
        <v>402</v>
      </c>
      <c r="Y107" s="129" t="s">
        <v>430</v>
      </c>
      <c r="Z107" s="126" t="s">
        <v>425</v>
      </c>
      <c r="AA107" s="255"/>
    </row>
    <row r="108" spans="1:27" hidden="1">
      <c r="B108" s="95"/>
      <c r="C108" s="96"/>
      <c r="D108" s="97"/>
      <c r="E108" s="442"/>
      <c r="F108" s="443"/>
      <c r="G108" s="439"/>
      <c r="H108" s="443"/>
      <c r="I108" s="439"/>
      <c r="J108" s="443"/>
      <c r="K108" s="439"/>
      <c r="L108" s="444"/>
      <c r="M108" s="98"/>
      <c r="N108" s="11"/>
      <c r="R108" s="129">
        <f t="shared" ref="R108:R113" si="48">IF(F108="実施済",1,0)</f>
        <v>0</v>
      </c>
      <c r="S108" s="258"/>
      <c r="T108" s="129">
        <f t="shared" ref="T108:T113" si="49">IF(AND(H108="実施済",I108="実施済"),R108*1,0)</f>
        <v>0</v>
      </c>
      <c r="U108" s="129">
        <f>IF(AND(J108="実施済",K108="実施済"),$T108*1,0)</f>
        <v>0</v>
      </c>
      <c r="V108" s="258"/>
      <c r="W108" s="129" t="str">
        <f>IF(OR(E108="〇〇(合意形成対象者名に書き換え)",E108=""),"",SUM(R108,T108,U108))</f>
        <v/>
      </c>
      <c r="X108" s="129">
        <f t="shared" ref="X108:X113" si="50">MIN($W$108:$W$113)+1</f>
        <v>1</v>
      </c>
      <c r="Y108" s="129">
        <f>IF(E108="",1,IF(AND(E108="〇〇(合意形成対象者名に書き換え)",COUNTA($F108:$L108)=0),1,IF(AND(E108&lt;&gt;"〇〇(合意形成対象者名に書き換え)",COUNTA($F108:$L108)=7),1,0)))</f>
        <v>1</v>
      </c>
      <c r="Z108" s="129" t="str" cm="1">
        <f t="array" ref="Z108">_xlfn.IFS(X108=4,"A",X108=3,"B",X108=2,"C",X108=1,"D")</f>
        <v>D</v>
      </c>
      <c r="AA108" s="255"/>
    </row>
    <row r="109" spans="1:27">
      <c r="B109" s="95"/>
      <c r="C109" s="96"/>
      <c r="D109" s="97"/>
      <c r="E109" s="447" t="s">
        <v>129</v>
      </c>
      <c r="F109" s="446"/>
      <c r="G109" s="441"/>
      <c r="H109" s="446"/>
      <c r="I109" s="441"/>
      <c r="J109" s="446"/>
      <c r="K109" s="441"/>
      <c r="L109" s="441"/>
      <c r="M109" s="98"/>
      <c r="N109" s="11"/>
      <c r="R109" s="129">
        <f t="shared" si="48"/>
        <v>0</v>
      </c>
      <c r="S109" s="258"/>
      <c r="T109" s="129">
        <f t="shared" si="49"/>
        <v>0</v>
      </c>
      <c r="U109" s="129">
        <f t="shared" ref="U109:U111" si="51">IF(AND(J109="実施済",K109="実施済"),$T109*1,0)</f>
        <v>0</v>
      </c>
      <c r="V109" s="258"/>
      <c r="W109" s="129" t="str">
        <f t="shared" ref="W109:W113" si="52">IF(OR(E109="〇〇(合意形成対象者名に書き換え)",E109=""),"",SUM(R109,T109,U109))</f>
        <v/>
      </c>
      <c r="X109" s="129">
        <f t="shared" si="50"/>
        <v>1</v>
      </c>
      <c r="Y109" s="129">
        <f t="shared" ref="Y109:Y113" si="53">IF(E109="",1,IF(AND(E109="〇〇(合意形成対象者名に書き換え)",COUNTA($F109:$L109)=0),1,IF(AND(E109&lt;&gt;"〇〇(合意形成対象者名に書き換え)",COUNTA($F109:$L109)=7),1,0)))</f>
        <v>1</v>
      </c>
      <c r="Z109" s="129" t="str" cm="1">
        <f t="array" ref="Z109">_xlfn.IFS(X109=4,"A",X109=3,"B",X109=2,"C",X109=1,"D")</f>
        <v>D</v>
      </c>
      <c r="AA109" s="255"/>
    </row>
    <row r="110" spans="1:27">
      <c r="B110" s="95"/>
      <c r="C110" s="96"/>
      <c r="D110" s="97"/>
      <c r="E110" s="447" t="s">
        <v>129</v>
      </c>
      <c r="F110" s="446"/>
      <c r="G110" s="441"/>
      <c r="H110" s="446"/>
      <c r="I110" s="441"/>
      <c r="J110" s="446"/>
      <c r="K110" s="441"/>
      <c r="L110" s="441"/>
      <c r="M110" s="98"/>
      <c r="N110" s="11"/>
      <c r="R110" s="129">
        <f t="shared" si="48"/>
        <v>0</v>
      </c>
      <c r="S110" s="258"/>
      <c r="T110" s="129">
        <f t="shared" si="49"/>
        <v>0</v>
      </c>
      <c r="U110" s="129">
        <f t="shared" si="51"/>
        <v>0</v>
      </c>
      <c r="V110" s="258"/>
      <c r="W110" s="129" t="str">
        <f t="shared" si="52"/>
        <v/>
      </c>
      <c r="X110" s="129">
        <f t="shared" si="50"/>
        <v>1</v>
      </c>
      <c r="Y110" s="129">
        <f t="shared" si="53"/>
        <v>1</v>
      </c>
      <c r="Z110" s="129" t="str" cm="1">
        <f t="array" ref="Z110">_xlfn.IFS(X110=4,"A",X110=3,"B",X110=2,"C",X110=1,"D")</f>
        <v>D</v>
      </c>
      <c r="AA110" s="255"/>
    </row>
    <row r="111" spans="1:27" s="99" customFormat="1">
      <c r="A111" s="11"/>
      <c r="B111" s="95"/>
      <c r="C111" s="96"/>
      <c r="D111" s="97"/>
      <c r="E111" s="447" t="s">
        <v>129</v>
      </c>
      <c r="F111" s="446"/>
      <c r="G111" s="441"/>
      <c r="H111" s="446"/>
      <c r="I111" s="441"/>
      <c r="J111" s="446"/>
      <c r="K111" s="441"/>
      <c r="L111" s="441"/>
      <c r="M111" s="98"/>
      <c r="N111" s="11"/>
      <c r="Q111" s="11"/>
      <c r="R111" s="129">
        <f t="shared" si="48"/>
        <v>0</v>
      </c>
      <c r="S111" s="258"/>
      <c r="T111" s="129">
        <f t="shared" si="49"/>
        <v>0</v>
      </c>
      <c r="U111" s="129">
        <f t="shared" si="51"/>
        <v>0</v>
      </c>
      <c r="V111" s="258"/>
      <c r="W111" s="129" t="str">
        <f t="shared" si="52"/>
        <v/>
      </c>
      <c r="X111" s="129">
        <f t="shared" si="50"/>
        <v>1</v>
      </c>
      <c r="Y111" s="129">
        <f t="shared" si="53"/>
        <v>1</v>
      </c>
      <c r="Z111" s="129" t="str" cm="1">
        <f t="array" ref="Z111">_xlfn.IFS(X111=4,"A",X111=3,"B",X111=2,"C",X111=1,"D")</f>
        <v>D</v>
      </c>
      <c r="AA111" s="129"/>
    </row>
    <row r="112" spans="1:27" customFormat="1" ht="7.5" customHeight="1">
      <c r="B112" s="65"/>
      <c r="C112" s="4"/>
      <c r="D112" s="4"/>
      <c r="E112" s="4"/>
      <c r="F112" s="4"/>
      <c r="G112" s="4"/>
      <c r="H112" s="4"/>
      <c r="I112" s="4"/>
      <c r="J112" s="4"/>
      <c r="K112" s="4"/>
      <c r="L112" s="4"/>
      <c r="M112" s="9"/>
      <c r="N112" s="2"/>
      <c r="O112" s="2"/>
      <c r="P112" s="2"/>
      <c r="R112" s="129">
        <f t="shared" si="48"/>
        <v>0</v>
      </c>
      <c r="S112" s="258"/>
      <c r="T112" s="129">
        <f t="shared" si="49"/>
        <v>0</v>
      </c>
      <c r="U112" s="129">
        <f>IF(AND(J112="実施済",K112="実施済"),$T112*1,0)</f>
        <v>0</v>
      </c>
      <c r="V112" s="258"/>
      <c r="W112" s="129" t="str">
        <f t="shared" si="52"/>
        <v/>
      </c>
      <c r="X112" s="129">
        <f t="shared" si="50"/>
        <v>1</v>
      </c>
      <c r="Y112" s="129">
        <f t="shared" si="53"/>
        <v>1</v>
      </c>
      <c r="Z112" s="129" t="str" cm="1">
        <f t="array" ref="Z112">_xlfn.IFS(X112=4,"A",X112=3,"B",X112=2,"C",X112=1,"D")</f>
        <v>D</v>
      </c>
      <c r="AA112" s="175"/>
    </row>
    <row r="113" spans="1:27" customFormat="1" ht="18" customHeight="1">
      <c r="N113" s="2"/>
      <c r="O113" s="2"/>
      <c r="P113" s="2"/>
      <c r="R113" s="129">
        <f t="shared" si="48"/>
        <v>0</v>
      </c>
      <c r="S113" s="258"/>
      <c r="T113" s="129">
        <f t="shared" si="49"/>
        <v>0</v>
      </c>
      <c r="U113" s="129">
        <f t="shared" ref="U113" si="54">IF(AND(J113="実施済",K113="実施済"),$T113*1,0)</f>
        <v>0</v>
      </c>
      <c r="V113" s="258"/>
      <c r="W113" s="129" t="str">
        <f t="shared" si="52"/>
        <v/>
      </c>
      <c r="X113" s="129">
        <f t="shared" si="50"/>
        <v>1</v>
      </c>
      <c r="Y113" s="129">
        <f t="shared" si="53"/>
        <v>1</v>
      </c>
      <c r="Z113" s="129" t="str" cm="1">
        <f t="array" ref="Z113">_xlfn.IFS(X113=4,"A",X113=3,"B",X113=2,"C",X113=1,"D")</f>
        <v>D</v>
      </c>
      <c r="AA113" s="175"/>
    </row>
    <row r="114" spans="1:27" customFormat="1" ht="103.5" customHeight="1">
      <c r="C114" s="78"/>
      <c r="D114" s="79"/>
      <c r="E114" s="71" t="s">
        <v>236</v>
      </c>
      <c r="F114" s="1452"/>
      <c r="G114" s="1452"/>
      <c r="H114" s="1452"/>
      <c r="I114" s="1452"/>
      <c r="J114" s="1452"/>
      <c r="K114" s="1452"/>
      <c r="L114" s="1452"/>
      <c r="M114" s="80" t="s">
        <v>132</v>
      </c>
      <c r="N114" s="80"/>
    </row>
    <row r="115" spans="1:27" customFormat="1" ht="146.25" customHeight="1">
      <c r="C115" s="75"/>
      <c r="D115" s="68"/>
      <c r="E115" s="71" t="s">
        <v>235</v>
      </c>
      <c r="F115" s="1452"/>
      <c r="G115" s="1452"/>
      <c r="H115" s="1452"/>
      <c r="I115" s="1452"/>
      <c r="J115" s="1452"/>
      <c r="K115" s="1452"/>
      <c r="L115" s="1452"/>
      <c r="N115" s="2"/>
      <c r="O115" s="2"/>
      <c r="P115" s="2"/>
    </row>
    <row r="116" spans="1:27" customFormat="1" ht="13.5" customHeight="1" thickBot="1">
      <c r="A116" s="81"/>
      <c r="B116" s="81"/>
      <c r="C116" s="81"/>
      <c r="D116" s="81"/>
      <c r="E116" s="81"/>
      <c r="F116" s="81"/>
      <c r="G116" s="81"/>
      <c r="H116" s="81"/>
      <c r="I116" s="81"/>
      <c r="J116" s="81"/>
      <c r="K116" s="81"/>
      <c r="L116" s="81"/>
      <c r="M116" s="81"/>
      <c r="N116" s="82"/>
      <c r="O116" s="2"/>
      <c r="P116" s="2"/>
    </row>
    <row r="117" spans="1:27" customFormat="1" ht="13.5" customHeight="1">
      <c r="N117" s="2"/>
      <c r="O117" s="2"/>
      <c r="P117" s="2"/>
    </row>
    <row r="118" spans="1:27" customFormat="1" ht="15" customHeight="1">
      <c r="B118" s="10"/>
      <c r="C118" s="5"/>
      <c r="D118" s="5"/>
      <c r="E118" s="5"/>
      <c r="F118" s="5"/>
      <c r="G118" s="5"/>
      <c r="H118" s="5"/>
      <c r="I118" s="5"/>
      <c r="J118" s="5"/>
      <c r="K118" s="5"/>
      <c r="L118" s="5"/>
      <c r="M118" s="6"/>
      <c r="R118" s="11" t="str">
        <f>D119</f>
        <v>(選択してください)</v>
      </c>
    </row>
    <row r="119" spans="1:27" customFormat="1">
      <c r="B119" s="7"/>
      <c r="C119" s="77" t="str">
        <f ca="1">IFERROR(OFFSET('4.2民生電力需要量'!$C$1,MATCH(D119,'4.2民生電力需要量'!$E:$E,0)-1,0),"")</f>
        <v/>
      </c>
      <c r="D119" s="94" t="s">
        <v>130</v>
      </c>
      <c r="E119" s="72" t="s">
        <v>131</v>
      </c>
      <c r="F119" s="1451" t="str">
        <f ca="1">IFERROR(OFFSET('4.2民生電力需要量'!$G$1,MATCH($D119,'4.2民生電力需要量'!$E:$E,0)-1,0),"")</f>
        <v/>
      </c>
      <c r="G119" s="1451"/>
      <c r="H119" s="1451"/>
      <c r="I119" s="1451"/>
      <c r="J119" s="1451"/>
      <c r="K119" s="1451"/>
      <c r="L119" s="1451"/>
      <c r="M119" s="8"/>
      <c r="R119" s="255" t="str">
        <f ca="1">IFERROR(OFFSET('4.2民生電力需要量'!$G$1,MATCH($D119,'4.2民生電力需要量'!$E:$E,0)-1,0),"")</f>
        <v/>
      </c>
      <c r="S119" s="175"/>
      <c r="T119" s="175"/>
      <c r="U119" s="175"/>
      <c r="V119" s="175"/>
      <c r="W119" s="175"/>
      <c r="X119" s="175"/>
      <c r="Y119" s="175"/>
      <c r="Z119" s="175"/>
      <c r="AA119" s="175">
        <f ca="1">(F119=R119)*1</f>
        <v>1</v>
      </c>
    </row>
    <row r="120" spans="1:27" customFormat="1">
      <c r="B120" s="7"/>
      <c r="C120" s="915"/>
      <c r="D120" s="97"/>
      <c r="E120" s="72" t="s">
        <v>612</v>
      </c>
      <c r="F120" s="1447" t="str">
        <f ca="1">IFERROR(OFFSET('4.2民生電力需要量'!$L$1,MATCH($D119,'4.2民生電力需要量'!$E:$E,0)-1,0),"")</f>
        <v/>
      </c>
      <c r="G120" s="1448"/>
      <c r="H120" s="1448"/>
      <c r="I120" s="1448"/>
      <c r="J120" s="1448"/>
      <c r="K120" s="1448"/>
      <c r="L120" s="1449"/>
      <c r="M120" s="8"/>
      <c r="R120" s="255" t="str">
        <f ca="1">IFERROR(OFFSET('4.2民生電力需要量'!$L$1,MATCH($D119,'4.2民生電力需要量'!$E:$E,0)-1,0),"")</f>
        <v/>
      </c>
      <c r="S120" s="175"/>
      <c r="T120" s="175"/>
      <c r="U120" s="175"/>
      <c r="V120" s="175"/>
      <c r="W120" s="175"/>
      <c r="X120" s="175"/>
      <c r="Y120" s="175"/>
      <c r="Z120" s="175"/>
      <c r="AA120" s="175">
        <f ca="1">(F120=R120)*1</f>
        <v>1</v>
      </c>
    </row>
    <row r="121" spans="1:27" customFormat="1">
      <c r="B121" s="7"/>
      <c r="C121" s="74"/>
      <c r="D121" s="66"/>
      <c r="E121" s="72" t="s">
        <v>220</v>
      </c>
      <c r="F121" s="1450" t="str">
        <f ca="1">IFERROR(OFFSET('4.2民生電力需要量'!$I$1,MATCH($D119,'4.2民生電力需要量'!$E:$E,0)-1,0),"")</f>
        <v/>
      </c>
      <c r="G121" s="1450"/>
      <c r="H121" s="1450"/>
      <c r="I121" s="1450"/>
      <c r="J121" s="1450"/>
      <c r="K121" s="1450"/>
      <c r="L121" s="1450"/>
      <c r="M121" s="8"/>
      <c r="R121" s="255" t="str">
        <f ca="1">IFERROR(OFFSET('4.2民生電力需要量'!$I$1,MATCH($D119,'4.2民生電力需要量'!$E:$E,0)-1,0),"")</f>
        <v/>
      </c>
      <c r="S121" s="175"/>
      <c r="T121" s="175"/>
      <c r="U121" s="175"/>
      <c r="V121" s="175"/>
      <c r="W121" s="175"/>
      <c r="X121" s="175"/>
      <c r="Y121" s="175"/>
      <c r="Z121" s="175"/>
      <c r="AA121" s="175">
        <f t="shared" ref="AA121:AA122" ca="1" si="55">(F121=R121)*1</f>
        <v>1</v>
      </c>
    </row>
    <row r="122" spans="1:27" customFormat="1">
      <c r="B122" s="7"/>
      <c r="C122" s="74"/>
      <c r="D122" s="66"/>
      <c r="E122" s="72" t="s">
        <v>175</v>
      </c>
      <c r="F122" s="1451" t="str">
        <f>_xlfn.IFNA(R122,"")</f>
        <v/>
      </c>
      <c r="G122" s="1451"/>
      <c r="H122" s="1451"/>
      <c r="I122" s="1451"/>
      <c r="J122" s="1451"/>
      <c r="K122" s="1451"/>
      <c r="L122" s="1451"/>
      <c r="M122" s="8"/>
      <c r="R122" s="129" t="str">
        <f>IF(OR(COUNTIF($E124:$E129,"&lt;&gt;〇〇(合意形成対象者名に書き換え)")=3,COUNTIF($E124:$E129,"")&gt;3),"",IF(PRODUCT($Y124:$Y129)=1,Z124,""))</f>
        <v/>
      </c>
      <c r="S122" s="175"/>
      <c r="T122" s="175"/>
      <c r="U122" s="175"/>
      <c r="V122" s="175"/>
      <c r="W122" s="175"/>
      <c r="X122" s="175"/>
      <c r="Y122" s="175"/>
      <c r="Z122" s="175"/>
      <c r="AA122" s="175">
        <f t="shared" si="55"/>
        <v>1</v>
      </c>
    </row>
    <row r="123" spans="1:27" ht="63.75" customHeight="1">
      <c r="B123" s="95"/>
      <c r="C123" s="96"/>
      <c r="D123" s="97"/>
      <c r="E123" s="372"/>
      <c r="F123" s="313" t="s">
        <v>268</v>
      </c>
      <c r="G123" s="313" t="s">
        <v>271</v>
      </c>
      <c r="H123" s="313" t="s">
        <v>272</v>
      </c>
      <c r="I123" s="313" t="s">
        <v>269</v>
      </c>
      <c r="J123" s="313" t="s">
        <v>434</v>
      </c>
      <c r="K123" s="313" t="s">
        <v>435</v>
      </c>
      <c r="L123" s="313" t="s">
        <v>270</v>
      </c>
      <c r="M123" s="98"/>
      <c r="N123" s="11"/>
      <c r="R123" s="126" t="s">
        <v>299</v>
      </c>
      <c r="S123" s="257" t="s">
        <v>423</v>
      </c>
      <c r="T123" s="126" t="s">
        <v>424</v>
      </c>
      <c r="U123" s="296" t="s">
        <v>436</v>
      </c>
      <c r="V123" s="256" t="s">
        <v>270</v>
      </c>
      <c r="W123" s="126" t="s">
        <v>426</v>
      </c>
      <c r="X123" s="129" t="s">
        <v>402</v>
      </c>
      <c r="Y123" s="129" t="s">
        <v>430</v>
      </c>
      <c r="Z123" s="126" t="s">
        <v>425</v>
      </c>
      <c r="AA123" s="255"/>
    </row>
    <row r="124" spans="1:27" hidden="1">
      <c r="B124" s="95"/>
      <c r="C124" s="96"/>
      <c r="D124" s="97"/>
      <c r="E124" s="442"/>
      <c r="F124" s="443"/>
      <c r="G124" s="439"/>
      <c r="H124" s="443"/>
      <c r="I124" s="439"/>
      <c r="J124" s="443"/>
      <c r="K124" s="439"/>
      <c r="L124" s="444"/>
      <c r="M124" s="98"/>
      <c r="N124" s="11"/>
      <c r="R124" s="129">
        <f t="shared" ref="R124:R129" si="56">IF(F124="実施済",1,0)</f>
        <v>0</v>
      </c>
      <c r="S124" s="258"/>
      <c r="T124" s="129">
        <f t="shared" ref="T124:T129" si="57">IF(AND(H124="実施済",I124="実施済"),R124*1,0)</f>
        <v>0</v>
      </c>
      <c r="U124" s="129">
        <f>IF(AND(J124="実施済",K124="実施済"),$T124*1,0)</f>
        <v>0</v>
      </c>
      <c r="V124" s="258"/>
      <c r="W124" s="129" t="str">
        <f>IF(OR(E124="〇〇(合意形成対象者名に書き換え)",E124=""),"",SUM(R124,T124,U124))</f>
        <v/>
      </c>
      <c r="X124" s="129">
        <f t="shared" ref="X124:X129" si="58">MIN($W$124:$W$129)+1</f>
        <v>1</v>
      </c>
      <c r="Y124" s="129">
        <f>IF(E124="",1,IF(AND(E124="〇〇(合意形成対象者名に書き換え)",COUNTA($F124:$L124)=0),1,IF(AND(E124&lt;&gt;"〇〇(合意形成対象者名に書き換え)",COUNTA($F124:$L124)=7),1,0)))</f>
        <v>1</v>
      </c>
      <c r="Z124" s="129" t="str" cm="1">
        <f t="array" ref="Z124">_xlfn.IFS(X124=4,"A",X124=3,"B",X124=2,"C",X124=1,"D")</f>
        <v>D</v>
      </c>
      <c r="AA124" s="255"/>
    </row>
    <row r="125" spans="1:27">
      <c r="B125" s="95"/>
      <c r="C125" s="96"/>
      <c r="D125" s="97"/>
      <c r="E125" s="447" t="s">
        <v>129</v>
      </c>
      <c r="F125" s="446"/>
      <c r="G125" s="441"/>
      <c r="H125" s="446"/>
      <c r="I125" s="441"/>
      <c r="J125" s="446"/>
      <c r="K125" s="441"/>
      <c r="L125" s="441"/>
      <c r="M125" s="98"/>
      <c r="N125" s="11"/>
      <c r="R125" s="129">
        <f t="shared" si="56"/>
        <v>0</v>
      </c>
      <c r="S125" s="258"/>
      <c r="T125" s="129">
        <f t="shared" si="57"/>
        <v>0</v>
      </c>
      <c r="U125" s="129">
        <f t="shared" ref="U125:U127" si="59">IF(AND(J125="実施済",K125="実施済"),$T125*1,0)</f>
        <v>0</v>
      </c>
      <c r="V125" s="258"/>
      <c r="W125" s="129" t="str">
        <f t="shared" ref="W125:W129" si="60">IF(OR(E125="〇〇(合意形成対象者名に書き換え)",E125=""),"",SUM(R125,T125,U125))</f>
        <v/>
      </c>
      <c r="X125" s="129">
        <f t="shared" si="58"/>
        <v>1</v>
      </c>
      <c r="Y125" s="129">
        <f t="shared" ref="Y125:Y129" si="61">IF(E125="",1,IF(AND(E125="〇〇(合意形成対象者名に書き換え)",COUNTA($F125:$L125)=0),1,IF(AND(E125&lt;&gt;"〇〇(合意形成対象者名に書き換え)",COUNTA($F125:$L125)=7),1,0)))</f>
        <v>1</v>
      </c>
      <c r="Z125" s="129" t="str" cm="1">
        <f t="array" ref="Z125">_xlfn.IFS(X125=4,"A",X125=3,"B",X125=2,"C",X125=1,"D")</f>
        <v>D</v>
      </c>
      <c r="AA125" s="255"/>
    </row>
    <row r="126" spans="1:27">
      <c r="B126" s="95"/>
      <c r="C126" s="96"/>
      <c r="D126" s="97"/>
      <c r="E126" s="447" t="s">
        <v>129</v>
      </c>
      <c r="F126" s="446"/>
      <c r="G126" s="441"/>
      <c r="H126" s="446"/>
      <c r="I126" s="441"/>
      <c r="J126" s="446"/>
      <c r="K126" s="441"/>
      <c r="L126" s="441"/>
      <c r="M126" s="98"/>
      <c r="N126" s="11"/>
      <c r="R126" s="129">
        <f t="shared" si="56"/>
        <v>0</v>
      </c>
      <c r="S126" s="258"/>
      <c r="T126" s="129">
        <f t="shared" si="57"/>
        <v>0</v>
      </c>
      <c r="U126" s="129">
        <f t="shared" si="59"/>
        <v>0</v>
      </c>
      <c r="V126" s="258"/>
      <c r="W126" s="129" t="str">
        <f t="shared" si="60"/>
        <v/>
      </c>
      <c r="X126" s="129">
        <f t="shared" si="58"/>
        <v>1</v>
      </c>
      <c r="Y126" s="129">
        <f t="shared" si="61"/>
        <v>1</v>
      </c>
      <c r="Z126" s="129" t="str" cm="1">
        <f t="array" ref="Z126">_xlfn.IFS(X126=4,"A",X126=3,"B",X126=2,"C",X126=1,"D")</f>
        <v>D</v>
      </c>
      <c r="AA126" s="255"/>
    </row>
    <row r="127" spans="1:27" s="99" customFormat="1">
      <c r="A127" s="11"/>
      <c r="B127" s="95"/>
      <c r="C127" s="96"/>
      <c r="D127" s="97"/>
      <c r="E127" s="447" t="s">
        <v>129</v>
      </c>
      <c r="F127" s="446"/>
      <c r="G127" s="441"/>
      <c r="H127" s="446"/>
      <c r="I127" s="441"/>
      <c r="J127" s="446"/>
      <c r="K127" s="441"/>
      <c r="L127" s="441"/>
      <c r="M127" s="98"/>
      <c r="N127" s="11"/>
      <c r="Q127" s="11"/>
      <c r="R127" s="129">
        <f t="shared" si="56"/>
        <v>0</v>
      </c>
      <c r="S127" s="258"/>
      <c r="T127" s="129">
        <f t="shared" si="57"/>
        <v>0</v>
      </c>
      <c r="U127" s="129">
        <f t="shared" si="59"/>
        <v>0</v>
      </c>
      <c r="V127" s="258"/>
      <c r="W127" s="129" t="str">
        <f t="shared" si="60"/>
        <v/>
      </c>
      <c r="X127" s="129">
        <f t="shared" si="58"/>
        <v>1</v>
      </c>
      <c r="Y127" s="129">
        <f t="shared" si="61"/>
        <v>1</v>
      </c>
      <c r="Z127" s="129" t="str" cm="1">
        <f t="array" ref="Z127">_xlfn.IFS(X127=4,"A",X127=3,"B",X127=2,"C",X127=1,"D")</f>
        <v>D</v>
      </c>
      <c r="AA127" s="129"/>
    </row>
    <row r="128" spans="1:27" customFormat="1" ht="7.5" customHeight="1">
      <c r="B128" s="65"/>
      <c r="C128" s="4"/>
      <c r="D128" s="4"/>
      <c r="E128" s="4"/>
      <c r="F128" s="4"/>
      <c r="G128" s="4"/>
      <c r="H128" s="4"/>
      <c r="I128" s="4"/>
      <c r="J128" s="4"/>
      <c r="K128" s="4"/>
      <c r="L128" s="4"/>
      <c r="M128" s="9"/>
      <c r="N128" s="2"/>
      <c r="O128" s="2"/>
      <c r="P128" s="2"/>
      <c r="R128" s="129">
        <f t="shared" si="56"/>
        <v>0</v>
      </c>
      <c r="S128" s="258"/>
      <c r="T128" s="129">
        <f t="shared" si="57"/>
        <v>0</v>
      </c>
      <c r="U128" s="129">
        <f>IF(AND(J128="実施済",K128="実施済"),$T128*1,0)</f>
        <v>0</v>
      </c>
      <c r="V128" s="258"/>
      <c r="W128" s="129" t="str">
        <f t="shared" si="60"/>
        <v/>
      </c>
      <c r="X128" s="129">
        <f t="shared" si="58"/>
        <v>1</v>
      </c>
      <c r="Y128" s="129">
        <f t="shared" si="61"/>
        <v>1</v>
      </c>
      <c r="Z128" s="129" t="str" cm="1">
        <f t="array" ref="Z128">_xlfn.IFS(X128=4,"A",X128=3,"B",X128=2,"C",X128=1,"D")</f>
        <v>D</v>
      </c>
      <c r="AA128" s="175"/>
    </row>
    <row r="129" spans="1:27" customFormat="1" ht="18" customHeight="1">
      <c r="N129" s="2"/>
      <c r="O129" s="2"/>
      <c r="P129" s="2"/>
      <c r="R129" s="129">
        <f t="shared" si="56"/>
        <v>0</v>
      </c>
      <c r="S129" s="258"/>
      <c r="T129" s="129">
        <f t="shared" si="57"/>
        <v>0</v>
      </c>
      <c r="U129" s="129">
        <f t="shared" ref="U129" si="62">IF(AND(J129="実施済",K129="実施済"),$T129*1,0)</f>
        <v>0</v>
      </c>
      <c r="V129" s="258"/>
      <c r="W129" s="129" t="str">
        <f t="shared" si="60"/>
        <v/>
      </c>
      <c r="X129" s="129">
        <f t="shared" si="58"/>
        <v>1</v>
      </c>
      <c r="Y129" s="129">
        <f t="shared" si="61"/>
        <v>1</v>
      </c>
      <c r="Z129" s="129" t="str" cm="1">
        <f t="array" ref="Z129">_xlfn.IFS(X129=4,"A",X129=3,"B",X129=2,"C",X129=1,"D")</f>
        <v>D</v>
      </c>
      <c r="AA129" s="175"/>
    </row>
    <row r="130" spans="1:27" customFormat="1" ht="103.5" customHeight="1">
      <c r="C130" s="78"/>
      <c r="D130" s="79"/>
      <c r="E130" s="71" t="s">
        <v>236</v>
      </c>
      <c r="F130" s="1452"/>
      <c r="G130" s="1452"/>
      <c r="H130" s="1452"/>
      <c r="I130" s="1452"/>
      <c r="J130" s="1452"/>
      <c r="K130" s="1452"/>
      <c r="L130" s="1452"/>
      <c r="M130" s="80" t="s">
        <v>132</v>
      </c>
      <c r="N130" s="80"/>
    </row>
    <row r="131" spans="1:27" customFormat="1" ht="146.25" customHeight="1">
      <c r="C131" s="75"/>
      <c r="D131" s="68"/>
      <c r="E131" s="71" t="s">
        <v>235</v>
      </c>
      <c r="F131" s="1452"/>
      <c r="G131" s="1452"/>
      <c r="H131" s="1452"/>
      <c r="I131" s="1452"/>
      <c r="J131" s="1452"/>
      <c r="K131" s="1452"/>
      <c r="L131" s="1452"/>
      <c r="N131" s="2"/>
      <c r="O131" s="2"/>
      <c r="P131" s="2"/>
    </row>
    <row r="132" spans="1:27" customFormat="1" ht="13.5" customHeight="1" thickBot="1">
      <c r="A132" s="81"/>
      <c r="B132" s="81"/>
      <c r="C132" s="81"/>
      <c r="D132" s="81"/>
      <c r="E132" s="81"/>
      <c r="F132" s="81"/>
      <c r="G132" s="81"/>
      <c r="H132" s="81"/>
      <c r="I132" s="81"/>
      <c r="J132" s="81"/>
      <c r="K132" s="81"/>
      <c r="L132" s="81"/>
      <c r="M132" s="81"/>
      <c r="N132" s="82"/>
      <c r="O132" s="2"/>
      <c r="P132" s="2"/>
    </row>
    <row r="133" spans="1:27" customFormat="1" ht="13.5" customHeight="1">
      <c r="N133" s="2"/>
      <c r="O133" s="2"/>
      <c r="P133" s="2"/>
    </row>
    <row r="134" spans="1:27" customFormat="1" ht="15" customHeight="1">
      <c r="B134" s="10"/>
      <c r="C134" s="5"/>
      <c r="D134" s="5"/>
      <c r="E134" s="5"/>
      <c r="F134" s="5"/>
      <c r="G134" s="5"/>
      <c r="H134" s="5"/>
      <c r="I134" s="5"/>
      <c r="J134" s="5"/>
      <c r="K134" s="5"/>
      <c r="L134" s="5"/>
      <c r="M134" s="6"/>
      <c r="R134" s="11" t="str">
        <f>D135</f>
        <v>(選択してください)</v>
      </c>
    </row>
    <row r="135" spans="1:27" customFormat="1">
      <c r="B135" s="7"/>
      <c r="C135" s="77" t="str">
        <f ca="1">IFERROR(OFFSET('4.2民生電力需要量'!$C$1,MATCH(D135,'4.2民生電力需要量'!$E:$E,0)-1,0),"")</f>
        <v/>
      </c>
      <c r="D135" s="94" t="s">
        <v>130</v>
      </c>
      <c r="E135" s="72" t="s">
        <v>131</v>
      </c>
      <c r="F135" s="1451" t="str">
        <f ca="1">IFERROR(OFFSET('4.2民生電力需要量'!$G$1,MATCH($D135,'4.2民生電力需要量'!$E:$E,0)-1,0),"")</f>
        <v/>
      </c>
      <c r="G135" s="1451"/>
      <c r="H135" s="1451"/>
      <c r="I135" s="1451"/>
      <c r="J135" s="1451"/>
      <c r="K135" s="1451"/>
      <c r="L135" s="1451"/>
      <c r="M135" s="8"/>
      <c r="R135" s="255" t="str">
        <f ca="1">IFERROR(OFFSET('4.2民生電力需要量'!$G$1,MATCH($D135,'4.2民生電力需要量'!$E:$E,0)-1,0),"")</f>
        <v/>
      </c>
      <c r="S135" s="175"/>
      <c r="T135" s="175"/>
      <c r="U135" s="175"/>
      <c r="V135" s="175"/>
      <c r="W135" s="175"/>
      <c r="X135" s="175"/>
      <c r="Y135" s="175"/>
      <c r="Z135" s="175"/>
      <c r="AA135" s="175">
        <f ca="1">(F135=R135)*1</f>
        <v>1</v>
      </c>
    </row>
    <row r="136" spans="1:27" customFormat="1">
      <c r="B136" s="7"/>
      <c r="C136" s="915"/>
      <c r="D136" s="97"/>
      <c r="E136" s="72" t="s">
        <v>612</v>
      </c>
      <c r="F136" s="1447" t="str">
        <f ca="1">IFERROR(OFFSET('4.2民生電力需要量'!$L$1,MATCH($D135,'4.2民生電力需要量'!$E:$E,0)-1,0),"")</f>
        <v/>
      </c>
      <c r="G136" s="1448"/>
      <c r="H136" s="1448"/>
      <c r="I136" s="1448"/>
      <c r="J136" s="1448"/>
      <c r="K136" s="1448"/>
      <c r="L136" s="1449"/>
      <c r="M136" s="8"/>
      <c r="R136" s="255" t="str">
        <f ca="1">IFERROR(OFFSET('4.2民生電力需要量'!$L$1,MATCH($D135,'4.2民生電力需要量'!$E:$E,0)-1,0),"")</f>
        <v/>
      </c>
      <c r="S136" s="175"/>
      <c r="T136" s="175"/>
      <c r="U136" s="175"/>
      <c r="V136" s="175"/>
      <c r="W136" s="175"/>
      <c r="X136" s="175"/>
      <c r="Y136" s="175"/>
      <c r="Z136" s="175"/>
      <c r="AA136" s="175">
        <f ca="1">(F136=R136)*1</f>
        <v>1</v>
      </c>
    </row>
    <row r="137" spans="1:27" customFormat="1">
      <c r="B137" s="7"/>
      <c r="C137" s="74"/>
      <c r="D137" s="66"/>
      <c r="E137" s="72" t="s">
        <v>220</v>
      </c>
      <c r="F137" s="1450" t="str">
        <f ca="1">IFERROR(OFFSET('4.2民生電力需要量'!$I$1,MATCH($D135,'4.2民生電力需要量'!$E:$E,0)-1,0),"")</f>
        <v/>
      </c>
      <c r="G137" s="1450"/>
      <c r="H137" s="1450"/>
      <c r="I137" s="1450"/>
      <c r="J137" s="1450"/>
      <c r="K137" s="1450"/>
      <c r="L137" s="1450"/>
      <c r="M137" s="8"/>
      <c r="R137" s="255" t="str">
        <f ca="1">IFERROR(OFFSET('4.2民生電力需要量'!$I$1,MATCH($D135,'4.2民生電力需要量'!$E:$E,0)-1,0),"")</f>
        <v/>
      </c>
      <c r="S137" s="175"/>
      <c r="T137" s="175"/>
      <c r="U137" s="175"/>
      <c r="V137" s="175"/>
      <c r="W137" s="175"/>
      <c r="X137" s="175"/>
      <c r="Y137" s="175"/>
      <c r="Z137" s="175"/>
      <c r="AA137" s="175">
        <f t="shared" ref="AA137:AA138" ca="1" si="63">(F137=R137)*1</f>
        <v>1</v>
      </c>
    </row>
    <row r="138" spans="1:27" customFormat="1">
      <c r="B138" s="7"/>
      <c r="C138" s="74"/>
      <c r="D138" s="66"/>
      <c r="E138" s="72" t="s">
        <v>175</v>
      </c>
      <c r="F138" s="1451" t="str">
        <f>_xlfn.IFNA(R138,"")</f>
        <v/>
      </c>
      <c r="G138" s="1451"/>
      <c r="H138" s="1451"/>
      <c r="I138" s="1451"/>
      <c r="J138" s="1451"/>
      <c r="K138" s="1451"/>
      <c r="L138" s="1451"/>
      <c r="M138" s="8"/>
      <c r="R138" s="129" t="str">
        <f>IF(OR(COUNTIF($E140:$E145,"&lt;&gt;〇〇(合意形成対象者名に書き換え)")=3,COUNTIF($E140:$E145,"")&gt;3),"",IF(PRODUCT($Y140:$Y145)=1,Z140,""))</f>
        <v/>
      </c>
      <c r="S138" s="175"/>
      <c r="T138" s="175"/>
      <c r="U138" s="175"/>
      <c r="V138" s="175"/>
      <c r="W138" s="175"/>
      <c r="X138" s="175"/>
      <c r="Y138" s="175"/>
      <c r="Z138" s="175"/>
      <c r="AA138" s="175">
        <f t="shared" si="63"/>
        <v>1</v>
      </c>
    </row>
    <row r="139" spans="1:27" ht="63.75" customHeight="1">
      <c r="B139" s="95"/>
      <c r="C139" s="96"/>
      <c r="D139" s="97"/>
      <c r="E139" s="372"/>
      <c r="F139" s="313" t="s">
        <v>268</v>
      </c>
      <c r="G139" s="313" t="s">
        <v>271</v>
      </c>
      <c r="H139" s="313" t="s">
        <v>272</v>
      </c>
      <c r="I139" s="313" t="s">
        <v>269</v>
      </c>
      <c r="J139" s="313" t="s">
        <v>434</v>
      </c>
      <c r="K139" s="313" t="s">
        <v>435</v>
      </c>
      <c r="L139" s="313" t="s">
        <v>270</v>
      </c>
      <c r="M139" s="98"/>
      <c r="N139" s="11"/>
      <c r="R139" s="126" t="s">
        <v>299</v>
      </c>
      <c r="S139" s="257" t="s">
        <v>423</v>
      </c>
      <c r="T139" s="126" t="s">
        <v>424</v>
      </c>
      <c r="U139" s="296" t="s">
        <v>436</v>
      </c>
      <c r="V139" s="256" t="s">
        <v>270</v>
      </c>
      <c r="W139" s="126" t="s">
        <v>426</v>
      </c>
      <c r="X139" s="129" t="s">
        <v>402</v>
      </c>
      <c r="Y139" s="129" t="s">
        <v>430</v>
      </c>
      <c r="Z139" s="126" t="s">
        <v>425</v>
      </c>
      <c r="AA139" s="255"/>
    </row>
    <row r="140" spans="1:27" hidden="1">
      <c r="B140" s="95"/>
      <c r="C140" s="96"/>
      <c r="D140" s="97"/>
      <c r="E140" s="442"/>
      <c r="F140" s="443"/>
      <c r="G140" s="439"/>
      <c r="H140" s="443"/>
      <c r="I140" s="439"/>
      <c r="J140" s="443"/>
      <c r="K140" s="439"/>
      <c r="L140" s="444"/>
      <c r="M140" s="98"/>
      <c r="N140" s="11"/>
      <c r="R140" s="129">
        <f t="shared" ref="R140:R145" si="64">IF(F140="実施済",1,0)</f>
        <v>0</v>
      </c>
      <c r="S140" s="258"/>
      <c r="T140" s="129">
        <f t="shared" ref="T140:T145" si="65">IF(AND(H140="実施済",I140="実施済"),R140*1,0)</f>
        <v>0</v>
      </c>
      <c r="U140" s="129">
        <f>IF(AND(J140="実施済",K140="実施済"),$T140*1,0)</f>
        <v>0</v>
      </c>
      <c r="V140" s="258"/>
      <c r="W140" s="129" t="str">
        <f>IF(OR(E140="〇〇(合意形成対象者名に書き換え)",E140=""),"",SUM(R140,T140,U140))</f>
        <v/>
      </c>
      <c r="X140" s="129">
        <f t="shared" ref="X140:X145" si="66">MIN($W$140:$W$145)+1</f>
        <v>1</v>
      </c>
      <c r="Y140" s="129">
        <f>IF(E140="",1,IF(AND(E140="〇〇(合意形成対象者名に書き換え)",COUNTA($F140:$L140)=0),1,IF(AND(E140&lt;&gt;"〇〇(合意形成対象者名に書き換え)",COUNTA($F140:$L140)=7),1,0)))</f>
        <v>1</v>
      </c>
      <c r="Z140" s="129" t="str" cm="1">
        <f t="array" ref="Z140">_xlfn.IFS(X140=4,"A",X140=3,"B",X140=2,"C",X140=1,"D")</f>
        <v>D</v>
      </c>
      <c r="AA140" s="255"/>
    </row>
    <row r="141" spans="1:27">
      <c r="B141" s="95"/>
      <c r="C141" s="96"/>
      <c r="D141" s="97"/>
      <c r="E141" s="447" t="s">
        <v>129</v>
      </c>
      <c r="F141" s="446"/>
      <c r="G141" s="441"/>
      <c r="H141" s="446"/>
      <c r="I141" s="441"/>
      <c r="J141" s="446"/>
      <c r="K141" s="441"/>
      <c r="L141" s="441"/>
      <c r="M141" s="98"/>
      <c r="N141" s="11"/>
      <c r="R141" s="129">
        <f t="shared" si="64"/>
        <v>0</v>
      </c>
      <c r="S141" s="258"/>
      <c r="T141" s="129">
        <f t="shared" si="65"/>
        <v>0</v>
      </c>
      <c r="U141" s="129">
        <f t="shared" ref="U141:U143" si="67">IF(AND(J141="実施済",K141="実施済"),$T141*1,0)</f>
        <v>0</v>
      </c>
      <c r="V141" s="258"/>
      <c r="W141" s="129" t="str">
        <f t="shared" ref="W141:W145" si="68">IF(OR(E141="〇〇(合意形成対象者名に書き換え)",E141=""),"",SUM(R141,T141,U141))</f>
        <v/>
      </c>
      <c r="X141" s="129">
        <f t="shared" si="66"/>
        <v>1</v>
      </c>
      <c r="Y141" s="129">
        <f t="shared" ref="Y141:Y145" si="69">IF(E141="",1,IF(AND(E141="〇〇(合意形成対象者名に書き換え)",COUNTA($F141:$L141)=0),1,IF(AND(E141&lt;&gt;"〇〇(合意形成対象者名に書き換え)",COUNTA($F141:$L141)=7),1,0)))</f>
        <v>1</v>
      </c>
      <c r="Z141" s="129" t="str" cm="1">
        <f t="array" ref="Z141">_xlfn.IFS(X141=4,"A",X141=3,"B",X141=2,"C",X141=1,"D")</f>
        <v>D</v>
      </c>
      <c r="AA141" s="255"/>
    </row>
    <row r="142" spans="1:27">
      <c r="B142" s="95"/>
      <c r="C142" s="96"/>
      <c r="D142" s="97"/>
      <c r="E142" s="447" t="s">
        <v>129</v>
      </c>
      <c r="F142" s="446"/>
      <c r="G142" s="441"/>
      <c r="H142" s="446"/>
      <c r="I142" s="441"/>
      <c r="J142" s="446"/>
      <c r="K142" s="441"/>
      <c r="L142" s="441"/>
      <c r="M142" s="98"/>
      <c r="N142" s="11"/>
      <c r="R142" s="129">
        <f t="shared" si="64"/>
        <v>0</v>
      </c>
      <c r="S142" s="258"/>
      <c r="T142" s="129">
        <f t="shared" si="65"/>
        <v>0</v>
      </c>
      <c r="U142" s="129">
        <f t="shared" si="67"/>
        <v>0</v>
      </c>
      <c r="V142" s="258"/>
      <c r="W142" s="129" t="str">
        <f t="shared" si="68"/>
        <v/>
      </c>
      <c r="X142" s="129">
        <f t="shared" si="66"/>
        <v>1</v>
      </c>
      <c r="Y142" s="129">
        <f t="shared" si="69"/>
        <v>1</v>
      </c>
      <c r="Z142" s="129" t="str" cm="1">
        <f t="array" ref="Z142">_xlfn.IFS(X142=4,"A",X142=3,"B",X142=2,"C",X142=1,"D")</f>
        <v>D</v>
      </c>
      <c r="AA142" s="255"/>
    </row>
    <row r="143" spans="1:27" s="99" customFormat="1">
      <c r="A143" s="11"/>
      <c r="B143" s="95"/>
      <c r="C143" s="96"/>
      <c r="D143" s="97"/>
      <c r="E143" s="447" t="s">
        <v>129</v>
      </c>
      <c r="F143" s="446"/>
      <c r="G143" s="441"/>
      <c r="H143" s="446"/>
      <c r="I143" s="441"/>
      <c r="J143" s="446"/>
      <c r="K143" s="441"/>
      <c r="L143" s="441"/>
      <c r="M143" s="98"/>
      <c r="N143" s="11"/>
      <c r="Q143" s="11"/>
      <c r="R143" s="129">
        <f t="shared" si="64"/>
        <v>0</v>
      </c>
      <c r="S143" s="258"/>
      <c r="T143" s="129">
        <f t="shared" si="65"/>
        <v>0</v>
      </c>
      <c r="U143" s="129">
        <f t="shared" si="67"/>
        <v>0</v>
      </c>
      <c r="V143" s="258"/>
      <c r="W143" s="129" t="str">
        <f t="shared" si="68"/>
        <v/>
      </c>
      <c r="X143" s="129">
        <f t="shared" si="66"/>
        <v>1</v>
      </c>
      <c r="Y143" s="129">
        <f t="shared" si="69"/>
        <v>1</v>
      </c>
      <c r="Z143" s="129" t="str" cm="1">
        <f t="array" ref="Z143">_xlfn.IFS(X143=4,"A",X143=3,"B",X143=2,"C",X143=1,"D")</f>
        <v>D</v>
      </c>
      <c r="AA143" s="129"/>
    </row>
    <row r="144" spans="1:27" customFormat="1" ht="7.5" customHeight="1">
      <c r="B144" s="65"/>
      <c r="C144" s="4"/>
      <c r="D144" s="4"/>
      <c r="E144" s="4"/>
      <c r="F144" s="4"/>
      <c r="G144" s="4"/>
      <c r="H144" s="4"/>
      <c r="I144" s="4"/>
      <c r="J144" s="4"/>
      <c r="K144" s="4"/>
      <c r="L144" s="4"/>
      <c r="M144" s="9"/>
      <c r="N144" s="2"/>
      <c r="O144" s="2"/>
      <c r="P144" s="2"/>
      <c r="R144" s="129">
        <f t="shared" si="64"/>
        <v>0</v>
      </c>
      <c r="S144" s="258"/>
      <c r="T144" s="129">
        <f t="shared" si="65"/>
        <v>0</v>
      </c>
      <c r="U144" s="129">
        <f>IF(AND(J144="実施済",K144="実施済"),$T144*1,0)</f>
        <v>0</v>
      </c>
      <c r="V144" s="258"/>
      <c r="W144" s="129" t="str">
        <f t="shared" si="68"/>
        <v/>
      </c>
      <c r="X144" s="129">
        <f t="shared" si="66"/>
        <v>1</v>
      </c>
      <c r="Y144" s="129">
        <f t="shared" si="69"/>
        <v>1</v>
      </c>
      <c r="Z144" s="129" t="str" cm="1">
        <f t="array" ref="Z144">_xlfn.IFS(X144=4,"A",X144=3,"B",X144=2,"C",X144=1,"D")</f>
        <v>D</v>
      </c>
      <c r="AA144" s="175"/>
    </row>
    <row r="145" spans="1:27" customFormat="1" ht="18" customHeight="1">
      <c r="N145" s="2"/>
      <c r="O145" s="2"/>
      <c r="P145" s="2"/>
      <c r="R145" s="129">
        <f t="shared" si="64"/>
        <v>0</v>
      </c>
      <c r="S145" s="258"/>
      <c r="T145" s="129">
        <f t="shared" si="65"/>
        <v>0</v>
      </c>
      <c r="U145" s="129">
        <f t="shared" ref="U145" si="70">IF(AND(J145="実施済",K145="実施済"),$T145*1,0)</f>
        <v>0</v>
      </c>
      <c r="V145" s="258"/>
      <c r="W145" s="129" t="str">
        <f t="shared" si="68"/>
        <v/>
      </c>
      <c r="X145" s="129">
        <f t="shared" si="66"/>
        <v>1</v>
      </c>
      <c r="Y145" s="129">
        <f t="shared" si="69"/>
        <v>1</v>
      </c>
      <c r="Z145" s="129" t="str" cm="1">
        <f t="array" ref="Z145">_xlfn.IFS(X145=4,"A",X145=3,"B",X145=2,"C",X145=1,"D")</f>
        <v>D</v>
      </c>
      <c r="AA145" s="175"/>
    </row>
    <row r="146" spans="1:27" customFormat="1" ht="103.5" customHeight="1">
      <c r="C146" s="78"/>
      <c r="D146" s="79"/>
      <c r="E146" s="71" t="s">
        <v>236</v>
      </c>
      <c r="F146" s="1452"/>
      <c r="G146" s="1452"/>
      <c r="H146" s="1452"/>
      <c r="I146" s="1452"/>
      <c r="J146" s="1452"/>
      <c r="K146" s="1452"/>
      <c r="L146" s="1452"/>
      <c r="M146" s="80" t="s">
        <v>132</v>
      </c>
      <c r="N146" s="80"/>
    </row>
    <row r="147" spans="1:27" customFormat="1" ht="146.25" customHeight="1">
      <c r="C147" s="75"/>
      <c r="D147" s="68"/>
      <c r="E147" s="71" t="s">
        <v>235</v>
      </c>
      <c r="F147" s="1452"/>
      <c r="G147" s="1452"/>
      <c r="H147" s="1452"/>
      <c r="I147" s="1452"/>
      <c r="J147" s="1452"/>
      <c r="K147" s="1452"/>
      <c r="L147" s="1452"/>
      <c r="N147" s="2"/>
      <c r="O147" s="2"/>
      <c r="P147" s="2"/>
    </row>
    <row r="148" spans="1:27" customFormat="1" ht="13.5" customHeight="1" thickBot="1">
      <c r="A148" s="81"/>
      <c r="B148" s="81"/>
      <c r="C148" s="81"/>
      <c r="D148" s="81"/>
      <c r="E148" s="81"/>
      <c r="F148" s="81"/>
      <c r="G148" s="81"/>
      <c r="H148" s="81"/>
      <c r="I148" s="81"/>
      <c r="J148" s="81"/>
      <c r="K148" s="81"/>
      <c r="L148" s="81"/>
      <c r="M148" s="81"/>
      <c r="N148" s="82"/>
      <c r="O148" s="2"/>
      <c r="P148" s="2"/>
    </row>
    <row r="149" spans="1:27" customFormat="1" ht="13.5" customHeight="1">
      <c r="N149" s="2"/>
      <c r="O149" s="2"/>
      <c r="P149" s="2"/>
    </row>
    <row r="150" spans="1:27" customFormat="1" ht="15" customHeight="1">
      <c r="B150" s="10"/>
      <c r="C150" s="5"/>
      <c r="D150" s="5"/>
      <c r="E150" s="5"/>
      <c r="F150" s="5"/>
      <c r="G150" s="5"/>
      <c r="H150" s="5"/>
      <c r="I150" s="5"/>
      <c r="J150" s="5"/>
      <c r="K150" s="5"/>
      <c r="L150" s="5"/>
      <c r="M150" s="6"/>
      <c r="R150" s="11" t="str">
        <f>D151</f>
        <v>(選択してください)</v>
      </c>
    </row>
    <row r="151" spans="1:27" customFormat="1">
      <c r="B151" s="7"/>
      <c r="C151" s="77" t="str">
        <f ca="1">IFERROR(OFFSET('4.2民生電力需要量'!$C$1,MATCH(D151,'4.2民生電力需要量'!$E:$E,0)-1,0),"")</f>
        <v/>
      </c>
      <c r="D151" s="94" t="s">
        <v>130</v>
      </c>
      <c r="E151" s="72" t="s">
        <v>131</v>
      </c>
      <c r="F151" s="1451" t="str">
        <f ca="1">IFERROR(OFFSET('4.2民生電力需要量'!$G$1,MATCH($D151,'4.2民生電力需要量'!$E:$E,0)-1,0),"")</f>
        <v/>
      </c>
      <c r="G151" s="1451"/>
      <c r="H151" s="1451"/>
      <c r="I151" s="1451"/>
      <c r="J151" s="1451"/>
      <c r="K151" s="1451"/>
      <c r="L151" s="1451"/>
      <c r="M151" s="8"/>
      <c r="R151" s="255" t="str">
        <f ca="1">IFERROR(OFFSET('4.2民生電力需要量'!$G$1,MATCH($D151,'4.2民生電力需要量'!$E:$E,0)-1,0),"")</f>
        <v/>
      </c>
      <c r="S151" s="175"/>
      <c r="T151" s="175"/>
      <c r="U151" s="175"/>
      <c r="V151" s="175"/>
      <c r="W151" s="175"/>
      <c r="X151" s="175"/>
      <c r="Y151" s="175"/>
      <c r="Z151" s="175"/>
      <c r="AA151" s="175">
        <f ca="1">(F151=R151)*1</f>
        <v>1</v>
      </c>
    </row>
    <row r="152" spans="1:27" customFormat="1">
      <c r="B152" s="7"/>
      <c r="C152" s="915"/>
      <c r="D152" s="97"/>
      <c r="E152" s="72" t="s">
        <v>612</v>
      </c>
      <c r="F152" s="1447" t="str">
        <f ca="1">IFERROR(OFFSET('4.2民生電力需要量'!$L$1,MATCH($D151,'4.2民生電力需要量'!$E:$E,0)-1,0),"")</f>
        <v/>
      </c>
      <c r="G152" s="1448"/>
      <c r="H152" s="1448"/>
      <c r="I152" s="1448"/>
      <c r="J152" s="1448"/>
      <c r="K152" s="1448"/>
      <c r="L152" s="1449"/>
      <c r="M152" s="8"/>
      <c r="R152" s="255" t="str">
        <f ca="1">IFERROR(OFFSET('4.2民生電力需要量'!$L$1,MATCH($D151,'4.2民生電力需要量'!$E:$E,0)-1,0),"")</f>
        <v/>
      </c>
      <c r="S152" s="175"/>
      <c r="T152" s="175"/>
      <c r="U152" s="175"/>
      <c r="V152" s="175"/>
      <c r="W152" s="175"/>
      <c r="X152" s="175"/>
      <c r="Y152" s="175"/>
      <c r="Z152" s="175"/>
      <c r="AA152" s="175">
        <f ca="1">(F152=R152)*1</f>
        <v>1</v>
      </c>
    </row>
    <row r="153" spans="1:27" customFormat="1">
      <c r="B153" s="7"/>
      <c r="C153" s="74"/>
      <c r="D153" s="66"/>
      <c r="E153" s="72" t="s">
        <v>220</v>
      </c>
      <c r="F153" s="1450" t="str">
        <f ca="1">IFERROR(OFFSET('4.2民生電力需要量'!$I$1,MATCH($D151,'4.2民生電力需要量'!$E:$E,0)-1,0),"")</f>
        <v/>
      </c>
      <c r="G153" s="1450"/>
      <c r="H153" s="1450"/>
      <c r="I153" s="1450"/>
      <c r="J153" s="1450"/>
      <c r="K153" s="1450"/>
      <c r="L153" s="1450"/>
      <c r="M153" s="8"/>
      <c r="R153" s="255" t="str">
        <f ca="1">IFERROR(OFFSET('4.2民生電力需要量'!$I$1,MATCH($D151,'4.2民生電力需要量'!$E:$E,0)-1,0),"")</f>
        <v/>
      </c>
      <c r="S153" s="175"/>
      <c r="T153" s="175"/>
      <c r="U153" s="175"/>
      <c r="V153" s="175"/>
      <c r="W153" s="175"/>
      <c r="X153" s="175"/>
      <c r="Y153" s="175"/>
      <c r="Z153" s="175"/>
      <c r="AA153" s="175">
        <f t="shared" ref="AA153:AA154" ca="1" si="71">(F153=R153)*1</f>
        <v>1</v>
      </c>
    </row>
    <row r="154" spans="1:27" customFormat="1">
      <c r="B154" s="7"/>
      <c r="C154" s="74"/>
      <c r="D154" s="66"/>
      <c r="E154" s="72" t="s">
        <v>175</v>
      </c>
      <c r="F154" s="1451" t="str">
        <f>_xlfn.IFNA(R154,"")</f>
        <v/>
      </c>
      <c r="G154" s="1451"/>
      <c r="H154" s="1451"/>
      <c r="I154" s="1451"/>
      <c r="J154" s="1451"/>
      <c r="K154" s="1451"/>
      <c r="L154" s="1451"/>
      <c r="M154" s="8"/>
      <c r="R154" s="129" t="str">
        <f>IF(OR(COUNTIF($E156:$E161,"&lt;&gt;〇〇(合意形成対象者名に書き換え)")=3,COUNTIF($E156:$E161,"")&gt;3),"",IF(PRODUCT($Y156:$Y161)=1,Z156,""))</f>
        <v/>
      </c>
      <c r="S154" s="175"/>
      <c r="T154" s="175"/>
      <c r="U154" s="175"/>
      <c r="V154" s="175"/>
      <c r="W154" s="175"/>
      <c r="X154" s="175"/>
      <c r="Y154" s="175"/>
      <c r="Z154" s="175"/>
      <c r="AA154" s="175">
        <f t="shared" si="71"/>
        <v>1</v>
      </c>
    </row>
    <row r="155" spans="1:27" ht="63.75" customHeight="1">
      <c r="B155" s="95"/>
      <c r="C155" s="96"/>
      <c r="D155" s="97"/>
      <c r="E155" s="372"/>
      <c r="F155" s="313" t="s">
        <v>268</v>
      </c>
      <c r="G155" s="313" t="s">
        <v>271</v>
      </c>
      <c r="H155" s="313" t="s">
        <v>272</v>
      </c>
      <c r="I155" s="313" t="s">
        <v>269</v>
      </c>
      <c r="J155" s="313" t="s">
        <v>434</v>
      </c>
      <c r="K155" s="313" t="s">
        <v>435</v>
      </c>
      <c r="L155" s="313" t="s">
        <v>270</v>
      </c>
      <c r="M155" s="98"/>
      <c r="N155" s="11"/>
      <c r="R155" s="126" t="s">
        <v>299</v>
      </c>
      <c r="S155" s="257" t="s">
        <v>423</v>
      </c>
      <c r="T155" s="126" t="s">
        <v>424</v>
      </c>
      <c r="U155" s="296" t="s">
        <v>436</v>
      </c>
      <c r="V155" s="256" t="s">
        <v>270</v>
      </c>
      <c r="W155" s="126" t="s">
        <v>426</v>
      </c>
      <c r="X155" s="129" t="s">
        <v>402</v>
      </c>
      <c r="Y155" s="129" t="s">
        <v>430</v>
      </c>
      <c r="Z155" s="126" t="s">
        <v>425</v>
      </c>
      <c r="AA155" s="255"/>
    </row>
    <row r="156" spans="1:27" hidden="1">
      <c r="B156" s="95"/>
      <c r="C156" s="96"/>
      <c r="D156" s="97"/>
      <c r="E156" s="442"/>
      <c r="F156" s="443"/>
      <c r="G156" s="439"/>
      <c r="H156" s="443"/>
      <c r="I156" s="439"/>
      <c r="J156" s="443"/>
      <c r="K156" s="439"/>
      <c r="L156" s="444"/>
      <c r="M156" s="98"/>
      <c r="N156" s="11"/>
      <c r="R156" s="129">
        <f t="shared" ref="R156:R161" si="72">IF(F156="実施済",1,0)</f>
        <v>0</v>
      </c>
      <c r="S156" s="258"/>
      <c r="T156" s="129">
        <f t="shared" ref="T156:T161" si="73">IF(AND(H156="実施済",I156="実施済"),R156*1,0)</f>
        <v>0</v>
      </c>
      <c r="U156" s="129">
        <f>IF(AND(J156="実施済",K156="実施済"),$T156*1,0)</f>
        <v>0</v>
      </c>
      <c r="V156" s="258"/>
      <c r="W156" s="129" t="str">
        <f>IF(OR(E156="〇〇(合意形成対象者名に書き換え)",E156=""),"",SUM(R156,T156,U156))</f>
        <v/>
      </c>
      <c r="X156" s="129">
        <f t="shared" ref="X156:X161" si="74">MIN($W$156:$W$161)+1</f>
        <v>1</v>
      </c>
      <c r="Y156" s="129">
        <f>IF(E156="",1,IF(AND(E156="〇〇(合意形成対象者名に書き換え)",COUNTA($F156:$L156)=0),1,IF(AND(E156&lt;&gt;"〇〇(合意形成対象者名に書き換え)",COUNTA($F156:$L156)=7),1,0)))</f>
        <v>1</v>
      </c>
      <c r="Z156" s="129" t="str" cm="1">
        <f t="array" ref="Z156">_xlfn.IFS(X156=4,"A",X156=3,"B",X156=2,"C",X156=1,"D")</f>
        <v>D</v>
      </c>
      <c r="AA156" s="255"/>
    </row>
    <row r="157" spans="1:27">
      <c r="B157" s="95"/>
      <c r="C157" s="96"/>
      <c r="D157" s="97"/>
      <c r="E157" s="447" t="s">
        <v>129</v>
      </c>
      <c r="F157" s="446"/>
      <c r="G157" s="441"/>
      <c r="H157" s="446"/>
      <c r="I157" s="441"/>
      <c r="J157" s="446"/>
      <c r="K157" s="441"/>
      <c r="L157" s="441"/>
      <c r="M157" s="98"/>
      <c r="N157" s="11"/>
      <c r="R157" s="129">
        <f t="shared" si="72"/>
        <v>0</v>
      </c>
      <c r="S157" s="258"/>
      <c r="T157" s="129">
        <f t="shared" si="73"/>
        <v>0</v>
      </c>
      <c r="U157" s="129">
        <f t="shared" ref="U157:U159" si="75">IF(AND(J157="実施済",K157="実施済"),$T157*1,0)</f>
        <v>0</v>
      </c>
      <c r="V157" s="258"/>
      <c r="W157" s="129" t="str">
        <f t="shared" ref="W157:W161" si="76">IF(OR(E157="〇〇(合意形成対象者名に書き換え)",E157=""),"",SUM(R157,T157,U157))</f>
        <v/>
      </c>
      <c r="X157" s="129">
        <f t="shared" si="74"/>
        <v>1</v>
      </c>
      <c r="Y157" s="129">
        <f t="shared" ref="Y157:Y161" si="77">IF(E157="",1,IF(AND(E157="〇〇(合意形成対象者名に書き換え)",COUNTA($F157:$L157)=0),1,IF(AND(E157&lt;&gt;"〇〇(合意形成対象者名に書き換え)",COUNTA($F157:$L157)=7),1,0)))</f>
        <v>1</v>
      </c>
      <c r="Z157" s="129" t="str" cm="1">
        <f t="array" ref="Z157">_xlfn.IFS(X157=4,"A",X157=3,"B",X157=2,"C",X157=1,"D")</f>
        <v>D</v>
      </c>
      <c r="AA157" s="255"/>
    </row>
    <row r="158" spans="1:27">
      <c r="B158" s="95"/>
      <c r="C158" s="96"/>
      <c r="D158" s="97"/>
      <c r="E158" s="447" t="s">
        <v>129</v>
      </c>
      <c r="F158" s="446"/>
      <c r="G158" s="441"/>
      <c r="H158" s="446"/>
      <c r="I158" s="441"/>
      <c r="J158" s="446"/>
      <c r="K158" s="441"/>
      <c r="L158" s="441"/>
      <c r="M158" s="98"/>
      <c r="N158" s="11"/>
      <c r="R158" s="129">
        <f t="shared" si="72"/>
        <v>0</v>
      </c>
      <c r="S158" s="258"/>
      <c r="T158" s="129">
        <f t="shared" si="73"/>
        <v>0</v>
      </c>
      <c r="U158" s="129">
        <f t="shared" si="75"/>
        <v>0</v>
      </c>
      <c r="V158" s="258"/>
      <c r="W158" s="129" t="str">
        <f t="shared" si="76"/>
        <v/>
      </c>
      <c r="X158" s="129">
        <f t="shared" si="74"/>
        <v>1</v>
      </c>
      <c r="Y158" s="129">
        <f t="shared" si="77"/>
        <v>1</v>
      </c>
      <c r="Z158" s="129" t="str" cm="1">
        <f t="array" ref="Z158">_xlfn.IFS(X158=4,"A",X158=3,"B",X158=2,"C",X158=1,"D")</f>
        <v>D</v>
      </c>
      <c r="AA158" s="255"/>
    </row>
    <row r="159" spans="1:27" s="99" customFormat="1">
      <c r="A159" s="11"/>
      <c r="B159" s="95"/>
      <c r="C159" s="96"/>
      <c r="D159" s="97"/>
      <c r="E159" s="447" t="s">
        <v>129</v>
      </c>
      <c r="F159" s="446"/>
      <c r="G159" s="441"/>
      <c r="H159" s="446"/>
      <c r="I159" s="441"/>
      <c r="J159" s="446"/>
      <c r="K159" s="441"/>
      <c r="L159" s="441"/>
      <c r="M159" s="98"/>
      <c r="N159" s="11"/>
      <c r="Q159" s="11"/>
      <c r="R159" s="129">
        <f t="shared" si="72"/>
        <v>0</v>
      </c>
      <c r="S159" s="258"/>
      <c r="T159" s="129">
        <f t="shared" si="73"/>
        <v>0</v>
      </c>
      <c r="U159" s="129">
        <f t="shared" si="75"/>
        <v>0</v>
      </c>
      <c r="V159" s="258"/>
      <c r="W159" s="129" t="str">
        <f t="shared" si="76"/>
        <v/>
      </c>
      <c r="X159" s="129">
        <f t="shared" si="74"/>
        <v>1</v>
      </c>
      <c r="Y159" s="129">
        <f t="shared" si="77"/>
        <v>1</v>
      </c>
      <c r="Z159" s="129" t="str" cm="1">
        <f t="array" ref="Z159">_xlfn.IFS(X159=4,"A",X159=3,"B",X159=2,"C",X159=1,"D")</f>
        <v>D</v>
      </c>
      <c r="AA159" s="129"/>
    </row>
    <row r="160" spans="1:27" customFormat="1" ht="7.5" customHeight="1">
      <c r="B160" s="65"/>
      <c r="C160" s="4"/>
      <c r="D160" s="4"/>
      <c r="E160" s="4"/>
      <c r="F160" s="4"/>
      <c r="G160" s="4"/>
      <c r="H160" s="4"/>
      <c r="I160" s="4"/>
      <c r="J160" s="4"/>
      <c r="K160" s="4"/>
      <c r="L160" s="4"/>
      <c r="M160" s="9"/>
      <c r="N160" s="2"/>
      <c r="O160" s="2"/>
      <c r="P160" s="2"/>
      <c r="R160" s="129">
        <f t="shared" si="72"/>
        <v>0</v>
      </c>
      <c r="S160" s="258"/>
      <c r="T160" s="129">
        <f t="shared" si="73"/>
        <v>0</v>
      </c>
      <c r="U160" s="129">
        <f>IF(AND(J160="実施済",K160="実施済"),$T160*1,0)</f>
        <v>0</v>
      </c>
      <c r="V160" s="258"/>
      <c r="W160" s="129" t="str">
        <f t="shared" si="76"/>
        <v/>
      </c>
      <c r="X160" s="129">
        <f t="shared" si="74"/>
        <v>1</v>
      </c>
      <c r="Y160" s="129">
        <f t="shared" si="77"/>
        <v>1</v>
      </c>
      <c r="Z160" s="129" t="str" cm="1">
        <f t="array" ref="Z160">_xlfn.IFS(X160=4,"A",X160=3,"B",X160=2,"C",X160=1,"D")</f>
        <v>D</v>
      </c>
      <c r="AA160" s="175"/>
    </row>
    <row r="161" spans="1:27" customFormat="1" ht="18" customHeight="1">
      <c r="N161" s="2"/>
      <c r="O161" s="2"/>
      <c r="P161" s="2"/>
      <c r="R161" s="129">
        <f t="shared" si="72"/>
        <v>0</v>
      </c>
      <c r="S161" s="258"/>
      <c r="T161" s="129">
        <f t="shared" si="73"/>
        <v>0</v>
      </c>
      <c r="U161" s="129">
        <f t="shared" ref="U161" si="78">IF(AND(J161="実施済",K161="実施済"),$T161*1,0)</f>
        <v>0</v>
      </c>
      <c r="V161" s="258"/>
      <c r="W161" s="129" t="str">
        <f t="shared" si="76"/>
        <v/>
      </c>
      <c r="X161" s="129">
        <f t="shared" si="74"/>
        <v>1</v>
      </c>
      <c r="Y161" s="129">
        <f t="shared" si="77"/>
        <v>1</v>
      </c>
      <c r="Z161" s="129" t="str" cm="1">
        <f t="array" ref="Z161">_xlfn.IFS(X161=4,"A",X161=3,"B",X161=2,"C",X161=1,"D")</f>
        <v>D</v>
      </c>
      <c r="AA161" s="175"/>
    </row>
    <row r="162" spans="1:27" customFormat="1" ht="103.5" customHeight="1">
      <c r="C162" s="78"/>
      <c r="D162" s="79"/>
      <c r="E162" s="71" t="s">
        <v>236</v>
      </c>
      <c r="F162" s="1452"/>
      <c r="G162" s="1452"/>
      <c r="H162" s="1452"/>
      <c r="I162" s="1452"/>
      <c r="J162" s="1452"/>
      <c r="K162" s="1452"/>
      <c r="L162" s="1452"/>
      <c r="M162" s="80" t="s">
        <v>132</v>
      </c>
      <c r="N162" s="80"/>
    </row>
    <row r="163" spans="1:27" customFormat="1" ht="146.25" customHeight="1">
      <c r="C163" s="75"/>
      <c r="D163" s="68"/>
      <c r="E163" s="71" t="s">
        <v>235</v>
      </c>
      <c r="F163" s="1452"/>
      <c r="G163" s="1452"/>
      <c r="H163" s="1452"/>
      <c r="I163" s="1452"/>
      <c r="J163" s="1452"/>
      <c r="K163" s="1452"/>
      <c r="L163" s="1452"/>
      <c r="N163" s="2"/>
      <c r="O163" s="2"/>
      <c r="P163" s="2"/>
    </row>
    <row r="164" spans="1:27" customFormat="1" ht="13.5" customHeight="1" thickBot="1">
      <c r="A164" s="81"/>
      <c r="B164" s="81"/>
      <c r="C164" s="81"/>
      <c r="D164" s="81"/>
      <c r="E164" s="81"/>
      <c r="F164" s="81"/>
      <c r="G164" s="81"/>
      <c r="H164" s="81"/>
      <c r="I164" s="81"/>
      <c r="J164" s="81"/>
      <c r="K164" s="81"/>
      <c r="L164" s="81"/>
      <c r="M164" s="81"/>
      <c r="N164" s="82"/>
      <c r="O164" s="2"/>
      <c r="P164" s="2"/>
    </row>
    <row r="165" spans="1:27" customFormat="1" ht="13.5" customHeight="1">
      <c r="N165" s="2"/>
      <c r="O165" s="2"/>
      <c r="P165" s="2"/>
    </row>
    <row r="166" spans="1:27" customFormat="1" ht="15" customHeight="1">
      <c r="B166" s="10"/>
      <c r="C166" s="5"/>
      <c r="D166" s="5"/>
      <c r="E166" s="5"/>
      <c r="F166" s="5"/>
      <c r="G166" s="5"/>
      <c r="H166" s="5"/>
      <c r="I166" s="5"/>
      <c r="J166" s="5"/>
      <c r="K166" s="5"/>
      <c r="L166" s="5"/>
      <c r="M166" s="6"/>
      <c r="R166" s="11" t="str">
        <f>D167</f>
        <v>(選択してください)</v>
      </c>
    </row>
    <row r="167" spans="1:27" customFormat="1">
      <c r="B167" s="7"/>
      <c r="C167" s="77" t="str">
        <f ca="1">IFERROR(OFFSET('4.2民生電力需要量'!$C$1,MATCH(D167,'4.2民生電力需要量'!$E:$E,0)-1,0),"")</f>
        <v/>
      </c>
      <c r="D167" s="94" t="s">
        <v>130</v>
      </c>
      <c r="E167" s="72" t="s">
        <v>131</v>
      </c>
      <c r="F167" s="1451" t="str">
        <f ca="1">IFERROR(OFFSET('4.2民生電力需要量'!$G$1,MATCH($D167,'4.2民生電力需要量'!$E:$E,0)-1,0),"")</f>
        <v/>
      </c>
      <c r="G167" s="1451"/>
      <c r="H167" s="1451"/>
      <c r="I167" s="1451"/>
      <c r="J167" s="1451"/>
      <c r="K167" s="1451"/>
      <c r="L167" s="1451"/>
      <c r="M167" s="8"/>
      <c r="R167" s="255" t="str">
        <f ca="1">IFERROR(OFFSET('4.2民生電力需要量'!$G$1,MATCH($D167,'4.2民生電力需要量'!$E:$E,0)-1,0),"")</f>
        <v/>
      </c>
      <c r="S167" s="175"/>
      <c r="T167" s="175"/>
      <c r="U167" s="175"/>
      <c r="V167" s="175"/>
      <c r="W167" s="175"/>
      <c r="X167" s="175"/>
      <c r="Y167" s="175"/>
      <c r="Z167" s="175"/>
      <c r="AA167" s="175">
        <f ca="1">(F167=R167)*1</f>
        <v>1</v>
      </c>
    </row>
    <row r="168" spans="1:27" customFormat="1">
      <c r="B168" s="7"/>
      <c r="C168" s="915"/>
      <c r="D168" s="97"/>
      <c r="E168" s="72" t="s">
        <v>612</v>
      </c>
      <c r="F168" s="1447" t="str">
        <f ca="1">IFERROR(OFFSET('4.2民生電力需要量'!$L$1,MATCH($D167,'4.2民生電力需要量'!$E:$E,0)-1,0),"")</f>
        <v/>
      </c>
      <c r="G168" s="1448"/>
      <c r="H168" s="1448"/>
      <c r="I168" s="1448"/>
      <c r="J168" s="1448"/>
      <c r="K168" s="1448"/>
      <c r="L168" s="1449"/>
      <c r="M168" s="8"/>
      <c r="R168" s="255" t="str">
        <f ca="1">IFERROR(OFFSET('4.2民生電力需要量'!$L$1,MATCH($D167,'4.2民生電力需要量'!$E:$E,0)-1,0),"")</f>
        <v/>
      </c>
      <c r="S168" s="175"/>
      <c r="T168" s="175"/>
      <c r="U168" s="175"/>
      <c r="V168" s="175"/>
      <c r="W168" s="175"/>
      <c r="X168" s="175"/>
      <c r="Y168" s="175"/>
      <c r="Z168" s="175"/>
      <c r="AA168" s="175">
        <f ca="1">(F168=R168)*1</f>
        <v>1</v>
      </c>
    </row>
    <row r="169" spans="1:27" customFormat="1">
      <c r="B169" s="7"/>
      <c r="C169" s="74"/>
      <c r="D169" s="66"/>
      <c r="E169" s="72" t="s">
        <v>220</v>
      </c>
      <c r="F169" s="1450" t="str">
        <f ca="1">IFERROR(OFFSET('4.2民生電力需要量'!$I$1,MATCH($D167,'4.2民生電力需要量'!$E:$E,0)-1,0),"")</f>
        <v/>
      </c>
      <c r="G169" s="1450"/>
      <c r="H169" s="1450"/>
      <c r="I169" s="1450"/>
      <c r="J169" s="1450"/>
      <c r="K169" s="1450"/>
      <c r="L169" s="1450"/>
      <c r="M169" s="8"/>
      <c r="R169" s="255" t="str">
        <f ca="1">IFERROR(OFFSET('4.2民生電力需要量'!$I$1,MATCH($D167,'4.2民生電力需要量'!$E:$E,0)-1,0),"")</f>
        <v/>
      </c>
      <c r="S169" s="175"/>
      <c r="T169" s="175"/>
      <c r="U169" s="175"/>
      <c r="V169" s="175"/>
      <c r="W169" s="175"/>
      <c r="X169" s="175"/>
      <c r="Y169" s="175"/>
      <c r="Z169" s="175"/>
      <c r="AA169" s="175">
        <f t="shared" ref="AA169:AA170" ca="1" si="79">(F169=R169)*1</f>
        <v>1</v>
      </c>
    </row>
    <row r="170" spans="1:27" customFormat="1">
      <c r="B170" s="7"/>
      <c r="C170" s="74"/>
      <c r="D170" s="66"/>
      <c r="E170" s="72" t="s">
        <v>175</v>
      </c>
      <c r="F170" s="1451" t="str">
        <f>_xlfn.IFNA(R170,"")</f>
        <v/>
      </c>
      <c r="G170" s="1451"/>
      <c r="H170" s="1451"/>
      <c r="I170" s="1451"/>
      <c r="J170" s="1451"/>
      <c r="K170" s="1451"/>
      <c r="L170" s="1451"/>
      <c r="M170" s="8"/>
      <c r="R170" s="129" t="str">
        <f>IF(OR(COUNTIF($E172:$E177,"&lt;&gt;〇〇(合意形成対象者名に書き換え)")=3,COUNTIF($E172:$E177,"")&gt;3),"",IF(PRODUCT($Y172:$Y177)=1,Z172,""))</f>
        <v/>
      </c>
      <c r="S170" s="175"/>
      <c r="T170" s="175"/>
      <c r="U170" s="175"/>
      <c r="V170" s="175"/>
      <c r="W170" s="175"/>
      <c r="X170" s="175"/>
      <c r="Y170" s="175"/>
      <c r="Z170" s="175"/>
      <c r="AA170" s="175">
        <f t="shared" si="79"/>
        <v>1</v>
      </c>
    </row>
    <row r="171" spans="1:27" ht="63.75" customHeight="1">
      <c r="B171" s="95"/>
      <c r="C171" s="96"/>
      <c r="D171" s="97"/>
      <c r="E171" s="372"/>
      <c r="F171" s="313" t="s">
        <v>268</v>
      </c>
      <c r="G171" s="313" t="s">
        <v>271</v>
      </c>
      <c r="H171" s="313" t="s">
        <v>272</v>
      </c>
      <c r="I171" s="313" t="s">
        <v>269</v>
      </c>
      <c r="J171" s="313" t="s">
        <v>434</v>
      </c>
      <c r="K171" s="313" t="s">
        <v>435</v>
      </c>
      <c r="L171" s="313" t="s">
        <v>270</v>
      </c>
      <c r="M171" s="98"/>
      <c r="N171" s="11"/>
      <c r="R171" s="126" t="s">
        <v>299</v>
      </c>
      <c r="S171" s="257" t="s">
        <v>423</v>
      </c>
      <c r="T171" s="126" t="s">
        <v>424</v>
      </c>
      <c r="U171" s="296" t="s">
        <v>436</v>
      </c>
      <c r="V171" s="256" t="s">
        <v>270</v>
      </c>
      <c r="W171" s="126" t="s">
        <v>426</v>
      </c>
      <c r="X171" s="129" t="s">
        <v>402</v>
      </c>
      <c r="Y171" s="129" t="s">
        <v>430</v>
      </c>
      <c r="Z171" s="126" t="s">
        <v>425</v>
      </c>
      <c r="AA171" s="255"/>
    </row>
    <row r="172" spans="1:27" hidden="1">
      <c r="B172" s="95"/>
      <c r="C172" s="96"/>
      <c r="D172" s="97"/>
      <c r="E172" s="442"/>
      <c r="F172" s="443"/>
      <c r="G172" s="439"/>
      <c r="H172" s="443"/>
      <c r="I172" s="439"/>
      <c r="J172" s="443"/>
      <c r="K172" s="439"/>
      <c r="L172" s="444"/>
      <c r="M172" s="98"/>
      <c r="N172" s="11"/>
      <c r="R172" s="129">
        <f t="shared" ref="R172:R177" si="80">IF(F172="実施済",1,0)</f>
        <v>0</v>
      </c>
      <c r="S172" s="258"/>
      <c r="T172" s="129">
        <f t="shared" ref="T172:T177" si="81">IF(AND(H172="実施済",I172="実施済"),R172*1,0)</f>
        <v>0</v>
      </c>
      <c r="U172" s="129">
        <f>IF(AND(J172="実施済",K172="実施済"),$T172*1,0)</f>
        <v>0</v>
      </c>
      <c r="V172" s="258"/>
      <c r="W172" s="129" t="str">
        <f>IF(OR(E172="〇〇(合意形成対象者名に書き換え)",E172=""),"",SUM(R172,T172,U172))</f>
        <v/>
      </c>
      <c r="X172" s="129">
        <f t="shared" ref="X172:X177" si="82">MIN($W$172:$W$177)+1</f>
        <v>1</v>
      </c>
      <c r="Y172" s="129">
        <f>IF(E172="",1,IF(AND(E172="〇〇(合意形成対象者名に書き換え)",COUNTA($F172:$L172)=0),1,IF(AND(E172&lt;&gt;"〇〇(合意形成対象者名に書き換え)",COUNTA($F172:$L172)=7),1,0)))</f>
        <v>1</v>
      </c>
      <c r="Z172" s="129" t="str" cm="1">
        <f t="array" ref="Z172">_xlfn.IFS(X172=4,"A",X172=3,"B",X172=2,"C",X172=1,"D")</f>
        <v>D</v>
      </c>
      <c r="AA172" s="255"/>
    </row>
    <row r="173" spans="1:27">
      <c r="B173" s="95"/>
      <c r="C173" s="96"/>
      <c r="D173" s="97"/>
      <c r="E173" s="447" t="s">
        <v>129</v>
      </c>
      <c r="F173" s="446"/>
      <c r="G173" s="441"/>
      <c r="H173" s="446"/>
      <c r="I173" s="441"/>
      <c r="J173" s="446"/>
      <c r="K173" s="441"/>
      <c r="L173" s="441"/>
      <c r="M173" s="98"/>
      <c r="N173" s="11"/>
      <c r="R173" s="129">
        <f t="shared" si="80"/>
        <v>0</v>
      </c>
      <c r="S173" s="258"/>
      <c r="T173" s="129">
        <f t="shared" si="81"/>
        <v>0</v>
      </c>
      <c r="U173" s="129">
        <f t="shared" ref="U173:U175" si="83">IF(AND(J173="実施済",K173="実施済"),$T173*1,0)</f>
        <v>0</v>
      </c>
      <c r="V173" s="258"/>
      <c r="W173" s="129" t="str">
        <f t="shared" ref="W173:W177" si="84">IF(OR(E173="〇〇(合意形成対象者名に書き換え)",E173=""),"",SUM(R173,T173,U173))</f>
        <v/>
      </c>
      <c r="X173" s="129">
        <f t="shared" si="82"/>
        <v>1</v>
      </c>
      <c r="Y173" s="129">
        <f t="shared" ref="Y173:Y177" si="85">IF(E173="",1,IF(AND(E173="〇〇(合意形成対象者名に書き換え)",COUNTA($F173:$L173)=0),1,IF(AND(E173&lt;&gt;"〇〇(合意形成対象者名に書き換え)",COUNTA($F173:$L173)=7),1,0)))</f>
        <v>1</v>
      </c>
      <c r="Z173" s="129" t="str" cm="1">
        <f t="array" ref="Z173">_xlfn.IFS(X173=4,"A",X173=3,"B",X173=2,"C",X173=1,"D")</f>
        <v>D</v>
      </c>
      <c r="AA173" s="255"/>
    </row>
    <row r="174" spans="1:27">
      <c r="B174" s="95"/>
      <c r="C174" s="96"/>
      <c r="D174" s="97"/>
      <c r="E174" s="447" t="s">
        <v>129</v>
      </c>
      <c r="F174" s="446"/>
      <c r="G174" s="441"/>
      <c r="H174" s="446"/>
      <c r="I174" s="441"/>
      <c r="J174" s="446"/>
      <c r="K174" s="441"/>
      <c r="L174" s="441"/>
      <c r="M174" s="98"/>
      <c r="N174" s="11"/>
      <c r="R174" s="129">
        <f t="shared" si="80"/>
        <v>0</v>
      </c>
      <c r="S174" s="258"/>
      <c r="T174" s="129">
        <f t="shared" si="81"/>
        <v>0</v>
      </c>
      <c r="U174" s="129">
        <f t="shared" si="83"/>
        <v>0</v>
      </c>
      <c r="V174" s="258"/>
      <c r="W174" s="129" t="str">
        <f t="shared" si="84"/>
        <v/>
      </c>
      <c r="X174" s="129">
        <f t="shared" si="82"/>
        <v>1</v>
      </c>
      <c r="Y174" s="129">
        <f t="shared" si="85"/>
        <v>1</v>
      </c>
      <c r="Z174" s="129" t="str" cm="1">
        <f t="array" ref="Z174">_xlfn.IFS(X174=4,"A",X174=3,"B",X174=2,"C",X174=1,"D")</f>
        <v>D</v>
      </c>
      <c r="AA174" s="255"/>
    </row>
    <row r="175" spans="1:27" s="99" customFormat="1">
      <c r="A175" s="11"/>
      <c r="B175" s="95"/>
      <c r="C175" s="96"/>
      <c r="D175" s="97"/>
      <c r="E175" s="447" t="s">
        <v>129</v>
      </c>
      <c r="F175" s="446"/>
      <c r="G175" s="441"/>
      <c r="H175" s="446"/>
      <c r="I175" s="441"/>
      <c r="J175" s="446"/>
      <c r="K175" s="441"/>
      <c r="L175" s="441"/>
      <c r="M175" s="98"/>
      <c r="N175" s="11"/>
      <c r="Q175" s="11"/>
      <c r="R175" s="129">
        <f t="shared" si="80"/>
        <v>0</v>
      </c>
      <c r="S175" s="258"/>
      <c r="T175" s="129">
        <f t="shared" si="81"/>
        <v>0</v>
      </c>
      <c r="U175" s="129">
        <f t="shared" si="83"/>
        <v>0</v>
      </c>
      <c r="V175" s="258"/>
      <c r="W175" s="129" t="str">
        <f t="shared" si="84"/>
        <v/>
      </c>
      <c r="X175" s="129">
        <f t="shared" si="82"/>
        <v>1</v>
      </c>
      <c r="Y175" s="129">
        <f t="shared" si="85"/>
        <v>1</v>
      </c>
      <c r="Z175" s="129" t="str" cm="1">
        <f t="array" ref="Z175">_xlfn.IFS(X175=4,"A",X175=3,"B",X175=2,"C",X175=1,"D")</f>
        <v>D</v>
      </c>
      <c r="AA175" s="129"/>
    </row>
    <row r="176" spans="1:27" customFormat="1" ht="7.5" customHeight="1">
      <c r="B176" s="65"/>
      <c r="C176" s="4"/>
      <c r="D176" s="4"/>
      <c r="E176" s="4"/>
      <c r="F176" s="4"/>
      <c r="G176" s="4"/>
      <c r="H176" s="4"/>
      <c r="I176" s="4"/>
      <c r="J176" s="4"/>
      <c r="K176" s="4"/>
      <c r="L176" s="4"/>
      <c r="M176" s="9"/>
      <c r="N176" s="2"/>
      <c r="O176" s="2"/>
      <c r="P176" s="2"/>
      <c r="R176" s="129">
        <f t="shared" si="80"/>
        <v>0</v>
      </c>
      <c r="S176" s="258"/>
      <c r="T176" s="129">
        <f t="shared" si="81"/>
        <v>0</v>
      </c>
      <c r="U176" s="129">
        <f>IF(AND(J176="実施済",K176="実施済"),$T176*1,0)</f>
        <v>0</v>
      </c>
      <c r="V176" s="258"/>
      <c r="W176" s="129" t="str">
        <f t="shared" si="84"/>
        <v/>
      </c>
      <c r="X176" s="129">
        <f t="shared" si="82"/>
        <v>1</v>
      </c>
      <c r="Y176" s="129">
        <f t="shared" si="85"/>
        <v>1</v>
      </c>
      <c r="Z176" s="129" t="str" cm="1">
        <f t="array" ref="Z176">_xlfn.IFS(X176=4,"A",X176=3,"B",X176=2,"C",X176=1,"D")</f>
        <v>D</v>
      </c>
      <c r="AA176" s="175"/>
    </row>
    <row r="177" spans="1:27" customFormat="1" ht="18" customHeight="1">
      <c r="N177" s="2"/>
      <c r="O177" s="2"/>
      <c r="P177" s="2"/>
      <c r="R177" s="129">
        <f t="shared" si="80"/>
        <v>0</v>
      </c>
      <c r="S177" s="258"/>
      <c r="T177" s="129">
        <f t="shared" si="81"/>
        <v>0</v>
      </c>
      <c r="U177" s="129">
        <f t="shared" ref="U177" si="86">IF(AND(J177="実施済",K177="実施済"),$T177*1,0)</f>
        <v>0</v>
      </c>
      <c r="V177" s="258"/>
      <c r="W177" s="129" t="str">
        <f t="shared" si="84"/>
        <v/>
      </c>
      <c r="X177" s="129">
        <f t="shared" si="82"/>
        <v>1</v>
      </c>
      <c r="Y177" s="129">
        <f t="shared" si="85"/>
        <v>1</v>
      </c>
      <c r="Z177" s="129" t="str" cm="1">
        <f t="array" ref="Z177">_xlfn.IFS(X177=4,"A",X177=3,"B",X177=2,"C",X177=1,"D")</f>
        <v>D</v>
      </c>
      <c r="AA177" s="175"/>
    </row>
    <row r="178" spans="1:27" customFormat="1" ht="103.5" customHeight="1">
      <c r="C178" s="78"/>
      <c r="D178" s="79"/>
      <c r="E178" s="71" t="s">
        <v>236</v>
      </c>
      <c r="F178" s="1452"/>
      <c r="G178" s="1452"/>
      <c r="H178" s="1452"/>
      <c r="I178" s="1452"/>
      <c r="J178" s="1452"/>
      <c r="K178" s="1452"/>
      <c r="L178" s="1452"/>
      <c r="M178" s="80" t="s">
        <v>132</v>
      </c>
      <c r="N178" s="80"/>
    </row>
    <row r="179" spans="1:27" customFormat="1" ht="146.25" customHeight="1">
      <c r="C179" s="75"/>
      <c r="D179" s="68"/>
      <c r="E179" s="71" t="s">
        <v>235</v>
      </c>
      <c r="F179" s="1452"/>
      <c r="G179" s="1452"/>
      <c r="H179" s="1452"/>
      <c r="I179" s="1452"/>
      <c r="J179" s="1452"/>
      <c r="K179" s="1452"/>
      <c r="L179" s="1452"/>
      <c r="N179" s="2"/>
      <c r="O179" s="2"/>
      <c r="P179" s="2"/>
    </row>
    <row r="180" spans="1:27" customFormat="1" ht="13.5" customHeight="1" thickBot="1">
      <c r="A180" s="81"/>
      <c r="B180" s="81"/>
      <c r="C180" s="81"/>
      <c r="D180" s="81"/>
      <c r="E180" s="81"/>
      <c r="F180" s="81"/>
      <c r="G180" s="81"/>
      <c r="H180" s="81"/>
      <c r="I180" s="81"/>
      <c r="J180" s="81"/>
      <c r="K180" s="81"/>
      <c r="L180" s="81"/>
      <c r="M180" s="81"/>
      <c r="N180" s="82"/>
      <c r="O180" s="2"/>
      <c r="P180" s="2"/>
    </row>
    <row r="181" spans="1:27" customFormat="1" ht="13.5" customHeight="1">
      <c r="N181" s="2"/>
      <c r="O181" s="2"/>
      <c r="P181" s="2"/>
    </row>
    <row r="182" spans="1:27" customFormat="1" ht="15" customHeight="1">
      <c r="B182" s="10"/>
      <c r="C182" s="5"/>
      <c r="D182" s="5"/>
      <c r="E182" s="5"/>
      <c r="F182" s="5"/>
      <c r="G182" s="5"/>
      <c r="H182" s="5"/>
      <c r="I182" s="5"/>
      <c r="J182" s="5"/>
      <c r="K182" s="5"/>
      <c r="L182" s="5"/>
      <c r="M182" s="6"/>
      <c r="R182" s="11" t="str">
        <f>D183</f>
        <v>(選択してください)</v>
      </c>
    </row>
    <row r="183" spans="1:27" customFormat="1">
      <c r="B183" s="7"/>
      <c r="C183" s="77" t="str">
        <f ca="1">IFERROR(OFFSET('4.2民生電力需要量'!$C$1,MATCH(D183,'4.2民生電力需要量'!$E:$E,0)-1,0),"")</f>
        <v/>
      </c>
      <c r="D183" s="94" t="s">
        <v>130</v>
      </c>
      <c r="E183" s="72" t="s">
        <v>131</v>
      </c>
      <c r="F183" s="1451" t="str">
        <f ca="1">IFERROR(OFFSET('4.2民生電力需要量'!$G$1,MATCH($D183,'4.2民生電力需要量'!$E:$E,0)-1,0),"")</f>
        <v/>
      </c>
      <c r="G183" s="1451"/>
      <c r="H183" s="1451"/>
      <c r="I183" s="1451"/>
      <c r="J183" s="1451"/>
      <c r="K183" s="1451"/>
      <c r="L183" s="1451"/>
      <c r="M183" s="8"/>
      <c r="R183" s="255" t="str">
        <f ca="1">IFERROR(OFFSET('4.2民生電力需要量'!$G$1,MATCH($D183,'4.2民生電力需要量'!$E:$E,0)-1,0),"")</f>
        <v/>
      </c>
      <c r="S183" s="175"/>
      <c r="T183" s="175"/>
      <c r="U183" s="175"/>
      <c r="V183" s="175"/>
      <c r="W183" s="175"/>
      <c r="X183" s="175"/>
      <c r="Y183" s="175"/>
      <c r="Z183" s="175"/>
      <c r="AA183" s="175">
        <f ca="1">(F183=R183)*1</f>
        <v>1</v>
      </c>
    </row>
    <row r="184" spans="1:27" customFormat="1">
      <c r="B184" s="7"/>
      <c r="C184" s="915"/>
      <c r="D184" s="97"/>
      <c r="E184" s="72" t="s">
        <v>612</v>
      </c>
      <c r="F184" s="1447" t="str">
        <f ca="1">IFERROR(OFFSET('4.2民生電力需要量'!$L$1,MATCH($D183,'4.2民生電力需要量'!$E:$E,0)-1,0),"")</f>
        <v/>
      </c>
      <c r="G184" s="1448"/>
      <c r="H184" s="1448"/>
      <c r="I184" s="1448"/>
      <c r="J184" s="1448"/>
      <c r="K184" s="1448"/>
      <c r="L184" s="1449"/>
      <c r="M184" s="8"/>
      <c r="R184" s="255" t="str">
        <f ca="1">IFERROR(OFFSET('4.2民生電力需要量'!$L$1,MATCH($D183,'4.2民生電力需要量'!$E:$E,0)-1,0),"")</f>
        <v/>
      </c>
      <c r="S184" s="175"/>
      <c r="T184" s="175"/>
      <c r="U184" s="175"/>
      <c r="V184" s="175"/>
      <c r="W184" s="175"/>
      <c r="X184" s="175"/>
      <c r="Y184" s="175"/>
      <c r="Z184" s="175"/>
      <c r="AA184" s="175">
        <f ca="1">(F184=R184)*1</f>
        <v>1</v>
      </c>
    </row>
    <row r="185" spans="1:27" customFormat="1">
      <c r="B185" s="7"/>
      <c r="C185" s="74"/>
      <c r="D185" s="66"/>
      <c r="E185" s="72" t="s">
        <v>220</v>
      </c>
      <c r="F185" s="1450" t="str">
        <f ca="1">IFERROR(OFFSET('4.2民生電力需要量'!$I$1,MATCH($D183,'4.2民生電力需要量'!$E:$E,0)-1,0),"")</f>
        <v/>
      </c>
      <c r="G185" s="1450"/>
      <c r="H185" s="1450"/>
      <c r="I185" s="1450"/>
      <c r="J185" s="1450"/>
      <c r="K185" s="1450"/>
      <c r="L185" s="1450"/>
      <c r="M185" s="8"/>
      <c r="R185" s="255" t="str">
        <f ca="1">IFERROR(OFFSET('4.2民生電力需要量'!$I$1,MATCH($D183,'4.2民生電力需要量'!$E:$E,0)-1,0),"")</f>
        <v/>
      </c>
      <c r="S185" s="175"/>
      <c r="T185" s="175"/>
      <c r="U185" s="175"/>
      <c r="V185" s="175"/>
      <c r="W185" s="175"/>
      <c r="X185" s="175"/>
      <c r="Y185" s="175"/>
      <c r="Z185" s="175"/>
      <c r="AA185" s="175">
        <f t="shared" ref="AA185:AA186" ca="1" si="87">(F185=R185)*1</f>
        <v>1</v>
      </c>
    </row>
    <row r="186" spans="1:27" customFormat="1">
      <c r="B186" s="7"/>
      <c r="C186" s="74"/>
      <c r="D186" s="66"/>
      <c r="E186" s="72" t="s">
        <v>175</v>
      </c>
      <c r="F186" s="1451" t="str">
        <f>_xlfn.IFNA(R186,"")</f>
        <v/>
      </c>
      <c r="G186" s="1451"/>
      <c r="H186" s="1451"/>
      <c r="I186" s="1451"/>
      <c r="J186" s="1451"/>
      <c r="K186" s="1451"/>
      <c r="L186" s="1451"/>
      <c r="M186" s="8"/>
      <c r="R186" s="129" t="str">
        <f>IF(OR(COUNTIF($E188:$E193,"&lt;&gt;〇〇(合意形成対象者名に書き換え)")=3,COUNTIF($E188:$E193,"")&gt;3),"",IF(PRODUCT($Y188:$Y193)=1,Z188,""))</f>
        <v/>
      </c>
      <c r="S186" s="175"/>
      <c r="T186" s="175"/>
      <c r="U186" s="175"/>
      <c r="V186" s="175"/>
      <c r="W186" s="175"/>
      <c r="X186" s="175"/>
      <c r="Y186" s="175"/>
      <c r="Z186" s="175"/>
      <c r="AA186" s="175">
        <f t="shared" si="87"/>
        <v>1</v>
      </c>
    </row>
    <row r="187" spans="1:27" ht="63.75" customHeight="1">
      <c r="B187" s="95"/>
      <c r="C187" s="96"/>
      <c r="D187" s="97"/>
      <c r="E187" s="372"/>
      <c r="F187" s="313" t="s">
        <v>268</v>
      </c>
      <c r="G187" s="313" t="s">
        <v>271</v>
      </c>
      <c r="H187" s="313" t="s">
        <v>272</v>
      </c>
      <c r="I187" s="313" t="s">
        <v>269</v>
      </c>
      <c r="J187" s="313" t="s">
        <v>434</v>
      </c>
      <c r="K187" s="313" t="s">
        <v>435</v>
      </c>
      <c r="L187" s="313" t="s">
        <v>270</v>
      </c>
      <c r="M187" s="98"/>
      <c r="N187" s="11"/>
      <c r="R187" s="126" t="s">
        <v>299</v>
      </c>
      <c r="S187" s="257" t="s">
        <v>423</v>
      </c>
      <c r="T187" s="126" t="s">
        <v>424</v>
      </c>
      <c r="U187" s="296" t="s">
        <v>436</v>
      </c>
      <c r="V187" s="256" t="s">
        <v>270</v>
      </c>
      <c r="W187" s="126" t="s">
        <v>426</v>
      </c>
      <c r="X187" s="129" t="s">
        <v>402</v>
      </c>
      <c r="Y187" s="129" t="s">
        <v>430</v>
      </c>
      <c r="Z187" s="126" t="s">
        <v>425</v>
      </c>
      <c r="AA187" s="255"/>
    </row>
    <row r="188" spans="1:27" hidden="1">
      <c r="B188" s="95"/>
      <c r="C188" s="96"/>
      <c r="D188" s="97"/>
      <c r="E188" s="442"/>
      <c r="F188" s="443"/>
      <c r="G188" s="439"/>
      <c r="H188" s="443"/>
      <c r="I188" s="439"/>
      <c r="J188" s="443"/>
      <c r="K188" s="439"/>
      <c r="L188" s="444"/>
      <c r="M188" s="98"/>
      <c r="N188" s="11"/>
      <c r="R188" s="129">
        <f t="shared" ref="R188:R193" si="88">IF(F188="実施済",1,0)</f>
        <v>0</v>
      </c>
      <c r="S188" s="258"/>
      <c r="T188" s="129">
        <f t="shared" ref="T188:T193" si="89">IF(AND(H188="実施済",I188="実施済"),R188*1,0)</f>
        <v>0</v>
      </c>
      <c r="U188" s="129">
        <f>IF(AND(J188="実施済",K188="実施済"),$T188*1,0)</f>
        <v>0</v>
      </c>
      <c r="V188" s="258"/>
      <c r="W188" s="129" t="str">
        <f>IF(OR(E188="〇〇(合意形成対象者名に書き換え)",E188=""),"",SUM(R188,T188,U188))</f>
        <v/>
      </c>
      <c r="X188" s="129">
        <f t="shared" ref="X188:X193" si="90">MIN($W$188:$W$193)+1</f>
        <v>1</v>
      </c>
      <c r="Y188" s="129">
        <f>IF(E188="",1,IF(AND(E188="〇〇(合意形成対象者名に書き換え)",COUNTA($F188:$L188)=0),1,IF(AND(E188&lt;&gt;"〇〇(合意形成対象者名に書き換え)",COUNTA($F188:$L188)=7),1,0)))</f>
        <v>1</v>
      </c>
      <c r="Z188" s="129" t="str" cm="1">
        <f t="array" ref="Z188">_xlfn.IFS(X188=4,"A",X188=3,"B",X188=2,"C",X188=1,"D")</f>
        <v>D</v>
      </c>
      <c r="AA188" s="255"/>
    </row>
    <row r="189" spans="1:27">
      <c r="B189" s="95"/>
      <c r="C189" s="96"/>
      <c r="D189" s="97"/>
      <c r="E189" s="447" t="s">
        <v>129</v>
      </c>
      <c r="F189" s="446"/>
      <c r="G189" s="441"/>
      <c r="H189" s="446"/>
      <c r="I189" s="441"/>
      <c r="J189" s="446"/>
      <c r="K189" s="441"/>
      <c r="L189" s="441"/>
      <c r="M189" s="98"/>
      <c r="N189" s="11"/>
      <c r="R189" s="129">
        <f t="shared" si="88"/>
        <v>0</v>
      </c>
      <c r="S189" s="258"/>
      <c r="T189" s="129">
        <f t="shared" si="89"/>
        <v>0</v>
      </c>
      <c r="U189" s="129">
        <f t="shared" ref="U189:U191" si="91">IF(AND(J189="実施済",K189="実施済"),$T189*1,0)</f>
        <v>0</v>
      </c>
      <c r="V189" s="258"/>
      <c r="W189" s="129" t="str">
        <f t="shared" ref="W189:W193" si="92">IF(OR(E189="〇〇(合意形成対象者名に書き換え)",E189=""),"",SUM(R189,T189,U189))</f>
        <v/>
      </c>
      <c r="X189" s="129">
        <f t="shared" si="90"/>
        <v>1</v>
      </c>
      <c r="Y189" s="129">
        <f t="shared" ref="Y189:Y193" si="93">IF(E189="",1,IF(AND(E189="〇〇(合意形成対象者名に書き換え)",COUNTA($F189:$L189)=0),1,IF(AND(E189&lt;&gt;"〇〇(合意形成対象者名に書き換え)",COUNTA($F189:$L189)=7),1,0)))</f>
        <v>1</v>
      </c>
      <c r="Z189" s="129" t="str" cm="1">
        <f t="array" ref="Z189">_xlfn.IFS(X189=4,"A",X189=3,"B",X189=2,"C",X189=1,"D")</f>
        <v>D</v>
      </c>
      <c r="AA189" s="255"/>
    </row>
    <row r="190" spans="1:27">
      <c r="B190" s="95"/>
      <c r="C190" s="96"/>
      <c r="D190" s="97"/>
      <c r="E190" s="447" t="s">
        <v>129</v>
      </c>
      <c r="F190" s="446"/>
      <c r="G190" s="441"/>
      <c r="H190" s="446"/>
      <c r="I190" s="441"/>
      <c r="J190" s="446"/>
      <c r="K190" s="441"/>
      <c r="L190" s="441"/>
      <c r="M190" s="98"/>
      <c r="N190" s="11"/>
      <c r="R190" s="129">
        <f t="shared" si="88"/>
        <v>0</v>
      </c>
      <c r="S190" s="258"/>
      <c r="T190" s="129">
        <f t="shared" si="89"/>
        <v>0</v>
      </c>
      <c r="U190" s="129">
        <f t="shared" si="91"/>
        <v>0</v>
      </c>
      <c r="V190" s="258"/>
      <c r="W190" s="129" t="str">
        <f t="shared" si="92"/>
        <v/>
      </c>
      <c r="X190" s="129">
        <f t="shared" si="90"/>
        <v>1</v>
      </c>
      <c r="Y190" s="129">
        <f t="shared" si="93"/>
        <v>1</v>
      </c>
      <c r="Z190" s="129" t="str" cm="1">
        <f t="array" ref="Z190">_xlfn.IFS(X190=4,"A",X190=3,"B",X190=2,"C",X190=1,"D")</f>
        <v>D</v>
      </c>
      <c r="AA190" s="255"/>
    </row>
    <row r="191" spans="1:27" s="99" customFormat="1">
      <c r="A191" s="11"/>
      <c r="B191" s="95"/>
      <c r="C191" s="96"/>
      <c r="D191" s="97"/>
      <c r="E191" s="447" t="s">
        <v>129</v>
      </c>
      <c r="F191" s="446"/>
      <c r="G191" s="441"/>
      <c r="H191" s="446"/>
      <c r="I191" s="441"/>
      <c r="J191" s="446"/>
      <c r="K191" s="441"/>
      <c r="L191" s="441"/>
      <c r="M191" s="98"/>
      <c r="N191" s="11"/>
      <c r="Q191" s="11"/>
      <c r="R191" s="129">
        <f t="shared" si="88"/>
        <v>0</v>
      </c>
      <c r="S191" s="258"/>
      <c r="T191" s="129">
        <f t="shared" si="89"/>
        <v>0</v>
      </c>
      <c r="U191" s="129">
        <f t="shared" si="91"/>
        <v>0</v>
      </c>
      <c r="V191" s="258"/>
      <c r="W191" s="129" t="str">
        <f t="shared" si="92"/>
        <v/>
      </c>
      <c r="X191" s="129">
        <f t="shared" si="90"/>
        <v>1</v>
      </c>
      <c r="Y191" s="129">
        <f t="shared" si="93"/>
        <v>1</v>
      </c>
      <c r="Z191" s="129" t="str" cm="1">
        <f t="array" ref="Z191">_xlfn.IFS(X191=4,"A",X191=3,"B",X191=2,"C",X191=1,"D")</f>
        <v>D</v>
      </c>
      <c r="AA191" s="129"/>
    </row>
    <row r="192" spans="1:27" customFormat="1" ht="7.5" customHeight="1">
      <c r="B192" s="65"/>
      <c r="C192" s="4"/>
      <c r="D192" s="4"/>
      <c r="E192" s="4"/>
      <c r="F192" s="4"/>
      <c r="G192" s="4"/>
      <c r="H192" s="4"/>
      <c r="I192" s="4"/>
      <c r="J192" s="4"/>
      <c r="K192" s="4"/>
      <c r="L192" s="4"/>
      <c r="M192" s="9"/>
      <c r="N192" s="2"/>
      <c r="O192" s="2"/>
      <c r="P192" s="2"/>
      <c r="R192" s="129">
        <f t="shared" si="88"/>
        <v>0</v>
      </c>
      <c r="S192" s="258"/>
      <c r="T192" s="129">
        <f t="shared" si="89"/>
        <v>0</v>
      </c>
      <c r="U192" s="129">
        <f>IF(AND(J192="実施済",K192="実施済"),$T192*1,0)</f>
        <v>0</v>
      </c>
      <c r="V192" s="258"/>
      <c r="W192" s="129" t="str">
        <f t="shared" si="92"/>
        <v/>
      </c>
      <c r="X192" s="129">
        <f t="shared" si="90"/>
        <v>1</v>
      </c>
      <c r="Y192" s="129">
        <f t="shared" si="93"/>
        <v>1</v>
      </c>
      <c r="Z192" s="129" t="str" cm="1">
        <f t="array" ref="Z192">_xlfn.IFS(X192=4,"A",X192=3,"B",X192=2,"C",X192=1,"D")</f>
        <v>D</v>
      </c>
      <c r="AA192" s="175"/>
    </row>
    <row r="193" spans="1:27" customFormat="1" ht="18" customHeight="1">
      <c r="N193" s="2"/>
      <c r="O193" s="2"/>
      <c r="P193" s="2"/>
      <c r="R193" s="129">
        <f t="shared" si="88"/>
        <v>0</v>
      </c>
      <c r="S193" s="258"/>
      <c r="T193" s="129">
        <f t="shared" si="89"/>
        <v>0</v>
      </c>
      <c r="U193" s="129">
        <f t="shared" ref="U193" si="94">IF(AND(J193="実施済",K193="実施済"),$T193*1,0)</f>
        <v>0</v>
      </c>
      <c r="V193" s="258"/>
      <c r="W193" s="129" t="str">
        <f t="shared" si="92"/>
        <v/>
      </c>
      <c r="X193" s="129">
        <f t="shared" si="90"/>
        <v>1</v>
      </c>
      <c r="Y193" s="129">
        <f t="shared" si="93"/>
        <v>1</v>
      </c>
      <c r="Z193" s="129" t="str" cm="1">
        <f t="array" ref="Z193">_xlfn.IFS(X193=4,"A",X193=3,"B",X193=2,"C",X193=1,"D")</f>
        <v>D</v>
      </c>
      <c r="AA193" s="175"/>
    </row>
    <row r="194" spans="1:27" customFormat="1" ht="103.5" customHeight="1">
      <c r="C194" s="78"/>
      <c r="D194" s="79"/>
      <c r="E194" s="71" t="s">
        <v>236</v>
      </c>
      <c r="F194" s="1452"/>
      <c r="G194" s="1452"/>
      <c r="H194" s="1452"/>
      <c r="I194" s="1452"/>
      <c r="J194" s="1452"/>
      <c r="K194" s="1452"/>
      <c r="L194" s="1452"/>
      <c r="M194" s="80" t="s">
        <v>132</v>
      </c>
      <c r="N194" s="80"/>
    </row>
    <row r="195" spans="1:27" customFormat="1" ht="146.25" customHeight="1">
      <c r="C195" s="75"/>
      <c r="D195" s="68"/>
      <c r="E195" s="71" t="s">
        <v>235</v>
      </c>
      <c r="F195" s="1452"/>
      <c r="G195" s="1452"/>
      <c r="H195" s="1452"/>
      <c r="I195" s="1452"/>
      <c r="J195" s="1452"/>
      <c r="K195" s="1452"/>
      <c r="L195" s="1452"/>
      <c r="N195" s="2"/>
      <c r="O195" s="2"/>
      <c r="P195" s="2"/>
    </row>
    <row r="196" spans="1:27" customFormat="1" ht="13.5" customHeight="1" thickBot="1">
      <c r="A196" s="81"/>
      <c r="B196" s="81"/>
      <c r="C196" s="81"/>
      <c r="D196" s="81"/>
      <c r="E196" s="81"/>
      <c r="F196" s="81"/>
      <c r="G196" s="81"/>
      <c r="H196" s="81"/>
      <c r="I196" s="81"/>
      <c r="J196" s="81"/>
      <c r="K196" s="81"/>
      <c r="L196" s="81"/>
      <c r="M196" s="81"/>
      <c r="N196" s="82"/>
      <c r="O196" s="2"/>
      <c r="P196" s="2"/>
    </row>
    <row r="197" spans="1:27" customFormat="1" ht="13.5" customHeight="1">
      <c r="N197" s="2"/>
      <c r="O197" s="2"/>
      <c r="P197" s="2"/>
    </row>
    <row r="198" spans="1:27" customFormat="1" ht="15" customHeight="1">
      <c r="B198" s="10"/>
      <c r="C198" s="5"/>
      <c r="D198" s="5"/>
      <c r="E198" s="5"/>
      <c r="F198" s="5"/>
      <c r="G198" s="5"/>
      <c r="H198" s="5"/>
      <c r="I198" s="5"/>
      <c r="J198" s="5"/>
      <c r="K198" s="5"/>
      <c r="L198" s="5"/>
      <c r="M198" s="6"/>
      <c r="R198" s="11" t="str">
        <f>D199</f>
        <v>(選択してください)</v>
      </c>
    </row>
    <row r="199" spans="1:27" customFormat="1">
      <c r="B199" s="7"/>
      <c r="C199" s="77" t="str">
        <f ca="1">IFERROR(OFFSET('4.2民生電力需要量'!$C$1,MATCH(D199,'4.2民生電力需要量'!$E:$E,0)-1,0),"")</f>
        <v/>
      </c>
      <c r="D199" s="94" t="s">
        <v>130</v>
      </c>
      <c r="E199" s="72" t="s">
        <v>131</v>
      </c>
      <c r="F199" s="1451" t="str">
        <f ca="1">IFERROR(OFFSET('4.2民生電力需要量'!$G$1,MATCH($D199,'4.2民生電力需要量'!$E:$E,0)-1,0),"")</f>
        <v/>
      </c>
      <c r="G199" s="1451"/>
      <c r="H199" s="1451"/>
      <c r="I199" s="1451"/>
      <c r="J199" s="1451"/>
      <c r="K199" s="1451"/>
      <c r="L199" s="1451"/>
      <c r="M199" s="8"/>
      <c r="R199" s="255" t="str">
        <f ca="1">IFERROR(OFFSET('4.2民生電力需要量'!$G$1,MATCH($D199,'4.2民生電力需要量'!$E:$E,0)-1,0),"")</f>
        <v/>
      </c>
      <c r="S199" s="175"/>
      <c r="T199" s="175"/>
      <c r="U199" s="175"/>
      <c r="V199" s="175"/>
      <c r="W199" s="175"/>
      <c r="X199" s="175"/>
      <c r="Y199" s="175"/>
      <c r="Z199" s="175"/>
      <c r="AA199" s="175">
        <f ca="1">(F199=R199)*1</f>
        <v>1</v>
      </c>
    </row>
    <row r="200" spans="1:27" customFormat="1">
      <c r="B200" s="7"/>
      <c r="C200" s="915"/>
      <c r="D200" s="97"/>
      <c r="E200" s="72" t="s">
        <v>612</v>
      </c>
      <c r="F200" s="1447" t="str">
        <f ca="1">IFERROR(OFFSET('4.2民生電力需要量'!$L$1,MATCH($D199,'4.2民生電力需要量'!$E:$E,0)-1,0),"")</f>
        <v/>
      </c>
      <c r="G200" s="1448"/>
      <c r="H200" s="1448"/>
      <c r="I200" s="1448"/>
      <c r="J200" s="1448"/>
      <c r="K200" s="1448"/>
      <c r="L200" s="1449"/>
      <c r="M200" s="8"/>
      <c r="R200" s="255" t="str">
        <f ca="1">IFERROR(OFFSET('4.2民生電力需要量'!$L$1,MATCH($D199,'4.2民生電力需要量'!$E:$E,0)-1,0),"")</f>
        <v/>
      </c>
      <c r="S200" s="175"/>
      <c r="T200" s="175"/>
      <c r="U200" s="175"/>
      <c r="V200" s="175"/>
      <c r="W200" s="175"/>
      <c r="X200" s="175"/>
      <c r="Y200" s="175"/>
      <c r="Z200" s="175"/>
      <c r="AA200" s="175">
        <f ca="1">(F200=R200)*1</f>
        <v>1</v>
      </c>
    </row>
    <row r="201" spans="1:27" customFormat="1">
      <c r="B201" s="7"/>
      <c r="C201" s="74"/>
      <c r="D201" s="66"/>
      <c r="E201" s="72" t="s">
        <v>220</v>
      </c>
      <c r="F201" s="1450" t="str">
        <f ca="1">IFERROR(OFFSET('4.2民生電力需要量'!$I$1,MATCH($D199,'4.2民生電力需要量'!$E:$E,0)-1,0),"")</f>
        <v/>
      </c>
      <c r="G201" s="1450"/>
      <c r="H201" s="1450"/>
      <c r="I201" s="1450"/>
      <c r="J201" s="1450"/>
      <c r="K201" s="1450"/>
      <c r="L201" s="1450"/>
      <c r="M201" s="8"/>
      <c r="R201" s="255" t="str">
        <f ca="1">IFERROR(OFFSET('4.2民生電力需要量'!$I$1,MATCH($D199,'4.2民生電力需要量'!$E:$E,0)-1,0),"")</f>
        <v/>
      </c>
      <c r="S201" s="175"/>
      <c r="T201" s="175"/>
      <c r="U201" s="175"/>
      <c r="V201" s="175"/>
      <c r="W201" s="175"/>
      <c r="X201" s="175"/>
      <c r="Y201" s="175"/>
      <c r="Z201" s="175"/>
      <c r="AA201" s="175">
        <f t="shared" ref="AA201:AA202" ca="1" si="95">(F201=R201)*1</f>
        <v>1</v>
      </c>
    </row>
    <row r="202" spans="1:27" customFormat="1">
      <c r="B202" s="7"/>
      <c r="C202" s="74"/>
      <c r="D202" s="66"/>
      <c r="E202" s="72" t="s">
        <v>175</v>
      </c>
      <c r="F202" s="1451" t="str">
        <f>_xlfn.IFNA(R202,"")</f>
        <v/>
      </c>
      <c r="G202" s="1451"/>
      <c r="H202" s="1451"/>
      <c r="I202" s="1451"/>
      <c r="J202" s="1451"/>
      <c r="K202" s="1451"/>
      <c r="L202" s="1451"/>
      <c r="M202" s="8"/>
      <c r="R202" s="129" t="str">
        <f>IF(OR(COUNTIF($E204:$E209,"&lt;&gt;〇〇(合意形成対象者名に書き換え)")=3,COUNTIF($E204:$E209,"")&gt;3),"",IF(PRODUCT($Y204:$Y209)=1,Z204,""))</f>
        <v/>
      </c>
      <c r="S202" s="175"/>
      <c r="T202" s="175"/>
      <c r="U202" s="175"/>
      <c r="V202" s="175"/>
      <c r="W202" s="175"/>
      <c r="X202" s="175"/>
      <c r="Y202" s="175"/>
      <c r="Z202" s="175"/>
      <c r="AA202" s="175">
        <f t="shared" si="95"/>
        <v>1</v>
      </c>
    </row>
    <row r="203" spans="1:27" ht="63.75" customHeight="1">
      <c r="B203" s="95"/>
      <c r="C203" s="96"/>
      <c r="D203" s="97"/>
      <c r="E203" s="372"/>
      <c r="F203" s="313" t="s">
        <v>268</v>
      </c>
      <c r="G203" s="313" t="s">
        <v>271</v>
      </c>
      <c r="H203" s="313" t="s">
        <v>272</v>
      </c>
      <c r="I203" s="313" t="s">
        <v>269</v>
      </c>
      <c r="J203" s="313" t="s">
        <v>434</v>
      </c>
      <c r="K203" s="313" t="s">
        <v>435</v>
      </c>
      <c r="L203" s="313" t="s">
        <v>270</v>
      </c>
      <c r="M203" s="98"/>
      <c r="N203" s="11"/>
      <c r="R203" s="126" t="s">
        <v>299</v>
      </c>
      <c r="S203" s="257" t="s">
        <v>423</v>
      </c>
      <c r="T203" s="126" t="s">
        <v>424</v>
      </c>
      <c r="U203" s="296" t="s">
        <v>436</v>
      </c>
      <c r="V203" s="256" t="s">
        <v>270</v>
      </c>
      <c r="W203" s="126" t="s">
        <v>426</v>
      </c>
      <c r="X203" s="129" t="s">
        <v>402</v>
      </c>
      <c r="Y203" s="129" t="s">
        <v>430</v>
      </c>
      <c r="Z203" s="126" t="s">
        <v>425</v>
      </c>
      <c r="AA203" s="255"/>
    </row>
    <row r="204" spans="1:27" hidden="1">
      <c r="B204" s="95"/>
      <c r="C204" s="96"/>
      <c r="D204" s="97"/>
      <c r="E204" s="442"/>
      <c r="F204" s="443"/>
      <c r="G204" s="439"/>
      <c r="H204" s="443"/>
      <c r="I204" s="439"/>
      <c r="J204" s="443"/>
      <c r="K204" s="439"/>
      <c r="L204" s="444"/>
      <c r="M204" s="98"/>
      <c r="N204" s="11"/>
      <c r="R204" s="129">
        <f t="shared" ref="R204:R209" si="96">IF(F204="実施済",1,0)</f>
        <v>0</v>
      </c>
      <c r="S204" s="258"/>
      <c r="T204" s="129">
        <f t="shared" ref="T204:T209" si="97">IF(AND(H204="実施済",I204="実施済"),R204*1,0)</f>
        <v>0</v>
      </c>
      <c r="U204" s="129">
        <f>IF(AND(J204="実施済",K204="実施済"),$T204*1,0)</f>
        <v>0</v>
      </c>
      <c r="V204" s="258"/>
      <c r="W204" s="129" t="str">
        <f>IF(OR(E204="〇〇(合意形成対象者名に書き換え)",E204=""),"",SUM(R204,T204,U204))</f>
        <v/>
      </c>
      <c r="X204" s="129">
        <f t="shared" ref="X204:X209" si="98">MIN($W$204:$W$209)+1</f>
        <v>1</v>
      </c>
      <c r="Y204" s="129">
        <f>IF(E204="",1,IF(AND(E204="〇〇(合意形成対象者名に書き換え)",COUNTA($F204:$L204)=0),1,IF(AND(E204&lt;&gt;"〇〇(合意形成対象者名に書き換え)",COUNTA($F204:$L204)=7),1,0)))</f>
        <v>1</v>
      </c>
      <c r="Z204" s="129" t="str" cm="1">
        <f t="array" ref="Z204">_xlfn.IFS(X204=4,"A",X204=3,"B",X204=2,"C",X204=1,"D")</f>
        <v>D</v>
      </c>
      <c r="AA204" s="255"/>
    </row>
    <row r="205" spans="1:27">
      <c r="B205" s="95"/>
      <c r="C205" s="96"/>
      <c r="D205" s="97"/>
      <c r="E205" s="447" t="s">
        <v>129</v>
      </c>
      <c r="F205" s="446"/>
      <c r="G205" s="441"/>
      <c r="H205" s="446"/>
      <c r="I205" s="441"/>
      <c r="J205" s="446"/>
      <c r="K205" s="441"/>
      <c r="L205" s="441"/>
      <c r="M205" s="98"/>
      <c r="N205" s="11"/>
      <c r="R205" s="129">
        <f t="shared" si="96"/>
        <v>0</v>
      </c>
      <c r="S205" s="258"/>
      <c r="T205" s="129">
        <f t="shared" si="97"/>
        <v>0</v>
      </c>
      <c r="U205" s="129">
        <f t="shared" ref="U205:U207" si="99">IF(AND(J205="実施済",K205="実施済"),$T205*1,0)</f>
        <v>0</v>
      </c>
      <c r="V205" s="258"/>
      <c r="W205" s="129" t="str">
        <f t="shared" ref="W205:W209" si="100">IF(OR(E205="〇〇(合意形成対象者名に書き換え)",E205=""),"",SUM(R205,T205,U205))</f>
        <v/>
      </c>
      <c r="X205" s="129">
        <f t="shared" si="98"/>
        <v>1</v>
      </c>
      <c r="Y205" s="129">
        <f t="shared" ref="Y205:Y209" si="101">IF(E205="",1,IF(AND(E205="〇〇(合意形成対象者名に書き換え)",COUNTA($F205:$L205)=0),1,IF(AND(E205&lt;&gt;"〇〇(合意形成対象者名に書き換え)",COUNTA($F205:$L205)=7),1,0)))</f>
        <v>1</v>
      </c>
      <c r="Z205" s="129" t="str" cm="1">
        <f t="array" ref="Z205">_xlfn.IFS(X205=4,"A",X205=3,"B",X205=2,"C",X205=1,"D")</f>
        <v>D</v>
      </c>
      <c r="AA205" s="255"/>
    </row>
    <row r="206" spans="1:27">
      <c r="B206" s="95"/>
      <c r="C206" s="96"/>
      <c r="D206" s="97"/>
      <c r="E206" s="447" t="s">
        <v>129</v>
      </c>
      <c r="F206" s="446"/>
      <c r="G206" s="441"/>
      <c r="H206" s="446"/>
      <c r="I206" s="441"/>
      <c r="J206" s="446"/>
      <c r="K206" s="441"/>
      <c r="L206" s="441"/>
      <c r="M206" s="98"/>
      <c r="N206" s="11"/>
      <c r="R206" s="129">
        <f t="shared" si="96"/>
        <v>0</v>
      </c>
      <c r="S206" s="258"/>
      <c r="T206" s="129">
        <f t="shared" si="97"/>
        <v>0</v>
      </c>
      <c r="U206" s="129">
        <f t="shared" si="99"/>
        <v>0</v>
      </c>
      <c r="V206" s="258"/>
      <c r="W206" s="129" t="str">
        <f t="shared" si="100"/>
        <v/>
      </c>
      <c r="X206" s="129">
        <f t="shared" si="98"/>
        <v>1</v>
      </c>
      <c r="Y206" s="129">
        <f t="shared" si="101"/>
        <v>1</v>
      </c>
      <c r="Z206" s="129" t="str" cm="1">
        <f t="array" ref="Z206">_xlfn.IFS(X206=4,"A",X206=3,"B",X206=2,"C",X206=1,"D")</f>
        <v>D</v>
      </c>
      <c r="AA206" s="255"/>
    </row>
    <row r="207" spans="1:27" s="99" customFormat="1">
      <c r="A207" s="11"/>
      <c r="B207" s="95"/>
      <c r="C207" s="96"/>
      <c r="D207" s="97"/>
      <c r="E207" s="447" t="s">
        <v>129</v>
      </c>
      <c r="F207" s="446"/>
      <c r="G207" s="441"/>
      <c r="H207" s="446"/>
      <c r="I207" s="441"/>
      <c r="J207" s="446"/>
      <c r="K207" s="441"/>
      <c r="L207" s="441"/>
      <c r="M207" s="98"/>
      <c r="N207" s="11"/>
      <c r="Q207" s="11"/>
      <c r="R207" s="129">
        <f t="shared" si="96"/>
        <v>0</v>
      </c>
      <c r="S207" s="258"/>
      <c r="T207" s="129">
        <f t="shared" si="97"/>
        <v>0</v>
      </c>
      <c r="U207" s="129">
        <f t="shared" si="99"/>
        <v>0</v>
      </c>
      <c r="V207" s="258"/>
      <c r="W207" s="129" t="str">
        <f t="shared" si="100"/>
        <v/>
      </c>
      <c r="X207" s="129">
        <f t="shared" si="98"/>
        <v>1</v>
      </c>
      <c r="Y207" s="129">
        <f t="shared" si="101"/>
        <v>1</v>
      </c>
      <c r="Z207" s="129" t="str" cm="1">
        <f t="array" ref="Z207">_xlfn.IFS(X207=4,"A",X207=3,"B",X207=2,"C",X207=1,"D")</f>
        <v>D</v>
      </c>
      <c r="AA207" s="129"/>
    </row>
    <row r="208" spans="1:27" customFormat="1" ht="7.5" customHeight="1">
      <c r="B208" s="65"/>
      <c r="C208" s="4"/>
      <c r="D208" s="4"/>
      <c r="E208" s="4"/>
      <c r="F208" s="4"/>
      <c r="G208" s="4"/>
      <c r="H208" s="4"/>
      <c r="I208" s="4"/>
      <c r="J208" s="4"/>
      <c r="K208" s="4"/>
      <c r="L208" s="4"/>
      <c r="M208" s="9"/>
      <c r="N208" s="2"/>
      <c r="O208" s="2"/>
      <c r="P208" s="2"/>
      <c r="R208" s="129">
        <f t="shared" si="96"/>
        <v>0</v>
      </c>
      <c r="S208" s="258"/>
      <c r="T208" s="129">
        <f t="shared" si="97"/>
        <v>0</v>
      </c>
      <c r="U208" s="129">
        <f>IF(AND(J208="実施済",K208="実施済"),$T208*1,0)</f>
        <v>0</v>
      </c>
      <c r="V208" s="258"/>
      <c r="W208" s="129" t="str">
        <f t="shared" si="100"/>
        <v/>
      </c>
      <c r="X208" s="129">
        <f t="shared" si="98"/>
        <v>1</v>
      </c>
      <c r="Y208" s="129">
        <f t="shared" si="101"/>
        <v>1</v>
      </c>
      <c r="Z208" s="129" t="str" cm="1">
        <f t="array" ref="Z208">_xlfn.IFS(X208=4,"A",X208=3,"B",X208=2,"C",X208=1,"D")</f>
        <v>D</v>
      </c>
      <c r="AA208" s="175"/>
    </row>
    <row r="209" spans="1:27" customFormat="1" ht="18" customHeight="1">
      <c r="N209" s="2"/>
      <c r="O209" s="2"/>
      <c r="P209" s="2"/>
      <c r="R209" s="129">
        <f t="shared" si="96"/>
        <v>0</v>
      </c>
      <c r="S209" s="258"/>
      <c r="T209" s="129">
        <f t="shared" si="97"/>
        <v>0</v>
      </c>
      <c r="U209" s="129">
        <f t="shared" ref="U209" si="102">IF(AND(J209="実施済",K209="実施済"),$T209*1,0)</f>
        <v>0</v>
      </c>
      <c r="V209" s="258"/>
      <c r="W209" s="129" t="str">
        <f t="shared" si="100"/>
        <v/>
      </c>
      <c r="X209" s="129">
        <f t="shared" si="98"/>
        <v>1</v>
      </c>
      <c r="Y209" s="129">
        <f t="shared" si="101"/>
        <v>1</v>
      </c>
      <c r="Z209" s="129" t="str" cm="1">
        <f t="array" ref="Z209">_xlfn.IFS(X209=4,"A",X209=3,"B",X209=2,"C",X209=1,"D")</f>
        <v>D</v>
      </c>
      <c r="AA209" s="175"/>
    </row>
    <row r="210" spans="1:27" customFormat="1" ht="103.5" customHeight="1">
      <c r="C210" s="78"/>
      <c r="D210" s="79"/>
      <c r="E210" s="71" t="s">
        <v>236</v>
      </c>
      <c r="F210" s="1452"/>
      <c r="G210" s="1452"/>
      <c r="H210" s="1452"/>
      <c r="I210" s="1452"/>
      <c r="J210" s="1452"/>
      <c r="K210" s="1452"/>
      <c r="L210" s="1452"/>
      <c r="M210" s="80" t="s">
        <v>132</v>
      </c>
      <c r="N210" s="80"/>
    </row>
    <row r="211" spans="1:27" customFormat="1" ht="146.25" customHeight="1">
      <c r="C211" s="75"/>
      <c r="D211" s="68"/>
      <c r="E211" s="71" t="s">
        <v>235</v>
      </c>
      <c r="F211" s="1452"/>
      <c r="G211" s="1452"/>
      <c r="H211" s="1452"/>
      <c r="I211" s="1452"/>
      <c r="J211" s="1452"/>
      <c r="K211" s="1452"/>
      <c r="L211" s="1452"/>
      <c r="N211" s="2"/>
      <c r="O211" s="2"/>
      <c r="P211" s="2"/>
    </row>
    <row r="212" spans="1:27" customFormat="1" ht="13.5" customHeight="1" thickBot="1">
      <c r="A212" s="81"/>
      <c r="B212" s="81"/>
      <c r="C212" s="81"/>
      <c r="D212" s="81"/>
      <c r="E212" s="81"/>
      <c r="F212" s="81"/>
      <c r="G212" s="81"/>
      <c r="H212" s="81"/>
      <c r="I212" s="81"/>
      <c r="J212" s="81"/>
      <c r="K212" s="81"/>
      <c r="L212" s="81"/>
      <c r="M212" s="81"/>
      <c r="N212" s="82"/>
      <c r="O212" s="2"/>
      <c r="P212" s="2"/>
    </row>
    <row r="213" spans="1:27" customFormat="1" ht="13.5" customHeight="1">
      <c r="N213" s="2"/>
      <c r="O213" s="2"/>
      <c r="P213" s="2"/>
    </row>
    <row r="214" spans="1:27" customFormat="1" ht="15" customHeight="1">
      <c r="B214" s="10"/>
      <c r="C214" s="5"/>
      <c r="D214" s="5"/>
      <c r="E214" s="5"/>
      <c r="F214" s="5"/>
      <c r="G214" s="5"/>
      <c r="H214" s="5"/>
      <c r="I214" s="5"/>
      <c r="J214" s="5"/>
      <c r="K214" s="5"/>
      <c r="L214" s="5"/>
      <c r="M214" s="6"/>
      <c r="R214" s="11" t="str">
        <f>D215</f>
        <v>(選択してください)</v>
      </c>
    </row>
    <row r="215" spans="1:27" customFormat="1">
      <c r="B215" s="7"/>
      <c r="C215" s="77" t="str">
        <f ca="1">IFERROR(OFFSET('4.2民生電力需要量'!$C$1,MATCH(D215,'4.2民生電力需要量'!$E:$E,0)-1,0),"")</f>
        <v/>
      </c>
      <c r="D215" s="94" t="s">
        <v>130</v>
      </c>
      <c r="E215" s="72" t="s">
        <v>131</v>
      </c>
      <c r="F215" s="1451" t="str">
        <f ca="1">IFERROR(OFFSET('4.2民生電力需要量'!$G$1,MATCH($D215,'4.2民生電力需要量'!$E:$E,0)-1,0),"")</f>
        <v/>
      </c>
      <c r="G215" s="1451"/>
      <c r="H215" s="1451"/>
      <c r="I215" s="1451"/>
      <c r="J215" s="1451"/>
      <c r="K215" s="1451"/>
      <c r="L215" s="1451"/>
      <c r="M215" s="8"/>
      <c r="R215" s="255" t="str">
        <f ca="1">IFERROR(OFFSET('4.2民生電力需要量'!$G$1,MATCH($D215,'4.2民生電力需要量'!$E:$E,0)-1,0),"")</f>
        <v/>
      </c>
      <c r="S215" s="175"/>
      <c r="T215" s="175"/>
      <c r="U215" s="175"/>
      <c r="V215" s="175"/>
      <c r="W215" s="175"/>
      <c r="X215" s="175"/>
      <c r="Y215" s="175"/>
      <c r="Z215" s="175"/>
      <c r="AA215" s="175">
        <f ca="1">(F215=R215)*1</f>
        <v>1</v>
      </c>
    </row>
    <row r="216" spans="1:27" customFormat="1">
      <c r="B216" s="7"/>
      <c r="C216" s="915"/>
      <c r="D216" s="97"/>
      <c r="E216" s="72" t="s">
        <v>612</v>
      </c>
      <c r="F216" s="1447" t="str">
        <f ca="1">IFERROR(OFFSET('4.2民生電力需要量'!$L$1,MATCH($D215,'4.2民生電力需要量'!$E:$E,0)-1,0),"")</f>
        <v/>
      </c>
      <c r="G216" s="1448"/>
      <c r="H216" s="1448"/>
      <c r="I216" s="1448"/>
      <c r="J216" s="1448"/>
      <c r="K216" s="1448"/>
      <c r="L216" s="1449"/>
      <c r="M216" s="8"/>
      <c r="R216" s="255" t="str">
        <f ca="1">IFERROR(OFFSET('4.2民生電力需要量'!$L$1,MATCH($D215,'4.2民生電力需要量'!$E:$E,0)-1,0),"")</f>
        <v/>
      </c>
      <c r="S216" s="175"/>
      <c r="T216" s="175"/>
      <c r="U216" s="175"/>
      <c r="V216" s="175"/>
      <c r="W216" s="175"/>
      <c r="X216" s="175"/>
      <c r="Y216" s="175"/>
      <c r="Z216" s="175"/>
      <c r="AA216" s="175">
        <f ca="1">(F216=R216)*1</f>
        <v>1</v>
      </c>
    </row>
    <row r="217" spans="1:27" customFormat="1">
      <c r="B217" s="7"/>
      <c r="C217" s="74"/>
      <c r="D217" s="66"/>
      <c r="E217" s="72" t="s">
        <v>220</v>
      </c>
      <c r="F217" s="1450" t="str">
        <f ca="1">IFERROR(OFFSET('4.2民生電力需要量'!$I$1,MATCH($D215,'4.2民生電力需要量'!$E:$E,0)-1,0),"")</f>
        <v/>
      </c>
      <c r="G217" s="1450"/>
      <c r="H217" s="1450"/>
      <c r="I217" s="1450"/>
      <c r="J217" s="1450"/>
      <c r="K217" s="1450"/>
      <c r="L217" s="1450"/>
      <c r="M217" s="8"/>
      <c r="R217" s="255" t="str">
        <f ca="1">IFERROR(OFFSET('4.2民生電力需要量'!$I$1,MATCH($D215,'4.2民生電力需要量'!$E:$E,0)-1,0),"")</f>
        <v/>
      </c>
      <c r="S217" s="175"/>
      <c r="T217" s="175"/>
      <c r="U217" s="175"/>
      <c r="V217" s="175"/>
      <c r="W217" s="175"/>
      <c r="X217" s="175"/>
      <c r="Y217" s="175"/>
      <c r="Z217" s="175"/>
      <c r="AA217" s="175">
        <f t="shared" ref="AA217:AA218" ca="1" si="103">(F217=R217)*1</f>
        <v>1</v>
      </c>
    </row>
    <row r="218" spans="1:27" customFormat="1">
      <c r="B218" s="7"/>
      <c r="C218" s="74"/>
      <c r="D218" s="66"/>
      <c r="E218" s="72" t="s">
        <v>175</v>
      </c>
      <c r="F218" s="1451" t="str">
        <f>_xlfn.IFNA(R218,"")</f>
        <v/>
      </c>
      <c r="G218" s="1451"/>
      <c r="H218" s="1451"/>
      <c r="I218" s="1451"/>
      <c r="J218" s="1451"/>
      <c r="K218" s="1451"/>
      <c r="L218" s="1451"/>
      <c r="M218" s="8"/>
      <c r="R218" s="129" t="str">
        <f>IF(OR(COUNTIF($E220:$E225,"&lt;&gt;〇〇(合意形成対象者名に書き換え)")=3,COUNTIF($E220:$E225,"")&gt;3),"",IF(PRODUCT($Y220:$Y225)=1,Z220,""))</f>
        <v/>
      </c>
      <c r="S218" s="175"/>
      <c r="T218" s="175"/>
      <c r="U218" s="175"/>
      <c r="V218" s="175"/>
      <c r="W218" s="175"/>
      <c r="X218" s="175"/>
      <c r="Y218" s="175"/>
      <c r="Z218" s="175"/>
      <c r="AA218" s="175">
        <f t="shared" si="103"/>
        <v>1</v>
      </c>
    </row>
    <row r="219" spans="1:27" ht="63.75" customHeight="1">
      <c r="B219" s="95"/>
      <c r="C219" s="96"/>
      <c r="D219" s="97"/>
      <c r="E219" s="372"/>
      <c r="F219" s="313" t="s">
        <v>268</v>
      </c>
      <c r="G219" s="313" t="s">
        <v>271</v>
      </c>
      <c r="H219" s="313" t="s">
        <v>272</v>
      </c>
      <c r="I219" s="313" t="s">
        <v>269</v>
      </c>
      <c r="J219" s="313" t="s">
        <v>434</v>
      </c>
      <c r="K219" s="313" t="s">
        <v>435</v>
      </c>
      <c r="L219" s="313" t="s">
        <v>270</v>
      </c>
      <c r="M219" s="98"/>
      <c r="N219" s="11"/>
      <c r="R219" s="126" t="s">
        <v>299</v>
      </c>
      <c r="S219" s="257" t="s">
        <v>423</v>
      </c>
      <c r="T219" s="126" t="s">
        <v>424</v>
      </c>
      <c r="U219" s="296" t="s">
        <v>436</v>
      </c>
      <c r="V219" s="256" t="s">
        <v>270</v>
      </c>
      <c r="W219" s="126" t="s">
        <v>426</v>
      </c>
      <c r="X219" s="129" t="s">
        <v>402</v>
      </c>
      <c r="Y219" s="129" t="s">
        <v>430</v>
      </c>
      <c r="Z219" s="126" t="s">
        <v>425</v>
      </c>
      <c r="AA219" s="255"/>
    </row>
    <row r="220" spans="1:27" hidden="1">
      <c r="B220" s="95"/>
      <c r="C220" s="96"/>
      <c r="D220" s="97"/>
      <c r="E220" s="442"/>
      <c r="F220" s="443"/>
      <c r="G220" s="439"/>
      <c r="H220" s="443"/>
      <c r="I220" s="439"/>
      <c r="J220" s="443"/>
      <c r="K220" s="439"/>
      <c r="L220" s="444"/>
      <c r="M220" s="98"/>
      <c r="N220" s="11"/>
      <c r="R220" s="129">
        <f t="shared" ref="R220:R225" si="104">IF(F220="実施済",1,0)</f>
        <v>0</v>
      </c>
      <c r="S220" s="258"/>
      <c r="T220" s="129">
        <f t="shared" ref="T220:T225" si="105">IF(AND(H220="実施済",I220="実施済"),R220*1,0)</f>
        <v>0</v>
      </c>
      <c r="U220" s="129">
        <f>IF(AND(J220="実施済",K220="実施済"),$T220*1,0)</f>
        <v>0</v>
      </c>
      <c r="V220" s="258"/>
      <c r="W220" s="129" t="str">
        <f>IF(OR(E220="〇〇(合意形成対象者名に書き換え)",E220=""),"",SUM(R220,T220,U220))</f>
        <v/>
      </c>
      <c r="X220" s="129">
        <f t="shared" ref="X220:X225" si="106">MIN($W$220:$W$225)+1</f>
        <v>1</v>
      </c>
      <c r="Y220" s="129">
        <f>IF(E220="",1,IF(AND(E220="〇〇(合意形成対象者名に書き換え)",COUNTA($F220:$L220)=0),1,IF(AND(E220&lt;&gt;"〇〇(合意形成対象者名に書き換え)",COUNTA($F220:$L220)=7),1,0)))</f>
        <v>1</v>
      </c>
      <c r="Z220" s="129" t="str" cm="1">
        <f t="array" ref="Z220">_xlfn.IFS(X220=4,"A",X220=3,"B",X220=2,"C",X220=1,"D")</f>
        <v>D</v>
      </c>
      <c r="AA220" s="255"/>
    </row>
    <row r="221" spans="1:27">
      <c r="B221" s="95"/>
      <c r="C221" s="96"/>
      <c r="D221" s="97"/>
      <c r="E221" s="447" t="s">
        <v>129</v>
      </c>
      <c r="F221" s="446"/>
      <c r="G221" s="441"/>
      <c r="H221" s="446"/>
      <c r="I221" s="441"/>
      <c r="J221" s="446"/>
      <c r="K221" s="441"/>
      <c r="L221" s="441"/>
      <c r="M221" s="98"/>
      <c r="N221" s="11"/>
      <c r="R221" s="129">
        <f t="shared" si="104"/>
        <v>0</v>
      </c>
      <c r="S221" s="258"/>
      <c r="T221" s="129">
        <f t="shared" si="105"/>
        <v>0</v>
      </c>
      <c r="U221" s="129">
        <f t="shared" ref="U221:U223" si="107">IF(AND(J221="実施済",K221="実施済"),$T221*1,0)</f>
        <v>0</v>
      </c>
      <c r="V221" s="258"/>
      <c r="W221" s="129" t="str">
        <f t="shared" ref="W221:W225" si="108">IF(OR(E221="〇〇(合意形成対象者名に書き換え)",E221=""),"",SUM(R221,T221,U221))</f>
        <v/>
      </c>
      <c r="X221" s="129">
        <f t="shared" si="106"/>
        <v>1</v>
      </c>
      <c r="Y221" s="129">
        <f t="shared" ref="Y221:Y225" si="109">IF(E221="",1,IF(AND(E221="〇〇(合意形成対象者名に書き換え)",COUNTA($F221:$L221)=0),1,IF(AND(E221&lt;&gt;"〇〇(合意形成対象者名に書き換え)",COUNTA($F221:$L221)=7),1,0)))</f>
        <v>1</v>
      </c>
      <c r="Z221" s="129" t="str" cm="1">
        <f t="array" ref="Z221">_xlfn.IFS(X221=4,"A",X221=3,"B",X221=2,"C",X221=1,"D")</f>
        <v>D</v>
      </c>
      <c r="AA221" s="255"/>
    </row>
    <row r="222" spans="1:27">
      <c r="B222" s="95"/>
      <c r="C222" s="96"/>
      <c r="D222" s="97"/>
      <c r="E222" s="447" t="s">
        <v>129</v>
      </c>
      <c r="F222" s="446"/>
      <c r="G222" s="441"/>
      <c r="H222" s="446"/>
      <c r="I222" s="441"/>
      <c r="J222" s="446"/>
      <c r="K222" s="441"/>
      <c r="L222" s="441"/>
      <c r="M222" s="98"/>
      <c r="N222" s="11"/>
      <c r="R222" s="129">
        <f t="shared" si="104"/>
        <v>0</v>
      </c>
      <c r="S222" s="258"/>
      <c r="T222" s="129">
        <f t="shared" si="105"/>
        <v>0</v>
      </c>
      <c r="U222" s="129">
        <f t="shared" si="107"/>
        <v>0</v>
      </c>
      <c r="V222" s="258"/>
      <c r="W222" s="129" t="str">
        <f t="shared" si="108"/>
        <v/>
      </c>
      <c r="X222" s="129">
        <f t="shared" si="106"/>
        <v>1</v>
      </c>
      <c r="Y222" s="129">
        <f t="shared" si="109"/>
        <v>1</v>
      </c>
      <c r="Z222" s="129" t="str" cm="1">
        <f t="array" ref="Z222">_xlfn.IFS(X222=4,"A",X222=3,"B",X222=2,"C",X222=1,"D")</f>
        <v>D</v>
      </c>
      <c r="AA222" s="255"/>
    </row>
    <row r="223" spans="1:27" s="99" customFormat="1">
      <c r="A223" s="11"/>
      <c r="B223" s="95"/>
      <c r="C223" s="96"/>
      <c r="D223" s="97"/>
      <c r="E223" s="447" t="s">
        <v>129</v>
      </c>
      <c r="F223" s="446"/>
      <c r="G223" s="441"/>
      <c r="H223" s="446"/>
      <c r="I223" s="441"/>
      <c r="J223" s="446"/>
      <c r="K223" s="441"/>
      <c r="L223" s="441"/>
      <c r="M223" s="98"/>
      <c r="N223" s="11"/>
      <c r="Q223" s="11"/>
      <c r="R223" s="129">
        <f t="shared" si="104"/>
        <v>0</v>
      </c>
      <c r="S223" s="258"/>
      <c r="T223" s="129">
        <f t="shared" si="105"/>
        <v>0</v>
      </c>
      <c r="U223" s="129">
        <f t="shared" si="107"/>
        <v>0</v>
      </c>
      <c r="V223" s="258"/>
      <c r="W223" s="129" t="str">
        <f t="shared" si="108"/>
        <v/>
      </c>
      <c r="X223" s="129">
        <f t="shared" si="106"/>
        <v>1</v>
      </c>
      <c r="Y223" s="129">
        <f t="shared" si="109"/>
        <v>1</v>
      </c>
      <c r="Z223" s="129" t="str" cm="1">
        <f t="array" ref="Z223">_xlfn.IFS(X223=4,"A",X223=3,"B",X223=2,"C",X223=1,"D")</f>
        <v>D</v>
      </c>
      <c r="AA223" s="129"/>
    </row>
    <row r="224" spans="1:27" customFormat="1" ht="7.5" customHeight="1">
      <c r="B224" s="65"/>
      <c r="C224" s="4"/>
      <c r="D224" s="4"/>
      <c r="E224" s="4"/>
      <c r="F224" s="4"/>
      <c r="G224" s="4"/>
      <c r="H224" s="4"/>
      <c r="I224" s="4"/>
      <c r="J224" s="4"/>
      <c r="K224" s="4"/>
      <c r="L224" s="4"/>
      <c r="M224" s="9"/>
      <c r="N224" s="2"/>
      <c r="O224" s="2"/>
      <c r="P224" s="2"/>
      <c r="R224" s="129">
        <f t="shared" si="104"/>
        <v>0</v>
      </c>
      <c r="S224" s="258"/>
      <c r="T224" s="129">
        <f t="shared" si="105"/>
        <v>0</v>
      </c>
      <c r="U224" s="129">
        <f>IF(AND(J224="実施済",K224="実施済"),$T224*1,0)</f>
        <v>0</v>
      </c>
      <c r="V224" s="258"/>
      <c r="W224" s="129" t="str">
        <f t="shared" si="108"/>
        <v/>
      </c>
      <c r="X224" s="129">
        <f t="shared" si="106"/>
        <v>1</v>
      </c>
      <c r="Y224" s="129">
        <f t="shared" si="109"/>
        <v>1</v>
      </c>
      <c r="Z224" s="129" t="str" cm="1">
        <f t="array" ref="Z224">_xlfn.IFS(X224=4,"A",X224=3,"B",X224=2,"C",X224=1,"D")</f>
        <v>D</v>
      </c>
      <c r="AA224" s="175"/>
    </row>
    <row r="225" spans="1:27" customFormat="1" ht="18" customHeight="1">
      <c r="N225" s="2"/>
      <c r="O225" s="2"/>
      <c r="P225" s="2"/>
      <c r="R225" s="129">
        <f t="shared" si="104"/>
        <v>0</v>
      </c>
      <c r="S225" s="258"/>
      <c r="T225" s="129">
        <f t="shared" si="105"/>
        <v>0</v>
      </c>
      <c r="U225" s="129">
        <f t="shared" ref="U225" si="110">IF(AND(J225="実施済",K225="実施済"),$T225*1,0)</f>
        <v>0</v>
      </c>
      <c r="V225" s="258"/>
      <c r="W225" s="129" t="str">
        <f t="shared" si="108"/>
        <v/>
      </c>
      <c r="X225" s="129">
        <f t="shared" si="106"/>
        <v>1</v>
      </c>
      <c r="Y225" s="129">
        <f t="shared" si="109"/>
        <v>1</v>
      </c>
      <c r="Z225" s="129" t="str" cm="1">
        <f t="array" ref="Z225">_xlfn.IFS(X225=4,"A",X225=3,"B",X225=2,"C",X225=1,"D")</f>
        <v>D</v>
      </c>
      <c r="AA225" s="175"/>
    </row>
    <row r="226" spans="1:27" customFormat="1" ht="103.5" customHeight="1">
      <c r="C226" s="78"/>
      <c r="D226" s="79"/>
      <c r="E226" s="71" t="s">
        <v>236</v>
      </c>
      <c r="F226" s="1452"/>
      <c r="G226" s="1452"/>
      <c r="H226" s="1452"/>
      <c r="I226" s="1452"/>
      <c r="J226" s="1452"/>
      <c r="K226" s="1452"/>
      <c r="L226" s="1452"/>
      <c r="M226" s="80" t="s">
        <v>132</v>
      </c>
      <c r="N226" s="80"/>
    </row>
    <row r="227" spans="1:27" customFormat="1" ht="146.25" customHeight="1">
      <c r="C227" s="75"/>
      <c r="D227" s="68"/>
      <c r="E227" s="71" t="s">
        <v>235</v>
      </c>
      <c r="F227" s="1452"/>
      <c r="G227" s="1452"/>
      <c r="H227" s="1452"/>
      <c r="I227" s="1452"/>
      <c r="J227" s="1452"/>
      <c r="K227" s="1452"/>
      <c r="L227" s="1452"/>
      <c r="N227" s="2"/>
      <c r="O227" s="2"/>
      <c r="P227" s="2"/>
    </row>
    <row r="228" spans="1:27" customFormat="1" ht="13.5" customHeight="1" thickBot="1">
      <c r="A228" s="81"/>
      <c r="B228" s="81"/>
      <c r="C228" s="81"/>
      <c r="D228" s="81"/>
      <c r="E228" s="81"/>
      <c r="F228" s="81"/>
      <c r="G228" s="81"/>
      <c r="H228" s="81"/>
      <c r="I228" s="81"/>
      <c r="J228" s="81"/>
      <c r="K228" s="81"/>
      <c r="L228" s="81"/>
      <c r="M228" s="81"/>
      <c r="N228" s="82"/>
      <c r="O228" s="2"/>
      <c r="P228" s="2"/>
    </row>
    <row r="229" spans="1:27" customFormat="1" ht="13.5" customHeight="1">
      <c r="N229" s="2"/>
      <c r="O229" s="2"/>
      <c r="P229" s="2"/>
    </row>
    <row r="230" spans="1:27" customFormat="1" ht="15" customHeight="1">
      <c r="B230" s="10"/>
      <c r="C230" s="5"/>
      <c r="D230" s="5"/>
      <c r="E230" s="5"/>
      <c r="F230" s="5"/>
      <c r="G230" s="5"/>
      <c r="H230" s="5"/>
      <c r="I230" s="5"/>
      <c r="J230" s="5"/>
      <c r="K230" s="5"/>
      <c r="L230" s="5"/>
      <c r="M230" s="6"/>
      <c r="R230" s="11" t="str">
        <f>D231</f>
        <v>(選択してください)</v>
      </c>
    </row>
    <row r="231" spans="1:27" customFormat="1">
      <c r="B231" s="7"/>
      <c r="C231" s="77" t="str">
        <f ca="1">IFERROR(OFFSET('4.2民生電力需要量'!$C$1,MATCH(D231,'4.2民生電力需要量'!$E:$E,0)-1,0),"")</f>
        <v/>
      </c>
      <c r="D231" s="94" t="s">
        <v>130</v>
      </c>
      <c r="E231" s="72" t="s">
        <v>131</v>
      </c>
      <c r="F231" s="1451" t="str">
        <f ca="1">IFERROR(OFFSET('4.2民生電力需要量'!$G$1,MATCH($D231,'4.2民生電力需要量'!$E:$E,0)-1,0),"")</f>
        <v/>
      </c>
      <c r="G231" s="1451"/>
      <c r="H231" s="1451"/>
      <c r="I231" s="1451"/>
      <c r="J231" s="1451"/>
      <c r="K231" s="1451"/>
      <c r="L231" s="1451"/>
      <c r="M231" s="8"/>
      <c r="R231" s="255" t="str">
        <f ca="1">IFERROR(OFFSET('4.2民生電力需要量'!$G$1,MATCH($D231,'4.2民生電力需要量'!$E:$E,0)-1,0),"")</f>
        <v/>
      </c>
      <c r="S231" s="175"/>
      <c r="T231" s="175"/>
      <c r="U231" s="175"/>
      <c r="V231" s="175"/>
      <c r="W231" s="175"/>
      <c r="X231" s="175"/>
      <c r="Y231" s="175"/>
      <c r="Z231" s="175"/>
      <c r="AA231" s="175">
        <f ca="1">(F231=R231)*1</f>
        <v>1</v>
      </c>
    </row>
    <row r="232" spans="1:27" customFormat="1">
      <c r="B232" s="7"/>
      <c r="C232" s="915"/>
      <c r="D232" s="97"/>
      <c r="E232" s="72" t="s">
        <v>612</v>
      </c>
      <c r="F232" s="1447" t="str">
        <f ca="1">IFERROR(OFFSET('4.2民生電力需要量'!$L$1,MATCH($D231,'4.2民生電力需要量'!$E:$E,0)-1,0),"")</f>
        <v/>
      </c>
      <c r="G232" s="1448"/>
      <c r="H232" s="1448"/>
      <c r="I232" s="1448"/>
      <c r="J232" s="1448"/>
      <c r="K232" s="1448"/>
      <c r="L232" s="1449"/>
      <c r="M232" s="8"/>
      <c r="R232" s="255" t="str">
        <f ca="1">IFERROR(OFFSET('4.2民生電力需要量'!$L$1,MATCH($D231,'4.2民生電力需要量'!$E:$E,0)-1,0),"")</f>
        <v/>
      </c>
      <c r="S232" s="175"/>
      <c r="T232" s="175"/>
      <c r="U232" s="175"/>
      <c r="V232" s="175"/>
      <c r="W232" s="175"/>
      <c r="X232" s="175"/>
      <c r="Y232" s="175"/>
      <c r="Z232" s="175"/>
      <c r="AA232" s="175">
        <f ca="1">(F232=R232)*1</f>
        <v>1</v>
      </c>
    </row>
    <row r="233" spans="1:27" customFormat="1">
      <c r="B233" s="7"/>
      <c r="C233" s="74"/>
      <c r="D233" s="66"/>
      <c r="E233" s="72" t="s">
        <v>220</v>
      </c>
      <c r="F233" s="1450" t="str">
        <f ca="1">IFERROR(OFFSET('4.2民生電力需要量'!$I$1,MATCH($D231,'4.2民生電力需要量'!$E:$E,0)-1,0),"")</f>
        <v/>
      </c>
      <c r="G233" s="1450"/>
      <c r="H233" s="1450"/>
      <c r="I233" s="1450"/>
      <c r="J233" s="1450"/>
      <c r="K233" s="1450"/>
      <c r="L233" s="1450"/>
      <c r="M233" s="8"/>
      <c r="R233" s="255" t="str">
        <f ca="1">IFERROR(OFFSET('4.2民生電力需要量'!$I$1,MATCH($D231,'4.2民生電力需要量'!$E:$E,0)-1,0),"")</f>
        <v/>
      </c>
      <c r="S233" s="175"/>
      <c r="T233" s="175"/>
      <c r="U233" s="175"/>
      <c r="V233" s="175"/>
      <c r="W233" s="175"/>
      <c r="X233" s="175"/>
      <c r="Y233" s="175"/>
      <c r="Z233" s="175"/>
      <c r="AA233" s="175">
        <f t="shared" ref="AA233:AA234" ca="1" si="111">(F233=R233)*1</f>
        <v>1</v>
      </c>
    </row>
    <row r="234" spans="1:27" customFormat="1">
      <c r="B234" s="7"/>
      <c r="C234" s="74"/>
      <c r="D234" s="66"/>
      <c r="E234" s="72" t="s">
        <v>175</v>
      </c>
      <c r="F234" s="1451" t="str">
        <f>_xlfn.IFNA(R234,"")</f>
        <v/>
      </c>
      <c r="G234" s="1451"/>
      <c r="H234" s="1451"/>
      <c r="I234" s="1451"/>
      <c r="J234" s="1451"/>
      <c r="K234" s="1451"/>
      <c r="L234" s="1451"/>
      <c r="M234" s="8"/>
      <c r="R234" s="129" t="str">
        <f>IF(OR(COUNTIF($E236:$E241,"&lt;&gt;〇〇(合意形成対象者名に書き換え)")=3,COUNTIF($E236:$E241,"")&gt;3),"",IF(PRODUCT($Y236:$Y241)=1,Z236,""))</f>
        <v/>
      </c>
      <c r="S234" s="175"/>
      <c r="T234" s="175"/>
      <c r="U234" s="175"/>
      <c r="V234" s="175"/>
      <c r="W234" s="175"/>
      <c r="X234" s="175"/>
      <c r="Y234" s="175"/>
      <c r="Z234" s="175"/>
      <c r="AA234" s="175">
        <f t="shared" si="111"/>
        <v>1</v>
      </c>
    </row>
    <row r="235" spans="1:27" ht="63.75" customHeight="1">
      <c r="B235" s="95"/>
      <c r="C235" s="96"/>
      <c r="D235" s="97"/>
      <c r="E235" s="372"/>
      <c r="F235" s="313" t="s">
        <v>268</v>
      </c>
      <c r="G235" s="313" t="s">
        <v>271</v>
      </c>
      <c r="H235" s="313" t="s">
        <v>272</v>
      </c>
      <c r="I235" s="313" t="s">
        <v>269</v>
      </c>
      <c r="J235" s="313" t="s">
        <v>434</v>
      </c>
      <c r="K235" s="313" t="s">
        <v>435</v>
      </c>
      <c r="L235" s="313" t="s">
        <v>270</v>
      </c>
      <c r="M235" s="98"/>
      <c r="N235" s="11"/>
      <c r="R235" s="126" t="s">
        <v>299</v>
      </c>
      <c r="S235" s="257" t="s">
        <v>423</v>
      </c>
      <c r="T235" s="126" t="s">
        <v>424</v>
      </c>
      <c r="U235" s="296" t="s">
        <v>436</v>
      </c>
      <c r="V235" s="256" t="s">
        <v>270</v>
      </c>
      <c r="W235" s="126" t="s">
        <v>426</v>
      </c>
      <c r="X235" s="129" t="s">
        <v>402</v>
      </c>
      <c r="Y235" s="129" t="s">
        <v>430</v>
      </c>
      <c r="Z235" s="126" t="s">
        <v>425</v>
      </c>
      <c r="AA235" s="255"/>
    </row>
    <row r="236" spans="1:27" hidden="1">
      <c r="B236" s="95"/>
      <c r="C236" s="96"/>
      <c r="D236" s="97"/>
      <c r="E236" s="442"/>
      <c r="F236" s="443"/>
      <c r="G236" s="439"/>
      <c r="H236" s="443"/>
      <c r="I236" s="439"/>
      <c r="J236" s="443"/>
      <c r="K236" s="439"/>
      <c r="L236" s="444"/>
      <c r="M236" s="98"/>
      <c r="N236" s="11"/>
      <c r="R236" s="129">
        <f t="shared" ref="R236:R241" si="112">IF(F236="実施済",1,0)</f>
        <v>0</v>
      </c>
      <c r="S236" s="258"/>
      <c r="T236" s="129">
        <f t="shared" ref="T236:T241" si="113">IF(AND(H236="実施済",I236="実施済"),R236*1,0)</f>
        <v>0</v>
      </c>
      <c r="U236" s="129">
        <f>IF(AND(J236="実施済",K236="実施済"),$T236*1,0)</f>
        <v>0</v>
      </c>
      <c r="V236" s="258"/>
      <c r="W236" s="129" t="str">
        <f>IF(OR(E236="〇〇(合意形成対象者名に書き換え)",E236=""),"",SUM(R236,T236,U236))</f>
        <v/>
      </c>
      <c r="X236" s="129">
        <f t="shared" ref="X236:X241" si="114">MIN($W$236:$W$241)+1</f>
        <v>1</v>
      </c>
      <c r="Y236" s="129">
        <f>IF(E236="",1,IF(AND(E236="〇〇(合意形成対象者名に書き換え)",COUNTA($F236:$L236)=0),1,IF(AND(E236&lt;&gt;"〇〇(合意形成対象者名に書き換え)",COUNTA($F236:$L236)=7),1,0)))</f>
        <v>1</v>
      </c>
      <c r="Z236" s="129" t="str" cm="1">
        <f t="array" ref="Z236">_xlfn.IFS(X236=4,"A",X236=3,"B",X236=2,"C",X236=1,"D")</f>
        <v>D</v>
      </c>
      <c r="AA236" s="255"/>
    </row>
    <row r="237" spans="1:27">
      <c r="B237" s="95"/>
      <c r="C237" s="96"/>
      <c r="D237" s="97"/>
      <c r="E237" s="447" t="s">
        <v>129</v>
      </c>
      <c r="F237" s="446"/>
      <c r="G237" s="441"/>
      <c r="H237" s="446"/>
      <c r="I237" s="441"/>
      <c r="J237" s="446"/>
      <c r="K237" s="441"/>
      <c r="L237" s="441"/>
      <c r="M237" s="98"/>
      <c r="N237" s="11"/>
      <c r="R237" s="129">
        <f t="shared" si="112"/>
        <v>0</v>
      </c>
      <c r="S237" s="258"/>
      <c r="T237" s="129">
        <f t="shared" si="113"/>
        <v>0</v>
      </c>
      <c r="U237" s="129">
        <f t="shared" ref="U237:U239" si="115">IF(AND(J237="実施済",K237="実施済"),$T237*1,0)</f>
        <v>0</v>
      </c>
      <c r="V237" s="258"/>
      <c r="W237" s="129" t="str">
        <f t="shared" ref="W237:W241" si="116">IF(OR(E237="〇〇(合意形成対象者名に書き換え)",E237=""),"",SUM(R237,T237,U237))</f>
        <v/>
      </c>
      <c r="X237" s="129">
        <f t="shared" si="114"/>
        <v>1</v>
      </c>
      <c r="Y237" s="129">
        <f t="shared" ref="Y237:Y241" si="117">IF(E237="",1,IF(AND(E237="〇〇(合意形成対象者名に書き換え)",COUNTA($F237:$L237)=0),1,IF(AND(E237&lt;&gt;"〇〇(合意形成対象者名に書き換え)",COUNTA($F237:$L237)=7),1,0)))</f>
        <v>1</v>
      </c>
      <c r="Z237" s="129" t="str" cm="1">
        <f t="array" ref="Z237">_xlfn.IFS(X237=4,"A",X237=3,"B",X237=2,"C",X237=1,"D")</f>
        <v>D</v>
      </c>
      <c r="AA237" s="255"/>
    </row>
    <row r="238" spans="1:27">
      <c r="B238" s="95"/>
      <c r="C238" s="96"/>
      <c r="D238" s="97"/>
      <c r="E238" s="447" t="s">
        <v>129</v>
      </c>
      <c r="F238" s="446"/>
      <c r="G238" s="441"/>
      <c r="H238" s="446"/>
      <c r="I238" s="441"/>
      <c r="J238" s="446"/>
      <c r="K238" s="441"/>
      <c r="L238" s="441"/>
      <c r="M238" s="98"/>
      <c r="N238" s="11"/>
      <c r="R238" s="129">
        <f t="shared" si="112"/>
        <v>0</v>
      </c>
      <c r="S238" s="258"/>
      <c r="T238" s="129">
        <f t="shared" si="113"/>
        <v>0</v>
      </c>
      <c r="U238" s="129">
        <f t="shared" si="115"/>
        <v>0</v>
      </c>
      <c r="V238" s="258"/>
      <c r="W238" s="129" t="str">
        <f t="shared" si="116"/>
        <v/>
      </c>
      <c r="X238" s="129">
        <f t="shared" si="114"/>
        <v>1</v>
      </c>
      <c r="Y238" s="129">
        <f t="shared" si="117"/>
        <v>1</v>
      </c>
      <c r="Z238" s="129" t="str" cm="1">
        <f t="array" ref="Z238">_xlfn.IFS(X238=4,"A",X238=3,"B",X238=2,"C",X238=1,"D")</f>
        <v>D</v>
      </c>
      <c r="AA238" s="255"/>
    </row>
    <row r="239" spans="1:27" s="99" customFormat="1">
      <c r="A239" s="11"/>
      <c r="B239" s="95"/>
      <c r="C239" s="96"/>
      <c r="D239" s="97"/>
      <c r="E239" s="447" t="s">
        <v>129</v>
      </c>
      <c r="F239" s="446"/>
      <c r="G239" s="441"/>
      <c r="H239" s="446"/>
      <c r="I239" s="441"/>
      <c r="J239" s="446"/>
      <c r="K239" s="441"/>
      <c r="L239" s="441"/>
      <c r="M239" s="98"/>
      <c r="N239" s="11"/>
      <c r="Q239" s="11"/>
      <c r="R239" s="129">
        <f t="shared" si="112"/>
        <v>0</v>
      </c>
      <c r="S239" s="258"/>
      <c r="T239" s="129">
        <f t="shared" si="113"/>
        <v>0</v>
      </c>
      <c r="U239" s="129">
        <f t="shared" si="115"/>
        <v>0</v>
      </c>
      <c r="V239" s="258"/>
      <c r="W239" s="129" t="str">
        <f t="shared" si="116"/>
        <v/>
      </c>
      <c r="X239" s="129">
        <f t="shared" si="114"/>
        <v>1</v>
      </c>
      <c r="Y239" s="129">
        <f t="shared" si="117"/>
        <v>1</v>
      </c>
      <c r="Z239" s="129" t="str" cm="1">
        <f t="array" ref="Z239">_xlfn.IFS(X239=4,"A",X239=3,"B",X239=2,"C",X239=1,"D")</f>
        <v>D</v>
      </c>
      <c r="AA239" s="129"/>
    </row>
    <row r="240" spans="1:27" customFormat="1" ht="7.5" customHeight="1">
      <c r="B240" s="65"/>
      <c r="C240" s="4"/>
      <c r="D240" s="4"/>
      <c r="E240" s="4"/>
      <c r="F240" s="4"/>
      <c r="G240" s="4"/>
      <c r="H240" s="4"/>
      <c r="I240" s="4"/>
      <c r="J240" s="4"/>
      <c r="K240" s="4"/>
      <c r="L240" s="4"/>
      <c r="M240" s="9"/>
      <c r="N240" s="2"/>
      <c r="O240" s="2"/>
      <c r="P240" s="2"/>
      <c r="R240" s="129">
        <f t="shared" si="112"/>
        <v>0</v>
      </c>
      <c r="S240" s="258"/>
      <c r="T240" s="129">
        <f t="shared" si="113"/>
        <v>0</v>
      </c>
      <c r="U240" s="129">
        <f>IF(AND(J240="実施済",K240="実施済"),$T240*1,0)</f>
        <v>0</v>
      </c>
      <c r="V240" s="258"/>
      <c r="W240" s="129" t="str">
        <f t="shared" si="116"/>
        <v/>
      </c>
      <c r="X240" s="129">
        <f t="shared" si="114"/>
        <v>1</v>
      </c>
      <c r="Y240" s="129">
        <f t="shared" si="117"/>
        <v>1</v>
      </c>
      <c r="Z240" s="129" t="str" cm="1">
        <f t="array" ref="Z240">_xlfn.IFS(X240=4,"A",X240=3,"B",X240=2,"C",X240=1,"D")</f>
        <v>D</v>
      </c>
      <c r="AA240" s="175"/>
    </row>
    <row r="241" spans="1:27" customFormat="1" ht="18" customHeight="1">
      <c r="N241" s="2"/>
      <c r="O241" s="2"/>
      <c r="P241" s="2"/>
      <c r="R241" s="129">
        <f t="shared" si="112"/>
        <v>0</v>
      </c>
      <c r="S241" s="258"/>
      <c r="T241" s="129">
        <f t="shared" si="113"/>
        <v>0</v>
      </c>
      <c r="U241" s="129">
        <f t="shared" ref="U241" si="118">IF(AND(J241="実施済",K241="実施済"),$T241*1,0)</f>
        <v>0</v>
      </c>
      <c r="V241" s="258"/>
      <c r="W241" s="129" t="str">
        <f t="shared" si="116"/>
        <v/>
      </c>
      <c r="X241" s="129">
        <f t="shared" si="114"/>
        <v>1</v>
      </c>
      <c r="Y241" s="129">
        <f t="shared" si="117"/>
        <v>1</v>
      </c>
      <c r="Z241" s="129" t="str" cm="1">
        <f t="array" ref="Z241">_xlfn.IFS(X241=4,"A",X241=3,"B",X241=2,"C",X241=1,"D")</f>
        <v>D</v>
      </c>
      <c r="AA241" s="175"/>
    </row>
    <row r="242" spans="1:27" customFormat="1" ht="103.5" customHeight="1">
      <c r="C242" s="78"/>
      <c r="D242" s="79"/>
      <c r="E242" s="71" t="s">
        <v>236</v>
      </c>
      <c r="F242" s="1452"/>
      <c r="G242" s="1452"/>
      <c r="H242" s="1452"/>
      <c r="I242" s="1452"/>
      <c r="J242" s="1452"/>
      <c r="K242" s="1452"/>
      <c r="L242" s="1452"/>
      <c r="M242" s="80" t="s">
        <v>132</v>
      </c>
      <c r="N242" s="80"/>
    </row>
    <row r="243" spans="1:27" customFormat="1" ht="146.25" customHeight="1">
      <c r="C243" s="75"/>
      <c r="D243" s="68"/>
      <c r="E243" s="71" t="s">
        <v>235</v>
      </c>
      <c r="F243" s="1452"/>
      <c r="G243" s="1452"/>
      <c r="H243" s="1452"/>
      <c r="I243" s="1452"/>
      <c r="J243" s="1452"/>
      <c r="K243" s="1452"/>
      <c r="L243" s="1452"/>
      <c r="N243" s="2"/>
      <c r="O243" s="2"/>
      <c r="P243" s="2"/>
    </row>
    <row r="244" spans="1:27" customFormat="1" ht="13.5" customHeight="1" thickBot="1">
      <c r="A244" s="81"/>
      <c r="B244" s="81"/>
      <c r="C244" s="81"/>
      <c r="D244" s="81"/>
      <c r="E244" s="81"/>
      <c r="F244" s="81"/>
      <c r="G244" s="81"/>
      <c r="H244" s="81"/>
      <c r="I244" s="81"/>
      <c r="J244" s="81"/>
      <c r="K244" s="81"/>
      <c r="L244" s="81"/>
      <c r="M244" s="81"/>
      <c r="N244" s="82"/>
      <c r="O244" s="2"/>
      <c r="P244" s="2"/>
    </row>
    <row r="245" spans="1:27" customFormat="1" ht="13.5" customHeight="1">
      <c r="N245" s="2"/>
      <c r="O245" s="2"/>
      <c r="P245" s="2"/>
    </row>
    <row r="246" spans="1:27" customFormat="1" ht="15" customHeight="1">
      <c r="B246" s="10"/>
      <c r="C246" s="5"/>
      <c r="D246" s="5"/>
      <c r="E246" s="5"/>
      <c r="F246" s="5"/>
      <c r="G246" s="5"/>
      <c r="H246" s="5"/>
      <c r="I246" s="5"/>
      <c r="J246" s="5"/>
      <c r="K246" s="5"/>
      <c r="L246" s="5"/>
      <c r="M246" s="6"/>
      <c r="R246" s="11" t="str">
        <f>D247</f>
        <v>(選択してください)</v>
      </c>
    </row>
    <row r="247" spans="1:27" customFormat="1">
      <c r="B247" s="7"/>
      <c r="C247" s="77" t="str">
        <f ca="1">IFERROR(OFFSET('4.2民生電力需要量'!$C$1,MATCH(D247,'4.2民生電力需要量'!$E:$E,0)-1,0),"")</f>
        <v/>
      </c>
      <c r="D247" s="94" t="s">
        <v>130</v>
      </c>
      <c r="E247" s="72" t="s">
        <v>131</v>
      </c>
      <c r="F247" s="1451" t="str">
        <f ca="1">IFERROR(OFFSET('4.2民生電力需要量'!$G$1,MATCH($D247,'4.2民生電力需要量'!$E:$E,0)-1,0),"")</f>
        <v/>
      </c>
      <c r="G247" s="1451"/>
      <c r="H247" s="1451"/>
      <c r="I247" s="1451"/>
      <c r="J247" s="1451"/>
      <c r="K247" s="1451"/>
      <c r="L247" s="1451"/>
      <c r="M247" s="8"/>
      <c r="R247" s="255" t="str">
        <f ca="1">IFERROR(OFFSET('4.2民生電力需要量'!$G$1,MATCH($D247,'4.2民生電力需要量'!$E:$E,0)-1,0),"")</f>
        <v/>
      </c>
      <c r="S247" s="175"/>
      <c r="T247" s="175"/>
      <c r="U247" s="175"/>
      <c r="V247" s="175"/>
      <c r="W247" s="175"/>
      <c r="X247" s="175"/>
      <c r="Y247" s="175"/>
      <c r="Z247" s="175"/>
      <c r="AA247" s="175">
        <f ca="1">(F247=R247)*1</f>
        <v>1</v>
      </c>
    </row>
    <row r="248" spans="1:27" customFormat="1">
      <c r="B248" s="7"/>
      <c r="C248" s="915"/>
      <c r="D248" s="97"/>
      <c r="E248" s="72" t="s">
        <v>612</v>
      </c>
      <c r="F248" s="1447" t="str">
        <f ca="1">IFERROR(OFFSET('4.2民生電力需要量'!$L$1,MATCH($D247,'4.2民生電力需要量'!$E:$E,0)-1,0),"")</f>
        <v/>
      </c>
      <c r="G248" s="1448"/>
      <c r="H248" s="1448"/>
      <c r="I248" s="1448"/>
      <c r="J248" s="1448"/>
      <c r="K248" s="1448"/>
      <c r="L248" s="1449"/>
      <c r="M248" s="8"/>
      <c r="R248" s="255" t="str">
        <f ca="1">IFERROR(OFFSET('4.2民生電力需要量'!$L$1,MATCH($D247,'4.2民生電力需要量'!$E:$E,0)-1,0),"")</f>
        <v/>
      </c>
      <c r="S248" s="175"/>
      <c r="T248" s="175"/>
      <c r="U248" s="175"/>
      <c r="V248" s="175"/>
      <c r="W248" s="175"/>
      <c r="X248" s="175"/>
      <c r="Y248" s="175"/>
      <c r="Z248" s="175"/>
      <c r="AA248" s="175">
        <f ca="1">(F248=R248)*1</f>
        <v>1</v>
      </c>
    </row>
    <row r="249" spans="1:27" customFormat="1">
      <c r="B249" s="7"/>
      <c r="C249" s="74"/>
      <c r="D249" s="66"/>
      <c r="E249" s="72" t="s">
        <v>220</v>
      </c>
      <c r="F249" s="1450" t="str">
        <f ca="1">IFERROR(OFFSET('4.2民生電力需要量'!$I$1,MATCH($D247,'4.2民生電力需要量'!$E:$E,0)-1,0),"")</f>
        <v/>
      </c>
      <c r="G249" s="1450"/>
      <c r="H249" s="1450"/>
      <c r="I249" s="1450"/>
      <c r="J249" s="1450"/>
      <c r="K249" s="1450"/>
      <c r="L249" s="1450"/>
      <c r="M249" s="8"/>
      <c r="R249" s="255" t="str">
        <f ca="1">IFERROR(OFFSET('4.2民生電力需要量'!$I$1,MATCH($D247,'4.2民生電力需要量'!$E:$E,0)-1,0),"")</f>
        <v/>
      </c>
      <c r="S249" s="175"/>
      <c r="T249" s="175"/>
      <c r="U249" s="175"/>
      <c r="V249" s="175"/>
      <c r="W249" s="175"/>
      <c r="X249" s="175"/>
      <c r="Y249" s="175"/>
      <c r="Z249" s="175"/>
      <c r="AA249" s="175">
        <f t="shared" ref="AA249:AA250" ca="1" si="119">(F249=R249)*1</f>
        <v>1</v>
      </c>
    </row>
    <row r="250" spans="1:27" customFormat="1">
      <c r="B250" s="7"/>
      <c r="C250" s="74"/>
      <c r="D250" s="66"/>
      <c r="E250" s="72" t="s">
        <v>175</v>
      </c>
      <c r="F250" s="1451" t="str">
        <f>_xlfn.IFNA(R250,"")</f>
        <v/>
      </c>
      <c r="G250" s="1451"/>
      <c r="H250" s="1451"/>
      <c r="I250" s="1451"/>
      <c r="J250" s="1451"/>
      <c r="K250" s="1451"/>
      <c r="L250" s="1451"/>
      <c r="M250" s="8"/>
      <c r="R250" s="129" t="str">
        <f>IF(OR(COUNTIF($E252:$E257,"&lt;&gt;〇〇(合意形成対象者名に書き換え)")=3,COUNTIF($E252:$E257,"")&gt;3),"",IF(PRODUCT($Y252:$Y257)=1,Z252,""))</f>
        <v/>
      </c>
      <c r="S250" s="175"/>
      <c r="T250" s="175"/>
      <c r="U250" s="175"/>
      <c r="V250" s="175"/>
      <c r="W250" s="175"/>
      <c r="X250" s="175"/>
      <c r="Y250" s="175"/>
      <c r="Z250" s="175"/>
      <c r="AA250" s="175">
        <f t="shared" si="119"/>
        <v>1</v>
      </c>
    </row>
    <row r="251" spans="1:27" ht="63.75" customHeight="1">
      <c r="B251" s="95"/>
      <c r="C251" s="96"/>
      <c r="D251" s="97"/>
      <c r="E251" s="372"/>
      <c r="F251" s="313" t="s">
        <v>268</v>
      </c>
      <c r="G251" s="313" t="s">
        <v>271</v>
      </c>
      <c r="H251" s="313" t="s">
        <v>272</v>
      </c>
      <c r="I251" s="313" t="s">
        <v>269</v>
      </c>
      <c r="J251" s="313" t="s">
        <v>434</v>
      </c>
      <c r="K251" s="313" t="s">
        <v>435</v>
      </c>
      <c r="L251" s="313" t="s">
        <v>270</v>
      </c>
      <c r="M251" s="98"/>
      <c r="N251" s="11"/>
      <c r="R251" s="126" t="s">
        <v>299</v>
      </c>
      <c r="S251" s="257" t="s">
        <v>423</v>
      </c>
      <c r="T251" s="126" t="s">
        <v>424</v>
      </c>
      <c r="U251" s="296" t="s">
        <v>436</v>
      </c>
      <c r="V251" s="256" t="s">
        <v>270</v>
      </c>
      <c r="W251" s="126" t="s">
        <v>426</v>
      </c>
      <c r="X251" s="129" t="s">
        <v>402</v>
      </c>
      <c r="Y251" s="129" t="s">
        <v>430</v>
      </c>
      <c r="Z251" s="126" t="s">
        <v>425</v>
      </c>
      <c r="AA251" s="255"/>
    </row>
    <row r="252" spans="1:27" hidden="1">
      <c r="B252" s="95"/>
      <c r="C252" s="96"/>
      <c r="D252" s="97"/>
      <c r="E252" s="442"/>
      <c r="F252" s="443"/>
      <c r="G252" s="439"/>
      <c r="H252" s="443"/>
      <c r="I252" s="439"/>
      <c r="J252" s="443"/>
      <c r="K252" s="439"/>
      <c r="L252" s="444"/>
      <c r="M252" s="98"/>
      <c r="N252" s="11"/>
      <c r="R252" s="129">
        <f t="shared" ref="R252:R257" si="120">IF(F252="実施済",1,0)</f>
        <v>0</v>
      </c>
      <c r="S252" s="258"/>
      <c r="T252" s="129">
        <f t="shared" ref="T252:T257" si="121">IF(AND(H252="実施済",I252="実施済"),R252*1,0)</f>
        <v>0</v>
      </c>
      <c r="U252" s="129">
        <f>IF(AND(J252="実施済",K252="実施済"),$T252*1,0)</f>
        <v>0</v>
      </c>
      <c r="V252" s="258"/>
      <c r="W252" s="129" t="str">
        <f>IF(OR(E252="〇〇(合意形成対象者名に書き換え)",E252=""),"",SUM(R252,T252,U252))</f>
        <v/>
      </c>
      <c r="X252" s="129">
        <f t="shared" ref="X252:X257" si="122">MIN($W$252:$W$257)+1</f>
        <v>1</v>
      </c>
      <c r="Y252" s="129">
        <f>IF(E252="",1,IF(AND(E252="〇〇(合意形成対象者名に書き換え)",COUNTA($F252:$L252)=0),1,IF(AND(E252&lt;&gt;"〇〇(合意形成対象者名に書き換え)",COUNTA($F252:$L252)=7),1,0)))</f>
        <v>1</v>
      </c>
      <c r="Z252" s="129" t="str" cm="1">
        <f t="array" ref="Z252">_xlfn.IFS(X252=4,"A",X252=3,"B",X252=2,"C",X252=1,"D")</f>
        <v>D</v>
      </c>
      <c r="AA252" s="255"/>
    </row>
    <row r="253" spans="1:27">
      <c r="B253" s="95"/>
      <c r="C253" s="96"/>
      <c r="D253" s="97"/>
      <c r="E253" s="447" t="s">
        <v>129</v>
      </c>
      <c r="F253" s="446"/>
      <c r="G253" s="441"/>
      <c r="H253" s="446"/>
      <c r="I253" s="441"/>
      <c r="J253" s="446"/>
      <c r="K253" s="441"/>
      <c r="L253" s="441"/>
      <c r="M253" s="98"/>
      <c r="N253" s="11"/>
      <c r="R253" s="129">
        <f t="shared" si="120"/>
        <v>0</v>
      </c>
      <c r="S253" s="258"/>
      <c r="T253" s="129">
        <f t="shared" si="121"/>
        <v>0</v>
      </c>
      <c r="U253" s="129">
        <f t="shared" ref="U253:U255" si="123">IF(AND(J253="実施済",K253="実施済"),$T253*1,0)</f>
        <v>0</v>
      </c>
      <c r="V253" s="258"/>
      <c r="W253" s="129" t="str">
        <f t="shared" ref="W253:W257" si="124">IF(OR(E253="〇〇(合意形成対象者名に書き換え)",E253=""),"",SUM(R253,T253,U253))</f>
        <v/>
      </c>
      <c r="X253" s="129">
        <f t="shared" si="122"/>
        <v>1</v>
      </c>
      <c r="Y253" s="129">
        <f t="shared" ref="Y253:Y257" si="125">IF(E253="",1,IF(AND(E253="〇〇(合意形成対象者名に書き換え)",COUNTA($F253:$L253)=0),1,IF(AND(E253&lt;&gt;"〇〇(合意形成対象者名に書き換え)",COUNTA($F253:$L253)=7),1,0)))</f>
        <v>1</v>
      </c>
      <c r="Z253" s="129" t="str" cm="1">
        <f t="array" ref="Z253">_xlfn.IFS(X253=4,"A",X253=3,"B",X253=2,"C",X253=1,"D")</f>
        <v>D</v>
      </c>
      <c r="AA253" s="255"/>
    </row>
    <row r="254" spans="1:27">
      <c r="B254" s="95"/>
      <c r="C254" s="96"/>
      <c r="D254" s="97"/>
      <c r="E254" s="447" t="s">
        <v>129</v>
      </c>
      <c r="F254" s="446"/>
      <c r="G254" s="441"/>
      <c r="H254" s="446"/>
      <c r="I254" s="441"/>
      <c r="J254" s="446"/>
      <c r="K254" s="441"/>
      <c r="L254" s="441"/>
      <c r="M254" s="98"/>
      <c r="N254" s="11"/>
      <c r="R254" s="129">
        <f t="shared" si="120"/>
        <v>0</v>
      </c>
      <c r="S254" s="258"/>
      <c r="T254" s="129">
        <f t="shared" si="121"/>
        <v>0</v>
      </c>
      <c r="U254" s="129">
        <f t="shared" si="123"/>
        <v>0</v>
      </c>
      <c r="V254" s="258"/>
      <c r="W254" s="129" t="str">
        <f t="shared" si="124"/>
        <v/>
      </c>
      <c r="X254" s="129">
        <f t="shared" si="122"/>
        <v>1</v>
      </c>
      <c r="Y254" s="129">
        <f t="shared" si="125"/>
        <v>1</v>
      </c>
      <c r="Z254" s="129" t="str" cm="1">
        <f t="array" ref="Z254">_xlfn.IFS(X254=4,"A",X254=3,"B",X254=2,"C",X254=1,"D")</f>
        <v>D</v>
      </c>
      <c r="AA254" s="255"/>
    </row>
    <row r="255" spans="1:27" s="99" customFormat="1">
      <c r="A255" s="11"/>
      <c r="B255" s="95"/>
      <c r="C255" s="96"/>
      <c r="D255" s="97"/>
      <c r="E255" s="447" t="s">
        <v>129</v>
      </c>
      <c r="F255" s="446"/>
      <c r="G255" s="441"/>
      <c r="H255" s="446"/>
      <c r="I255" s="441"/>
      <c r="J255" s="446"/>
      <c r="K255" s="441"/>
      <c r="L255" s="441"/>
      <c r="M255" s="98"/>
      <c r="N255" s="11"/>
      <c r="Q255" s="11"/>
      <c r="R255" s="129">
        <f t="shared" si="120"/>
        <v>0</v>
      </c>
      <c r="S255" s="258"/>
      <c r="T255" s="129">
        <f t="shared" si="121"/>
        <v>0</v>
      </c>
      <c r="U255" s="129">
        <f t="shared" si="123"/>
        <v>0</v>
      </c>
      <c r="V255" s="258"/>
      <c r="W255" s="129" t="str">
        <f t="shared" si="124"/>
        <v/>
      </c>
      <c r="X255" s="129">
        <f t="shared" si="122"/>
        <v>1</v>
      </c>
      <c r="Y255" s="129">
        <f t="shared" si="125"/>
        <v>1</v>
      </c>
      <c r="Z255" s="129" t="str" cm="1">
        <f t="array" ref="Z255">_xlfn.IFS(X255=4,"A",X255=3,"B",X255=2,"C",X255=1,"D")</f>
        <v>D</v>
      </c>
      <c r="AA255" s="129"/>
    </row>
    <row r="256" spans="1:27" customFormat="1" ht="7.5" customHeight="1">
      <c r="B256" s="65"/>
      <c r="C256" s="4"/>
      <c r="D256" s="4"/>
      <c r="E256" s="4"/>
      <c r="F256" s="4"/>
      <c r="G256" s="4"/>
      <c r="H256" s="4"/>
      <c r="I256" s="4"/>
      <c r="J256" s="4"/>
      <c r="K256" s="4"/>
      <c r="L256" s="4"/>
      <c r="M256" s="9"/>
      <c r="N256" s="2"/>
      <c r="O256" s="2"/>
      <c r="P256" s="2"/>
      <c r="R256" s="129">
        <f t="shared" si="120"/>
        <v>0</v>
      </c>
      <c r="S256" s="258"/>
      <c r="T256" s="129">
        <f t="shared" si="121"/>
        <v>0</v>
      </c>
      <c r="U256" s="129">
        <f>IF(AND(J256="実施済",K256="実施済"),$T256*1,0)</f>
        <v>0</v>
      </c>
      <c r="V256" s="258"/>
      <c r="W256" s="129" t="str">
        <f t="shared" si="124"/>
        <v/>
      </c>
      <c r="X256" s="129">
        <f t="shared" si="122"/>
        <v>1</v>
      </c>
      <c r="Y256" s="129">
        <f t="shared" si="125"/>
        <v>1</v>
      </c>
      <c r="Z256" s="129" t="str" cm="1">
        <f t="array" ref="Z256">_xlfn.IFS(X256=4,"A",X256=3,"B",X256=2,"C",X256=1,"D")</f>
        <v>D</v>
      </c>
      <c r="AA256" s="175"/>
    </row>
    <row r="257" spans="1:27" customFormat="1" ht="18" customHeight="1">
      <c r="N257" s="2"/>
      <c r="O257" s="2"/>
      <c r="P257" s="2"/>
      <c r="R257" s="129">
        <f t="shared" si="120"/>
        <v>0</v>
      </c>
      <c r="S257" s="258"/>
      <c r="T257" s="129">
        <f t="shared" si="121"/>
        <v>0</v>
      </c>
      <c r="U257" s="129">
        <f t="shared" ref="U257" si="126">IF(AND(J257="実施済",K257="実施済"),$T257*1,0)</f>
        <v>0</v>
      </c>
      <c r="V257" s="258"/>
      <c r="W257" s="129" t="str">
        <f t="shared" si="124"/>
        <v/>
      </c>
      <c r="X257" s="129">
        <f t="shared" si="122"/>
        <v>1</v>
      </c>
      <c r="Y257" s="129">
        <f t="shared" si="125"/>
        <v>1</v>
      </c>
      <c r="Z257" s="129" t="str" cm="1">
        <f t="array" ref="Z257">_xlfn.IFS(X257=4,"A",X257=3,"B",X257=2,"C",X257=1,"D")</f>
        <v>D</v>
      </c>
      <c r="AA257" s="175"/>
    </row>
    <row r="258" spans="1:27" customFormat="1" ht="103.5" customHeight="1">
      <c r="C258" s="78"/>
      <c r="D258" s="79"/>
      <c r="E258" s="71" t="s">
        <v>236</v>
      </c>
      <c r="F258" s="1452"/>
      <c r="G258" s="1452"/>
      <c r="H258" s="1452"/>
      <c r="I258" s="1452"/>
      <c r="J258" s="1452"/>
      <c r="K258" s="1452"/>
      <c r="L258" s="1452"/>
      <c r="M258" s="80" t="s">
        <v>132</v>
      </c>
      <c r="N258" s="80"/>
    </row>
    <row r="259" spans="1:27" customFormat="1" ht="146.25" customHeight="1">
      <c r="C259" s="75"/>
      <c r="D259" s="68"/>
      <c r="E259" s="71" t="s">
        <v>235</v>
      </c>
      <c r="F259" s="1452"/>
      <c r="G259" s="1452"/>
      <c r="H259" s="1452"/>
      <c r="I259" s="1452"/>
      <c r="J259" s="1452"/>
      <c r="K259" s="1452"/>
      <c r="L259" s="1452"/>
      <c r="N259" s="2"/>
      <c r="O259" s="2"/>
      <c r="P259" s="2"/>
    </row>
    <row r="260" spans="1:27" customFormat="1" ht="13.5" customHeight="1" thickBot="1">
      <c r="A260" s="81"/>
      <c r="B260" s="81"/>
      <c r="C260" s="81"/>
      <c r="D260" s="81"/>
      <c r="E260" s="81"/>
      <c r="F260" s="81"/>
      <c r="G260" s="81"/>
      <c r="H260" s="81"/>
      <c r="I260" s="81"/>
      <c r="J260" s="81"/>
      <c r="K260" s="81"/>
      <c r="L260" s="81"/>
      <c r="M260" s="81"/>
      <c r="N260" s="82"/>
      <c r="O260" s="2"/>
      <c r="P260" s="2"/>
    </row>
    <row r="261" spans="1:27" customFormat="1" ht="13.5" customHeight="1">
      <c r="N261" s="2"/>
      <c r="O261" s="2"/>
      <c r="P261" s="2"/>
    </row>
    <row r="262" spans="1:27" customFormat="1" ht="15" customHeight="1">
      <c r="B262" s="10"/>
      <c r="C262" s="5"/>
      <c r="D262" s="5"/>
      <c r="E262" s="5"/>
      <c r="F262" s="5"/>
      <c r="G262" s="5"/>
      <c r="H262" s="5"/>
      <c r="I262" s="5"/>
      <c r="J262" s="5"/>
      <c r="K262" s="5"/>
      <c r="L262" s="5"/>
      <c r="M262" s="6"/>
      <c r="R262" s="11" t="str">
        <f>D263</f>
        <v>(選択してください)</v>
      </c>
    </row>
    <row r="263" spans="1:27" customFormat="1">
      <c r="B263" s="7"/>
      <c r="C263" s="77" t="str">
        <f ca="1">IFERROR(OFFSET('4.2民生電力需要量'!$C$1,MATCH(D263,'4.2民生電力需要量'!$E:$E,0)-1,0),"")</f>
        <v/>
      </c>
      <c r="D263" s="94" t="s">
        <v>130</v>
      </c>
      <c r="E263" s="72" t="s">
        <v>131</v>
      </c>
      <c r="F263" s="1451" t="str">
        <f ca="1">IFERROR(OFFSET('4.2民生電力需要量'!$G$1,MATCH($D263,'4.2民生電力需要量'!$E:$E,0)-1,0),"")</f>
        <v/>
      </c>
      <c r="G263" s="1451"/>
      <c r="H263" s="1451"/>
      <c r="I263" s="1451"/>
      <c r="J263" s="1451"/>
      <c r="K263" s="1451"/>
      <c r="L263" s="1451"/>
      <c r="M263" s="8"/>
      <c r="R263" s="255" t="str">
        <f ca="1">IFERROR(OFFSET('4.2民生電力需要量'!$G$1,MATCH($D263,'4.2民生電力需要量'!$E:$E,0)-1,0),"")</f>
        <v/>
      </c>
      <c r="S263" s="175"/>
      <c r="T263" s="175"/>
      <c r="U263" s="175"/>
      <c r="V263" s="175"/>
      <c r="W263" s="175"/>
      <c r="X263" s="175"/>
      <c r="Y263" s="175"/>
      <c r="Z263" s="175"/>
      <c r="AA263" s="175">
        <f ca="1">(F263=R263)*1</f>
        <v>1</v>
      </c>
    </row>
    <row r="264" spans="1:27" customFormat="1">
      <c r="B264" s="7"/>
      <c r="C264" s="915"/>
      <c r="D264" s="97"/>
      <c r="E264" s="72" t="s">
        <v>612</v>
      </c>
      <c r="F264" s="1447" t="str">
        <f ca="1">IFERROR(OFFSET('4.2民生電力需要量'!$L$1,MATCH($D263,'4.2民生電力需要量'!$E:$E,0)-1,0),"")</f>
        <v/>
      </c>
      <c r="G264" s="1448"/>
      <c r="H264" s="1448"/>
      <c r="I264" s="1448"/>
      <c r="J264" s="1448"/>
      <c r="K264" s="1448"/>
      <c r="L264" s="1449"/>
      <c r="M264" s="8"/>
      <c r="R264" s="255" t="str">
        <f ca="1">IFERROR(OFFSET('4.2民生電力需要量'!$L$1,MATCH($D263,'4.2民生電力需要量'!$E:$E,0)-1,0),"")</f>
        <v/>
      </c>
      <c r="S264" s="175"/>
      <c r="T264" s="175"/>
      <c r="U264" s="175"/>
      <c r="V264" s="175"/>
      <c r="W264" s="175"/>
      <c r="X264" s="175"/>
      <c r="Y264" s="175"/>
      <c r="Z264" s="175"/>
      <c r="AA264" s="175">
        <f ca="1">(F264=R264)*1</f>
        <v>1</v>
      </c>
    </row>
    <row r="265" spans="1:27" customFormat="1">
      <c r="B265" s="7"/>
      <c r="C265" s="74"/>
      <c r="D265" s="66"/>
      <c r="E265" s="72" t="s">
        <v>220</v>
      </c>
      <c r="F265" s="1450" t="str">
        <f ca="1">IFERROR(OFFSET('4.2民生電力需要量'!$I$1,MATCH($D263,'4.2民生電力需要量'!$E:$E,0)-1,0),"")</f>
        <v/>
      </c>
      <c r="G265" s="1450"/>
      <c r="H265" s="1450"/>
      <c r="I265" s="1450"/>
      <c r="J265" s="1450"/>
      <c r="K265" s="1450"/>
      <c r="L265" s="1450"/>
      <c r="M265" s="8"/>
      <c r="R265" s="255" t="str">
        <f ca="1">IFERROR(OFFSET('4.2民生電力需要量'!$I$1,MATCH($D263,'4.2民生電力需要量'!$E:$E,0)-1,0),"")</f>
        <v/>
      </c>
      <c r="S265" s="175"/>
      <c r="T265" s="175"/>
      <c r="U265" s="175"/>
      <c r="V265" s="175"/>
      <c r="W265" s="175"/>
      <c r="X265" s="175"/>
      <c r="Y265" s="175"/>
      <c r="Z265" s="175"/>
      <c r="AA265" s="175">
        <f t="shared" ref="AA265:AA266" ca="1" si="127">(F265=R265)*1</f>
        <v>1</v>
      </c>
    </row>
    <row r="266" spans="1:27" customFormat="1">
      <c r="B266" s="7"/>
      <c r="C266" s="74"/>
      <c r="D266" s="66"/>
      <c r="E266" s="72" t="s">
        <v>175</v>
      </c>
      <c r="F266" s="1451" t="str">
        <f>_xlfn.IFNA(R266,"")</f>
        <v/>
      </c>
      <c r="G266" s="1451"/>
      <c r="H266" s="1451"/>
      <c r="I266" s="1451"/>
      <c r="J266" s="1451"/>
      <c r="K266" s="1451"/>
      <c r="L266" s="1451"/>
      <c r="M266" s="8"/>
      <c r="R266" s="129" t="str">
        <f>IF(OR(COUNTIF($E268:$E273,"&lt;&gt;〇〇(合意形成対象者名に書き換え)")=3,COUNTIF($E268:$E273,"")&gt;3),"",IF(PRODUCT($Y268:$Y273)=1,Z268,""))</f>
        <v/>
      </c>
      <c r="S266" s="175"/>
      <c r="T266" s="175"/>
      <c r="U266" s="175"/>
      <c r="V266" s="175"/>
      <c r="W266" s="175"/>
      <c r="X266" s="175"/>
      <c r="Y266" s="175"/>
      <c r="Z266" s="175"/>
      <c r="AA266" s="175">
        <f t="shared" si="127"/>
        <v>1</v>
      </c>
    </row>
    <row r="267" spans="1:27" ht="63.75" customHeight="1">
      <c r="B267" s="95"/>
      <c r="C267" s="96"/>
      <c r="D267" s="97"/>
      <c r="E267" s="372"/>
      <c r="F267" s="313" t="s">
        <v>268</v>
      </c>
      <c r="G267" s="313" t="s">
        <v>271</v>
      </c>
      <c r="H267" s="313" t="s">
        <v>272</v>
      </c>
      <c r="I267" s="313" t="s">
        <v>269</v>
      </c>
      <c r="J267" s="313" t="s">
        <v>434</v>
      </c>
      <c r="K267" s="313" t="s">
        <v>435</v>
      </c>
      <c r="L267" s="313" t="s">
        <v>270</v>
      </c>
      <c r="M267" s="98"/>
      <c r="N267" s="11"/>
      <c r="R267" s="126" t="s">
        <v>299</v>
      </c>
      <c r="S267" s="257" t="s">
        <v>423</v>
      </c>
      <c r="T267" s="126" t="s">
        <v>424</v>
      </c>
      <c r="U267" s="296" t="s">
        <v>436</v>
      </c>
      <c r="V267" s="256" t="s">
        <v>270</v>
      </c>
      <c r="W267" s="126" t="s">
        <v>426</v>
      </c>
      <c r="X267" s="129" t="s">
        <v>402</v>
      </c>
      <c r="Y267" s="129" t="s">
        <v>430</v>
      </c>
      <c r="Z267" s="126" t="s">
        <v>425</v>
      </c>
      <c r="AA267" s="255"/>
    </row>
    <row r="268" spans="1:27" hidden="1">
      <c r="B268" s="95"/>
      <c r="C268" s="96"/>
      <c r="D268" s="97"/>
      <c r="E268" s="442"/>
      <c r="F268" s="443"/>
      <c r="G268" s="439"/>
      <c r="H268" s="443"/>
      <c r="I268" s="439"/>
      <c r="J268" s="443"/>
      <c r="K268" s="439"/>
      <c r="L268" s="444"/>
      <c r="M268" s="98"/>
      <c r="N268" s="11"/>
      <c r="R268" s="129">
        <f t="shared" ref="R268:R273" si="128">IF(F268="実施済",1,0)</f>
        <v>0</v>
      </c>
      <c r="S268" s="258"/>
      <c r="T268" s="129">
        <f t="shared" ref="T268:T273" si="129">IF(AND(H268="実施済",I268="実施済"),R268*1,0)</f>
        <v>0</v>
      </c>
      <c r="U268" s="129">
        <f>IF(AND(J268="実施済",K268="実施済"),$T268*1,0)</f>
        <v>0</v>
      </c>
      <c r="V268" s="258"/>
      <c r="W268" s="129" t="str">
        <f>IF(OR(E268="〇〇(合意形成対象者名に書き換え)",E268=""),"",SUM(R268,T268,U268))</f>
        <v/>
      </c>
      <c r="X268" s="129">
        <f t="shared" ref="X268:X273" si="130">MIN($W$268:$W$273)+1</f>
        <v>1</v>
      </c>
      <c r="Y268" s="129">
        <f>IF(E268="",1,IF(AND(E268="〇〇(合意形成対象者名に書き換え)",COUNTA($F268:$L268)=0),1,IF(AND(E268&lt;&gt;"〇〇(合意形成対象者名に書き換え)",COUNTA($F268:$L268)=7),1,0)))</f>
        <v>1</v>
      </c>
      <c r="Z268" s="129" t="str" cm="1">
        <f t="array" ref="Z268">_xlfn.IFS(X268=4,"A",X268=3,"B",X268=2,"C",X268=1,"D")</f>
        <v>D</v>
      </c>
      <c r="AA268" s="255"/>
    </row>
    <row r="269" spans="1:27">
      <c r="B269" s="95"/>
      <c r="C269" s="96"/>
      <c r="D269" s="97"/>
      <c r="E269" s="447" t="s">
        <v>129</v>
      </c>
      <c r="F269" s="446"/>
      <c r="G269" s="441"/>
      <c r="H269" s="446"/>
      <c r="I269" s="441"/>
      <c r="J269" s="446"/>
      <c r="K269" s="441"/>
      <c r="L269" s="441"/>
      <c r="M269" s="98"/>
      <c r="N269" s="11"/>
      <c r="R269" s="129">
        <f t="shared" si="128"/>
        <v>0</v>
      </c>
      <c r="S269" s="258"/>
      <c r="T269" s="129">
        <f t="shared" si="129"/>
        <v>0</v>
      </c>
      <c r="U269" s="129">
        <f t="shared" ref="U269:U271" si="131">IF(AND(J269="実施済",K269="実施済"),$T269*1,0)</f>
        <v>0</v>
      </c>
      <c r="V269" s="258"/>
      <c r="W269" s="129" t="str">
        <f t="shared" ref="W269:W273" si="132">IF(OR(E269="〇〇(合意形成対象者名に書き換え)",E269=""),"",SUM(R269,T269,U269))</f>
        <v/>
      </c>
      <c r="X269" s="129">
        <f t="shared" si="130"/>
        <v>1</v>
      </c>
      <c r="Y269" s="129">
        <f t="shared" ref="Y269:Y273" si="133">IF(E269="",1,IF(AND(E269="〇〇(合意形成対象者名に書き換え)",COUNTA($F269:$L269)=0),1,IF(AND(E269&lt;&gt;"〇〇(合意形成対象者名に書き換え)",COUNTA($F269:$L269)=7),1,0)))</f>
        <v>1</v>
      </c>
      <c r="Z269" s="129" t="str" cm="1">
        <f t="array" ref="Z269">_xlfn.IFS(X269=4,"A",X269=3,"B",X269=2,"C",X269=1,"D")</f>
        <v>D</v>
      </c>
      <c r="AA269" s="255"/>
    </row>
    <row r="270" spans="1:27">
      <c r="B270" s="95"/>
      <c r="C270" s="96"/>
      <c r="D270" s="97"/>
      <c r="E270" s="447" t="s">
        <v>129</v>
      </c>
      <c r="F270" s="446"/>
      <c r="G270" s="441"/>
      <c r="H270" s="446"/>
      <c r="I270" s="441"/>
      <c r="J270" s="446"/>
      <c r="K270" s="441"/>
      <c r="L270" s="441"/>
      <c r="M270" s="98"/>
      <c r="N270" s="11"/>
      <c r="R270" s="129">
        <f t="shared" si="128"/>
        <v>0</v>
      </c>
      <c r="S270" s="258"/>
      <c r="T270" s="129">
        <f t="shared" si="129"/>
        <v>0</v>
      </c>
      <c r="U270" s="129">
        <f t="shared" si="131"/>
        <v>0</v>
      </c>
      <c r="V270" s="258"/>
      <c r="W270" s="129" t="str">
        <f t="shared" si="132"/>
        <v/>
      </c>
      <c r="X270" s="129">
        <f t="shared" si="130"/>
        <v>1</v>
      </c>
      <c r="Y270" s="129">
        <f t="shared" si="133"/>
        <v>1</v>
      </c>
      <c r="Z270" s="129" t="str" cm="1">
        <f t="array" ref="Z270">_xlfn.IFS(X270=4,"A",X270=3,"B",X270=2,"C",X270=1,"D")</f>
        <v>D</v>
      </c>
      <c r="AA270" s="255"/>
    </row>
    <row r="271" spans="1:27" s="99" customFormat="1">
      <c r="A271" s="11"/>
      <c r="B271" s="95"/>
      <c r="C271" s="96"/>
      <c r="D271" s="97"/>
      <c r="E271" s="447" t="s">
        <v>129</v>
      </c>
      <c r="F271" s="446"/>
      <c r="G271" s="441"/>
      <c r="H271" s="446"/>
      <c r="I271" s="441"/>
      <c r="J271" s="446"/>
      <c r="K271" s="441"/>
      <c r="L271" s="441"/>
      <c r="M271" s="98"/>
      <c r="N271" s="11"/>
      <c r="Q271" s="11"/>
      <c r="R271" s="129">
        <f t="shared" si="128"/>
        <v>0</v>
      </c>
      <c r="S271" s="258"/>
      <c r="T271" s="129">
        <f t="shared" si="129"/>
        <v>0</v>
      </c>
      <c r="U271" s="129">
        <f t="shared" si="131"/>
        <v>0</v>
      </c>
      <c r="V271" s="258"/>
      <c r="W271" s="129" t="str">
        <f t="shared" si="132"/>
        <v/>
      </c>
      <c r="X271" s="129">
        <f t="shared" si="130"/>
        <v>1</v>
      </c>
      <c r="Y271" s="129">
        <f t="shared" si="133"/>
        <v>1</v>
      </c>
      <c r="Z271" s="129" t="str" cm="1">
        <f t="array" ref="Z271">_xlfn.IFS(X271=4,"A",X271=3,"B",X271=2,"C",X271=1,"D")</f>
        <v>D</v>
      </c>
      <c r="AA271" s="129"/>
    </row>
    <row r="272" spans="1:27" customFormat="1" ht="7.5" customHeight="1">
      <c r="B272" s="65"/>
      <c r="C272" s="4"/>
      <c r="D272" s="4"/>
      <c r="E272" s="4"/>
      <c r="F272" s="4"/>
      <c r="G272" s="4"/>
      <c r="H272" s="4"/>
      <c r="I272" s="4"/>
      <c r="J272" s="4"/>
      <c r="K272" s="4"/>
      <c r="L272" s="4"/>
      <c r="M272" s="9"/>
      <c r="N272" s="2"/>
      <c r="O272" s="2"/>
      <c r="P272" s="2"/>
      <c r="R272" s="129">
        <f t="shared" si="128"/>
        <v>0</v>
      </c>
      <c r="S272" s="258"/>
      <c r="T272" s="129">
        <f t="shared" si="129"/>
        <v>0</v>
      </c>
      <c r="U272" s="129">
        <f>IF(AND(J272="実施済",K272="実施済"),$T272*1,0)</f>
        <v>0</v>
      </c>
      <c r="V272" s="258"/>
      <c r="W272" s="129" t="str">
        <f t="shared" si="132"/>
        <v/>
      </c>
      <c r="X272" s="129">
        <f t="shared" si="130"/>
        <v>1</v>
      </c>
      <c r="Y272" s="129">
        <f t="shared" si="133"/>
        <v>1</v>
      </c>
      <c r="Z272" s="129" t="str" cm="1">
        <f t="array" ref="Z272">_xlfn.IFS(X272=4,"A",X272=3,"B",X272=2,"C",X272=1,"D")</f>
        <v>D</v>
      </c>
      <c r="AA272" s="175"/>
    </row>
    <row r="273" spans="1:27" customFormat="1" ht="18" customHeight="1">
      <c r="N273" s="2"/>
      <c r="O273" s="2"/>
      <c r="P273" s="2"/>
      <c r="R273" s="129">
        <f t="shared" si="128"/>
        <v>0</v>
      </c>
      <c r="S273" s="258"/>
      <c r="T273" s="129">
        <f t="shared" si="129"/>
        <v>0</v>
      </c>
      <c r="U273" s="129">
        <f t="shared" ref="U273" si="134">IF(AND(J273="実施済",K273="実施済"),$T273*1,0)</f>
        <v>0</v>
      </c>
      <c r="V273" s="258"/>
      <c r="W273" s="129" t="str">
        <f t="shared" si="132"/>
        <v/>
      </c>
      <c r="X273" s="129">
        <f t="shared" si="130"/>
        <v>1</v>
      </c>
      <c r="Y273" s="129">
        <f t="shared" si="133"/>
        <v>1</v>
      </c>
      <c r="Z273" s="129" t="str" cm="1">
        <f t="array" ref="Z273">_xlfn.IFS(X273=4,"A",X273=3,"B",X273=2,"C",X273=1,"D")</f>
        <v>D</v>
      </c>
      <c r="AA273" s="175"/>
    </row>
    <row r="274" spans="1:27" customFormat="1" ht="103.5" customHeight="1">
      <c r="C274" s="78"/>
      <c r="D274" s="79"/>
      <c r="E274" s="71" t="s">
        <v>236</v>
      </c>
      <c r="F274" s="1452"/>
      <c r="G274" s="1452"/>
      <c r="H274" s="1452"/>
      <c r="I274" s="1452"/>
      <c r="J274" s="1452"/>
      <c r="K274" s="1452"/>
      <c r="L274" s="1452"/>
      <c r="M274" s="80" t="s">
        <v>132</v>
      </c>
      <c r="N274" s="80"/>
    </row>
    <row r="275" spans="1:27" customFormat="1" ht="146.25" customHeight="1">
      <c r="C275" s="75"/>
      <c r="D275" s="68"/>
      <c r="E275" s="71" t="s">
        <v>235</v>
      </c>
      <c r="F275" s="1452"/>
      <c r="G275" s="1452"/>
      <c r="H275" s="1452"/>
      <c r="I275" s="1452"/>
      <c r="J275" s="1452"/>
      <c r="K275" s="1452"/>
      <c r="L275" s="1452"/>
      <c r="N275" s="2"/>
      <c r="O275" s="2"/>
      <c r="P275" s="2"/>
    </row>
    <row r="276" spans="1:27" customFormat="1" ht="13.5" customHeight="1" thickBot="1">
      <c r="A276" s="81"/>
      <c r="B276" s="81"/>
      <c r="C276" s="81"/>
      <c r="D276" s="81"/>
      <c r="E276" s="81"/>
      <c r="F276" s="81"/>
      <c r="G276" s="81"/>
      <c r="H276" s="81"/>
      <c r="I276" s="81"/>
      <c r="J276" s="81"/>
      <c r="K276" s="81"/>
      <c r="L276" s="81"/>
      <c r="M276" s="81"/>
      <c r="N276" s="82"/>
      <c r="O276" s="2"/>
      <c r="P276" s="2"/>
    </row>
    <row r="277" spans="1:27" customFormat="1" ht="13.5" customHeight="1">
      <c r="N277" s="2"/>
      <c r="O277" s="2"/>
      <c r="P277" s="2"/>
    </row>
    <row r="278" spans="1:27" customFormat="1" ht="15" customHeight="1">
      <c r="B278" s="10"/>
      <c r="C278" s="5"/>
      <c r="D278" s="5"/>
      <c r="E278" s="5"/>
      <c r="F278" s="5"/>
      <c r="G278" s="5"/>
      <c r="H278" s="5"/>
      <c r="I278" s="5"/>
      <c r="J278" s="5"/>
      <c r="K278" s="5"/>
      <c r="L278" s="5"/>
      <c r="M278" s="6"/>
      <c r="R278" s="11" t="str">
        <f>D279</f>
        <v>(選択してください)</v>
      </c>
    </row>
    <row r="279" spans="1:27" customFormat="1">
      <c r="B279" s="7"/>
      <c r="C279" s="77" t="str">
        <f ca="1">IFERROR(OFFSET('4.2民生電力需要量'!$C$1,MATCH(D279,'4.2民生電力需要量'!$E:$E,0)-1,0),"")</f>
        <v/>
      </c>
      <c r="D279" s="94" t="s">
        <v>130</v>
      </c>
      <c r="E279" s="72" t="s">
        <v>131</v>
      </c>
      <c r="F279" s="1451" t="str">
        <f ca="1">IFERROR(OFFSET('4.2民生電力需要量'!$G$1,MATCH($D279,'4.2民生電力需要量'!$E:$E,0)-1,0),"")</f>
        <v/>
      </c>
      <c r="G279" s="1451"/>
      <c r="H279" s="1451"/>
      <c r="I279" s="1451"/>
      <c r="J279" s="1451"/>
      <c r="K279" s="1451"/>
      <c r="L279" s="1451"/>
      <c r="M279" s="8"/>
      <c r="R279" s="255" t="str">
        <f ca="1">IFERROR(OFFSET('4.2民生電力需要量'!$G$1,MATCH($D279,'4.2民生電力需要量'!$E:$E,0)-1,0),"")</f>
        <v/>
      </c>
      <c r="S279" s="175"/>
      <c r="T279" s="175"/>
      <c r="U279" s="175"/>
      <c r="V279" s="175"/>
      <c r="W279" s="175"/>
      <c r="X279" s="175"/>
      <c r="Y279" s="175"/>
      <c r="Z279" s="175"/>
      <c r="AA279" s="175">
        <f ca="1">(F279=R279)*1</f>
        <v>1</v>
      </c>
    </row>
    <row r="280" spans="1:27" customFormat="1">
      <c r="B280" s="7"/>
      <c r="C280" s="915"/>
      <c r="D280" s="97"/>
      <c r="E280" s="72" t="s">
        <v>612</v>
      </c>
      <c r="F280" s="1447" t="str">
        <f ca="1">IFERROR(OFFSET('4.2民生電力需要量'!$L$1,MATCH($D279,'4.2民生電力需要量'!$E:$E,0)-1,0),"")</f>
        <v/>
      </c>
      <c r="G280" s="1448"/>
      <c r="H280" s="1448"/>
      <c r="I280" s="1448"/>
      <c r="J280" s="1448"/>
      <c r="K280" s="1448"/>
      <c r="L280" s="1449"/>
      <c r="M280" s="8"/>
      <c r="R280" s="255" t="str">
        <f ca="1">IFERROR(OFFSET('4.2民生電力需要量'!$L$1,MATCH($D279,'4.2民生電力需要量'!$E:$E,0)-1,0),"")</f>
        <v/>
      </c>
      <c r="S280" s="175"/>
      <c r="T280" s="175"/>
      <c r="U280" s="175"/>
      <c r="V280" s="175"/>
      <c r="W280" s="175"/>
      <c r="X280" s="175"/>
      <c r="Y280" s="175"/>
      <c r="Z280" s="175"/>
      <c r="AA280" s="175">
        <f ca="1">(F280=R280)*1</f>
        <v>1</v>
      </c>
    </row>
    <row r="281" spans="1:27" customFormat="1">
      <c r="B281" s="7"/>
      <c r="C281" s="74"/>
      <c r="D281" s="66"/>
      <c r="E281" s="72" t="s">
        <v>220</v>
      </c>
      <c r="F281" s="1450" t="str">
        <f ca="1">IFERROR(OFFSET('4.2民生電力需要量'!$I$1,MATCH($D279,'4.2民生電力需要量'!$E:$E,0)-1,0),"")</f>
        <v/>
      </c>
      <c r="G281" s="1450"/>
      <c r="H281" s="1450"/>
      <c r="I281" s="1450"/>
      <c r="J281" s="1450"/>
      <c r="K281" s="1450"/>
      <c r="L281" s="1450"/>
      <c r="M281" s="8"/>
      <c r="R281" s="255" t="str">
        <f ca="1">IFERROR(OFFSET('4.2民生電力需要量'!$I$1,MATCH($D279,'4.2民生電力需要量'!$E:$E,0)-1,0),"")</f>
        <v/>
      </c>
      <c r="S281" s="175"/>
      <c r="T281" s="175"/>
      <c r="U281" s="175"/>
      <c r="V281" s="175"/>
      <c r="W281" s="175"/>
      <c r="X281" s="175"/>
      <c r="Y281" s="175"/>
      <c r="Z281" s="175"/>
      <c r="AA281" s="175">
        <f t="shared" ref="AA281:AA282" ca="1" si="135">(F281=R281)*1</f>
        <v>1</v>
      </c>
    </row>
    <row r="282" spans="1:27" customFormat="1">
      <c r="B282" s="7"/>
      <c r="C282" s="74"/>
      <c r="D282" s="66"/>
      <c r="E282" s="72" t="s">
        <v>175</v>
      </c>
      <c r="F282" s="1451" t="str">
        <f>_xlfn.IFNA(R282,"")</f>
        <v/>
      </c>
      <c r="G282" s="1451"/>
      <c r="H282" s="1451"/>
      <c r="I282" s="1451"/>
      <c r="J282" s="1451"/>
      <c r="K282" s="1451"/>
      <c r="L282" s="1451"/>
      <c r="M282" s="8"/>
      <c r="R282" s="129" t="str">
        <f>IF(OR(COUNTIF($E284:$E289,"&lt;&gt;〇〇(合意形成対象者名に書き換え)")=3,COUNTIF($E284:$E289,"")&gt;3),"",IF(PRODUCT($Y284:$Y289)=1,Z284,""))</f>
        <v/>
      </c>
      <c r="S282" s="175"/>
      <c r="T282" s="175"/>
      <c r="U282" s="175"/>
      <c r="V282" s="175"/>
      <c r="W282" s="175"/>
      <c r="X282" s="175"/>
      <c r="Y282" s="175"/>
      <c r="Z282" s="175"/>
      <c r="AA282" s="175">
        <f t="shared" si="135"/>
        <v>1</v>
      </c>
    </row>
    <row r="283" spans="1:27" ht="63.75" customHeight="1">
      <c r="B283" s="95"/>
      <c r="C283" s="96"/>
      <c r="D283" s="97"/>
      <c r="E283" s="372"/>
      <c r="F283" s="313" t="s">
        <v>268</v>
      </c>
      <c r="G283" s="313" t="s">
        <v>271</v>
      </c>
      <c r="H283" s="313" t="s">
        <v>272</v>
      </c>
      <c r="I283" s="313" t="s">
        <v>269</v>
      </c>
      <c r="J283" s="313" t="s">
        <v>434</v>
      </c>
      <c r="K283" s="313" t="s">
        <v>435</v>
      </c>
      <c r="L283" s="313" t="s">
        <v>270</v>
      </c>
      <c r="M283" s="98"/>
      <c r="N283" s="11"/>
      <c r="R283" s="126" t="s">
        <v>299</v>
      </c>
      <c r="S283" s="257" t="s">
        <v>423</v>
      </c>
      <c r="T283" s="126" t="s">
        <v>424</v>
      </c>
      <c r="U283" s="296" t="s">
        <v>436</v>
      </c>
      <c r="V283" s="256" t="s">
        <v>270</v>
      </c>
      <c r="W283" s="126" t="s">
        <v>426</v>
      </c>
      <c r="X283" s="129" t="s">
        <v>402</v>
      </c>
      <c r="Y283" s="129" t="s">
        <v>430</v>
      </c>
      <c r="Z283" s="126" t="s">
        <v>425</v>
      </c>
      <c r="AA283" s="255"/>
    </row>
    <row r="284" spans="1:27" hidden="1">
      <c r="B284" s="95"/>
      <c r="C284" s="96"/>
      <c r="D284" s="97"/>
      <c r="E284" s="442"/>
      <c r="F284" s="443"/>
      <c r="G284" s="439"/>
      <c r="H284" s="443"/>
      <c r="I284" s="439"/>
      <c r="J284" s="443"/>
      <c r="K284" s="439"/>
      <c r="L284" s="444"/>
      <c r="M284" s="98"/>
      <c r="N284" s="11"/>
      <c r="R284" s="129">
        <f t="shared" ref="R284:R289" si="136">IF(F284="実施済",1,0)</f>
        <v>0</v>
      </c>
      <c r="S284" s="258"/>
      <c r="T284" s="129">
        <f t="shared" ref="T284:T289" si="137">IF(AND(H284="実施済",I284="実施済"),R284*1,0)</f>
        <v>0</v>
      </c>
      <c r="U284" s="129">
        <f>IF(AND(J284="実施済",K284="実施済"),$T284*1,0)</f>
        <v>0</v>
      </c>
      <c r="V284" s="258"/>
      <c r="W284" s="129" t="str">
        <f>IF(OR(E284="〇〇(合意形成対象者名に書き換え)",E284=""),"",SUM(R284,T284,U284))</f>
        <v/>
      </c>
      <c r="X284" s="129">
        <f t="shared" ref="X284:X289" si="138">MIN($W$284:$W$289)+1</f>
        <v>1</v>
      </c>
      <c r="Y284" s="129">
        <f>IF(E284="",1,IF(AND(E284="〇〇(合意形成対象者名に書き換え)",COUNTA($F284:$L284)=0),1,IF(AND(E284&lt;&gt;"〇〇(合意形成対象者名に書き換え)",COUNTA($F284:$L284)=7),1,0)))</f>
        <v>1</v>
      </c>
      <c r="Z284" s="129" t="str" cm="1">
        <f t="array" ref="Z284">_xlfn.IFS(X284=4,"A",X284=3,"B",X284=2,"C",X284=1,"D")</f>
        <v>D</v>
      </c>
      <c r="AA284" s="255"/>
    </row>
    <row r="285" spans="1:27">
      <c r="B285" s="95"/>
      <c r="C285" s="96"/>
      <c r="D285" s="97"/>
      <c r="E285" s="447" t="s">
        <v>129</v>
      </c>
      <c r="F285" s="446"/>
      <c r="G285" s="441"/>
      <c r="H285" s="446"/>
      <c r="I285" s="441"/>
      <c r="J285" s="446"/>
      <c r="K285" s="441"/>
      <c r="L285" s="441"/>
      <c r="M285" s="98"/>
      <c r="N285" s="11"/>
      <c r="R285" s="129">
        <f t="shared" si="136"/>
        <v>0</v>
      </c>
      <c r="S285" s="258"/>
      <c r="T285" s="129">
        <f t="shared" si="137"/>
        <v>0</v>
      </c>
      <c r="U285" s="129">
        <f t="shared" ref="U285:U287" si="139">IF(AND(J285="実施済",K285="実施済"),$T285*1,0)</f>
        <v>0</v>
      </c>
      <c r="V285" s="258"/>
      <c r="W285" s="129" t="str">
        <f t="shared" ref="W285:W289" si="140">IF(OR(E285="〇〇(合意形成対象者名に書き換え)",E285=""),"",SUM(R285,T285,U285))</f>
        <v/>
      </c>
      <c r="X285" s="129">
        <f t="shared" si="138"/>
        <v>1</v>
      </c>
      <c r="Y285" s="129">
        <f t="shared" ref="Y285:Y289" si="141">IF(E285="",1,IF(AND(E285="〇〇(合意形成対象者名に書き換え)",COUNTA($F285:$L285)=0),1,IF(AND(E285&lt;&gt;"〇〇(合意形成対象者名に書き換え)",COUNTA($F285:$L285)=7),1,0)))</f>
        <v>1</v>
      </c>
      <c r="Z285" s="129" t="str" cm="1">
        <f t="array" ref="Z285">_xlfn.IFS(X285=4,"A",X285=3,"B",X285=2,"C",X285=1,"D")</f>
        <v>D</v>
      </c>
      <c r="AA285" s="255"/>
    </row>
    <row r="286" spans="1:27">
      <c r="B286" s="95"/>
      <c r="C286" s="96"/>
      <c r="D286" s="97"/>
      <c r="E286" s="447" t="s">
        <v>129</v>
      </c>
      <c r="F286" s="446"/>
      <c r="G286" s="441"/>
      <c r="H286" s="446"/>
      <c r="I286" s="441"/>
      <c r="J286" s="446"/>
      <c r="K286" s="441"/>
      <c r="L286" s="441"/>
      <c r="M286" s="98"/>
      <c r="N286" s="11"/>
      <c r="R286" s="129">
        <f t="shared" si="136"/>
        <v>0</v>
      </c>
      <c r="S286" s="258"/>
      <c r="T286" s="129">
        <f t="shared" si="137"/>
        <v>0</v>
      </c>
      <c r="U286" s="129">
        <f t="shared" si="139"/>
        <v>0</v>
      </c>
      <c r="V286" s="258"/>
      <c r="W286" s="129" t="str">
        <f t="shared" si="140"/>
        <v/>
      </c>
      <c r="X286" s="129">
        <f t="shared" si="138"/>
        <v>1</v>
      </c>
      <c r="Y286" s="129">
        <f t="shared" si="141"/>
        <v>1</v>
      </c>
      <c r="Z286" s="129" t="str" cm="1">
        <f t="array" ref="Z286">_xlfn.IFS(X286=4,"A",X286=3,"B",X286=2,"C",X286=1,"D")</f>
        <v>D</v>
      </c>
      <c r="AA286" s="255"/>
    </row>
    <row r="287" spans="1:27" s="99" customFormat="1">
      <c r="A287" s="11"/>
      <c r="B287" s="95"/>
      <c r="C287" s="96"/>
      <c r="D287" s="97"/>
      <c r="E287" s="447" t="s">
        <v>129</v>
      </c>
      <c r="F287" s="446"/>
      <c r="G287" s="441"/>
      <c r="H287" s="446"/>
      <c r="I287" s="441"/>
      <c r="J287" s="446"/>
      <c r="K287" s="441"/>
      <c r="L287" s="441"/>
      <c r="M287" s="98"/>
      <c r="N287" s="11"/>
      <c r="Q287" s="11"/>
      <c r="R287" s="129">
        <f t="shared" si="136"/>
        <v>0</v>
      </c>
      <c r="S287" s="258"/>
      <c r="T287" s="129">
        <f t="shared" si="137"/>
        <v>0</v>
      </c>
      <c r="U287" s="129">
        <f t="shared" si="139"/>
        <v>0</v>
      </c>
      <c r="V287" s="258"/>
      <c r="W287" s="129" t="str">
        <f t="shared" si="140"/>
        <v/>
      </c>
      <c r="X287" s="129">
        <f t="shared" si="138"/>
        <v>1</v>
      </c>
      <c r="Y287" s="129">
        <f t="shared" si="141"/>
        <v>1</v>
      </c>
      <c r="Z287" s="129" t="str" cm="1">
        <f t="array" ref="Z287">_xlfn.IFS(X287=4,"A",X287=3,"B",X287=2,"C",X287=1,"D")</f>
        <v>D</v>
      </c>
      <c r="AA287" s="129"/>
    </row>
    <row r="288" spans="1:27" customFormat="1" ht="7.5" customHeight="1">
      <c r="B288" s="65"/>
      <c r="C288" s="4"/>
      <c r="D288" s="4"/>
      <c r="E288" s="4"/>
      <c r="F288" s="4"/>
      <c r="G288" s="4"/>
      <c r="H288" s="4"/>
      <c r="I288" s="4"/>
      <c r="J288" s="4"/>
      <c r="K288" s="4"/>
      <c r="L288" s="4"/>
      <c r="M288" s="9"/>
      <c r="N288" s="2"/>
      <c r="O288" s="2"/>
      <c r="P288" s="2"/>
      <c r="R288" s="129">
        <f t="shared" si="136"/>
        <v>0</v>
      </c>
      <c r="S288" s="258"/>
      <c r="T288" s="129">
        <f t="shared" si="137"/>
        <v>0</v>
      </c>
      <c r="U288" s="129">
        <f>IF(AND(J288="実施済",K288="実施済"),$T288*1,0)</f>
        <v>0</v>
      </c>
      <c r="V288" s="258"/>
      <c r="W288" s="129" t="str">
        <f t="shared" si="140"/>
        <v/>
      </c>
      <c r="X288" s="129">
        <f t="shared" si="138"/>
        <v>1</v>
      </c>
      <c r="Y288" s="129">
        <f t="shared" si="141"/>
        <v>1</v>
      </c>
      <c r="Z288" s="129" t="str" cm="1">
        <f t="array" ref="Z288">_xlfn.IFS(X288=4,"A",X288=3,"B",X288=2,"C",X288=1,"D")</f>
        <v>D</v>
      </c>
      <c r="AA288" s="175"/>
    </row>
    <row r="289" spans="1:27" customFormat="1" ht="18" customHeight="1">
      <c r="N289" s="2"/>
      <c r="O289" s="2"/>
      <c r="P289" s="2"/>
      <c r="R289" s="129">
        <f t="shared" si="136"/>
        <v>0</v>
      </c>
      <c r="S289" s="258"/>
      <c r="T289" s="129">
        <f t="shared" si="137"/>
        <v>0</v>
      </c>
      <c r="U289" s="129">
        <f t="shared" ref="U289" si="142">IF(AND(J289="実施済",K289="実施済"),$T289*1,0)</f>
        <v>0</v>
      </c>
      <c r="V289" s="258"/>
      <c r="W289" s="129" t="str">
        <f t="shared" si="140"/>
        <v/>
      </c>
      <c r="X289" s="129">
        <f t="shared" si="138"/>
        <v>1</v>
      </c>
      <c r="Y289" s="129">
        <f t="shared" si="141"/>
        <v>1</v>
      </c>
      <c r="Z289" s="129" t="str" cm="1">
        <f t="array" ref="Z289">_xlfn.IFS(X289=4,"A",X289=3,"B",X289=2,"C",X289=1,"D")</f>
        <v>D</v>
      </c>
      <c r="AA289" s="175"/>
    </row>
    <row r="290" spans="1:27" customFormat="1" ht="103.5" customHeight="1">
      <c r="C290" s="78"/>
      <c r="D290" s="79"/>
      <c r="E290" s="71" t="s">
        <v>236</v>
      </c>
      <c r="F290" s="1452"/>
      <c r="G290" s="1452"/>
      <c r="H290" s="1452"/>
      <c r="I290" s="1452"/>
      <c r="J290" s="1452"/>
      <c r="K290" s="1452"/>
      <c r="L290" s="1452"/>
      <c r="M290" s="80" t="s">
        <v>132</v>
      </c>
      <c r="N290" s="80"/>
    </row>
    <row r="291" spans="1:27" customFormat="1" ht="146.25" customHeight="1">
      <c r="C291" s="75"/>
      <c r="D291" s="68"/>
      <c r="E291" s="71" t="s">
        <v>235</v>
      </c>
      <c r="F291" s="1452"/>
      <c r="G291" s="1452"/>
      <c r="H291" s="1452"/>
      <c r="I291" s="1452"/>
      <c r="J291" s="1452"/>
      <c r="K291" s="1452"/>
      <c r="L291" s="1452"/>
      <c r="N291" s="2"/>
      <c r="O291" s="2"/>
      <c r="P291" s="2"/>
    </row>
    <row r="292" spans="1:27" customFormat="1" ht="13.5" customHeight="1" thickBot="1">
      <c r="A292" s="81"/>
      <c r="B292" s="81"/>
      <c r="C292" s="81"/>
      <c r="D292" s="81"/>
      <c r="E292" s="81"/>
      <c r="F292" s="81"/>
      <c r="G292" s="81"/>
      <c r="H292" s="81"/>
      <c r="I292" s="81"/>
      <c r="J292" s="81"/>
      <c r="K292" s="81"/>
      <c r="L292" s="81"/>
      <c r="M292" s="81"/>
      <c r="N292" s="82"/>
      <c r="O292" s="2"/>
      <c r="P292" s="2"/>
    </row>
    <row r="293" spans="1:27" customFormat="1" ht="13.5" customHeight="1">
      <c r="N293" s="2"/>
      <c r="O293" s="2"/>
      <c r="P293" s="2"/>
    </row>
    <row r="294" spans="1:27" customFormat="1" ht="15" customHeight="1">
      <c r="B294" s="10"/>
      <c r="C294" s="5"/>
      <c r="D294" s="5"/>
      <c r="E294" s="5"/>
      <c r="F294" s="5"/>
      <c r="G294" s="5"/>
      <c r="H294" s="5"/>
      <c r="I294" s="5"/>
      <c r="J294" s="5"/>
      <c r="K294" s="5"/>
      <c r="L294" s="5"/>
      <c r="M294" s="6"/>
      <c r="R294" s="11" t="str">
        <f>D295</f>
        <v>(選択してください)</v>
      </c>
    </row>
    <row r="295" spans="1:27" customFormat="1">
      <c r="B295" s="7"/>
      <c r="C295" s="77" t="str">
        <f ca="1">IFERROR(OFFSET('4.2民生電力需要量'!$C$1,MATCH(D295,'4.2民生電力需要量'!$E:$E,0)-1,0),"")</f>
        <v/>
      </c>
      <c r="D295" s="94" t="s">
        <v>130</v>
      </c>
      <c r="E295" s="72" t="s">
        <v>131</v>
      </c>
      <c r="F295" s="1451" t="str">
        <f ca="1">IFERROR(OFFSET('4.2民生電力需要量'!$G$1,MATCH($D295,'4.2民生電力需要量'!$E:$E,0)-1,0),"")</f>
        <v/>
      </c>
      <c r="G295" s="1451"/>
      <c r="H295" s="1451"/>
      <c r="I295" s="1451"/>
      <c r="J295" s="1451"/>
      <c r="K295" s="1451"/>
      <c r="L295" s="1451"/>
      <c r="M295" s="8"/>
      <c r="R295" s="255" t="str">
        <f ca="1">IFERROR(OFFSET('4.2民生電力需要量'!$G$1,MATCH($D295,'4.2民生電力需要量'!$E:$E,0)-1,0),"")</f>
        <v/>
      </c>
      <c r="S295" s="175"/>
      <c r="T295" s="175"/>
      <c r="U295" s="175"/>
      <c r="V295" s="175"/>
      <c r="W295" s="175"/>
      <c r="X295" s="175"/>
      <c r="Y295" s="175"/>
      <c r="Z295" s="175"/>
      <c r="AA295" s="175">
        <f ca="1">(F295=R295)*1</f>
        <v>1</v>
      </c>
    </row>
    <row r="296" spans="1:27" customFormat="1">
      <c r="B296" s="7"/>
      <c r="C296" s="915"/>
      <c r="D296" s="97"/>
      <c r="E296" s="72" t="s">
        <v>612</v>
      </c>
      <c r="F296" s="1447" t="str">
        <f ca="1">IFERROR(OFFSET('4.2民生電力需要量'!$L$1,MATCH($D295,'4.2民生電力需要量'!$E:$E,0)-1,0),"")</f>
        <v/>
      </c>
      <c r="G296" s="1448"/>
      <c r="H296" s="1448"/>
      <c r="I296" s="1448"/>
      <c r="J296" s="1448"/>
      <c r="K296" s="1448"/>
      <c r="L296" s="1449"/>
      <c r="M296" s="8"/>
      <c r="R296" s="255" t="str">
        <f ca="1">IFERROR(OFFSET('4.2民生電力需要量'!$L$1,MATCH($D295,'4.2民生電力需要量'!$E:$E,0)-1,0),"")</f>
        <v/>
      </c>
      <c r="S296" s="175"/>
      <c r="T296" s="175"/>
      <c r="U296" s="175"/>
      <c r="V296" s="175"/>
      <c r="W296" s="175"/>
      <c r="X296" s="175"/>
      <c r="Y296" s="175"/>
      <c r="Z296" s="175"/>
      <c r="AA296" s="175">
        <f ca="1">(F296=R296)*1</f>
        <v>1</v>
      </c>
    </row>
    <row r="297" spans="1:27" customFormat="1">
      <c r="B297" s="7"/>
      <c r="C297" s="74"/>
      <c r="D297" s="66"/>
      <c r="E297" s="72" t="s">
        <v>220</v>
      </c>
      <c r="F297" s="1450" t="str">
        <f ca="1">IFERROR(OFFSET('4.2民生電力需要量'!$I$1,MATCH($D295,'4.2民生電力需要量'!$E:$E,0)-1,0),"")</f>
        <v/>
      </c>
      <c r="G297" s="1450"/>
      <c r="H297" s="1450"/>
      <c r="I297" s="1450"/>
      <c r="J297" s="1450"/>
      <c r="K297" s="1450"/>
      <c r="L297" s="1450"/>
      <c r="M297" s="8"/>
      <c r="R297" s="255" t="str">
        <f ca="1">IFERROR(OFFSET('4.2民生電力需要量'!$I$1,MATCH($D295,'4.2民生電力需要量'!$E:$E,0)-1,0),"")</f>
        <v/>
      </c>
      <c r="S297" s="175"/>
      <c r="T297" s="175"/>
      <c r="U297" s="175"/>
      <c r="V297" s="175"/>
      <c r="W297" s="175"/>
      <c r="X297" s="175"/>
      <c r="Y297" s="175"/>
      <c r="Z297" s="175"/>
      <c r="AA297" s="175">
        <f t="shared" ref="AA297:AA298" ca="1" si="143">(F297=R297)*1</f>
        <v>1</v>
      </c>
    </row>
    <row r="298" spans="1:27" customFormat="1">
      <c r="B298" s="7"/>
      <c r="C298" s="74"/>
      <c r="D298" s="66"/>
      <c r="E298" s="72" t="s">
        <v>175</v>
      </c>
      <c r="F298" s="1451" t="str">
        <f>_xlfn.IFNA(R298,"")</f>
        <v/>
      </c>
      <c r="G298" s="1451"/>
      <c r="H298" s="1451"/>
      <c r="I298" s="1451"/>
      <c r="J298" s="1451"/>
      <c r="K298" s="1451"/>
      <c r="L298" s="1451"/>
      <c r="M298" s="8"/>
      <c r="R298" s="129" t="str">
        <f>IF(OR(COUNTIF($E300:$E305,"&lt;&gt;〇〇(合意形成対象者名に書き換え)")=3,COUNTIF($E300:$E305,"")&gt;3),"",IF(PRODUCT($Y300:$Y305)=1,Z300,""))</f>
        <v/>
      </c>
      <c r="S298" s="175"/>
      <c r="T298" s="175"/>
      <c r="U298" s="175"/>
      <c r="V298" s="175"/>
      <c r="W298" s="175"/>
      <c r="X298" s="175"/>
      <c r="Y298" s="175"/>
      <c r="Z298" s="175"/>
      <c r="AA298" s="175">
        <f t="shared" si="143"/>
        <v>1</v>
      </c>
    </row>
    <row r="299" spans="1:27" ht="63.75" customHeight="1">
      <c r="B299" s="95"/>
      <c r="C299" s="96"/>
      <c r="D299" s="97"/>
      <c r="E299" s="372"/>
      <c r="F299" s="313" t="s">
        <v>268</v>
      </c>
      <c r="G299" s="313" t="s">
        <v>271</v>
      </c>
      <c r="H299" s="313" t="s">
        <v>272</v>
      </c>
      <c r="I299" s="313" t="s">
        <v>269</v>
      </c>
      <c r="J299" s="313" t="s">
        <v>434</v>
      </c>
      <c r="K299" s="313" t="s">
        <v>435</v>
      </c>
      <c r="L299" s="313" t="s">
        <v>270</v>
      </c>
      <c r="M299" s="98"/>
      <c r="N299" s="11"/>
      <c r="R299" s="126" t="s">
        <v>299</v>
      </c>
      <c r="S299" s="257" t="s">
        <v>423</v>
      </c>
      <c r="T299" s="126" t="s">
        <v>424</v>
      </c>
      <c r="U299" s="296" t="s">
        <v>436</v>
      </c>
      <c r="V299" s="256" t="s">
        <v>270</v>
      </c>
      <c r="W299" s="126" t="s">
        <v>426</v>
      </c>
      <c r="X299" s="129" t="s">
        <v>402</v>
      </c>
      <c r="Y299" s="129" t="s">
        <v>430</v>
      </c>
      <c r="Z299" s="126" t="s">
        <v>425</v>
      </c>
      <c r="AA299" s="255"/>
    </row>
    <row r="300" spans="1:27" hidden="1">
      <c r="B300" s="95"/>
      <c r="C300" s="96"/>
      <c r="D300" s="97"/>
      <c r="E300" s="442"/>
      <c r="F300" s="443"/>
      <c r="G300" s="439"/>
      <c r="H300" s="443"/>
      <c r="I300" s="439"/>
      <c r="J300" s="443"/>
      <c r="K300" s="439"/>
      <c r="L300" s="444"/>
      <c r="M300" s="98"/>
      <c r="N300" s="11"/>
      <c r="R300" s="129">
        <f t="shared" ref="R300:R305" si="144">IF(F300="実施済",1,0)</f>
        <v>0</v>
      </c>
      <c r="S300" s="258"/>
      <c r="T300" s="129">
        <f t="shared" ref="T300:T305" si="145">IF(AND(H300="実施済",I300="実施済"),R300*1,0)</f>
        <v>0</v>
      </c>
      <c r="U300" s="129">
        <f>IF(AND(J300="実施済",K300="実施済"),$T300*1,0)</f>
        <v>0</v>
      </c>
      <c r="V300" s="258"/>
      <c r="W300" s="129" t="str">
        <f>IF(OR(E300="〇〇(合意形成対象者名に書き換え)",E300=""),"",SUM(R300,T300,U300))</f>
        <v/>
      </c>
      <c r="X300" s="129">
        <f t="shared" ref="X300:X305" si="146">MIN($W$300:$W$305)+1</f>
        <v>1</v>
      </c>
      <c r="Y300" s="129">
        <f>IF(E300="",1,IF(AND(E300="〇〇(合意形成対象者名に書き換え)",COUNTA($F300:$L300)=0),1,IF(AND(E300&lt;&gt;"〇〇(合意形成対象者名に書き換え)",COUNTA($F300:$L300)=7),1,0)))</f>
        <v>1</v>
      </c>
      <c r="Z300" s="129" t="str" cm="1">
        <f t="array" ref="Z300">_xlfn.IFS(X300=4,"A",X300=3,"B",X300=2,"C",X300=1,"D")</f>
        <v>D</v>
      </c>
      <c r="AA300" s="255"/>
    </row>
    <row r="301" spans="1:27">
      <c r="B301" s="95"/>
      <c r="C301" s="96"/>
      <c r="D301" s="97"/>
      <c r="E301" s="447" t="s">
        <v>129</v>
      </c>
      <c r="F301" s="446"/>
      <c r="G301" s="441"/>
      <c r="H301" s="446"/>
      <c r="I301" s="441"/>
      <c r="J301" s="446"/>
      <c r="K301" s="441"/>
      <c r="L301" s="441"/>
      <c r="M301" s="98"/>
      <c r="N301" s="11"/>
      <c r="R301" s="129">
        <f t="shared" si="144"/>
        <v>0</v>
      </c>
      <c r="S301" s="258"/>
      <c r="T301" s="129">
        <f t="shared" si="145"/>
        <v>0</v>
      </c>
      <c r="U301" s="129">
        <f t="shared" ref="U301:U303" si="147">IF(AND(J301="実施済",K301="実施済"),$T301*1,0)</f>
        <v>0</v>
      </c>
      <c r="V301" s="258"/>
      <c r="W301" s="129" t="str">
        <f t="shared" ref="W301:W305" si="148">IF(OR(E301="〇〇(合意形成対象者名に書き換え)",E301=""),"",SUM(R301,T301,U301))</f>
        <v/>
      </c>
      <c r="X301" s="129">
        <f t="shared" si="146"/>
        <v>1</v>
      </c>
      <c r="Y301" s="129">
        <f t="shared" ref="Y301:Y305" si="149">IF(E301="",1,IF(AND(E301="〇〇(合意形成対象者名に書き換え)",COUNTA($F301:$L301)=0),1,IF(AND(E301&lt;&gt;"〇〇(合意形成対象者名に書き換え)",COUNTA($F301:$L301)=7),1,0)))</f>
        <v>1</v>
      </c>
      <c r="Z301" s="129" t="str" cm="1">
        <f t="array" ref="Z301">_xlfn.IFS(X301=4,"A",X301=3,"B",X301=2,"C",X301=1,"D")</f>
        <v>D</v>
      </c>
      <c r="AA301" s="255"/>
    </row>
    <row r="302" spans="1:27">
      <c r="B302" s="95"/>
      <c r="C302" s="96"/>
      <c r="D302" s="97"/>
      <c r="E302" s="447" t="s">
        <v>129</v>
      </c>
      <c r="F302" s="446"/>
      <c r="G302" s="441"/>
      <c r="H302" s="446"/>
      <c r="I302" s="441"/>
      <c r="J302" s="446"/>
      <c r="K302" s="441"/>
      <c r="L302" s="441"/>
      <c r="M302" s="98"/>
      <c r="N302" s="11"/>
      <c r="R302" s="129">
        <f t="shared" si="144"/>
        <v>0</v>
      </c>
      <c r="S302" s="258"/>
      <c r="T302" s="129">
        <f t="shared" si="145"/>
        <v>0</v>
      </c>
      <c r="U302" s="129">
        <f t="shared" si="147"/>
        <v>0</v>
      </c>
      <c r="V302" s="258"/>
      <c r="W302" s="129" t="str">
        <f t="shared" si="148"/>
        <v/>
      </c>
      <c r="X302" s="129">
        <f t="shared" si="146"/>
        <v>1</v>
      </c>
      <c r="Y302" s="129">
        <f t="shared" si="149"/>
        <v>1</v>
      </c>
      <c r="Z302" s="129" t="str" cm="1">
        <f t="array" ref="Z302">_xlfn.IFS(X302=4,"A",X302=3,"B",X302=2,"C",X302=1,"D")</f>
        <v>D</v>
      </c>
      <c r="AA302" s="255"/>
    </row>
    <row r="303" spans="1:27" s="99" customFormat="1">
      <c r="A303" s="11"/>
      <c r="B303" s="95"/>
      <c r="C303" s="96"/>
      <c r="D303" s="97"/>
      <c r="E303" s="447" t="s">
        <v>129</v>
      </c>
      <c r="F303" s="446"/>
      <c r="G303" s="441"/>
      <c r="H303" s="446"/>
      <c r="I303" s="441"/>
      <c r="J303" s="446"/>
      <c r="K303" s="441"/>
      <c r="L303" s="441"/>
      <c r="M303" s="98"/>
      <c r="N303" s="11"/>
      <c r="Q303" s="11"/>
      <c r="R303" s="129">
        <f t="shared" si="144"/>
        <v>0</v>
      </c>
      <c r="S303" s="258"/>
      <c r="T303" s="129">
        <f t="shared" si="145"/>
        <v>0</v>
      </c>
      <c r="U303" s="129">
        <f t="shared" si="147"/>
        <v>0</v>
      </c>
      <c r="V303" s="258"/>
      <c r="W303" s="129" t="str">
        <f t="shared" si="148"/>
        <v/>
      </c>
      <c r="X303" s="129">
        <f t="shared" si="146"/>
        <v>1</v>
      </c>
      <c r="Y303" s="129">
        <f t="shared" si="149"/>
        <v>1</v>
      </c>
      <c r="Z303" s="129" t="str" cm="1">
        <f t="array" ref="Z303">_xlfn.IFS(X303=4,"A",X303=3,"B",X303=2,"C",X303=1,"D")</f>
        <v>D</v>
      </c>
      <c r="AA303" s="129"/>
    </row>
    <row r="304" spans="1:27" customFormat="1" ht="7.5" customHeight="1">
      <c r="B304" s="65"/>
      <c r="C304" s="4"/>
      <c r="D304" s="4"/>
      <c r="E304" s="4"/>
      <c r="F304" s="4"/>
      <c r="G304" s="4"/>
      <c r="H304" s="4"/>
      <c r="I304" s="4"/>
      <c r="J304" s="4"/>
      <c r="K304" s="4"/>
      <c r="L304" s="4"/>
      <c r="M304" s="9"/>
      <c r="N304" s="2"/>
      <c r="O304" s="2"/>
      <c r="P304" s="2"/>
      <c r="R304" s="129">
        <f t="shared" si="144"/>
        <v>0</v>
      </c>
      <c r="S304" s="258"/>
      <c r="T304" s="129">
        <f t="shared" si="145"/>
        <v>0</v>
      </c>
      <c r="U304" s="129">
        <f>IF(AND(J304="実施済",K304="実施済"),$T304*1,0)</f>
        <v>0</v>
      </c>
      <c r="V304" s="258"/>
      <c r="W304" s="129" t="str">
        <f t="shared" si="148"/>
        <v/>
      </c>
      <c r="X304" s="129">
        <f t="shared" si="146"/>
        <v>1</v>
      </c>
      <c r="Y304" s="129">
        <f t="shared" si="149"/>
        <v>1</v>
      </c>
      <c r="Z304" s="129" t="str" cm="1">
        <f t="array" ref="Z304">_xlfn.IFS(X304=4,"A",X304=3,"B",X304=2,"C",X304=1,"D")</f>
        <v>D</v>
      </c>
      <c r="AA304" s="175"/>
    </row>
    <row r="305" spans="1:27" customFormat="1" ht="18" customHeight="1">
      <c r="N305" s="2"/>
      <c r="O305" s="2"/>
      <c r="P305" s="2"/>
      <c r="R305" s="129">
        <f t="shared" si="144"/>
        <v>0</v>
      </c>
      <c r="S305" s="258"/>
      <c r="T305" s="129">
        <f t="shared" si="145"/>
        <v>0</v>
      </c>
      <c r="U305" s="129">
        <f t="shared" ref="U305" si="150">IF(AND(J305="実施済",K305="実施済"),$T305*1,0)</f>
        <v>0</v>
      </c>
      <c r="V305" s="258"/>
      <c r="W305" s="129" t="str">
        <f t="shared" si="148"/>
        <v/>
      </c>
      <c r="X305" s="129">
        <f t="shared" si="146"/>
        <v>1</v>
      </c>
      <c r="Y305" s="129">
        <f t="shared" si="149"/>
        <v>1</v>
      </c>
      <c r="Z305" s="129" t="str" cm="1">
        <f t="array" ref="Z305">_xlfn.IFS(X305=4,"A",X305=3,"B",X305=2,"C",X305=1,"D")</f>
        <v>D</v>
      </c>
      <c r="AA305" s="175"/>
    </row>
    <row r="306" spans="1:27" customFormat="1" ht="103.5" customHeight="1">
      <c r="C306" s="78"/>
      <c r="D306" s="79"/>
      <c r="E306" s="71" t="s">
        <v>236</v>
      </c>
      <c r="F306" s="1452"/>
      <c r="G306" s="1452"/>
      <c r="H306" s="1452"/>
      <c r="I306" s="1452"/>
      <c r="J306" s="1452"/>
      <c r="K306" s="1452"/>
      <c r="L306" s="1452"/>
      <c r="M306" s="80" t="s">
        <v>132</v>
      </c>
      <c r="N306" s="80"/>
    </row>
    <row r="307" spans="1:27" customFormat="1" ht="146.25" customHeight="1">
      <c r="C307" s="75"/>
      <c r="D307" s="68"/>
      <c r="E307" s="71" t="s">
        <v>235</v>
      </c>
      <c r="F307" s="1452"/>
      <c r="G307" s="1452"/>
      <c r="H307" s="1452"/>
      <c r="I307" s="1452"/>
      <c r="J307" s="1452"/>
      <c r="K307" s="1452"/>
      <c r="L307" s="1452"/>
      <c r="N307" s="2"/>
      <c r="O307" s="2"/>
      <c r="P307" s="2"/>
    </row>
    <row r="308" spans="1:27" customFormat="1" ht="13.5" customHeight="1" thickBot="1">
      <c r="A308" s="81"/>
      <c r="B308" s="81"/>
      <c r="C308" s="81"/>
      <c r="D308" s="81"/>
      <c r="E308" s="81"/>
      <c r="F308" s="81"/>
      <c r="G308" s="81"/>
      <c r="H308" s="81"/>
      <c r="I308" s="81"/>
      <c r="J308" s="81"/>
      <c r="K308" s="81"/>
      <c r="L308" s="81"/>
      <c r="M308" s="81"/>
      <c r="N308" s="82"/>
      <c r="O308" s="2"/>
      <c r="P308" s="2"/>
    </row>
    <row r="309" spans="1:27" customFormat="1" ht="13.5" customHeight="1">
      <c r="N309" s="2"/>
      <c r="O309" s="2"/>
      <c r="P309" s="2"/>
    </row>
    <row r="310" spans="1:27" customFormat="1" ht="15" customHeight="1">
      <c r="B310" s="10"/>
      <c r="C310" s="5"/>
      <c r="D310" s="5"/>
      <c r="E310" s="5"/>
      <c r="F310" s="5"/>
      <c r="G310" s="5"/>
      <c r="H310" s="5"/>
      <c r="I310" s="5"/>
      <c r="J310" s="5"/>
      <c r="K310" s="5"/>
      <c r="L310" s="5"/>
      <c r="M310" s="6"/>
      <c r="R310" s="11" t="str">
        <f>D311</f>
        <v>(選択してください)</v>
      </c>
    </row>
    <row r="311" spans="1:27" customFormat="1">
      <c r="B311" s="7"/>
      <c r="C311" s="77" t="str">
        <f ca="1">IFERROR(OFFSET('4.2民生電力需要量'!$C$1,MATCH(D311,'4.2民生電力需要量'!$E:$E,0)-1,0),"")</f>
        <v/>
      </c>
      <c r="D311" s="94" t="s">
        <v>130</v>
      </c>
      <c r="E311" s="72" t="s">
        <v>131</v>
      </c>
      <c r="F311" s="1451" t="str">
        <f ca="1">IFERROR(OFFSET('4.2民生電力需要量'!$G$1,MATCH($D311,'4.2民生電力需要量'!$E:$E,0)-1,0),"")</f>
        <v/>
      </c>
      <c r="G311" s="1451"/>
      <c r="H311" s="1451"/>
      <c r="I311" s="1451"/>
      <c r="J311" s="1451"/>
      <c r="K311" s="1451"/>
      <c r="L311" s="1451"/>
      <c r="M311" s="8"/>
      <c r="R311" s="255" t="str">
        <f ca="1">IFERROR(OFFSET('4.2民生電力需要量'!$G$1,MATCH($D311,'4.2民生電力需要量'!$E:$E,0)-1,0),"")</f>
        <v/>
      </c>
      <c r="S311" s="175"/>
      <c r="T311" s="175"/>
      <c r="U311" s="175"/>
      <c r="V311" s="175"/>
      <c r="W311" s="175"/>
      <c r="X311" s="175"/>
      <c r="Y311" s="175"/>
      <c r="Z311" s="175"/>
      <c r="AA311" s="175">
        <f ca="1">(F311=R311)*1</f>
        <v>1</v>
      </c>
    </row>
    <row r="312" spans="1:27" customFormat="1">
      <c r="B312" s="7"/>
      <c r="C312" s="915"/>
      <c r="D312" s="97"/>
      <c r="E312" s="72" t="s">
        <v>612</v>
      </c>
      <c r="F312" s="1447" t="str">
        <f ca="1">IFERROR(OFFSET('4.2民生電力需要量'!$L$1,MATCH($D311,'4.2民生電力需要量'!$E:$E,0)-1,0),"")</f>
        <v/>
      </c>
      <c r="G312" s="1448"/>
      <c r="H312" s="1448"/>
      <c r="I312" s="1448"/>
      <c r="J312" s="1448"/>
      <c r="K312" s="1448"/>
      <c r="L312" s="1449"/>
      <c r="M312" s="8"/>
      <c r="R312" s="255" t="str">
        <f ca="1">IFERROR(OFFSET('4.2民生電力需要量'!$L$1,MATCH($D311,'4.2民生電力需要量'!$E:$E,0)-1,0),"")</f>
        <v/>
      </c>
      <c r="S312" s="175"/>
      <c r="T312" s="175"/>
      <c r="U312" s="175"/>
      <c r="V312" s="175"/>
      <c r="W312" s="175"/>
      <c r="X312" s="175"/>
      <c r="Y312" s="175"/>
      <c r="Z312" s="175"/>
      <c r="AA312" s="175">
        <f ca="1">(F312=R312)*1</f>
        <v>1</v>
      </c>
    </row>
    <row r="313" spans="1:27" customFormat="1">
      <c r="B313" s="7"/>
      <c r="C313" s="74"/>
      <c r="D313" s="66"/>
      <c r="E313" s="72" t="s">
        <v>220</v>
      </c>
      <c r="F313" s="1450" t="str">
        <f ca="1">IFERROR(OFFSET('4.2民生電力需要量'!$I$1,MATCH($D311,'4.2民生電力需要量'!$E:$E,0)-1,0),"")</f>
        <v/>
      </c>
      <c r="G313" s="1450"/>
      <c r="H313" s="1450"/>
      <c r="I313" s="1450"/>
      <c r="J313" s="1450"/>
      <c r="K313" s="1450"/>
      <c r="L313" s="1450"/>
      <c r="M313" s="8"/>
      <c r="R313" s="255" t="str">
        <f ca="1">IFERROR(OFFSET('4.2民生電力需要量'!$I$1,MATCH($D311,'4.2民生電力需要量'!$E:$E,0)-1,0),"")</f>
        <v/>
      </c>
      <c r="S313" s="175"/>
      <c r="T313" s="175"/>
      <c r="U313" s="175"/>
      <c r="V313" s="175"/>
      <c r="W313" s="175"/>
      <c r="X313" s="175"/>
      <c r="Y313" s="175"/>
      <c r="Z313" s="175"/>
      <c r="AA313" s="175">
        <f t="shared" ref="AA313:AA314" ca="1" si="151">(F313=R313)*1</f>
        <v>1</v>
      </c>
    </row>
    <row r="314" spans="1:27" customFormat="1">
      <c r="B314" s="7"/>
      <c r="C314" s="74"/>
      <c r="D314" s="66"/>
      <c r="E314" s="72" t="s">
        <v>175</v>
      </c>
      <c r="F314" s="1451" t="str">
        <f>_xlfn.IFNA(R314,"")</f>
        <v/>
      </c>
      <c r="G314" s="1451"/>
      <c r="H314" s="1451"/>
      <c r="I314" s="1451"/>
      <c r="J314" s="1451"/>
      <c r="K314" s="1451"/>
      <c r="L314" s="1451"/>
      <c r="M314" s="8"/>
      <c r="R314" s="129" t="str">
        <f>IF(OR(COUNTIF($E316:$E321,"&lt;&gt;〇〇(合意形成対象者名に書き換え)")=3,COUNTIF($E316:$E321,"")&gt;3),"",IF(PRODUCT($Y316:$Y321)=1,Z316,""))</f>
        <v/>
      </c>
      <c r="S314" s="175"/>
      <c r="T314" s="175"/>
      <c r="U314" s="175"/>
      <c r="V314" s="175"/>
      <c r="W314" s="175"/>
      <c r="X314" s="175"/>
      <c r="Y314" s="175"/>
      <c r="Z314" s="175"/>
      <c r="AA314" s="175">
        <f t="shared" si="151"/>
        <v>1</v>
      </c>
    </row>
    <row r="315" spans="1:27" ht="63.75" customHeight="1">
      <c r="B315" s="95"/>
      <c r="C315" s="96"/>
      <c r="D315" s="97"/>
      <c r="E315" s="372"/>
      <c r="F315" s="313" t="s">
        <v>268</v>
      </c>
      <c r="G315" s="313" t="s">
        <v>271</v>
      </c>
      <c r="H315" s="313" t="s">
        <v>272</v>
      </c>
      <c r="I315" s="313" t="s">
        <v>269</v>
      </c>
      <c r="J315" s="313" t="s">
        <v>434</v>
      </c>
      <c r="K315" s="313" t="s">
        <v>435</v>
      </c>
      <c r="L315" s="313" t="s">
        <v>270</v>
      </c>
      <c r="M315" s="98"/>
      <c r="N315" s="11"/>
      <c r="R315" s="126" t="s">
        <v>299</v>
      </c>
      <c r="S315" s="257" t="s">
        <v>423</v>
      </c>
      <c r="T315" s="126" t="s">
        <v>424</v>
      </c>
      <c r="U315" s="296" t="s">
        <v>436</v>
      </c>
      <c r="V315" s="256" t="s">
        <v>270</v>
      </c>
      <c r="W315" s="126" t="s">
        <v>426</v>
      </c>
      <c r="X315" s="129" t="s">
        <v>402</v>
      </c>
      <c r="Y315" s="129" t="s">
        <v>430</v>
      </c>
      <c r="Z315" s="126" t="s">
        <v>425</v>
      </c>
      <c r="AA315" s="255"/>
    </row>
    <row r="316" spans="1:27" hidden="1">
      <c r="B316" s="95"/>
      <c r="C316" s="96"/>
      <c r="D316" s="97"/>
      <c r="E316" s="442"/>
      <c r="F316" s="443"/>
      <c r="G316" s="439"/>
      <c r="H316" s="443"/>
      <c r="I316" s="439"/>
      <c r="J316" s="443"/>
      <c r="K316" s="439"/>
      <c r="L316" s="444"/>
      <c r="M316" s="98"/>
      <c r="N316" s="11"/>
      <c r="R316" s="129">
        <f t="shared" ref="R316:R321" si="152">IF(F316="実施済",1,0)</f>
        <v>0</v>
      </c>
      <c r="S316" s="258"/>
      <c r="T316" s="129">
        <f t="shared" ref="T316:T321" si="153">IF(AND(H316="実施済",I316="実施済"),R316*1,0)</f>
        <v>0</v>
      </c>
      <c r="U316" s="129">
        <f>IF(AND(J316="実施済",K316="実施済"),$T316*1,0)</f>
        <v>0</v>
      </c>
      <c r="V316" s="258"/>
      <c r="W316" s="129" t="str">
        <f>IF(OR(E316="〇〇(合意形成対象者名に書き換え)",E316=""),"",SUM(R316,T316,U316))</f>
        <v/>
      </c>
      <c r="X316" s="129">
        <f t="shared" ref="X316:X321" si="154">MIN($W$316:$W$321)+1</f>
        <v>1</v>
      </c>
      <c r="Y316" s="129">
        <f>IF(E316="",1,IF(AND(E316="〇〇(合意形成対象者名に書き換え)",COUNTA($F316:$L316)=0),1,IF(AND(E316&lt;&gt;"〇〇(合意形成対象者名に書き換え)",COUNTA($F316:$L316)=7),1,0)))</f>
        <v>1</v>
      </c>
      <c r="Z316" s="129" t="str" cm="1">
        <f t="array" ref="Z316">_xlfn.IFS(X316=4,"A",X316=3,"B",X316=2,"C",X316=1,"D")</f>
        <v>D</v>
      </c>
      <c r="AA316" s="255"/>
    </row>
    <row r="317" spans="1:27">
      <c r="B317" s="95"/>
      <c r="C317" s="96"/>
      <c r="D317" s="97"/>
      <c r="E317" s="447" t="s">
        <v>129</v>
      </c>
      <c r="F317" s="446"/>
      <c r="G317" s="441"/>
      <c r="H317" s="446"/>
      <c r="I317" s="441"/>
      <c r="J317" s="446"/>
      <c r="K317" s="441"/>
      <c r="L317" s="441"/>
      <c r="M317" s="98"/>
      <c r="N317" s="11"/>
      <c r="R317" s="129">
        <f t="shared" si="152"/>
        <v>0</v>
      </c>
      <c r="S317" s="258"/>
      <c r="T317" s="129">
        <f t="shared" si="153"/>
        <v>0</v>
      </c>
      <c r="U317" s="129">
        <f t="shared" ref="U317:U319" si="155">IF(AND(J317="実施済",K317="実施済"),$T317*1,0)</f>
        <v>0</v>
      </c>
      <c r="V317" s="258"/>
      <c r="W317" s="129" t="str">
        <f t="shared" ref="W317:W321" si="156">IF(OR(E317="〇〇(合意形成対象者名に書き換え)",E317=""),"",SUM(R317,T317,U317))</f>
        <v/>
      </c>
      <c r="X317" s="129">
        <f t="shared" si="154"/>
        <v>1</v>
      </c>
      <c r="Y317" s="129">
        <f t="shared" ref="Y317:Y321" si="157">IF(E317="",1,IF(AND(E317="〇〇(合意形成対象者名に書き換え)",COUNTA($F317:$L317)=0),1,IF(AND(E317&lt;&gt;"〇〇(合意形成対象者名に書き換え)",COUNTA($F317:$L317)=7),1,0)))</f>
        <v>1</v>
      </c>
      <c r="Z317" s="129" t="str" cm="1">
        <f t="array" ref="Z317">_xlfn.IFS(X317=4,"A",X317=3,"B",X317=2,"C",X317=1,"D")</f>
        <v>D</v>
      </c>
      <c r="AA317" s="255"/>
    </row>
    <row r="318" spans="1:27">
      <c r="B318" s="95"/>
      <c r="C318" s="96"/>
      <c r="D318" s="97"/>
      <c r="E318" s="447" t="s">
        <v>129</v>
      </c>
      <c r="F318" s="446"/>
      <c r="G318" s="441"/>
      <c r="H318" s="446"/>
      <c r="I318" s="441"/>
      <c r="J318" s="446"/>
      <c r="K318" s="441"/>
      <c r="L318" s="441"/>
      <c r="M318" s="98"/>
      <c r="N318" s="11"/>
      <c r="R318" s="129">
        <f t="shared" si="152"/>
        <v>0</v>
      </c>
      <c r="S318" s="258"/>
      <c r="T318" s="129">
        <f t="shared" si="153"/>
        <v>0</v>
      </c>
      <c r="U318" s="129">
        <f t="shared" si="155"/>
        <v>0</v>
      </c>
      <c r="V318" s="258"/>
      <c r="W318" s="129" t="str">
        <f t="shared" si="156"/>
        <v/>
      </c>
      <c r="X318" s="129">
        <f t="shared" si="154"/>
        <v>1</v>
      </c>
      <c r="Y318" s="129">
        <f t="shared" si="157"/>
        <v>1</v>
      </c>
      <c r="Z318" s="129" t="str" cm="1">
        <f t="array" ref="Z318">_xlfn.IFS(X318=4,"A",X318=3,"B",X318=2,"C",X318=1,"D")</f>
        <v>D</v>
      </c>
      <c r="AA318" s="255"/>
    </row>
    <row r="319" spans="1:27" s="99" customFormat="1">
      <c r="A319" s="11"/>
      <c r="B319" s="95"/>
      <c r="C319" s="96"/>
      <c r="D319" s="97"/>
      <c r="E319" s="447" t="s">
        <v>129</v>
      </c>
      <c r="F319" s="446"/>
      <c r="G319" s="441"/>
      <c r="H319" s="446"/>
      <c r="I319" s="441"/>
      <c r="J319" s="446"/>
      <c r="K319" s="441"/>
      <c r="L319" s="441"/>
      <c r="M319" s="98"/>
      <c r="N319" s="11"/>
      <c r="Q319" s="11"/>
      <c r="R319" s="129">
        <f t="shared" si="152"/>
        <v>0</v>
      </c>
      <c r="S319" s="258"/>
      <c r="T319" s="129">
        <f t="shared" si="153"/>
        <v>0</v>
      </c>
      <c r="U319" s="129">
        <f t="shared" si="155"/>
        <v>0</v>
      </c>
      <c r="V319" s="258"/>
      <c r="W319" s="129" t="str">
        <f t="shared" si="156"/>
        <v/>
      </c>
      <c r="X319" s="129">
        <f t="shared" si="154"/>
        <v>1</v>
      </c>
      <c r="Y319" s="129">
        <f t="shared" si="157"/>
        <v>1</v>
      </c>
      <c r="Z319" s="129" t="str" cm="1">
        <f t="array" ref="Z319">_xlfn.IFS(X319=4,"A",X319=3,"B",X319=2,"C",X319=1,"D")</f>
        <v>D</v>
      </c>
      <c r="AA319" s="129"/>
    </row>
    <row r="320" spans="1:27" customFormat="1" ht="7.5" customHeight="1">
      <c r="B320" s="65"/>
      <c r="C320" s="4"/>
      <c r="D320" s="4"/>
      <c r="E320" s="4"/>
      <c r="F320" s="4"/>
      <c r="G320" s="4"/>
      <c r="H320" s="4"/>
      <c r="I320" s="4"/>
      <c r="J320" s="4"/>
      <c r="K320" s="4"/>
      <c r="L320" s="4"/>
      <c r="M320" s="9"/>
      <c r="N320" s="2"/>
      <c r="O320" s="2"/>
      <c r="P320" s="2"/>
      <c r="R320" s="129">
        <f t="shared" si="152"/>
        <v>0</v>
      </c>
      <c r="S320" s="258"/>
      <c r="T320" s="129">
        <f t="shared" si="153"/>
        <v>0</v>
      </c>
      <c r="U320" s="129">
        <f>IF(AND(J320="実施済",K320="実施済"),$T320*1,0)</f>
        <v>0</v>
      </c>
      <c r="V320" s="258"/>
      <c r="W320" s="129" t="str">
        <f t="shared" si="156"/>
        <v/>
      </c>
      <c r="X320" s="129">
        <f t="shared" si="154"/>
        <v>1</v>
      </c>
      <c r="Y320" s="129">
        <f t="shared" si="157"/>
        <v>1</v>
      </c>
      <c r="Z320" s="129" t="str" cm="1">
        <f t="array" ref="Z320">_xlfn.IFS(X320=4,"A",X320=3,"B",X320=2,"C",X320=1,"D")</f>
        <v>D</v>
      </c>
      <c r="AA320" s="175"/>
    </row>
    <row r="321" spans="1:27" customFormat="1" ht="18" customHeight="1">
      <c r="N321" s="2"/>
      <c r="O321" s="2"/>
      <c r="P321" s="2"/>
      <c r="R321" s="129">
        <f t="shared" si="152"/>
        <v>0</v>
      </c>
      <c r="S321" s="258"/>
      <c r="T321" s="129">
        <f t="shared" si="153"/>
        <v>0</v>
      </c>
      <c r="U321" s="129">
        <f t="shared" ref="U321" si="158">IF(AND(J321="実施済",K321="実施済"),$T321*1,0)</f>
        <v>0</v>
      </c>
      <c r="V321" s="258"/>
      <c r="W321" s="129" t="str">
        <f t="shared" si="156"/>
        <v/>
      </c>
      <c r="X321" s="129">
        <f t="shared" si="154"/>
        <v>1</v>
      </c>
      <c r="Y321" s="129">
        <f t="shared" si="157"/>
        <v>1</v>
      </c>
      <c r="Z321" s="129" t="str" cm="1">
        <f t="array" ref="Z321">_xlfn.IFS(X321=4,"A",X321=3,"B",X321=2,"C",X321=1,"D")</f>
        <v>D</v>
      </c>
      <c r="AA321" s="175"/>
    </row>
    <row r="322" spans="1:27" customFormat="1" ht="103.5" customHeight="1">
      <c r="C322" s="78"/>
      <c r="D322" s="79"/>
      <c r="E322" s="71" t="s">
        <v>236</v>
      </c>
      <c r="F322" s="1452"/>
      <c r="G322" s="1452"/>
      <c r="H322" s="1452"/>
      <c r="I322" s="1452"/>
      <c r="J322" s="1452"/>
      <c r="K322" s="1452"/>
      <c r="L322" s="1452"/>
      <c r="M322" s="80" t="s">
        <v>132</v>
      </c>
      <c r="N322" s="80"/>
    </row>
    <row r="323" spans="1:27" customFormat="1" ht="146.25" customHeight="1">
      <c r="C323" s="75"/>
      <c r="D323" s="68"/>
      <c r="E323" s="71" t="s">
        <v>235</v>
      </c>
      <c r="F323" s="1452"/>
      <c r="G323" s="1452"/>
      <c r="H323" s="1452"/>
      <c r="I323" s="1452"/>
      <c r="J323" s="1452"/>
      <c r="K323" s="1452"/>
      <c r="L323" s="1452"/>
      <c r="N323" s="2"/>
      <c r="O323" s="2"/>
      <c r="P323" s="2"/>
    </row>
    <row r="324" spans="1:27" customFormat="1" ht="13.5" customHeight="1" thickBot="1">
      <c r="A324" s="81"/>
      <c r="B324" s="81"/>
      <c r="C324" s="81"/>
      <c r="D324" s="81"/>
      <c r="E324" s="81"/>
      <c r="F324" s="81"/>
      <c r="G324" s="81"/>
      <c r="H324" s="81"/>
      <c r="I324" s="81"/>
      <c r="J324" s="81"/>
      <c r="K324" s="81"/>
      <c r="L324" s="81"/>
      <c r="M324" s="81"/>
      <c r="N324" s="82"/>
      <c r="O324" s="2"/>
      <c r="P324" s="2"/>
    </row>
    <row r="325" spans="1:27" customFormat="1" ht="13.5" customHeight="1">
      <c r="N325" s="2"/>
      <c r="O325" s="2"/>
      <c r="P325" s="2"/>
    </row>
    <row r="326" spans="1:27" customFormat="1" ht="15" customHeight="1">
      <c r="B326" s="10"/>
      <c r="C326" s="5"/>
      <c r="D326" s="5"/>
      <c r="E326" s="5"/>
      <c r="F326" s="5"/>
      <c r="G326" s="5"/>
      <c r="H326" s="5"/>
      <c r="I326" s="5"/>
      <c r="J326" s="5"/>
      <c r="K326" s="5"/>
      <c r="L326" s="5"/>
      <c r="M326" s="6"/>
      <c r="R326" s="11" t="str">
        <f>D327</f>
        <v>(選択してください)</v>
      </c>
    </row>
    <row r="327" spans="1:27" customFormat="1">
      <c r="B327" s="7"/>
      <c r="C327" s="77" t="str">
        <f ca="1">IFERROR(OFFSET('4.2民生電力需要量'!$C$1,MATCH(D327,'4.2民生電力需要量'!$E:$E,0)-1,0),"")</f>
        <v/>
      </c>
      <c r="D327" s="94" t="s">
        <v>130</v>
      </c>
      <c r="E327" s="72" t="s">
        <v>131</v>
      </c>
      <c r="F327" s="1451" t="str">
        <f ca="1">IFERROR(OFFSET('4.2民生電力需要量'!$G$1,MATCH($D327,'4.2民生電力需要量'!$E:$E,0)-1,0),"")</f>
        <v/>
      </c>
      <c r="G327" s="1451"/>
      <c r="H327" s="1451"/>
      <c r="I327" s="1451"/>
      <c r="J327" s="1451"/>
      <c r="K327" s="1451"/>
      <c r="L327" s="1451"/>
      <c r="M327" s="8"/>
      <c r="R327" s="255" t="str">
        <f ca="1">IFERROR(OFFSET('4.2民生電力需要量'!$G$1,MATCH($D327,'4.2民生電力需要量'!$E:$E,0)-1,0),"")</f>
        <v/>
      </c>
      <c r="S327" s="175"/>
      <c r="T327" s="175"/>
      <c r="U327" s="175"/>
      <c r="V327" s="175"/>
      <c r="W327" s="175"/>
      <c r="X327" s="175"/>
      <c r="Y327" s="175"/>
      <c r="Z327" s="175"/>
      <c r="AA327" s="175">
        <f ca="1">(F327=R327)*1</f>
        <v>1</v>
      </c>
    </row>
    <row r="328" spans="1:27" customFormat="1">
      <c r="B328" s="7"/>
      <c r="C328" s="915"/>
      <c r="D328" s="97"/>
      <c r="E328" s="72" t="s">
        <v>612</v>
      </c>
      <c r="F328" s="1447" t="str">
        <f ca="1">IFERROR(OFFSET('4.2民生電力需要量'!$L$1,MATCH($D327,'4.2民生電力需要量'!$E:$E,0)-1,0),"")</f>
        <v/>
      </c>
      <c r="G328" s="1448"/>
      <c r="H328" s="1448"/>
      <c r="I328" s="1448"/>
      <c r="J328" s="1448"/>
      <c r="K328" s="1448"/>
      <c r="L328" s="1449"/>
      <c r="M328" s="8"/>
      <c r="R328" s="255" t="str">
        <f ca="1">IFERROR(OFFSET('4.2民生電力需要量'!$L$1,MATCH($D327,'4.2民生電力需要量'!$E:$E,0)-1,0),"")</f>
        <v/>
      </c>
      <c r="S328" s="175"/>
      <c r="T328" s="175"/>
      <c r="U328" s="175"/>
      <c r="V328" s="175"/>
      <c r="W328" s="175"/>
      <c r="X328" s="175"/>
      <c r="Y328" s="175"/>
      <c r="Z328" s="175"/>
      <c r="AA328" s="175">
        <f ca="1">(F328=R328)*1</f>
        <v>1</v>
      </c>
    </row>
    <row r="329" spans="1:27" customFormat="1">
      <c r="B329" s="7"/>
      <c r="C329" s="74"/>
      <c r="D329" s="66"/>
      <c r="E329" s="72" t="s">
        <v>220</v>
      </c>
      <c r="F329" s="1450" t="str">
        <f ca="1">IFERROR(OFFSET('4.2民生電力需要量'!$I$1,MATCH($D327,'4.2民生電力需要量'!$E:$E,0)-1,0),"")</f>
        <v/>
      </c>
      <c r="G329" s="1450"/>
      <c r="H329" s="1450"/>
      <c r="I329" s="1450"/>
      <c r="J329" s="1450"/>
      <c r="K329" s="1450"/>
      <c r="L329" s="1450"/>
      <c r="M329" s="8"/>
      <c r="R329" s="255" t="str">
        <f ca="1">IFERROR(OFFSET('4.2民生電力需要量'!$I$1,MATCH($D327,'4.2民生電力需要量'!$E:$E,0)-1,0),"")</f>
        <v/>
      </c>
      <c r="S329" s="175"/>
      <c r="T329" s="175"/>
      <c r="U329" s="175"/>
      <c r="V329" s="175"/>
      <c r="W329" s="175"/>
      <c r="X329" s="175"/>
      <c r="Y329" s="175"/>
      <c r="Z329" s="175"/>
      <c r="AA329" s="175">
        <f t="shared" ref="AA329:AA330" ca="1" si="159">(F329=R329)*1</f>
        <v>1</v>
      </c>
    </row>
    <row r="330" spans="1:27" customFormat="1">
      <c r="B330" s="7"/>
      <c r="C330" s="74"/>
      <c r="D330" s="66"/>
      <c r="E330" s="72" t="s">
        <v>175</v>
      </c>
      <c r="F330" s="1451" t="str">
        <f>_xlfn.IFNA(R330,"")</f>
        <v/>
      </c>
      <c r="G330" s="1451"/>
      <c r="H330" s="1451"/>
      <c r="I330" s="1451"/>
      <c r="J330" s="1451"/>
      <c r="K330" s="1451"/>
      <c r="L330" s="1451"/>
      <c r="M330" s="8"/>
      <c r="R330" s="129" t="str">
        <f>IF(OR(COUNTIF($E332:$E337,"&lt;&gt;〇〇(合意形成対象者名に書き換え)")=3,COUNTIF($E332:$E337,"")&gt;3),"",IF(PRODUCT($Y332:$Y337)=1,Z332,""))</f>
        <v/>
      </c>
      <c r="S330" s="175"/>
      <c r="T330" s="175"/>
      <c r="U330" s="175"/>
      <c r="V330" s="175"/>
      <c r="W330" s="175"/>
      <c r="X330" s="175"/>
      <c r="Y330" s="175"/>
      <c r="Z330" s="175"/>
      <c r="AA330" s="175">
        <f t="shared" si="159"/>
        <v>1</v>
      </c>
    </row>
    <row r="331" spans="1:27" ht="63.75" customHeight="1">
      <c r="B331" s="95"/>
      <c r="C331" s="96"/>
      <c r="D331" s="97"/>
      <c r="E331" s="372"/>
      <c r="F331" s="313" t="s">
        <v>268</v>
      </c>
      <c r="G331" s="313" t="s">
        <v>271</v>
      </c>
      <c r="H331" s="313" t="s">
        <v>272</v>
      </c>
      <c r="I331" s="313" t="s">
        <v>269</v>
      </c>
      <c r="J331" s="313" t="s">
        <v>434</v>
      </c>
      <c r="K331" s="313" t="s">
        <v>435</v>
      </c>
      <c r="L331" s="313" t="s">
        <v>270</v>
      </c>
      <c r="M331" s="98"/>
      <c r="N331" s="11"/>
      <c r="R331" s="126" t="s">
        <v>299</v>
      </c>
      <c r="S331" s="257" t="s">
        <v>423</v>
      </c>
      <c r="T331" s="126" t="s">
        <v>424</v>
      </c>
      <c r="U331" s="296" t="s">
        <v>436</v>
      </c>
      <c r="V331" s="256" t="s">
        <v>270</v>
      </c>
      <c r="W331" s="126" t="s">
        <v>426</v>
      </c>
      <c r="X331" s="129" t="s">
        <v>402</v>
      </c>
      <c r="Y331" s="129" t="s">
        <v>430</v>
      </c>
      <c r="Z331" s="126" t="s">
        <v>425</v>
      </c>
      <c r="AA331" s="255"/>
    </row>
    <row r="332" spans="1:27" hidden="1">
      <c r="B332" s="95"/>
      <c r="C332" s="96"/>
      <c r="D332" s="97"/>
      <c r="E332" s="442"/>
      <c r="F332" s="443"/>
      <c r="G332" s="439"/>
      <c r="H332" s="443"/>
      <c r="I332" s="439"/>
      <c r="J332" s="443"/>
      <c r="K332" s="439"/>
      <c r="L332" s="444"/>
      <c r="M332" s="98"/>
      <c r="N332" s="11"/>
      <c r="R332" s="129">
        <f t="shared" ref="R332:R337" si="160">IF(F332="実施済",1,0)</f>
        <v>0</v>
      </c>
      <c r="S332" s="258"/>
      <c r="T332" s="129">
        <f t="shared" ref="T332:T337" si="161">IF(AND(H332="実施済",I332="実施済"),R332*1,0)</f>
        <v>0</v>
      </c>
      <c r="U332" s="129">
        <f>IF(AND(J332="実施済",K332="実施済"),$T332*1,0)</f>
        <v>0</v>
      </c>
      <c r="V332" s="258"/>
      <c r="W332" s="129" t="str">
        <f>IF(OR(E332="〇〇(合意形成対象者名に書き換え)",E332=""),"",SUM(R332,T332,U332))</f>
        <v/>
      </c>
      <c r="X332" s="129">
        <f t="shared" ref="X332:X337" si="162">MIN($W$332:$W$337)+1</f>
        <v>1</v>
      </c>
      <c r="Y332" s="129">
        <f>IF(E332="",1,IF(AND(E332="〇〇(合意形成対象者名に書き換え)",COUNTA($F332:$L332)=0),1,IF(AND(E332&lt;&gt;"〇〇(合意形成対象者名に書き換え)",COUNTA($F332:$L332)=7),1,0)))</f>
        <v>1</v>
      </c>
      <c r="Z332" s="129" t="str" cm="1">
        <f t="array" ref="Z332">_xlfn.IFS(X332=4,"A",X332=3,"B",X332=2,"C",X332=1,"D")</f>
        <v>D</v>
      </c>
      <c r="AA332" s="255"/>
    </row>
    <row r="333" spans="1:27">
      <c r="B333" s="95"/>
      <c r="C333" s="96"/>
      <c r="D333" s="97"/>
      <c r="E333" s="447" t="s">
        <v>129</v>
      </c>
      <c r="F333" s="446"/>
      <c r="G333" s="441"/>
      <c r="H333" s="446"/>
      <c r="I333" s="441"/>
      <c r="J333" s="446"/>
      <c r="K333" s="441"/>
      <c r="L333" s="441"/>
      <c r="M333" s="98"/>
      <c r="N333" s="11"/>
      <c r="R333" s="129">
        <f t="shared" si="160"/>
        <v>0</v>
      </c>
      <c r="S333" s="258"/>
      <c r="T333" s="129">
        <f t="shared" si="161"/>
        <v>0</v>
      </c>
      <c r="U333" s="129">
        <f t="shared" ref="U333:U335" si="163">IF(AND(J333="実施済",K333="実施済"),$T333*1,0)</f>
        <v>0</v>
      </c>
      <c r="V333" s="258"/>
      <c r="W333" s="129" t="str">
        <f t="shared" ref="W333:W337" si="164">IF(OR(E333="〇〇(合意形成対象者名に書き換え)",E333=""),"",SUM(R333,T333,U333))</f>
        <v/>
      </c>
      <c r="X333" s="129">
        <f t="shared" si="162"/>
        <v>1</v>
      </c>
      <c r="Y333" s="129">
        <f t="shared" ref="Y333:Y337" si="165">IF(E333="",1,IF(AND(E333="〇〇(合意形成対象者名に書き換え)",COUNTA($F333:$L333)=0),1,IF(AND(E333&lt;&gt;"〇〇(合意形成対象者名に書き換え)",COUNTA($F333:$L333)=7),1,0)))</f>
        <v>1</v>
      </c>
      <c r="Z333" s="129" t="str" cm="1">
        <f t="array" ref="Z333">_xlfn.IFS(X333=4,"A",X333=3,"B",X333=2,"C",X333=1,"D")</f>
        <v>D</v>
      </c>
      <c r="AA333" s="255"/>
    </row>
    <row r="334" spans="1:27">
      <c r="B334" s="95"/>
      <c r="C334" s="96"/>
      <c r="D334" s="97"/>
      <c r="E334" s="447" t="s">
        <v>129</v>
      </c>
      <c r="F334" s="446"/>
      <c r="G334" s="441"/>
      <c r="H334" s="446"/>
      <c r="I334" s="441"/>
      <c r="J334" s="446"/>
      <c r="K334" s="441"/>
      <c r="L334" s="441"/>
      <c r="M334" s="98"/>
      <c r="N334" s="11"/>
      <c r="R334" s="129">
        <f t="shared" si="160"/>
        <v>0</v>
      </c>
      <c r="S334" s="258"/>
      <c r="T334" s="129">
        <f t="shared" si="161"/>
        <v>0</v>
      </c>
      <c r="U334" s="129">
        <f t="shared" si="163"/>
        <v>0</v>
      </c>
      <c r="V334" s="258"/>
      <c r="W334" s="129" t="str">
        <f t="shared" si="164"/>
        <v/>
      </c>
      <c r="X334" s="129">
        <f t="shared" si="162"/>
        <v>1</v>
      </c>
      <c r="Y334" s="129">
        <f t="shared" si="165"/>
        <v>1</v>
      </c>
      <c r="Z334" s="129" t="str" cm="1">
        <f t="array" ref="Z334">_xlfn.IFS(X334=4,"A",X334=3,"B",X334=2,"C",X334=1,"D")</f>
        <v>D</v>
      </c>
      <c r="AA334" s="255"/>
    </row>
    <row r="335" spans="1:27" s="99" customFormat="1">
      <c r="A335" s="11"/>
      <c r="B335" s="95"/>
      <c r="C335" s="96"/>
      <c r="D335" s="97"/>
      <c r="E335" s="447" t="s">
        <v>129</v>
      </c>
      <c r="F335" s="446"/>
      <c r="G335" s="441"/>
      <c r="H335" s="446"/>
      <c r="I335" s="441"/>
      <c r="J335" s="446"/>
      <c r="K335" s="441"/>
      <c r="L335" s="441"/>
      <c r="M335" s="98"/>
      <c r="N335" s="11"/>
      <c r="Q335" s="11"/>
      <c r="R335" s="129">
        <f t="shared" si="160"/>
        <v>0</v>
      </c>
      <c r="S335" s="258"/>
      <c r="T335" s="129">
        <f t="shared" si="161"/>
        <v>0</v>
      </c>
      <c r="U335" s="129">
        <f t="shared" si="163"/>
        <v>0</v>
      </c>
      <c r="V335" s="258"/>
      <c r="W335" s="129" t="str">
        <f t="shared" si="164"/>
        <v/>
      </c>
      <c r="X335" s="129">
        <f t="shared" si="162"/>
        <v>1</v>
      </c>
      <c r="Y335" s="129">
        <f t="shared" si="165"/>
        <v>1</v>
      </c>
      <c r="Z335" s="129" t="str" cm="1">
        <f t="array" ref="Z335">_xlfn.IFS(X335=4,"A",X335=3,"B",X335=2,"C",X335=1,"D")</f>
        <v>D</v>
      </c>
      <c r="AA335" s="129"/>
    </row>
    <row r="336" spans="1:27" customFormat="1" ht="7.5" customHeight="1">
      <c r="B336" s="65"/>
      <c r="C336" s="4"/>
      <c r="D336" s="4"/>
      <c r="E336" s="4"/>
      <c r="F336" s="4"/>
      <c r="G336" s="4"/>
      <c r="H336" s="4"/>
      <c r="I336" s="4"/>
      <c r="J336" s="4"/>
      <c r="K336" s="4"/>
      <c r="L336" s="4"/>
      <c r="M336" s="9"/>
      <c r="N336" s="2"/>
      <c r="O336" s="2"/>
      <c r="P336" s="2"/>
      <c r="R336" s="129">
        <f t="shared" si="160"/>
        <v>0</v>
      </c>
      <c r="S336" s="258"/>
      <c r="T336" s="129">
        <f t="shared" si="161"/>
        <v>0</v>
      </c>
      <c r="U336" s="129">
        <f>IF(AND(J336="実施済",K336="実施済"),$T336*1,0)</f>
        <v>0</v>
      </c>
      <c r="V336" s="258"/>
      <c r="W336" s="129" t="str">
        <f t="shared" si="164"/>
        <v/>
      </c>
      <c r="X336" s="129">
        <f t="shared" si="162"/>
        <v>1</v>
      </c>
      <c r="Y336" s="129">
        <f t="shared" si="165"/>
        <v>1</v>
      </c>
      <c r="Z336" s="129" t="str" cm="1">
        <f t="array" ref="Z336">_xlfn.IFS(X336=4,"A",X336=3,"B",X336=2,"C",X336=1,"D")</f>
        <v>D</v>
      </c>
      <c r="AA336" s="175"/>
    </row>
    <row r="337" spans="1:27" customFormat="1" ht="18" customHeight="1">
      <c r="N337" s="2"/>
      <c r="O337" s="2"/>
      <c r="P337" s="2"/>
      <c r="R337" s="129">
        <f t="shared" si="160"/>
        <v>0</v>
      </c>
      <c r="S337" s="258"/>
      <c r="T337" s="129">
        <f t="shared" si="161"/>
        <v>0</v>
      </c>
      <c r="U337" s="129">
        <f t="shared" ref="U337" si="166">IF(AND(J337="実施済",K337="実施済"),$T337*1,0)</f>
        <v>0</v>
      </c>
      <c r="V337" s="258"/>
      <c r="W337" s="129" t="str">
        <f t="shared" si="164"/>
        <v/>
      </c>
      <c r="X337" s="129">
        <f t="shared" si="162"/>
        <v>1</v>
      </c>
      <c r="Y337" s="129">
        <f t="shared" si="165"/>
        <v>1</v>
      </c>
      <c r="Z337" s="129" t="str" cm="1">
        <f t="array" ref="Z337">_xlfn.IFS(X337=4,"A",X337=3,"B",X337=2,"C",X337=1,"D")</f>
        <v>D</v>
      </c>
      <c r="AA337" s="175"/>
    </row>
    <row r="338" spans="1:27" customFormat="1" ht="103.5" customHeight="1">
      <c r="C338" s="78"/>
      <c r="D338" s="79"/>
      <c r="E338" s="71" t="s">
        <v>236</v>
      </c>
      <c r="F338" s="1452"/>
      <c r="G338" s="1452"/>
      <c r="H338" s="1452"/>
      <c r="I338" s="1452"/>
      <c r="J338" s="1452"/>
      <c r="K338" s="1452"/>
      <c r="L338" s="1452"/>
      <c r="M338" s="80" t="s">
        <v>132</v>
      </c>
      <c r="N338" s="80"/>
    </row>
    <row r="339" spans="1:27" customFormat="1" ht="146.25" customHeight="1">
      <c r="C339" s="75"/>
      <c r="D339" s="68"/>
      <c r="E339" s="71" t="s">
        <v>235</v>
      </c>
      <c r="F339" s="1452"/>
      <c r="G339" s="1452"/>
      <c r="H339" s="1452"/>
      <c r="I339" s="1452"/>
      <c r="J339" s="1452"/>
      <c r="K339" s="1452"/>
      <c r="L339" s="1452"/>
      <c r="N339" s="2"/>
      <c r="O339" s="2"/>
      <c r="P339" s="2"/>
    </row>
    <row r="340" spans="1:27" customFormat="1" ht="13.5" customHeight="1" thickBot="1">
      <c r="A340" s="81"/>
      <c r="B340" s="81"/>
      <c r="C340" s="81"/>
      <c r="D340" s="81"/>
      <c r="E340" s="81"/>
      <c r="F340" s="81"/>
      <c r="G340" s="81"/>
      <c r="H340" s="81"/>
      <c r="I340" s="81"/>
      <c r="J340" s="81"/>
      <c r="K340" s="81"/>
      <c r="L340" s="81"/>
      <c r="M340" s="81"/>
      <c r="N340" s="82"/>
      <c r="O340" s="2"/>
      <c r="P340" s="2"/>
    </row>
    <row r="341" spans="1:27" customFormat="1" ht="13.5" customHeight="1">
      <c r="N341" s="2"/>
      <c r="O341" s="2"/>
      <c r="P341" s="2"/>
    </row>
    <row r="342" spans="1:27" customFormat="1" ht="15" customHeight="1">
      <c r="B342" s="10"/>
      <c r="C342" s="5"/>
      <c r="D342" s="5"/>
      <c r="E342" s="5"/>
      <c r="F342" s="5"/>
      <c r="G342" s="5"/>
      <c r="H342" s="5"/>
      <c r="I342" s="5"/>
      <c r="J342" s="5"/>
      <c r="K342" s="5"/>
      <c r="L342" s="5"/>
      <c r="M342" s="6"/>
      <c r="R342" s="11" t="str">
        <f>D343</f>
        <v>(選択してください)</v>
      </c>
    </row>
    <row r="343" spans="1:27" customFormat="1">
      <c r="B343" s="7"/>
      <c r="C343" s="77" t="str">
        <f ca="1">IFERROR(OFFSET('4.2民生電力需要量'!$C$1,MATCH(D343,'4.2民生電力需要量'!$E:$E,0)-1,0),"")</f>
        <v/>
      </c>
      <c r="D343" s="94" t="s">
        <v>130</v>
      </c>
      <c r="E343" s="72" t="s">
        <v>131</v>
      </c>
      <c r="F343" s="1451" t="str">
        <f ca="1">IFERROR(OFFSET('4.2民生電力需要量'!$G$1,MATCH($D343,'4.2民生電力需要量'!$E:$E,0)-1,0),"")</f>
        <v/>
      </c>
      <c r="G343" s="1451"/>
      <c r="H343" s="1451"/>
      <c r="I343" s="1451"/>
      <c r="J343" s="1451"/>
      <c r="K343" s="1451"/>
      <c r="L343" s="1451"/>
      <c r="M343" s="8"/>
      <c r="R343" s="255" t="str">
        <f ca="1">IFERROR(OFFSET('4.2民生電力需要量'!$G$1,MATCH($D343,'4.2民生電力需要量'!$E:$E,0)-1,0),"")</f>
        <v/>
      </c>
      <c r="S343" s="175"/>
      <c r="T343" s="175"/>
      <c r="U343" s="175"/>
      <c r="V343" s="175"/>
      <c r="W343" s="175"/>
      <c r="X343" s="175"/>
      <c r="Y343" s="175"/>
      <c r="Z343" s="175"/>
      <c r="AA343" s="175">
        <f ca="1">(F343=R343)*1</f>
        <v>1</v>
      </c>
    </row>
    <row r="344" spans="1:27" customFormat="1">
      <c r="B344" s="7"/>
      <c r="C344" s="915"/>
      <c r="D344" s="97"/>
      <c r="E344" s="72" t="s">
        <v>612</v>
      </c>
      <c r="F344" s="1447" t="str">
        <f ca="1">IFERROR(OFFSET('4.2民生電力需要量'!$L$1,MATCH($D343,'4.2民生電力需要量'!$E:$E,0)-1,0),"")</f>
        <v/>
      </c>
      <c r="G344" s="1448"/>
      <c r="H344" s="1448"/>
      <c r="I344" s="1448"/>
      <c r="J344" s="1448"/>
      <c r="K344" s="1448"/>
      <c r="L344" s="1449"/>
      <c r="M344" s="8"/>
      <c r="R344" s="255" t="str">
        <f ca="1">IFERROR(OFFSET('4.2民生電力需要量'!$L$1,MATCH($D343,'4.2民生電力需要量'!$E:$E,0)-1,0),"")</f>
        <v/>
      </c>
      <c r="S344" s="175"/>
      <c r="T344" s="175"/>
      <c r="U344" s="175"/>
      <c r="V344" s="175"/>
      <c r="W344" s="175"/>
      <c r="X344" s="175"/>
      <c r="Y344" s="175"/>
      <c r="Z344" s="175"/>
      <c r="AA344" s="175">
        <f ca="1">(F344=R344)*1</f>
        <v>1</v>
      </c>
    </row>
    <row r="345" spans="1:27" customFormat="1">
      <c r="B345" s="7"/>
      <c r="C345" s="74"/>
      <c r="D345" s="66"/>
      <c r="E345" s="72" t="s">
        <v>220</v>
      </c>
      <c r="F345" s="1450" t="str">
        <f ca="1">IFERROR(OFFSET('4.2民生電力需要量'!$I$1,MATCH($D343,'4.2民生電力需要量'!$E:$E,0)-1,0),"")</f>
        <v/>
      </c>
      <c r="G345" s="1450"/>
      <c r="H345" s="1450"/>
      <c r="I345" s="1450"/>
      <c r="J345" s="1450"/>
      <c r="K345" s="1450"/>
      <c r="L345" s="1450"/>
      <c r="M345" s="8"/>
      <c r="R345" s="255" t="str">
        <f ca="1">IFERROR(OFFSET('4.2民生電力需要量'!$I$1,MATCH($D343,'4.2民生電力需要量'!$E:$E,0)-1,0),"")</f>
        <v/>
      </c>
      <c r="S345" s="175"/>
      <c r="T345" s="175"/>
      <c r="U345" s="175"/>
      <c r="V345" s="175"/>
      <c r="W345" s="175"/>
      <c r="X345" s="175"/>
      <c r="Y345" s="175"/>
      <c r="Z345" s="175"/>
      <c r="AA345" s="175">
        <f t="shared" ref="AA345:AA346" ca="1" si="167">(F345=R345)*1</f>
        <v>1</v>
      </c>
    </row>
    <row r="346" spans="1:27" customFormat="1">
      <c r="B346" s="7"/>
      <c r="C346" s="74"/>
      <c r="D346" s="66"/>
      <c r="E346" s="72" t="s">
        <v>175</v>
      </c>
      <c r="F346" s="1451" t="str">
        <f>_xlfn.IFNA(R346,"")</f>
        <v/>
      </c>
      <c r="G346" s="1451"/>
      <c r="H346" s="1451"/>
      <c r="I346" s="1451"/>
      <c r="J346" s="1451"/>
      <c r="K346" s="1451"/>
      <c r="L346" s="1451"/>
      <c r="M346" s="8"/>
      <c r="R346" s="129" t="str">
        <f>IF(OR(COUNTIF($E348:$E353,"&lt;&gt;〇〇(合意形成対象者名に書き換え)")=3,COUNTIF($E348:$E353,"")&gt;3),"",IF(PRODUCT($Y348:$Y353)=1,Z348,""))</f>
        <v/>
      </c>
      <c r="S346" s="175"/>
      <c r="T346" s="175"/>
      <c r="U346" s="175"/>
      <c r="V346" s="175"/>
      <c r="W346" s="175"/>
      <c r="X346" s="175"/>
      <c r="Y346" s="175"/>
      <c r="Z346" s="175"/>
      <c r="AA346" s="175">
        <f t="shared" si="167"/>
        <v>1</v>
      </c>
    </row>
    <row r="347" spans="1:27" ht="63.75" customHeight="1">
      <c r="B347" s="95"/>
      <c r="C347" s="96"/>
      <c r="D347" s="97"/>
      <c r="E347" s="372"/>
      <c r="F347" s="313" t="s">
        <v>268</v>
      </c>
      <c r="G347" s="313" t="s">
        <v>271</v>
      </c>
      <c r="H347" s="313" t="s">
        <v>272</v>
      </c>
      <c r="I347" s="313" t="s">
        <v>269</v>
      </c>
      <c r="J347" s="313" t="s">
        <v>434</v>
      </c>
      <c r="K347" s="313" t="s">
        <v>435</v>
      </c>
      <c r="L347" s="313" t="s">
        <v>270</v>
      </c>
      <c r="M347" s="98"/>
      <c r="N347" s="11"/>
      <c r="R347" s="126" t="s">
        <v>299</v>
      </c>
      <c r="S347" s="257" t="s">
        <v>423</v>
      </c>
      <c r="T347" s="126" t="s">
        <v>424</v>
      </c>
      <c r="U347" s="296" t="s">
        <v>436</v>
      </c>
      <c r="V347" s="256" t="s">
        <v>270</v>
      </c>
      <c r="W347" s="126" t="s">
        <v>426</v>
      </c>
      <c r="X347" s="129" t="s">
        <v>402</v>
      </c>
      <c r="Y347" s="129" t="s">
        <v>430</v>
      </c>
      <c r="Z347" s="126" t="s">
        <v>425</v>
      </c>
      <c r="AA347" s="255"/>
    </row>
    <row r="348" spans="1:27" hidden="1">
      <c r="B348" s="95"/>
      <c r="C348" s="96"/>
      <c r="D348" s="97"/>
      <c r="E348" s="442"/>
      <c r="F348" s="443"/>
      <c r="G348" s="439"/>
      <c r="H348" s="443"/>
      <c r="I348" s="439"/>
      <c r="J348" s="443"/>
      <c r="K348" s="439"/>
      <c r="L348" s="444"/>
      <c r="M348" s="98"/>
      <c r="N348" s="11"/>
      <c r="R348" s="129">
        <f t="shared" ref="R348:R353" si="168">IF(F348="実施済",1,0)</f>
        <v>0</v>
      </c>
      <c r="S348" s="258"/>
      <c r="T348" s="129">
        <f t="shared" ref="T348:T353" si="169">IF(AND(H348="実施済",I348="実施済"),R348*1,0)</f>
        <v>0</v>
      </c>
      <c r="U348" s="129">
        <f>IF(AND(J348="実施済",K348="実施済"),$T348*1,0)</f>
        <v>0</v>
      </c>
      <c r="V348" s="258"/>
      <c r="W348" s="129" t="str">
        <f>IF(OR(E348="〇〇(合意形成対象者名に書き換え)",E348=""),"",SUM(R348,T348,U348))</f>
        <v/>
      </c>
      <c r="X348" s="129">
        <f t="shared" ref="X348:X353" si="170">MIN($W$348:$W$353)+1</f>
        <v>1</v>
      </c>
      <c r="Y348" s="129">
        <f>IF(E348="",1,IF(AND(E348="〇〇(合意形成対象者名に書き換え)",COUNTA($F348:$L348)=0),1,IF(AND(E348&lt;&gt;"〇〇(合意形成対象者名に書き換え)",COUNTA($F348:$L348)=7),1,0)))</f>
        <v>1</v>
      </c>
      <c r="Z348" s="129" t="str" cm="1">
        <f t="array" ref="Z348">_xlfn.IFS(X348=4,"A",X348=3,"B",X348=2,"C",X348=1,"D")</f>
        <v>D</v>
      </c>
      <c r="AA348" s="255"/>
    </row>
    <row r="349" spans="1:27">
      <c r="B349" s="95"/>
      <c r="C349" s="96"/>
      <c r="D349" s="97"/>
      <c r="E349" s="447" t="s">
        <v>129</v>
      </c>
      <c r="F349" s="446"/>
      <c r="G349" s="441"/>
      <c r="H349" s="446"/>
      <c r="I349" s="441"/>
      <c r="J349" s="446"/>
      <c r="K349" s="441"/>
      <c r="L349" s="441"/>
      <c r="M349" s="98"/>
      <c r="N349" s="11"/>
      <c r="R349" s="129">
        <f t="shared" si="168"/>
        <v>0</v>
      </c>
      <c r="S349" s="258"/>
      <c r="T349" s="129">
        <f t="shared" si="169"/>
        <v>0</v>
      </c>
      <c r="U349" s="129">
        <f t="shared" ref="U349:U351" si="171">IF(AND(J349="実施済",K349="実施済"),$T349*1,0)</f>
        <v>0</v>
      </c>
      <c r="V349" s="258"/>
      <c r="W349" s="129" t="str">
        <f t="shared" ref="W349:W353" si="172">IF(OR(E349="〇〇(合意形成対象者名に書き換え)",E349=""),"",SUM(R349,T349,U349))</f>
        <v/>
      </c>
      <c r="X349" s="129">
        <f t="shared" si="170"/>
        <v>1</v>
      </c>
      <c r="Y349" s="129">
        <f t="shared" ref="Y349:Y353" si="173">IF(E349="",1,IF(AND(E349="〇〇(合意形成対象者名に書き換え)",COUNTA($F349:$L349)=0),1,IF(AND(E349&lt;&gt;"〇〇(合意形成対象者名に書き換え)",COUNTA($F349:$L349)=7),1,0)))</f>
        <v>1</v>
      </c>
      <c r="Z349" s="129" t="str" cm="1">
        <f t="array" ref="Z349">_xlfn.IFS(X349=4,"A",X349=3,"B",X349=2,"C",X349=1,"D")</f>
        <v>D</v>
      </c>
      <c r="AA349" s="255"/>
    </row>
    <row r="350" spans="1:27">
      <c r="B350" s="95"/>
      <c r="C350" s="96"/>
      <c r="D350" s="97"/>
      <c r="E350" s="447" t="s">
        <v>129</v>
      </c>
      <c r="F350" s="446"/>
      <c r="G350" s="441"/>
      <c r="H350" s="446"/>
      <c r="I350" s="441"/>
      <c r="J350" s="446"/>
      <c r="K350" s="441"/>
      <c r="L350" s="441"/>
      <c r="M350" s="98"/>
      <c r="N350" s="11"/>
      <c r="R350" s="129">
        <f t="shared" si="168"/>
        <v>0</v>
      </c>
      <c r="S350" s="258"/>
      <c r="T350" s="129">
        <f t="shared" si="169"/>
        <v>0</v>
      </c>
      <c r="U350" s="129">
        <f t="shared" si="171"/>
        <v>0</v>
      </c>
      <c r="V350" s="258"/>
      <c r="W350" s="129" t="str">
        <f t="shared" si="172"/>
        <v/>
      </c>
      <c r="X350" s="129">
        <f t="shared" si="170"/>
        <v>1</v>
      </c>
      <c r="Y350" s="129">
        <f t="shared" si="173"/>
        <v>1</v>
      </c>
      <c r="Z350" s="129" t="str" cm="1">
        <f t="array" ref="Z350">_xlfn.IFS(X350=4,"A",X350=3,"B",X350=2,"C",X350=1,"D")</f>
        <v>D</v>
      </c>
      <c r="AA350" s="255"/>
    </row>
    <row r="351" spans="1:27" s="99" customFormat="1">
      <c r="A351" s="11"/>
      <c r="B351" s="95"/>
      <c r="C351" s="96"/>
      <c r="D351" s="97"/>
      <c r="E351" s="447" t="s">
        <v>129</v>
      </c>
      <c r="F351" s="446"/>
      <c r="G351" s="441"/>
      <c r="H351" s="446"/>
      <c r="I351" s="441"/>
      <c r="J351" s="446"/>
      <c r="K351" s="441"/>
      <c r="L351" s="441"/>
      <c r="M351" s="98"/>
      <c r="N351" s="11"/>
      <c r="Q351" s="11"/>
      <c r="R351" s="129">
        <f t="shared" si="168"/>
        <v>0</v>
      </c>
      <c r="S351" s="258"/>
      <c r="T351" s="129">
        <f t="shared" si="169"/>
        <v>0</v>
      </c>
      <c r="U351" s="129">
        <f t="shared" si="171"/>
        <v>0</v>
      </c>
      <c r="V351" s="258"/>
      <c r="W351" s="129" t="str">
        <f t="shared" si="172"/>
        <v/>
      </c>
      <c r="X351" s="129">
        <f t="shared" si="170"/>
        <v>1</v>
      </c>
      <c r="Y351" s="129">
        <f t="shared" si="173"/>
        <v>1</v>
      </c>
      <c r="Z351" s="129" t="str" cm="1">
        <f t="array" ref="Z351">_xlfn.IFS(X351=4,"A",X351=3,"B",X351=2,"C",X351=1,"D")</f>
        <v>D</v>
      </c>
      <c r="AA351" s="129"/>
    </row>
    <row r="352" spans="1:27" customFormat="1" ht="7.5" customHeight="1">
      <c r="B352" s="65"/>
      <c r="C352" s="4"/>
      <c r="D352" s="4"/>
      <c r="E352" s="4"/>
      <c r="F352" s="4"/>
      <c r="G352" s="4"/>
      <c r="H352" s="4"/>
      <c r="I352" s="4"/>
      <c r="J352" s="4"/>
      <c r="K352" s="4"/>
      <c r="L352" s="4"/>
      <c r="M352" s="9"/>
      <c r="N352" s="2"/>
      <c r="O352" s="2"/>
      <c r="P352" s="2"/>
      <c r="R352" s="129">
        <f t="shared" si="168"/>
        <v>0</v>
      </c>
      <c r="S352" s="258"/>
      <c r="T352" s="129">
        <f t="shared" si="169"/>
        <v>0</v>
      </c>
      <c r="U352" s="129">
        <f>IF(AND(J352="実施済",K352="実施済"),$T352*1,0)</f>
        <v>0</v>
      </c>
      <c r="V352" s="258"/>
      <c r="W352" s="129" t="str">
        <f t="shared" si="172"/>
        <v/>
      </c>
      <c r="X352" s="129">
        <f t="shared" si="170"/>
        <v>1</v>
      </c>
      <c r="Y352" s="129">
        <f t="shared" si="173"/>
        <v>1</v>
      </c>
      <c r="Z352" s="129" t="str" cm="1">
        <f t="array" ref="Z352">_xlfn.IFS(X352=4,"A",X352=3,"B",X352=2,"C",X352=1,"D")</f>
        <v>D</v>
      </c>
      <c r="AA352" s="175"/>
    </row>
    <row r="353" spans="1:27" customFormat="1" ht="18" customHeight="1">
      <c r="N353" s="2"/>
      <c r="O353" s="2"/>
      <c r="P353" s="2"/>
      <c r="R353" s="129">
        <f t="shared" si="168"/>
        <v>0</v>
      </c>
      <c r="S353" s="258"/>
      <c r="T353" s="129">
        <f t="shared" si="169"/>
        <v>0</v>
      </c>
      <c r="U353" s="129">
        <f t="shared" ref="U353" si="174">IF(AND(J353="実施済",K353="実施済"),$T353*1,0)</f>
        <v>0</v>
      </c>
      <c r="V353" s="258"/>
      <c r="W353" s="129" t="str">
        <f t="shared" si="172"/>
        <v/>
      </c>
      <c r="X353" s="129">
        <f t="shared" si="170"/>
        <v>1</v>
      </c>
      <c r="Y353" s="129">
        <f t="shared" si="173"/>
        <v>1</v>
      </c>
      <c r="Z353" s="129" t="str" cm="1">
        <f t="array" ref="Z353">_xlfn.IFS(X353=4,"A",X353=3,"B",X353=2,"C",X353=1,"D")</f>
        <v>D</v>
      </c>
      <c r="AA353" s="175"/>
    </row>
    <row r="354" spans="1:27" customFormat="1" ht="103.5" customHeight="1">
      <c r="C354" s="78"/>
      <c r="D354" s="79"/>
      <c r="E354" s="71" t="s">
        <v>236</v>
      </c>
      <c r="F354" s="1452"/>
      <c r="G354" s="1452"/>
      <c r="H354" s="1452"/>
      <c r="I354" s="1452"/>
      <c r="J354" s="1452"/>
      <c r="K354" s="1452"/>
      <c r="L354" s="1452"/>
      <c r="M354" s="80" t="s">
        <v>132</v>
      </c>
      <c r="N354" s="80"/>
    </row>
    <row r="355" spans="1:27" customFormat="1" ht="146.25" customHeight="1">
      <c r="C355" s="75"/>
      <c r="D355" s="68"/>
      <c r="E355" s="71" t="s">
        <v>235</v>
      </c>
      <c r="F355" s="1452"/>
      <c r="G355" s="1452"/>
      <c r="H355" s="1452"/>
      <c r="I355" s="1452"/>
      <c r="J355" s="1452"/>
      <c r="K355" s="1452"/>
      <c r="L355" s="1452"/>
      <c r="N355" s="2"/>
      <c r="O355" s="2"/>
      <c r="P355" s="2"/>
    </row>
    <row r="356" spans="1:27" customFormat="1" ht="13.5" customHeight="1" thickBot="1">
      <c r="A356" s="81"/>
      <c r="B356" s="81"/>
      <c r="C356" s="81"/>
      <c r="D356" s="81"/>
      <c r="E356" s="81"/>
      <c r="F356" s="81"/>
      <c r="G356" s="81"/>
      <c r="H356" s="81"/>
      <c r="I356" s="81"/>
      <c r="J356" s="81"/>
      <c r="K356" s="81"/>
      <c r="L356" s="81"/>
      <c r="M356" s="81"/>
      <c r="N356" s="82"/>
      <c r="O356" s="2"/>
      <c r="P356" s="2"/>
    </row>
    <row r="357" spans="1:27" customFormat="1" ht="13.5" customHeight="1">
      <c r="N357" s="2"/>
      <c r="O357" s="2"/>
      <c r="P357" s="2"/>
    </row>
    <row r="358" spans="1:27" customFormat="1" ht="15" customHeight="1">
      <c r="B358" s="10"/>
      <c r="C358" s="5"/>
      <c r="D358" s="5"/>
      <c r="E358" s="5"/>
      <c r="F358" s="5"/>
      <c r="G358" s="5"/>
      <c r="H358" s="5"/>
      <c r="I358" s="5"/>
      <c r="J358" s="5"/>
      <c r="K358" s="5"/>
      <c r="L358" s="5"/>
      <c r="M358" s="6"/>
      <c r="R358" s="11" t="str">
        <f>D359</f>
        <v>(選択してください)</v>
      </c>
    </row>
    <row r="359" spans="1:27" customFormat="1">
      <c r="B359" s="7"/>
      <c r="C359" s="77" t="str">
        <f ca="1">IFERROR(OFFSET('4.2民生電力需要量'!$C$1,MATCH(D359,'4.2民生電力需要量'!$E:$E,0)-1,0),"")</f>
        <v/>
      </c>
      <c r="D359" s="94" t="s">
        <v>130</v>
      </c>
      <c r="E359" s="72" t="s">
        <v>131</v>
      </c>
      <c r="F359" s="1451" t="str">
        <f ca="1">IFERROR(OFFSET('4.2民生電力需要量'!$G$1,MATCH($D359,'4.2民生電力需要量'!$E:$E,0)-1,0),"")</f>
        <v/>
      </c>
      <c r="G359" s="1451"/>
      <c r="H359" s="1451"/>
      <c r="I359" s="1451"/>
      <c r="J359" s="1451"/>
      <c r="K359" s="1451"/>
      <c r="L359" s="1451"/>
      <c r="M359" s="8"/>
      <c r="R359" s="255" t="str">
        <f ca="1">IFERROR(OFFSET('4.2民生電力需要量'!$G$1,MATCH($D359,'4.2民生電力需要量'!$E:$E,0)-1,0),"")</f>
        <v/>
      </c>
      <c r="S359" s="175"/>
      <c r="T359" s="175"/>
      <c r="U359" s="175"/>
      <c r="V359" s="175"/>
      <c r="W359" s="175"/>
      <c r="X359" s="175"/>
      <c r="Y359" s="175"/>
      <c r="Z359" s="175"/>
      <c r="AA359" s="175">
        <f ca="1">(F359=R359)*1</f>
        <v>1</v>
      </c>
    </row>
    <row r="360" spans="1:27" customFormat="1">
      <c r="B360" s="7"/>
      <c r="C360" s="915"/>
      <c r="D360" s="97"/>
      <c r="E360" s="72" t="s">
        <v>612</v>
      </c>
      <c r="F360" s="1447" t="str">
        <f ca="1">IFERROR(OFFSET('4.2民生電力需要量'!$L$1,MATCH($D359,'4.2民生電力需要量'!$E:$E,0)-1,0),"")</f>
        <v/>
      </c>
      <c r="G360" s="1448"/>
      <c r="H360" s="1448"/>
      <c r="I360" s="1448"/>
      <c r="J360" s="1448"/>
      <c r="K360" s="1448"/>
      <c r="L360" s="1449"/>
      <c r="M360" s="8"/>
      <c r="R360" s="255" t="str">
        <f ca="1">IFERROR(OFFSET('4.2民生電力需要量'!$L$1,MATCH($D359,'4.2民生電力需要量'!$E:$E,0)-1,0),"")</f>
        <v/>
      </c>
      <c r="S360" s="175"/>
      <c r="T360" s="175"/>
      <c r="U360" s="175"/>
      <c r="V360" s="175"/>
      <c r="W360" s="175"/>
      <c r="X360" s="175"/>
      <c r="Y360" s="175"/>
      <c r="Z360" s="175"/>
      <c r="AA360" s="175">
        <f ca="1">(F360=R360)*1</f>
        <v>1</v>
      </c>
    </row>
    <row r="361" spans="1:27" customFormat="1">
      <c r="B361" s="7"/>
      <c r="C361" s="74"/>
      <c r="D361" s="66"/>
      <c r="E361" s="72" t="s">
        <v>220</v>
      </c>
      <c r="F361" s="1450" t="str">
        <f ca="1">IFERROR(OFFSET('4.2民生電力需要量'!$I$1,MATCH($D359,'4.2民生電力需要量'!$E:$E,0)-1,0),"")</f>
        <v/>
      </c>
      <c r="G361" s="1450"/>
      <c r="H361" s="1450"/>
      <c r="I361" s="1450"/>
      <c r="J361" s="1450"/>
      <c r="K361" s="1450"/>
      <c r="L361" s="1450"/>
      <c r="M361" s="8"/>
      <c r="R361" s="255" t="str">
        <f ca="1">IFERROR(OFFSET('4.2民生電力需要量'!$I$1,MATCH($D359,'4.2民生電力需要量'!$E:$E,0)-1,0),"")</f>
        <v/>
      </c>
      <c r="S361" s="175"/>
      <c r="T361" s="175"/>
      <c r="U361" s="175"/>
      <c r="V361" s="175"/>
      <c r="W361" s="175"/>
      <c r="X361" s="175"/>
      <c r="Y361" s="175"/>
      <c r="Z361" s="175"/>
      <c r="AA361" s="175">
        <f t="shared" ref="AA361:AA362" ca="1" si="175">(F361=R361)*1</f>
        <v>1</v>
      </c>
    </row>
    <row r="362" spans="1:27" customFormat="1">
      <c r="B362" s="7"/>
      <c r="C362" s="74"/>
      <c r="D362" s="66"/>
      <c r="E362" s="72" t="s">
        <v>175</v>
      </c>
      <c r="F362" s="1451" t="str">
        <f>_xlfn.IFNA(R362,"")</f>
        <v/>
      </c>
      <c r="G362" s="1451"/>
      <c r="H362" s="1451"/>
      <c r="I362" s="1451"/>
      <c r="J362" s="1451"/>
      <c r="K362" s="1451"/>
      <c r="L362" s="1451"/>
      <c r="M362" s="8"/>
      <c r="R362" s="129" t="str">
        <f>IF(OR(COUNTIF($E364:$E369,"&lt;&gt;〇〇(合意形成対象者名に書き換え)")=3,COUNTIF($E364:$E369,"")&gt;3),"",IF(PRODUCT($Y364:$Y369)=1,Z364,""))</f>
        <v/>
      </c>
      <c r="S362" s="175"/>
      <c r="T362" s="175"/>
      <c r="U362" s="175"/>
      <c r="V362" s="175"/>
      <c r="W362" s="175"/>
      <c r="X362" s="175"/>
      <c r="Y362" s="175"/>
      <c r="Z362" s="175"/>
      <c r="AA362" s="175">
        <f t="shared" si="175"/>
        <v>1</v>
      </c>
    </row>
    <row r="363" spans="1:27" ht="63.75" customHeight="1">
      <c r="B363" s="95"/>
      <c r="C363" s="96"/>
      <c r="D363" s="97"/>
      <c r="E363" s="372"/>
      <c r="F363" s="313" t="s">
        <v>268</v>
      </c>
      <c r="G363" s="313" t="s">
        <v>271</v>
      </c>
      <c r="H363" s="313" t="s">
        <v>272</v>
      </c>
      <c r="I363" s="313" t="s">
        <v>269</v>
      </c>
      <c r="J363" s="313" t="s">
        <v>434</v>
      </c>
      <c r="K363" s="313" t="s">
        <v>435</v>
      </c>
      <c r="L363" s="313" t="s">
        <v>270</v>
      </c>
      <c r="M363" s="98"/>
      <c r="N363" s="11"/>
      <c r="R363" s="126" t="s">
        <v>299</v>
      </c>
      <c r="S363" s="257" t="s">
        <v>423</v>
      </c>
      <c r="T363" s="126" t="s">
        <v>424</v>
      </c>
      <c r="U363" s="296" t="s">
        <v>436</v>
      </c>
      <c r="V363" s="256" t="s">
        <v>270</v>
      </c>
      <c r="W363" s="126" t="s">
        <v>426</v>
      </c>
      <c r="X363" s="129" t="s">
        <v>402</v>
      </c>
      <c r="Y363" s="129" t="s">
        <v>430</v>
      </c>
      <c r="Z363" s="126" t="s">
        <v>425</v>
      </c>
      <c r="AA363" s="255"/>
    </row>
    <row r="364" spans="1:27" hidden="1">
      <c r="B364" s="95"/>
      <c r="C364" s="96"/>
      <c r="D364" s="97"/>
      <c r="E364" s="442"/>
      <c r="F364" s="443"/>
      <c r="G364" s="439"/>
      <c r="H364" s="443"/>
      <c r="I364" s="439"/>
      <c r="J364" s="443"/>
      <c r="K364" s="439"/>
      <c r="L364" s="444"/>
      <c r="M364" s="98"/>
      <c r="N364" s="11"/>
      <c r="R364" s="129">
        <f t="shared" ref="R364:R369" si="176">IF(F364="実施済",1,0)</f>
        <v>0</v>
      </c>
      <c r="S364" s="258"/>
      <c r="T364" s="129">
        <f t="shared" ref="T364:T369" si="177">IF(AND(H364="実施済",I364="実施済"),R364*1,0)</f>
        <v>0</v>
      </c>
      <c r="U364" s="129">
        <f>IF(AND(J364="実施済",K364="実施済"),$T364*1,0)</f>
        <v>0</v>
      </c>
      <c r="V364" s="258"/>
      <c r="W364" s="129" t="str">
        <f>IF(OR(E364="〇〇(合意形成対象者名に書き換え)",E364=""),"",SUM(R364,T364,U364))</f>
        <v/>
      </c>
      <c r="X364" s="129">
        <f t="shared" ref="X364:X369" si="178">MIN($W$364:$W$369)+1</f>
        <v>1</v>
      </c>
      <c r="Y364" s="129">
        <f>IF(E364="",1,IF(AND(E364="〇〇(合意形成対象者名に書き換え)",COUNTA($F364:$L364)=0),1,IF(AND(E364&lt;&gt;"〇〇(合意形成対象者名に書き換え)",COUNTA($F364:$L364)=7),1,0)))</f>
        <v>1</v>
      </c>
      <c r="Z364" s="129" t="str" cm="1">
        <f t="array" ref="Z364">_xlfn.IFS(X364=4,"A",X364=3,"B",X364=2,"C",X364=1,"D")</f>
        <v>D</v>
      </c>
      <c r="AA364" s="255"/>
    </row>
    <row r="365" spans="1:27">
      <c r="B365" s="95"/>
      <c r="C365" s="96"/>
      <c r="D365" s="97"/>
      <c r="E365" s="447" t="s">
        <v>129</v>
      </c>
      <c r="F365" s="446"/>
      <c r="G365" s="441"/>
      <c r="H365" s="446"/>
      <c r="I365" s="441"/>
      <c r="J365" s="446"/>
      <c r="K365" s="441"/>
      <c r="L365" s="441"/>
      <c r="M365" s="98"/>
      <c r="N365" s="11"/>
      <c r="R365" s="129">
        <f t="shared" si="176"/>
        <v>0</v>
      </c>
      <c r="S365" s="258"/>
      <c r="T365" s="129">
        <f t="shared" si="177"/>
        <v>0</v>
      </c>
      <c r="U365" s="129">
        <f t="shared" ref="U365:U367" si="179">IF(AND(J365="実施済",K365="実施済"),$T365*1,0)</f>
        <v>0</v>
      </c>
      <c r="V365" s="258"/>
      <c r="W365" s="129" t="str">
        <f t="shared" ref="W365:W369" si="180">IF(OR(E365="〇〇(合意形成対象者名に書き換え)",E365=""),"",SUM(R365,T365,U365))</f>
        <v/>
      </c>
      <c r="X365" s="129">
        <f t="shared" si="178"/>
        <v>1</v>
      </c>
      <c r="Y365" s="129">
        <f t="shared" ref="Y365:Y369" si="181">IF(E365="",1,IF(AND(E365="〇〇(合意形成対象者名に書き換え)",COUNTA($F365:$L365)=0),1,IF(AND(E365&lt;&gt;"〇〇(合意形成対象者名に書き換え)",COUNTA($F365:$L365)=7),1,0)))</f>
        <v>1</v>
      </c>
      <c r="Z365" s="129" t="str" cm="1">
        <f t="array" ref="Z365">_xlfn.IFS(X365=4,"A",X365=3,"B",X365=2,"C",X365=1,"D")</f>
        <v>D</v>
      </c>
      <c r="AA365" s="255"/>
    </row>
    <row r="366" spans="1:27">
      <c r="B366" s="95"/>
      <c r="C366" s="96"/>
      <c r="D366" s="97"/>
      <c r="E366" s="447" t="s">
        <v>129</v>
      </c>
      <c r="F366" s="446"/>
      <c r="G366" s="441"/>
      <c r="H366" s="446"/>
      <c r="I366" s="441"/>
      <c r="J366" s="446"/>
      <c r="K366" s="441"/>
      <c r="L366" s="441"/>
      <c r="M366" s="98"/>
      <c r="N366" s="11"/>
      <c r="R366" s="129">
        <f t="shared" si="176"/>
        <v>0</v>
      </c>
      <c r="S366" s="258"/>
      <c r="T366" s="129">
        <f t="shared" si="177"/>
        <v>0</v>
      </c>
      <c r="U366" s="129">
        <f t="shared" si="179"/>
        <v>0</v>
      </c>
      <c r="V366" s="258"/>
      <c r="W366" s="129" t="str">
        <f t="shared" si="180"/>
        <v/>
      </c>
      <c r="X366" s="129">
        <f t="shared" si="178"/>
        <v>1</v>
      </c>
      <c r="Y366" s="129">
        <f t="shared" si="181"/>
        <v>1</v>
      </c>
      <c r="Z366" s="129" t="str" cm="1">
        <f t="array" ref="Z366">_xlfn.IFS(X366=4,"A",X366=3,"B",X366=2,"C",X366=1,"D")</f>
        <v>D</v>
      </c>
      <c r="AA366" s="255"/>
    </row>
    <row r="367" spans="1:27" s="99" customFormat="1">
      <c r="A367" s="11"/>
      <c r="B367" s="95"/>
      <c r="C367" s="96"/>
      <c r="D367" s="97"/>
      <c r="E367" s="447" t="s">
        <v>129</v>
      </c>
      <c r="F367" s="446"/>
      <c r="G367" s="441"/>
      <c r="H367" s="446"/>
      <c r="I367" s="441"/>
      <c r="J367" s="446"/>
      <c r="K367" s="441"/>
      <c r="L367" s="441"/>
      <c r="M367" s="98"/>
      <c r="N367" s="11"/>
      <c r="Q367" s="11"/>
      <c r="R367" s="129">
        <f t="shared" si="176"/>
        <v>0</v>
      </c>
      <c r="S367" s="258"/>
      <c r="T367" s="129">
        <f t="shared" si="177"/>
        <v>0</v>
      </c>
      <c r="U367" s="129">
        <f t="shared" si="179"/>
        <v>0</v>
      </c>
      <c r="V367" s="258"/>
      <c r="W367" s="129" t="str">
        <f t="shared" si="180"/>
        <v/>
      </c>
      <c r="X367" s="129">
        <f t="shared" si="178"/>
        <v>1</v>
      </c>
      <c r="Y367" s="129">
        <f t="shared" si="181"/>
        <v>1</v>
      </c>
      <c r="Z367" s="129" t="str" cm="1">
        <f t="array" ref="Z367">_xlfn.IFS(X367=4,"A",X367=3,"B",X367=2,"C",X367=1,"D")</f>
        <v>D</v>
      </c>
      <c r="AA367" s="129"/>
    </row>
    <row r="368" spans="1:27" customFormat="1" ht="7.5" customHeight="1">
      <c r="B368" s="65"/>
      <c r="C368" s="4"/>
      <c r="D368" s="4"/>
      <c r="E368" s="4"/>
      <c r="F368" s="4"/>
      <c r="G368" s="4"/>
      <c r="H368" s="4"/>
      <c r="I368" s="4"/>
      <c r="J368" s="4"/>
      <c r="K368" s="4"/>
      <c r="L368" s="4"/>
      <c r="M368" s="9"/>
      <c r="N368" s="2"/>
      <c r="O368" s="2"/>
      <c r="P368" s="2"/>
      <c r="R368" s="129">
        <f t="shared" si="176"/>
        <v>0</v>
      </c>
      <c r="S368" s="258"/>
      <c r="T368" s="129">
        <f t="shared" si="177"/>
        <v>0</v>
      </c>
      <c r="U368" s="129">
        <f>IF(AND(J368="実施済",K368="実施済"),$T368*1,0)</f>
        <v>0</v>
      </c>
      <c r="V368" s="258"/>
      <c r="W368" s="129" t="str">
        <f t="shared" si="180"/>
        <v/>
      </c>
      <c r="X368" s="129">
        <f t="shared" si="178"/>
        <v>1</v>
      </c>
      <c r="Y368" s="129">
        <f t="shared" si="181"/>
        <v>1</v>
      </c>
      <c r="Z368" s="129" t="str" cm="1">
        <f t="array" ref="Z368">_xlfn.IFS(X368=4,"A",X368=3,"B",X368=2,"C",X368=1,"D")</f>
        <v>D</v>
      </c>
      <c r="AA368" s="175"/>
    </row>
    <row r="369" spans="1:27" customFormat="1" ht="18" customHeight="1">
      <c r="N369" s="2"/>
      <c r="O369" s="2"/>
      <c r="P369" s="2"/>
      <c r="R369" s="129">
        <f t="shared" si="176"/>
        <v>0</v>
      </c>
      <c r="S369" s="258"/>
      <c r="T369" s="129">
        <f t="shared" si="177"/>
        <v>0</v>
      </c>
      <c r="U369" s="129">
        <f t="shared" ref="U369" si="182">IF(AND(J369="実施済",K369="実施済"),$T369*1,0)</f>
        <v>0</v>
      </c>
      <c r="V369" s="258"/>
      <c r="W369" s="129" t="str">
        <f t="shared" si="180"/>
        <v/>
      </c>
      <c r="X369" s="129">
        <f t="shared" si="178"/>
        <v>1</v>
      </c>
      <c r="Y369" s="129">
        <f t="shared" si="181"/>
        <v>1</v>
      </c>
      <c r="Z369" s="129" t="str" cm="1">
        <f t="array" ref="Z369">_xlfn.IFS(X369=4,"A",X369=3,"B",X369=2,"C",X369=1,"D")</f>
        <v>D</v>
      </c>
      <c r="AA369" s="175"/>
    </row>
    <row r="370" spans="1:27" customFormat="1" ht="103.5" customHeight="1">
      <c r="C370" s="78"/>
      <c r="D370" s="79"/>
      <c r="E370" s="71" t="s">
        <v>236</v>
      </c>
      <c r="F370" s="1452"/>
      <c r="G370" s="1452"/>
      <c r="H370" s="1452"/>
      <c r="I370" s="1452"/>
      <c r="J370" s="1452"/>
      <c r="K370" s="1452"/>
      <c r="L370" s="1452"/>
      <c r="M370" s="80" t="s">
        <v>132</v>
      </c>
      <c r="N370" s="80"/>
    </row>
    <row r="371" spans="1:27" customFormat="1" ht="146.25" customHeight="1">
      <c r="C371" s="75"/>
      <c r="D371" s="68"/>
      <c r="E371" s="71" t="s">
        <v>235</v>
      </c>
      <c r="F371" s="1452"/>
      <c r="G371" s="1452"/>
      <c r="H371" s="1452"/>
      <c r="I371" s="1452"/>
      <c r="J371" s="1452"/>
      <c r="K371" s="1452"/>
      <c r="L371" s="1452"/>
      <c r="N371" s="2"/>
      <c r="O371" s="2"/>
      <c r="P371" s="2"/>
    </row>
    <row r="372" spans="1:27" customFormat="1" ht="13.5" customHeight="1" thickBot="1">
      <c r="A372" s="81"/>
      <c r="B372" s="81"/>
      <c r="C372" s="81"/>
      <c r="D372" s="81"/>
      <c r="E372" s="81"/>
      <c r="F372" s="81"/>
      <c r="G372" s="81"/>
      <c r="H372" s="81"/>
      <c r="I372" s="81"/>
      <c r="J372" s="81"/>
      <c r="K372" s="81"/>
      <c r="L372" s="81"/>
      <c r="M372" s="81"/>
      <c r="N372" s="82"/>
      <c r="O372" s="2"/>
      <c r="P372" s="2"/>
    </row>
    <row r="373" spans="1:27" customFormat="1" ht="13.5" customHeight="1">
      <c r="N373" s="2"/>
      <c r="O373" s="2"/>
      <c r="P373" s="2"/>
    </row>
    <row r="374" spans="1:27" customFormat="1" ht="15" customHeight="1">
      <c r="B374" s="10"/>
      <c r="C374" s="5"/>
      <c r="D374" s="5"/>
      <c r="E374" s="5"/>
      <c r="F374" s="5"/>
      <c r="G374" s="5"/>
      <c r="H374" s="5"/>
      <c r="I374" s="5"/>
      <c r="J374" s="5"/>
      <c r="K374" s="5"/>
      <c r="L374" s="5"/>
      <c r="M374" s="6"/>
      <c r="R374" s="11" t="str">
        <f>D375</f>
        <v>(選択してください)</v>
      </c>
    </row>
    <row r="375" spans="1:27" customFormat="1">
      <c r="B375" s="7"/>
      <c r="C375" s="77" t="str">
        <f ca="1">IFERROR(OFFSET('4.2民生電力需要量'!$C$1,MATCH(D375,'4.2民生電力需要量'!$E:$E,0)-1,0),"")</f>
        <v/>
      </c>
      <c r="D375" s="94" t="s">
        <v>130</v>
      </c>
      <c r="E375" s="72" t="s">
        <v>131</v>
      </c>
      <c r="F375" s="1451" t="str">
        <f ca="1">IFERROR(OFFSET('4.2民生電力需要量'!$G$1,MATCH($D375,'4.2民生電力需要量'!$E:$E,0)-1,0),"")</f>
        <v/>
      </c>
      <c r="G375" s="1451"/>
      <c r="H375" s="1451"/>
      <c r="I375" s="1451"/>
      <c r="J375" s="1451"/>
      <c r="K375" s="1451"/>
      <c r="L375" s="1451"/>
      <c r="M375" s="8"/>
      <c r="R375" s="255" t="str">
        <f ca="1">IFERROR(OFFSET('4.2民生電力需要量'!$G$1,MATCH($D375,'4.2民生電力需要量'!$E:$E,0)-1,0),"")</f>
        <v/>
      </c>
      <c r="S375" s="175"/>
      <c r="T375" s="175"/>
      <c r="U375" s="175"/>
      <c r="V375" s="175"/>
      <c r="W375" s="175"/>
      <c r="X375" s="175"/>
      <c r="Y375" s="175"/>
      <c r="Z375" s="175"/>
      <c r="AA375" s="175">
        <f ca="1">(F375=R375)*1</f>
        <v>1</v>
      </c>
    </row>
    <row r="376" spans="1:27" customFormat="1">
      <c r="B376" s="7"/>
      <c r="C376" s="915"/>
      <c r="D376" s="97"/>
      <c r="E376" s="72" t="s">
        <v>612</v>
      </c>
      <c r="F376" s="1447" t="str">
        <f ca="1">IFERROR(OFFSET('4.2民生電力需要量'!$L$1,MATCH($D375,'4.2民生電力需要量'!$E:$E,0)-1,0),"")</f>
        <v/>
      </c>
      <c r="G376" s="1448"/>
      <c r="H376" s="1448"/>
      <c r="I376" s="1448"/>
      <c r="J376" s="1448"/>
      <c r="K376" s="1448"/>
      <c r="L376" s="1449"/>
      <c r="M376" s="8"/>
      <c r="R376" s="255" t="str">
        <f ca="1">IFERROR(OFFSET('4.2民生電力需要量'!$L$1,MATCH($D375,'4.2民生電力需要量'!$E:$E,0)-1,0),"")</f>
        <v/>
      </c>
      <c r="S376" s="175"/>
      <c r="T376" s="175"/>
      <c r="U376" s="175"/>
      <c r="V376" s="175"/>
      <c r="W376" s="175"/>
      <c r="X376" s="175"/>
      <c r="Y376" s="175"/>
      <c r="Z376" s="175"/>
      <c r="AA376" s="175">
        <f ca="1">(F376=R376)*1</f>
        <v>1</v>
      </c>
    </row>
    <row r="377" spans="1:27" customFormat="1">
      <c r="B377" s="7"/>
      <c r="C377" s="74"/>
      <c r="D377" s="66"/>
      <c r="E377" s="72" t="s">
        <v>220</v>
      </c>
      <c r="F377" s="1450" t="str">
        <f ca="1">IFERROR(OFFSET('4.2民生電力需要量'!$I$1,MATCH($D375,'4.2民生電力需要量'!$E:$E,0)-1,0),"")</f>
        <v/>
      </c>
      <c r="G377" s="1450"/>
      <c r="H377" s="1450"/>
      <c r="I377" s="1450"/>
      <c r="J377" s="1450"/>
      <c r="K377" s="1450"/>
      <c r="L377" s="1450"/>
      <c r="M377" s="8"/>
      <c r="R377" s="255" t="str">
        <f ca="1">IFERROR(OFFSET('4.2民生電力需要量'!$I$1,MATCH($D375,'4.2民生電力需要量'!$E:$E,0)-1,0),"")</f>
        <v/>
      </c>
      <c r="S377" s="175"/>
      <c r="T377" s="175"/>
      <c r="U377" s="175"/>
      <c r="V377" s="175"/>
      <c r="W377" s="175"/>
      <c r="X377" s="175"/>
      <c r="Y377" s="175"/>
      <c r="Z377" s="175"/>
      <c r="AA377" s="175">
        <f t="shared" ref="AA377:AA378" ca="1" si="183">(F377=R377)*1</f>
        <v>1</v>
      </c>
    </row>
    <row r="378" spans="1:27" customFormat="1">
      <c r="B378" s="7"/>
      <c r="C378" s="74"/>
      <c r="D378" s="66"/>
      <c r="E378" s="72" t="s">
        <v>175</v>
      </c>
      <c r="F378" s="1451" t="str">
        <f>_xlfn.IFNA(R378,"")</f>
        <v/>
      </c>
      <c r="G378" s="1451"/>
      <c r="H378" s="1451"/>
      <c r="I378" s="1451"/>
      <c r="J378" s="1451"/>
      <c r="K378" s="1451"/>
      <c r="L378" s="1451"/>
      <c r="M378" s="8"/>
      <c r="R378" s="129" t="str">
        <f>IF(OR(COUNTIF($E380:$E385,"&lt;&gt;〇〇(合意形成対象者名に書き換え)")=3,COUNTIF($E380:$E385,"")&gt;3),"",IF(PRODUCT($Y380:$Y385)=1,Z380,""))</f>
        <v/>
      </c>
      <c r="S378" s="175"/>
      <c r="T378" s="175"/>
      <c r="U378" s="175"/>
      <c r="V378" s="175"/>
      <c r="W378" s="175"/>
      <c r="X378" s="175"/>
      <c r="Y378" s="175"/>
      <c r="Z378" s="175"/>
      <c r="AA378" s="175">
        <f t="shared" si="183"/>
        <v>1</v>
      </c>
    </row>
    <row r="379" spans="1:27" ht="63.75" customHeight="1">
      <c r="B379" s="95"/>
      <c r="C379" s="96"/>
      <c r="D379" s="97"/>
      <c r="E379" s="372"/>
      <c r="F379" s="313" t="s">
        <v>268</v>
      </c>
      <c r="G379" s="313" t="s">
        <v>271</v>
      </c>
      <c r="H379" s="313" t="s">
        <v>272</v>
      </c>
      <c r="I379" s="313" t="s">
        <v>269</v>
      </c>
      <c r="J379" s="313" t="s">
        <v>434</v>
      </c>
      <c r="K379" s="313" t="s">
        <v>435</v>
      </c>
      <c r="L379" s="313" t="s">
        <v>270</v>
      </c>
      <c r="M379" s="98"/>
      <c r="N379" s="11"/>
      <c r="R379" s="126" t="s">
        <v>299</v>
      </c>
      <c r="S379" s="257" t="s">
        <v>423</v>
      </c>
      <c r="T379" s="126" t="s">
        <v>424</v>
      </c>
      <c r="U379" s="296" t="s">
        <v>436</v>
      </c>
      <c r="V379" s="256" t="s">
        <v>270</v>
      </c>
      <c r="W379" s="126" t="s">
        <v>426</v>
      </c>
      <c r="X379" s="129" t="s">
        <v>402</v>
      </c>
      <c r="Y379" s="129" t="s">
        <v>430</v>
      </c>
      <c r="Z379" s="126" t="s">
        <v>425</v>
      </c>
      <c r="AA379" s="255"/>
    </row>
    <row r="380" spans="1:27" hidden="1">
      <c r="B380" s="95"/>
      <c r="C380" s="96"/>
      <c r="D380" s="97"/>
      <c r="E380" s="442"/>
      <c r="F380" s="443"/>
      <c r="G380" s="439"/>
      <c r="H380" s="443"/>
      <c r="I380" s="439"/>
      <c r="J380" s="443"/>
      <c r="K380" s="439"/>
      <c r="L380" s="444"/>
      <c r="M380" s="98"/>
      <c r="N380" s="11"/>
      <c r="R380" s="129">
        <f t="shared" ref="R380:R385" si="184">IF(F380="実施済",1,0)</f>
        <v>0</v>
      </c>
      <c r="S380" s="258"/>
      <c r="T380" s="129">
        <f t="shared" ref="T380:T385" si="185">IF(AND(H380="実施済",I380="実施済"),R380*1,0)</f>
        <v>0</v>
      </c>
      <c r="U380" s="129">
        <f>IF(AND(J380="実施済",K380="実施済"),$T380*1,0)</f>
        <v>0</v>
      </c>
      <c r="V380" s="258"/>
      <c r="W380" s="129" t="str">
        <f>IF(OR(E380="〇〇(合意形成対象者名に書き換え)",E380=""),"",SUM(R380,T380,U380))</f>
        <v/>
      </c>
      <c r="X380" s="129">
        <f t="shared" ref="X380:X385" si="186">MIN($W$380:$W$385)+1</f>
        <v>1</v>
      </c>
      <c r="Y380" s="129">
        <f>IF(E380="",1,IF(AND(E380="〇〇(合意形成対象者名に書き換え)",COUNTA($F380:$L380)=0),1,IF(AND(E380&lt;&gt;"〇〇(合意形成対象者名に書き換え)",COUNTA($F380:$L380)=7),1,0)))</f>
        <v>1</v>
      </c>
      <c r="Z380" s="129" t="str" cm="1">
        <f t="array" ref="Z380">_xlfn.IFS(X380=4,"A",X380=3,"B",X380=2,"C",X380=1,"D")</f>
        <v>D</v>
      </c>
      <c r="AA380" s="255"/>
    </row>
    <row r="381" spans="1:27">
      <c r="B381" s="95"/>
      <c r="C381" s="96"/>
      <c r="D381" s="97"/>
      <c r="E381" s="447" t="s">
        <v>129</v>
      </c>
      <c r="F381" s="446"/>
      <c r="G381" s="441"/>
      <c r="H381" s="446"/>
      <c r="I381" s="441"/>
      <c r="J381" s="446"/>
      <c r="K381" s="441"/>
      <c r="L381" s="441"/>
      <c r="M381" s="98"/>
      <c r="N381" s="11"/>
      <c r="R381" s="129">
        <f t="shared" si="184"/>
        <v>0</v>
      </c>
      <c r="S381" s="258"/>
      <c r="T381" s="129">
        <f t="shared" si="185"/>
        <v>0</v>
      </c>
      <c r="U381" s="129">
        <f t="shared" ref="U381:U383" si="187">IF(AND(J381="実施済",K381="実施済"),$T381*1,0)</f>
        <v>0</v>
      </c>
      <c r="V381" s="258"/>
      <c r="W381" s="129" t="str">
        <f t="shared" ref="W381:W385" si="188">IF(OR(E381="〇〇(合意形成対象者名に書き換え)",E381=""),"",SUM(R381,T381,U381))</f>
        <v/>
      </c>
      <c r="X381" s="129">
        <f t="shared" si="186"/>
        <v>1</v>
      </c>
      <c r="Y381" s="129">
        <f t="shared" ref="Y381:Y385" si="189">IF(E381="",1,IF(AND(E381="〇〇(合意形成対象者名に書き換え)",COUNTA($F381:$L381)=0),1,IF(AND(E381&lt;&gt;"〇〇(合意形成対象者名に書き換え)",COUNTA($F381:$L381)=7),1,0)))</f>
        <v>1</v>
      </c>
      <c r="Z381" s="129" t="str" cm="1">
        <f t="array" ref="Z381">_xlfn.IFS(X381=4,"A",X381=3,"B",X381=2,"C",X381=1,"D")</f>
        <v>D</v>
      </c>
      <c r="AA381" s="255"/>
    </row>
    <row r="382" spans="1:27">
      <c r="B382" s="95"/>
      <c r="C382" s="96"/>
      <c r="D382" s="97"/>
      <c r="E382" s="447" t="s">
        <v>129</v>
      </c>
      <c r="F382" s="446"/>
      <c r="G382" s="441"/>
      <c r="H382" s="446"/>
      <c r="I382" s="441"/>
      <c r="J382" s="446"/>
      <c r="K382" s="441"/>
      <c r="L382" s="441"/>
      <c r="M382" s="98"/>
      <c r="N382" s="11"/>
      <c r="R382" s="129">
        <f t="shared" si="184"/>
        <v>0</v>
      </c>
      <c r="S382" s="258"/>
      <c r="T382" s="129">
        <f t="shared" si="185"/>
        <v>0</v>
      </c>
      <c r="U382" s="129">
        <f t="shared" si="187"/>
        <v>0</v>
      </c>
      <c r="V382" s="258"/>
      <c r="W382" s="129" t="str">
        <f t="shared" si="188"/>
        <v/>
      </c>
      <c r="X382" s="129">
        <f t="shared" si="186"/>
        <v>1</v>
      </c>
      <c r="Y382" s="129">
        <f t="shared" si="189"/>
        <v>1</v>
      </c>
      <c r="Z382" s="129" t="str" cm="1">
        <f t="array" ref="Z382">_xlfn.IFS(X382=4,"A",X382=3,"B",X382=2,"C",X382=1,"D")</f>
        <v>D</v>
      </c>
      <c r="AA382" s="255"/>
    </row>
    <row r="383" spans="1:27" s="99" customFormat="1">
      <c r="A383" s="11"/>
      <c r="B383" s="95"/>
      <c r="C383" s="96"/>
      <c r="D383" s="97"/>
      <c r="E383" s="447" t="s">
        <v>129</v>
      </c>
      <c r="F383" s="446"/>
      <c r="G383" s="441"/>
      <c r="H383" s="446"/>
      <c r="I383" s="441"/>
      <c r="J383" s="446"/>
      <c r="K383" s="441"/>
      <c r="L383" s="441"/>
      <c r="M383" s="98"/>
      <c r="N383" s="11"/>
      <c r="Q383" s="11"/>
      <c r="R383" s="129">
        <f t="shared" si="184"/>
        <v>0</v>
      </c>
      <c r="S383" s="258"/>
      <c r="T383" s="129">
        <f t="shared" si="185"/>
        <v>0</v>
      </c>
      <c r="U383" s="129">
        <f t="shared" si="187"/>
        <v>0</v>
      </c>
      <c r="V383" s="258"/>
      <c r="W383" s="129" t="str">
        <f t="shared" si="188"/>
        <v/>
      </c>
      <c r="X383" s="129">
        <f t="shared" si="186"/>
        <v>1</v>
      </c>
      <c r="Y383" s="129">
        <f t="shared" si="189"/>
        <v>1</v>
      </c>
      <c r="Z383" s="129" t="str" cm="1">
        <f t="array" ref="Z383">_xlfn.IFS(X383=4,"A",X383=3,"B",X383=2,"C",X383=1,"D")</f>
        <v>D</v>
      </c>
      <c r="AA383" s="129"/>
    </row>
    <row r="384" spans="1:27" customFormat="1" ht="7.5" customHeight="1">
      <c r="B384" s="65"/>
      <c r="C384" s="4"/>
      <c r="D384" s="4"/>
      <c r="E384" s="4"/>
      <c r="F384" s="4"/>
      <c r="G384" s="4"/>
      <c r="H384" s="4"/>
      <c r="I384" s="4"/>
      <c r="J384" s="4"/>
      <c r="K384" s="4"/>
      <c r="L384" s="4"/>
      <c r="M384" s="9"/>
      <c r="N384" s="2"/>
      <c r="O384" s="2"/>
      <c r="P384" s="2"/>
      <c r="R384" s="129">
        <f t="shared" si="184"/>
        <v>0</v>
      </c>
      <c r="S384" s="258"/>
      <c r="T384" s="129">
        <f t="shared" si="185"/>
        <v>0</v>
      </c>
      <c r="U384" s="129">
        <f>IF(AND(J384="実施済",K384="実施済"),$T384*1,0)</f>
        <v>0</v>
      </c>
      <c r="V384" s="258"/>
      <c r="W384" s="129" t="str">
        <f t="shared" si="188"/>
        <v/>
      </c>
      <c r="X384" s="129">
        <f t="shared" si="186"/>
        <v>1</v>
      </c>
      <c r="Y384" s="129">
        <f t="shared" si="189"/>
        <v>1</v>
      </c>
      <c r="Z384" s="129" t="str" cm="1">
        <f t="array" ref="Z384">_xlfn.IFS(X384=4,"A",X384=3,"B",X384=2,"C",X384=1,"D")</f>
        <v>D</v>
      </c>
      <c r="AA384" s="175"/>
    </row>
    <row r="385" spans="1:27" customFormat="1" ht="18" customHeight="1">
      <c r="N385" s="2"/>
      <c r="O385" s="2"/>
      <c r="P385" s="2"/>
      <c r="R385" s="129">
        <f t="shared" si="184"/>
        <v>0</v>
      </c>
      <c r="S385" s="258"/>
      <c r="T385" s="129">
        <f t="shared" si="185"/>
        <v>0</v>
      </c>
      <c r="U385" s="129">
        <f t="shared" ref="U385" si="190">IF(AND(J385="実施済",K385="実施済"),$T385*1,0)</f>
        <v>0</v>
      </c>
      <c r="V385" s="258"/>
      <c r="W385" s="129" t="str">
        <f t="shared" si="188"/>
        <v/>
      </c>
      <c r="X385" s="129">
        <f t="shared" si="186"/>
        <v>1</v>
      </c>
      <c r="Y385" s="129">
        <f t="shared" si="189"/>
        <v>1</v>
      </c>
      <c r="Z385" s="129" t="str" cm="1">
        <f t="array" ref="Z385">_xlfn.IFS(X385=4,"A",X385=3,"B",X385=2,"C",X385=1,"D")</f>
        <v>D</v>
      </c>
      <c r="AA385" s="175"/>
    </row>
    <row r="386" spans="1:27" customFormat="1" ht="103.5" customHeight="1">
      <c r="C386" s="78"/>
      <c r="D386" s="79"/>
      <c r="E386" s="71" t="s">
        <v>236</v>
      </c>
      <c r="F386" s="1452"/>
      <c r="G386" s="1452"/>
      <c r="H386" s="1452"/>
      <c r="I386" s="1452"/>
      <c r="J386" s="1452"/>
      <c r="K386" s="1452"/>
      <c r="L386" s="1452"/>
      <c r="M386" s="80" t="s">
        <v>132</v>
      </c>
      <c r="N386" s="80"/>
    </row>
    <row r="387" spans="1:27" customFormat="1" ht="146.25" customHeight="1">
      <c r="C387" s="75"/>
      <c r="D387" s="68"/>
      <c r="E387" s="71" t="s">
        <v>235</v>
      </c>
      <c r="F387" s="1452"/>
      <c r="G387" s="1452"/>
      <c r="H387" s="1452"/>
      <c r="I387" s="1452"/>
      <c r="J387" s="1452"/>
      <c r="K387" s="1452"/>
      <c r="L387" s="1452"/>
      <c r="N387" s="2"/>
      <c r="O387" s="2"/>
      <c r="P387" s="2"/>
    </row>
    <row r="388" spans="1:27" customFormat="1" ht="13.5" customHeight="1" thickBot="1">
      <c r="A388" s="81"/>
      <c r="B388" s="81"/>
      <c r="C388" s="81"/>
      <c r="D388" s="81"/>
      <c r="E388" s="81"/>
      <c r="F388" s="81"/>
      <c r="G388" s="81"/>
      <c r="H388" s="81"/>
      <c r="I388" s="81"/>
      <c r="J388" s="81"/>
      <c r="K388" s="81"/>
      <c r="L388" s="81"/>
      <c r="M388" s="81"/>
      <c r="N388" s="82"/>
      <c r="O388" s="2"/>
      <c r="P388" s="2"/>
    </row>
    <row r="389" spans="1:27" customFormat="1" ht="13.5" customHeight="1">
      <c r="N389" s="2"/>
      <c r="O389" s="2"/>
      <c r="P389" s="2"/>
    </row>
    <row r="390" spans="1:27" customFormat="1" ht="15" customHeight="1">
      <c r="B390" s="10"/>
      <c r="C390" s="5"/>
      <c r="D390" s="5"/>
      <c r="E390" s="5"/>
      <c r="F390" s="5"/>
      <c r="G390" s="5"/>
      <c r="H390" s="5"/>
      <c r="I390" s="5"/>
      <c r="J390" s="5"/>
      <c r="K390" s="5"/>
      <c r="L390" s="5"/>
      <c r="M390" s="6"/>
      <c r="R390" s="11" t="str">
        <f>D391</f>
        <v>(選択してください)</v>
      </c>
    </row>
    <row r="391" spans="1:27" customFormat="1">
      <c r="B391" s="7"/>
      <c r="C391" s="77" t="str">
        <f ca="1">IFERROR(OFFSET('4.2民生電力需要量'!$C$1,MATCH(D391,'4.2民生電力需要量'!$E:$E,0)-1,0),"")</f>
        <v/>
      </c>
      <c r="D391" s="94" t="s">
        <v>130</v>
      </c>
      <c r="E391" s="72" t="s">
        <v>131</v>
      </c>
      <c r="F391" s="1451" t="str">
        <f ca="1">IFERROR(OFFSET('4.2民生電力需要量'!$G$1,MATCH($D391,'4.2民生電力需要量'!$E:$E,0)-1,0),"")</f>
        <v/>
      </c>
      <c r="G391" s="1451"/>
      <c r="H391" s="1451"/>
      <c r="I391" s="1451"/>
      <c r="J391" s="1451"/>
      <c r="K391" s="1451"/>
      <c r="L391" s="1451"/>
      <c r="M391" s="8"/>
      <c r="R391" s="255" t="str">
        <f ca="1">IFERROR(OFFSET('4.2民生電力需要量'!$G$1,MATCH($D391,'4.2民生電力需要量'!$E:$E,0)-1,0),"")</f>
        <v/>
      </c>
      <c r="S391" s="175"/>
      <c r="T391" s="175"/>
      <c r="U391" s="175"/>
      <c r="V391" s="175"/>
      <c r="W391" s="175"/>
      <c r="X391" s="175"/>
      <c r="Y391" s="175"/>
      <c r="Z391" s="175"/>
      <c r="AA391" s="175">
        <f ca="1">(F391=R391)*1</f>
        <v>1</v>
      </c>
    </row>
    <row r="392" spans="1:27" customFormat="1">
      <c r="B392" s="7"/>
      <c r="C392" s="915"/>
      <c r="D392" s="97"/>
      <c r="E392" s="72" t="s">
        <v>612</v>
      </c>
      <c r="F392" s="1447" t="str">
        <f ca="1">IFERROR(OFFSET('4.2民生電力需要量'!$L$1,MATCH($D391,'4.2民生電力需要量'!$E:$E,0)-1,0),"")</f>
        <v/>
      </c>
      <c r="G392" s="1448"/>
      <c r="H392" s="1448"/>
      <c r="I392" s="1448"/>
      <c r="J392" s="1448"/>
      <c r="K392" s="1448"/>
      <c r="L392" s="1449"/>
      <c r="M392" s="8"/>
      <c r="R392" s="255" t="str">
        <f ca="1">IFERROR(OFFSET('4.2民生電力需要量'!$L$1,MATCH($D391,'4.2民生電力需要量'!$E:$E,0)-1,0),"")</f>
        <v/>
      </c>
      <c r="S392" s="175"/>
      <c r="T392" s="175"/>
      <c r="U392" s="175"/>
      <c r="V392" s="175"/>
      <c r="W392" s="175"/>
      <c r="X392" s="175"/>
      <c r="Y392" s="175"/>
      <c r="Z392" s="175"/>
      <c r="AA392" s="175">
        <f ca="1">(F392=R392)*1</f>
        <v>1</v>
      </c>
    </row>
    <row r="393" spans="1:27" customFormat="1">
      <c r="B393" s="7"/>
      <c r="C393" s="74"/>
      <c r="D393" s="66"/>
      <c r="E393" s="72" t="s">
        <v>220</v>
      </c>
      <c r="F393" s="1450" t="str">
        <f ca="1">IFERROR(OFFSET('4.2民生電力需要量'!$I$1,MATCH($D391,'4.2民生電力需要量'!$E:$E,0)-1,0),"")</f>
        <v/>
      </c>
      <c r="G393" s="1450"/>
      <c r="H393" s="1450"/>
      <c r="I393" s="1450"/>
      <c r="J393" s="1450"/>
      <c r="K393" s="1450"/>
      <c r="L393" s="1450"/>
      <c r="M393" s="8"/>
      <c r="R393" s="255" t="str">
        <f ca="1">IFERROR(OFFSET('4.2民生電力需要量'!$I$1,MATCH($D391,'4.2民生電力需要量'!$E:$E,0)-1,0),"")</f>
        <v/>
      </c>
      <c r="S393" s="175"/>
      <c r="T393" s="175"/>
      <c r="U393" s="175"/>
      <c r="V393" s="175"/>
      <c r="W393" s="175"/>
      <c r="X393" s="175"/>
      <c r="Y393" s="175"/>
      <c r="Z393" s="175"/>
      <c r="AA393" s="175">
        <f t="shared" ref="AA393:AA394" ca="1" si="191">(F393=R393)*1</f>
        <v>1</v>
      </c>
    </row>
    <row r="394" spans="1:27" customFormat="1">
      <c r="B394" s="7"/>
      <c r="C394" s="74"/>
      <c r="D394" s="66"/>
      <c r="E394" s="72" t="s">
        <v>175</v>
      </c>
      <c r="F394" s="1451" t="str">
        <f>_xlfn.IFNA(R394,"")</f>
        <v/>
      </c>
      <c r="G394" s="1451"/>
      <c r="H394" s="1451"/>
      <c r="I394" s="1451"/>
      <c r="J394" s="1451"/>
      <c r="K394" s="1451"/>
      <c r="L394" s="1451"/>
      <c r="M394" s="8"/>
      <c r="R394" s="129" t="str">
        <f>IF(OR(COUNTIF($E396:$E401,"&lt;&gt;〇〇(合意形成対象者名に書き換え)")=3,COUNTIF($E396:$E401,"")&gt;3),"",IF(PRODUCT($Y396:$Y401)=1,Z396,""))</f>
        <v/>
      </c>
      <c r="S394" s="175"/>
      <c r="T394" s="175"/>
      <c r="U394" s="175"/>
      <c r="V394" s="175"/>
      <c r="W394" s="175"/>
      <c r="X394" s="175"/>
      <c r="Y394" s="175"/>
      <c r="Z394" s="175"/>
      <c r="AA394" s="175">
        <f t="shared" si="191"/>
        <v>1</v>
      </c>
    </row>
    <row r="395" spans="1:27" ht="63.75" customHeight="1">
      <c r="B395" s="95"/>
      <c r="C395" s="96"/>
      <c r="D395" s="97"/>
      <c r="E395" s="372"/>
      <c r="F395" s="313" t="s">
        <v>268</v>
      </c>
      <c r="G395" s="313" t="s">
        <v>271</v>
      </c>
      <c r="H395" s="313" t="s">
        <v>272</v>
      </c>
      <c r="I395" s="313" t="s">
        <v>269</v>
      </c>
      <c r="J395" s="313" t="s">
        <v>434</v>
      </c>
      <c r="K395" s="313" t="s">
        <v>435</v>
      </c>
      <c r="L395" s="313" t="s">
        <v>270</v>
      </c>
      <c r="M395" s="98"/>
      <c r="N395" s="11"/>
      <c r="R395" s="126" t="s">
        <v>299</v>
      </c>
      <c r="S395" s="257" t="s">
        <v>423</v>
      </c>
      <c r="T395" s="126" t="s">
        <v>424</v>
      </c>
      <c r="U395" s="296" t="s">
        <v>436</v>
      </c>
      <c r="V395" s="256" t="s">
        <v>270</v>
      </c>
      <c r="W395" s="126" t="s">
        <v>426</v>
      </c>
      <c r="X395" s="129" t="s">
        <v>402</v>
      </c>
      <c r="Y395" s="129" t="s">
        <v>430</v>
      </c>
      <c r="Z395" s="126" t="s">
        <v>425</v>
      </c>
      <c r="AA395" s="255"/>
    </row>
    <row r="396" spans="1:27" hidden="1">
      <c r="B396" s="95"/>
      <c r="C396" s="96"/>
      <c r="D396" s="97"/>
      <c r="E396" s="442"/>
      <c r="F396" s="443"/>
      <c r="G396" s="439"/>
      <c r="H396" s="443"/>
      <c r="I396" s="439"/>
      <c r="J396" s="443"/>
      <c r="K396" s="439"/>
      <c r="L396" s="444"/>
      <c r="M396" s="98"/>
      <c r="N396" s="11"/>
      <c r="R396" s="129">
        <f t="shared" ref="R396:R401" si="192">IF(F396="実施済",1,0)</f>
        <v>0</v>
      </c>
      <c r="S396" s="258"/>
      <c r="T396" s="129">
        <f t="shared" ref="T396:T401" si="193">IF(AND(H396="実施済",I396="実施済"),R396*1,0)</f>
        <v>0</v>
      </c>
      <c r="U396" s="129">
        <f>IF(AND(J396="実施済",K396="実施済"),$T396*1,0)</f>
        <v>0</v>
      </c>
      <c r="V396" s="258"/>
      <c r="W396" s="129" t="str">
        <f>IF(OR(E396="〇〇(合意形成対象者名に書き換え)",E396=""),"",SUM(R396,T396,U396))</f>
        <v/>
      </c>
      <c r="X396" s="129">
        <f t="shared" ref="X396:X401" si="194">MIN($W$396:$W$401)+1</f>
        <v>1</v>
      </c>
      <c r="Y396" s="129">
        <f>IF(E396="",1,IF(AND(E396="〇〇(合意形成対象者名に書き換え)",COUNTA($F396:$L396)=0),1,IF(AND(E396&lt;&gt;"〇〇(合意形成対象者名に書き換え)",COUNTA($F396:$L396)=7),1,0)))</f>
        <v>1</v>
      </c>
      <c r="Z396" s="129" t="str" cm="1">
        <f t="array" ref="Z396">_xlfn.IFS(X396=4,"A",X396=3,"B",X396=2,"C",X396=1,"D")</f>
        <v>D</v>
      </c>
      <c r="AA396" s="255"/>
    </row>
    <row r="397" spans="1:27">
      <c r="B397" s="95"/>
      <c r="C397" s="96"/>
      <c r="D397" s="97"/>
      <c r="E397" s="447" t="s">
        <v>129</v>
      </c>
      <c r="F397" s="446"/>
      <c r="G397" s="441"/>
      <c r="H397" s="446"/>
      <c r="I397" s="441"/>
      <c r="J397" s="446"/>
      <c r="K397" s="441"/>
      <c r="L397" s="441"/>
      <c r="M397" s="98"/>
      <c r="N397" s="11"/>
      <c r="R397" s="129">
        <f t="shared" si="192"/>
        <v>0</v>
      </c>
      <c r="S397" s="258"/>
      <c r="T397" s="129">
        <f t="shared" si="193"/>
        <v>0</v>
      </c>
      <c r="U397" s="129">
        <f t="shared" ref="U397:U399" si="195">IF(AND(J397="実施済",K397="実施済"),$T397*1,0)</f>
        <v>0</v>
      </c>
      <c r="V397" s="258"/>
      <c r="W397" s="129" t="str">
        <f t="shared" ref="W397:W401" si="196">IF(OR(E397="〇〇(合意形成対象者名に書き換え)",E397=""),"",SUM(R397,T397,U397))</f>
        <v/>
      </c>
      <c r="X397" s="129">
        <f t="shared" si="194"/>
        <v>1</v>
      </c>
      <c r="Y397" s="129">
        <f t="shared" ref="Y397:Y401" si="197">IF(E397="",1,IF(AND(E397="〇〇(合意形成対象者名に書き換え)",COUNTA($F397:$L397)=0),1,IF(AND(E397&lt;&gt;"〇〇(合意形成対象者名に書き換え)",COUNTA($F397:$L397)=7),1,0)))</f>
        <v>1</v>
      </c>
      <c r="Z397" s="129" t="str" cm="1">
        <f t="array" ref="Z397">_xlfn.IFS(X397=4,"A",X397=3,"B",X397=2,"C",X397=1,"D")</f>
        <v>D</v>
      </c>
      <c r="AA397" s="255"/>
    </row>
    <row r="398" spans="1:27">
      <c r="B398" s="95"/>
      <c r="C398" s="96"/>
      <c r="D398" s="97"/>
      <c r="E398" s="447" t="s">
        <v>129</v>
      </c>
      <c r="F398" s="446"/>
      <c r="G398" s="441"/>
      <c r="H398" s="446"/>
      <c r="I398" s="441"/>
      <c r="J398" s="446"/>
      <c r="K398" s="441"/>
      <c r="L398" s="441"/>
      <c r="M398" s="98"/>
      <c r="N398" s="11"/>
      <c r="R398" s="129">
        <f t="shared" si="192"/>
        <v>0</v>
      </c>
      <c r="S398" s="258"/>
      <c r="T398" s="129">
        <f t="shared" si="193"/>
        <v>0</v>
      </c>
      <c r="U398" s="129">
        <f t="shared" si="195"/>
        <v>0</v>
      </c>
      <c r="V398" s="258"/>
      <c r="W398" s="129" t="str">
        <f t="shared" si="196"/>
        <v/>
      </c>
      <c r="X398" s="129">
        <f t="shared" si="194"/>
        <v>1</v>
      </c>
      <c r="Y398" s="129">
        <f t="shared" si="197"/>
        <v>1</v>
      </c>
      <c r="Z398" s="129" t="str" cm="1">
        <f t="array" ref="Z398">_xlfn.IFS(X398=4,"A",X398=3,"B",X398=2,"C",X398=1,"D")</f>
        <v>D</v>
      </c>
      <c r="AA398" s="255"/>
    </row>
    <row r="399" spans="1:27" s="99" customFormat="1">
      <c r="A399" s="11"/>
      <c r="B399" s="95"/>
      <c r="C399" s="96"/>
      <c r="D399" s="97"/>
      <c r="E399" s="447" t="s">
        <v>129</v>
      </c>
      <c r="F399" s="446"/>
      <c r="G399" s="441"/>
      <c r="H399" s="446"/>
      <c r="I399" s="441"/>
      <c r="J399" s="446"/>
      <c r="K399" s="441"/>
      <c r="L399" s="441"/>
      <c r="M399" s="98"/>
      <c r="N399" s="11"/>
      <c r="Q399" s="11"/>
      <c r="R399" s="129">
        <f t="shared" si="192"/>
        <v>0</v>
      </c>
      <c r="S399" s="258"/>
      <c r="T399" s="129">
        <f t="shared" si="193"/>
        <v>0</v>
      </c>
      <c r="U399" s="129">
        <f t="shared" si="195"/>
        <v>0</v>
      </c>
      <c r="V399" s="258"/>
      <c r="W399" s="129" t="str">
        <f t="shared" si="196"/>
        <v/>
      </c>
      <c r="X399" s="129">
        <f t="shared" si="194"/>
        <v>1</v>
      </c>
      <c r="Y399" s="129">
        <f t="shared" si="197"/>
        <v>1</v>
      </c>
      <c r="Z399" s="129" t="str" cm="1">
        <f t="array" ref="Z399">_xlfn.IFS(X399=4,"A",X399=3,"B",X399=2,"C",X399=1,"D")</f>
        <v>D</v>
      </c>
      <c r="AA399" s="129"/>
    </row>
    <row r="400" spans="1:27" customFormat="1" ht="7.5" customHeight="1">
      <c r="B400" s="65"/>
      <c r="C400" s="4"/>
      <c r="D400" s="4"/>
      <c r="E400" s="4"/>
      <c r="F400" s="4"/>
      <c r="G400" s="4"/>
      <c r="H400" s="4"/>
      <c r="I400" s="4"/>
      <c r="J400" s="4"/>
      <c r="K400" s="4"/>
      <c r="L400" s="4"/>
      <c r="M400" s="9"/>
      <c r="N400" s="2"/>
      <c r="O400" s="2"/>
      <c r="P400" s="2"/>
      <c r="R400" s="129">
        <f t="shared" si="192"/>
        <v>0</v>
      </c>
      <c r="S400" s="258"/>
      <c r="T400" s="129">
        <f t="shared" si="193"/>
        <v>0</v>
      </c>
      <c r="U400" s="129">
        <f>IF(AND(J400="実施済",K400="実施済"),$T400*1,0)</f>
        <v>0</v>
      </c>
      <c r="V400" s="258"/>
      <c r="W400" s="129" t="str">
        <f t="shared" si="196"/>
        <v/>
      </c>
      <c r="X400" s="129">
        <f t="shared" si="194"/>
        <v>1</v>
      </c>
      <c r="Y400" s="129">
        <f t="shared" si="197"/>
        <v>1</v>
      </c>
      <c r="Z400" s="129" t="str" cm="1">
        <f t="array" ref="Z400">_xlfn.IFS(X400=4,"A",X400=3,"B",X400=2,"C",X400=1,"D")</f>
        <v>D</v>
      </c>
      <c r="AA400" s="175"/>
    </row>
    <row r="401" spans="1:27" customFormat="1" ht="18" customHeight="1">
      <c r="N401" s="2"/>
      <c r="O401" s="2"/>
      <c r="P401" s="2"/>
      <c r="R401" s="129">
        <f t="shared" si="192"/>
        <v>0</v>
      </c>
      <c r="S401" s="258"/>
      <c r="T401" s="129">
        <f t="shared" si="193"/>
        <v>0</v>
      </c>
      <c r="U401" s="129">
        <f t="shared" ref="U401" si="198">IF(AND(J401="実施済",K401="実施済"),$T401*1,0)</f>
        <v>0</v>
      </c>
      <c r="V401" s="258"/>
      <c r="W401" s="129" t="str">
        <f t="shared" si="196"/>
        <v/>
      </c>
      <c r="X401" s="129">
        <f t="shared" si="194"/>
        <v>1</v>
      </c>
      <c r="Y401" s="129">
        <f t="shared" si="197"/>
        <v>1</v>
      </c>
      <c r="Z401" s="129" t="str" cm="1">
        <f t="array" ref="Z401">_xlfn.IFS(X401=4,"A",X401=3,"B",X401=2,"C",X401=1,"D")</f>
        <v>D</v>
      </c>
      <c r="AA401" s="175"/>
    </row>
    <row r="402" spans="1:27" customFormat="1" ht="103.5" customHeight="1">
      <c r="C402" s="78"/>
      <c r="D402" s="79"/>
      <c r="E402" s="71" t="s">
        <v>236</v>
      </c>
      <c r="F402" s="1452"/>
      <c r="G402" s="1452"/>
      <c r="H402" s="1452"/>
      <c r="I402" s="1452"/>
      <c r="J402" s="1452"/>
      <c r="K402" s="1452"/>
      <c r="L402" s="1452"/>
      <c r="M402" s="80" t="s">
        <v>132</v>
      </c>
      <c r="N402" s="80"/>
    </row>
    <row r="403" spans="1:27" customFormat="1" ht="146.25" customHeight="1">
      <c r="C403" s="75"/>
      <c r="D403" s="68"/>
      <c r="E403" s="71" t="s">
        <v>235</v>
      </c>
      <c r="F403" s="1452"/>
      <c r="G403" s="1452"/>
      <c r="H403" s="1452"/>
      <c r="I403" s="1452"/>
      <c r="J403" s="1452"/>
      <c r="K403" s="1452"/>
      <c r="L403" s="1452"/>
      <c r="N403" s="2"/>
      <c r="O403" s="2"/>
      <c r="P403" s="2"/>
    </row>
    <row r="404" spans="1:27" customFormat="1" ht="13.5" customHeight="1" thickBot="1">
      <c r="A404" s="81"/>
      <c r="B404" s="81"/>
      <c r="C404" s="81"/>
      <c r="D404" s="81"/>
      <c r="E404" s="81"/>
      <c r="F404" s="81"/>
      <c r="G404" s="81"/>
      <c r="H404" s="81"/>
      <c r="I404" s="81"/>
      <c r="J404" s="81"/>
      <c r="K404" s="81"/>
      <c r="L404" s="81"/>
      <c r="M404" s="81"/>
      <c r="N404" s="82"/>
      <c r="O404" s="2"/>
      <c r="P404" s="2"/>
    </row>
    <row r="405" spans="1:27" customFormat="1" ht="13.5" customHeight="1">
      <c r="N405" s="2"/>
      <c r="O405" s="2"/>
      <c r="P405" s="2"/>
    </row>
    <row r="406" spans="1:27" customFormat="1" ht="15" customHeight="1">
      <c r="B406" s="10"/>
      <c r="C406" s="5"/>
      <c r="D406" s="5"/>
      <c r="E406" s="5"/>
      <c r="F406" s="5"/>
      <c r="G406" s="5"/>
      <c r="H406" s="5"/>
      <c r="I406" s="5"/>
      <c r="J406" s="5"/>
      <c r="K406" s="5"/>
      <c r="L406" s="5"/>
      <c r="M406" s="6"/>
      <c r="R406" s="11" t="str">
        <f>D407</f>
        <v>(選択してください)</v>
      </c>
    </row>
    <row r="407" spans="1:27" customFormat="1">
      <c r="B407" s="7"/>
      <c r="C407" s="77" t="str">
        <f ca="1">IFERROR(OFFSET('4.2民生電力需要量'!$C$1,MATCH(D407,'4.2民生電力需要量'!$E:$E,0)-1,0),"")</f>
        <v/>
      </c>
      <c r="D407" s="94" t="s">
        <v>130</v>
      </c>
      <c r="E407" s="72" t="s">
        <v>131</v>
      </c>
      <c r="F407" s="1451" t="str">
        <f ca="1">IFERROR(OFFSET('4.2民生電力需要量'!$G$1,MATCH($D407,'4.2民生電力需要量'!$E:$E,0)-1,0),"")</f>
        <v/>
      </c>
      <c r="G407" s="1451"/>
      <c r="H407" s="1451"/>
      <c r="I407" s="1451"/>
      <c r="J407" s="1451"/>
      <c r="K407" s="1451"/>
      <c r="L407" s="1451"/>
      <c r="M407" s="8"/>
      <c r="R407" s="255" t="str">
        <f ca="1">IFERROR(OFFSET('4.2民生電力需要量'!$G$1,MATCH($D407,'4.2民生電力需要量'!$E:$E,0)-1,0),"")</f>
        <v/>
      </c>
      <c r="S407" s="175"/>
      <c r="T407" s="175"/>
      <c r="U407" s="175"/>
      <c r="V407" s="175"/>
      <c r="W407" s="175"/>
      <c r="X407" s="175"/>
      <c r="Y407" s="175"/>
      <c r="Z407" s="175"/>
      <c r="AA407" s="175">
        <f ca="1">(F407=R407)*1</f>
        <v>1</v>
      </c>
    </row>
    <row r="408" spans="1:27" customFormat="1">
      <c r="B408" s="7"/>
      <c r="C408" s="915"/>
      <c r="D408" s="97"/>
      <c r="E408" s="72" t="s">
        <v>612</v>
      </c>
      <c r="F408" s="1447" t="str">
        <f ca="1">IFERROR(OFFSET('4.2民生電力需要量'!$L$1,MATCH($D407,'4.2民生電力需要量'!$E:$E,0)-1,0),"")</f>
        <v/>
      </c>
      <c r="G408" s="1448"/>
      <c r="H408" s="1448"/>
      <c r="I408" s="1448"/>
      <c r="J408" s="1448"/>
      <c r="K408" s="1448"/>
      <c r="L408" s="1449"/>
      <c r="M408" s="8"/>
      <c r="R408" s="255" t="str">
        <f ca="1">IFERROR(OFFSET('4.2民生電力需要量'!$L$1,MATCH($D407,'4.2民生電力需要量'!$E:$E,0)-1,0),"")</f>
        <v/>
      </c>
      <c r="S408" s="175"/>
      <c r="T408" s="175"/>
      <c r="U408" s="175"/>
      <c r="V408" s="175"/>
      <c r="W408" s="175"/>
      <c r="X408" s="175"/>
      <c r="Y408" s="175"/>
      <c r="Z408" s="175"/>
      <c r="AA408" s="175">
        <f ca="1">(F408=R408)*1</f>
        <v>1</v>
      </c>
    </row>
    <row r="409" spans="1:27" customFormat="1">
      <c r="B409" s="7"/>
      <c r="C409" s="74"/>
      <c r="D409" s="66"/>
      <c r="E409" s="72" t="s">
        <v>220</v>
      </c>
      <c r="F409" s="1450" t="str">
        <f ca="1">IFERROR(OFFSET('4.2民生電力需要量'!$I$1,MATCH($D407,'4.2民生電力需要量'!$E:$E,0)-1,0),"")</f>
        <v/>
      </c>
      <c r="G409" s="1450"/>
      <c r="H409" s="1450"/>
      <c r="I409" s="1450"/>
      <c r="J409" s="1450"/>
      <c r="K409" s="1450"/>
      <c r="L409" s="1450"/>
      <c r="M409" s="8"/>
      <c r="R409" s="255" t="str">
        <f ca="1">IFERROR(OFFSET('4.2民生電力需要量'!$I$1,MATCH($D407,'4.2民生電力需要量'!$E:$E,0)-1,0),"")</f>
        <v/>
      </c>
      <c r="S409" s="175"/>
      <c r="T409" s="175"/>
      <c r="U409" s="175"/>
      <c r="V409" s="175"/>
      <c r="W409" s="175"/>
      <c r="X409" s="175"/>
      <c r="Y409" s="175"/>
      <c r="Z409" s="175"/>
      <c r="AA409" s="175">
        <f t="shared" ref="AA409:AA410" ca="1" si="199">(F409=R409)*1</f>
        <v>1</v>
      </c>
    </row>
    <row r="410" spans="1:27" customFormat="1">
      <c r="B410" s="7"/>
      <c r="C410" s="74"/>
      <c r="D410" s="66"/>
      <c r="E410" s="72" t="s">
        <v>175</v>
      </c>
      <c r="F410" s="1451" t="str">
        <f>_xlfn.IFNA(R410,"")</f>
        <v/>
      </c>
      <c r="G410" s="1451"/>
      <c r="H410" s="1451"/>
      <c r="I410" s="1451"/>
      <c r="J410" s="1451"/>
      <c r="K410" s="1451"/>
      <c r="L410" s="1451"/>
      <c r="M410" s="8"/>
      <c r="R410" s="129" t="str">
        <f>IF(OR(COUNTIF($E412:$E417,"&lt;&gt;〇〇(合意形成対象者名に書き換え)")=3,COUNTIF($E412:$E417,"")&gt;3),"",IF(PRODUCT($Y412:$Y417)=1,Z412,""))</f>
        <v/>
      </c>
      <c r="S410" s="175"/>
      <c r="T410" s="175"/>
      <c r="U410" s="175"/>
      <c r="V410" s="175"/>
      <c r="W410" s="175"/>
      <c r="X410" s="175"/>
      <c r="Y410" s="175"/>
      <c r="Z410" s="175"/>
      <c r="AA410" s="175">
        <f t="shared" si="199"/>
        <v>1</v>
      </c>
    </row>
    <row r="411" spans="1:27" ht="63.75" customHeight="1">
      <c r="B411" s="95"/>
      <c r="C411" s="96"/>
      <c r="D411" s="97"/>
      <c r="E411" s="372"/>
      <c r="F411" s="313" t="s">
        <v>268</v>
      </c>
      <c r="G411" s="313" t="s">
        <v>271</v>
      </c>
      <c r="H411" s="313" t="s">
        <v>272</v>
      </c>
      <c r="I411" s="313" t="s">
        <v>269</v>
      </c>
      <c r="J411" s="313" t="s">
        <v>434</v>
      </c>
      <c r="K411" s="313" t="s">
        <v>435</v>
      </c>
      <c r="L411" s="313" t="s">
        <v>270</v>
      </c>
      <c r="M411" s="98"/>
      <c r="N411" s="11"/>
      <c r="R411" s="126" t="s">
        <v>299</v>
      </c>
      <c r="S411" s="257" t="s">
        <v>423</v>
      </c>
      <c r="T411" s="126" t="s">
        <v>424</v>
      </c>
      <c r="U411" s="296" t="s">
        <v>436</v>
      </c>
      <c r="V411" s="256" t="s">
        <v>270</v>
      </c>
      <c r="W411" s="126" t="s">
        <v>426</v>
      </c>
      <c r="X411" s="129" t="s">
        <v>402</v>
      </c>
      <c r="Y411" s="129" t="s">
        <v>430</v>
      </c>
      <c r="Z411" s="126" t="s">
        <v>425</v>
      </c>
      <c r="AA411" s="255"/>
    </row>
    <row r="412" spans="1:27" hidden="1">
      <c r="B412" s="95"/>
      <c r="C412" s="96"/>
      <c r="D412" s="97"/>
      <c r="E412" s="442"/>
      <c r="F412" s="443"/>
      <c r="G412" s="439"/>
      <c r="H412" s="443"/>
      <c r="I412" s="439"/>
      <c r="J412" s="443"/>
      <c r="K412" s="439"/>
      <c r="L412" s="444"/>
      <c r="M412" s="98"/>
      <c r="N412" s="11"/>
      <c r="R412" s="129">
        <f t="shared" ref="R412:R417" si="200">IF(F412="実施済",1,0)</f>
        <v>0</v>
      </c>
      <c r="S412" s="258"/>
      <c r="T412" s="129">
        <f t="shared" ref="T412:T417" si="201">IF(AND(H412="実施済",I412="実施済"),R412*1,0)</f>
        <v>0</v>
      </c>
      <c r="U412" s="129">
        <f>IF(AND(J412="実施済",K412="実施済"),$T412*1,0)</f>
        <v>0</v>
      </c>
      <c r="V412" s="258"/>
      <c r="W412" s="129" t="str">
        <f>IF(OR(E412="〇〇(合意形成対象者名に書き換え)",E412=""),"",SUM(R412,T412,U412))</f>
        <v/>
      </c>
      <c r="X412" s="129">
        <f t="shared" ref="X412:X417" si="202">MIN($W$412:$W$417)+1</f>
        <v>1</v>
      </c>
      <c r="Y412" s="129">
        <f>IF(E412="",1,IF(AND(E412="〇〇(合意形成対象者名に書き換え)",COUNTA($F412:$L412)=0),1,IF(AND(E412&lt;&gt;"〇〇(合意形成対象者名に書き換え)",COUNTA($F412:$L412)=7),1,0)))</f>
        <v>1</v>
      </c>
      <c r="Z412" s="129" t="str" cm="1">
        <f t="array" ref="Z412">_xlfn.IFS(X412=4,"A",X412=3,"B",X412=2,"C",X412=1,"D")</f>
        <v>D</v>
      </c>
      <c r="AA412" s="255"/>
    </row>
    <row r="413" spans="1:27">
      <c r="B413" s="95"/>
      <c r="C413" s="96"/>
      <c r="D413" s="97"/>
      <c r="E413" s="447" t="s">
        <v>129</v>
      </c>
      <c r="F413" s="446"/>
      <c r="G413" s="441"/>
      <c r="H413" s="446"/>
      <c r="I413" s="441"/>
      <c r="J413" s="446"/>
      <c r="K413" s="441"/>
      <c r="L413" s="441"/>
      <c r="M413" s="98"/>
      <c r="N413" s="11"/>
      <c r="R413" s="129">
        <f t="shared" si="200"/>
        <v>0</v>
      </c>
      <c r="S413" s="258"/>
      <c r="T413" s="129">
        <f t="shared" si="201"/>
        <v>0</v>
      </c>
      <c r="U413" s="129">
        <f t="shared" ref="U413:U415" si="203">IF(AND(J413="実施済",K413="実施済"),$T413*1,0)</f>
        <v>0</v>
      </c>
      <c r="V413" s="258"/>
      <c r="W413" s="129" t="str">
        <f t="shared" ref="W413:W417" si="204">IF(OR(E413="〇〇(合意形成対象者名に書き換え)",E413=""),"",SUM(R413,T413,U413))</f>
        <v/>
      </c>
      <c r="X413" s="129">
        <f t="shared" si="202"/>
        <v>1</v>
      </c>
      <c r="Y413" s="129">
        <f t="shared" ref="Y413:Y417" si="205">IF(E413="",1,IF(AND(E413="〇〇(合意形成対象者名に書き換え)",COUNTA($F413:$L413)=0),1,IF(AND(E413&lt;&gt;"〇〇(合意形成対象者名に書き換え)",COUNTA($F413:$L413)=7),1,0)))</f>
        <v>1</v>
      </c>
      <c r="Z413" s="129" t="str" cm="1">
        <f t="array" ref="Z413">_xlfn.IFS(X413=4,"A",X413=3,"B",X413=2,"C",X413=1,"D")</f>
        <v>D</v>
      </c>
      <c r="AA413" s="255"/>
    </row>
    <row r="414" spans="1:27">
      <c r="B414" s="95"/>
      <c r="C414" s="96"/>
      <c r="D414" s="97"/>
      <c r="E414" s="447" t="s">
        <v>129</v>
      </c>
      <c r="F414" s="446"/>
      <c r="G414" s="441"/>
      <c r="H414" s="446"/>
      <c r="I414" s="441"/>
      <c r="J414" s="446"/>
      <c r="K414" s="441"/>
      <c r="L414" s="441"/>
      <c r="M414" s="98"/>
      <c r="N414" s="11"/>
      <c r="R414" s="129">
        <f t="shared" si="200"/>
        <v>0</v>
      </c>
      <c r="S414" s="258"/>
      <c r="T414" s="129">
        <f t="shared" si="201"/>
        <v>0</v>
      </c>
      <c r="U414" s="129">
        <f t="shared" si="203"/>
        <v>0</v>
      </c>
      <c r="V414" s="258"/>
      <c r="W414" s="129" t="str">
        <f t="shared" si="204"/>
        <v/>
      </c>
      <c r="X414" s="129">
        <f t="shared" si="202"/>
        <v>1</v>
      </c>
      <c r="Y414" s="129">
        <f t="shared" si="205"/>
        <v>1</v>
      </c>
      <c r="Z414" s="129" t="str" cm="1">
        <f t="array" ref="Z414">_xlfn.IFS(X414=4,"A",X414=3,"B",X414=2,"C",X414=1,"D")</f>
        <v>D</v>
      </c>
      <c r="AA414" s="255"/>
    </row>
    <row r="415" spans="1:27" s="99" customFormat="1">
      <c r="A415" s="11"/>
      <c r="B415" s="95"/>
      <c r="C415" s="96"/>
      <c r="D415" s="97"/>
      <c r="E415" s="447" t="s">
        <v>129</v>
      </c>
      <c r="F415" s="446"/>
      <c r="G415" s="441"/>
      <c r="H415" s="446"/>
      <c r="I415" s="441"/>
      <c r="J415" s="446"/>
      <c r="K415" s="441"/>
      <c r="L415" s="441"/>
      <c r="M415" s="98"/>
      <c r="N415" s="11"/>
      <c r="Q415" s="11"/>
      <c r="R415" s="129">
        <f t="shared" si="200"/>
        <v>0</v>
      </c>
      <c r="S415" s="258"/>
      <c r="T415" s="129">
        <f t="shared" si="201"/>
        <v>0</v>
      </c>
      <c r="U415" s="129">
        <f t="shared" si="203"/>
        <v>0</v>
      </c>
      <c r="V415" s="258"/>
      <c r="W415" s="129" t="str">
        <f t="shared" si="204"/>
        <v/>
      </c>
      <c r="X415" s="129">
        <f t="shared" si="202"/>
        <v>1</v>
      </c>
      <c r="Y415" s="129">
        <f t="shared" si="205"/>
        <v>1</v>
      </c>
      <c r="Z415" s="129" t="str" cm="1">
        <f t="array" ref="Z415">_xlfn.IFS(X415=4,"A",X415=3,"B",X415=2,"C",X415=1,"D")</f>
        <v>D</v>
      </c>
      <c r="AA415" s="129"/>
    </row>
    <row r="416" spans="1:27" customFormat="1" ht="7.5" customHeight="1">
      <c r="B416" s="65"/>
      <c r="C416" s="4"/>
      <c r="D416" s="4"/>
      <c r="E416" s="4"/>
      <c r="F416" s="4"/>
      <c r="G416" s="4"/>
      <c r="H416" s="4"/>
      <c r="I416" s="4"/>
      <c r="J416" s="4"/>
      <c r="K416" s="4"/>
      <c r="L416" s="4"/>
      <c r="M416" s="9"/>
      <c r="N416" s="2"/>
      <c r="O416" s="2"/>
      <c r="P416" s="2"/>
      <c r="R416" s="129">
        <f t="shared" si="200"/>
        <v>0</v>
      </c>
      <c r="S416" s="258"/>
      <c r="T416" s="129">
        <f t="shared" si="201"/>
        <v>0</v>
      </c>
      <c r="U416" s="129">
        <f>IF(AND(J416="実施済",K416="実施済"),$T416*1,0)</f>
        <v>0</v>
      </c>
      <c r="V416" s="258"/>
      <c r="W416" s="129" t="str">
        <f t="shared" si="204"/>
        <v/>
      </c>
      <c r="X416" s="129">
        <f t="shared" si="202"/>
        <v>1</v>
      </c>
      <c r="Y416" s="129">
        <f t="shared" si="205"/>
        <v>1</v>
      </c>
      <c r="Z416" s="129" t="str" cm="1">
        <f t="array" ref="Z416">_xlfn.IFS(X416=4,"A",X416=3,"B",X416=2,"C",X416=1,"D")</f>
        <v>D</v>
      </c>
      <c r="AA416" s="175"/>
    </row>
    <row r="417" spans="1:27" customFormat="1" ht="18" customHeight="1">
      <c r="N417" s="2"/>
      <c r="O417" s="2"/>
      <c r="P417" s="2"/>
      <c r="R417" s="129">
        <f t="shared" si="200"/>
        <v>0</v>
      </c>
      <c r="S417" s="258"/>
      <c r="T417" s="129">
        <f t="shared" si="201"/>
        <v>0</v>
      </c>
      <c r="U417" s="129">
        <f t="shared" ref="U417" si="206">IF(AND(J417="実施済",K417="実施済"),$T417*1,0)</f>
        <v>0</v>
      </c>
      <c r="V417" s="258"/>
      <c r="W417" s="129" t="str">
        <f t="shared" si="204"/>
        <v/>
      </c>
      <c r="X417" s="129">
        <f t="shared" si="202"/>
        <v>1</v>
      </c>
      <c r="Y417" s="129">
        <f t="shared" si="205"/>
        <v>1</v>
      </c>
      <c r="Z417" s="129" t="str" cm="1">
        <f t="array" ref="Z417">_xlfn.IFS(X417=4,"A",X417=3,"B",X417=2,"C",X417=1,"D")</f>
        <v>D</v>
      </c>
      <c r="AA417" s="175"/>
    </row>
    <row r="418" spans="1:27" customFormat="1" ht="103.5" customHeight="1">
      <c r="C418" s="78"/>
      <c r="D418" s="79"/>
      <c r="E418" s="71" t="s">
        <v>236</v>
      </c>
      <c r="F418" s="1452"/>
      <c r="G418" s="1452"/>
      <c r="H418" s="1452"/>
      <c r="I418" s="1452"/>
      <c r="J418" s="1452"/>
      <c r="K418" s="1452"/>
      <c r="L418" s="1452"/>
      <c r="M418" s="80" t="s">
        <v>132</v>
      </c>
      <c r="N418" s="80"/>
    </row>
    <row r="419" spans="1:27" customFormat="1" ht="146.25" customHeight="1">
      <c r="C419" s="75"/>
      <c r="D419" s="68"/>
      <c r="E419" s="71" t="s">
        <v>235</v>
      </c>
      <c r="F419" s="1452"/>
      <c r="G419" s="1452"/>
      <c r="H419" s="1452"/>
      <c r="I419" s="1452"/>
      <c r="J419" s="1452"/>
      <c r="K419" s="1452"/>
      <c r="L419" s="1452"/>
      <c r="N419" s="2"/>
      <c r="O419" s="2"/>
      <c r="P419" s="2"/>
    </row>
    <row r="420" spans="1:27" customFormat="1" ht="13.5" customHeight="1" thickBot="1">
      <c r="A420" s="81"/>
      <c r="B420" s="81"/>
      <c r="C420" s="81"/>
      <c r="D420" s="81"/>
      <c r="E420" s="81"/>
      <c r="F420" s="81"/>
      <c r="G420" s="81"/>
      <c r="H420" s="81"/>
      <c r="I420" s="81"/>
      <c r="J420" s="81"/>
      <c r="K420" s="81"/>
      <c r="L420" s="81"/>
      <c r="M420" s="81"/>
      <c r="N420" s="82"/>
      <c r="O420" s="2"/>
      <c r="P420" s="2"/>
    </row>
    <row r="421" spans="1:27" customFormat="1" ht="13.5" customHeight="1">
      <c r="N421" s="2"/>
      <c r="O421" s="2"/>
      <c r="P421" s="2"/>
    </row>
    <row r="422" spans="1:27" customFormat="1" ht="15" customHeight="1">
      <c r="B422" s="10"/>
      <c r="C422" s="5"/>
      <c r="D422" s="5"/>
      <c r="E422" s="5"/>
      <c r="F422" s="5"/>
      <c r="G422" s="5"/>
      <c r="H422" s="5"/>
      <c r="I422" s="5"/>
      <c r="J422" s="5"/>
      <c r="K422" s="5"/>
      <c r="L422" s="5"/>
      <c r="M422" s="6"/>
      <c r="R422" s="11" t="str">
        <f>D423</f>
        <v>(選択してください)</v>
      </c>
    </row>
    <row r="423" spans="1:27" customFormat="1">
      <c r="B423" s="7"/>
      <c r="C423" s="77" t="str">
        <f ca="1">IFERROR(OFFSET('4.2民生電力需要量'!$C$1,MATCH(D423,'4.2民生電力需要量'!$E:$E,0)-1,0),"")</f>
        <v/>
      </c>
      <c r="D423" s="94" t="s">
        <v>130</v>
      </c>
      <c r="E423" s="72" t="s">
        <v>131</v>
      </c>
      <c r="F423" s="1451" t="str">
        <f ca="1">IFERROR(OFFSET('4.2民生電力需要量'!$G$1,MATCH($D423,'4.2民生電力需要量'!$E:$E,0)-1,0),"")</f>
        <v/>
      </c>
      <c r="G423" s="1451"/>
      <c r="H423" s="1451"/>
      <c r="I423" s="1451"/>
      <c r="J423" s="1451"/>
      <c r="K423" s="1451"/>
      <c r="L423" s="1451"/>
      <c r="M423" s="8"/>
      <c r="R423" s="255" t="str">
        <f ca="1">IFERROR(OFFSET('4.2民生電力需要量'!$G$1,MATCH($D423,'4.2民生電力需要量'!$E:$E,0)-1,0),"")</f>
        <v/>
      </c>
      <c r="S423" s="175"/>
      <c r="T423" s="175"/>
      <c r="U423" s="175"/>
      <c r="V423" s="175"/>
      <c r="W423" s="175"/>
      <c r="X423" s="175"/>
      <c r="Y423" s="175"/>
      <c r="Z423" s="175"/>
      <c r="AA423" s="175">
        <f ca="1">(F423=R423)*1</f>
        <v>1</v>
      </c>
    </row>
    <row r="424" spans="1:27" customFormat="1">
      <c r="B424" s="7"/>
      <c r="C424" s="915"/>
      <c r="D424" s="97"/>
      <c r="E424" s="72" t="s">
        <v>612</v>
      </c>
      <c r="F424" s="1447" t="str">
        <f ca="1">IFERROR(OFFSET('4.2民生電力需要量'!$L$1,MATCH($D423,'4.2民生電力需要量'!$E:$E,0)-1,0),"")</f>
        <v/>
      </c>
      <c r="G424" s="1448"/>
      <c r="H424" s="1448"/>
      <c r="I424" s="1448"/>
      <c r="J424" s="1448"/>
      <c r="K424" s="1448"/>
      <c r="L424" s="1449"/>
      <c r="M424" s="8"/>
      <c r="R424" s="255" t="str">
        <f ca="1">IFERROR(OFFSET('4.2民生電力需要量'!$L$1,MATCH($D423,'4.2民生電力需要量'!$E:$E,0)-1,0),"")</f>
        <v/>
      </c>
      <c r="S424" s="175"/>
      <c r="T424" s="175"/>
      <c r="U424" s="175"/>
      <c r="V424" s="175"/>
      <c r="W424" s="175"/>
      <c r="X424" s="175"/>
      <c r="Y424" s="175"/>
      <c r="Z424" s="175"/>
      <c r="AA424" s="175">
        <f ca="1">(F424=R424)*1</f>
        <v>1</v>
      </c>
    </row>
    <row r="425" spans="1:27" customFormat="1">
      <c r="B425" s="7"/>
      <c r="C425" s="74"/>
      <c r="D425" s="66"/>
      <c r="E425" s="72" t="s">
        <v>220</v>
      </c>
      <c r="F425" s="1450" t="str">
        <f ca="1">IFERROR(OFFSET('4.2民生電力需要量'!$I$1,MATCH($D423,'4.2民生電力需要量'!$E:$E,0)-1,0),"")</f>
        <v/>
      </c>
      <c r="G425" s="1450"/>
      <c r="H425" s="1450"/>
      <c r="I425" s="1450"/>
      <c r="J425" s="1450"/>
      <c r="K425" s="1450"/>
      <c r="L425" s="1450"/>
      <c r="M425" s="8"/>
      <c r="R425" s="255" t="str">
        <f ca="1">IFERROR(OFFSET('4.2民生電力需要量'!$I$1,MATCH($D423,'4.2民生電力需要量'!$E:$E,0)-1,0),"")</f>
        <v/>
      </c>
      <c r="S425" s="175"/>
      <c r="T425" s="175"/>
      <c r="U425" s="175"/>
      <c r="V425" s="175"/>
      <c r="W425" s="175"/>
      <c r="X425" s="175"/>
      <c r="Y425" s="175"/>
      <c r="Z425" s="175"/>
      <c r="AA425" s="175">
        <f t="shared" ref="AA425:AA426" ca="1" si="207">(F425=R425)*1</f>
        <v>1</v>
      </c>
    </row>
    <row r="426" spans="1:27" customFormat="1">
      <c r="B426" s="7"/>
      <c r="C426" s="74"/>
      <c r="D426" s="66"/>
      <c r="E426" s="72" t="s">
        <v>175</v>
      </c>
      <c r="F426" s="1451" t="str">
        <f>_xlfn.IFNA(R426,"")</f>
        <v/>
      </c>
      <c r="G426" s="1451"/>
      <c r="H426" s="1451"/>
      <c r="I426" s="1451"/>
      <c r="J426" s="1451"/>
      <c r="K426" s="1451"/>
      <c r="L426" s="1451"/>
      <c r="M426" s="8"/>
      <c r="R426" s="129" t="str">
        <f>IF(OR(COUNTIF($E428:$E433,"&lt;&gt;〇〇(合意形成対象者名に書き換え)")=3,COUNTIF($E428:$E433,"")&gt;3),"",IF(PRODUCT($Y428:$Y433)=1,Z428,""))</f>
        <v/>
      </c>
      <c r="S426" s="175"/>
      <c r="T426" s="175"/>
      <c r="U426" s="175"/>
      <c r="V426" s="175"/>
      <c r="W426" s="175"/>
      <c r="X426" s="175"/>
      <c r="Y426" s="175"/>
      <c r="Z426" s="175"/>
      <c r="AA426" s="175">
        <f t="shared" si="207"/>
        <v>1</v>
      </c>
    </row>
    <row r="427" spans="1:27" ht="63.75" customHeight="1">
      <c r="B427" s="95"/>
      <c r="C427" s="96"/>
      <c r="D427" s="97"/>
      <c r="E427" s="372"/>
      <c r="F427" s="313" t="s">
        <v>268</v>
      </c>
      <c r="G427" s="313" t="s">
        <v>271</v>
      </c>
      <c r="H427" s="313" t="s">
        <v>272</v>
      </c>
      <c r="I427" s="313" t="s">
        <v>269</v>
      </c>
      <c r="J427" s="313" t="s">
        <v>434</v>
      </c>
      <c r="K427" s="313" t="s">
        <v>435</v>
      </c>
      <c r="L427" s="313" t="s">
        <v>270</v>
      </c>
      <c r="M427" s="98"/>
      <c r="N427" s="11"/>
      <c r="R427" s="126" t="s">
        <v>299</v>
      </c>
      <c r="S427" s="257" t="s">
        <v>423</v>
      </c>
      <c r="T427" s="126" t="s">
        <v>424</v>
      </c>
      <c r="U427" s="296" t="s">
        <v>436</v>
      </c>
      <c r="V427" s="256" t="s">
        <v>270</v>
      </c>
      <c r="W427" s="126" t="s">
        <v>426</v>
      </c>
      <c r="X427" s="129" t="s">
        <v>402</v>
      </c>
      <c r="Y427" s="129" t="s">
        <v>430</v>
      </c>
      <c r="Z427" s="126" t="s">
        <v>425</v>
      </c>
      <c r="AA427" s="255"/>
    </row>
    <row r="428" spans="1:27" hidden="1">
      <c r="B428" s="95"/>
      <c r="C428" s="96"/>
      <c r="D428" s="97"/>
      <c r="E428" s="442"/>
      <c r="F428" s="443"/>
      <c r="G428" s="439"/>
      <c r="H428" s="443"/>
      <c r="I428" s="439"/>
      <c r="J428" s="443"/>
      <c r="K428" s="439"/>
      <c r="L428" s="444"/>
      <c r="M428" s="98"/>
      <c r="N428" s="11"/>
      <c r="R428" s="129">
        <f t="shared" ref="R428:R433" si="208">IF(F428="実施済",1,0)</f>
        <v>0</v>
      </c>
      <c r="S428" s="258"/>
      <c r="T428" s="129">
        <f t="shared" ref="T428:T433" si="209">IF(AND(H428="実施済",I428="実施済"),R428*1,0)</f>
        <v>0</v>
      </c>
      <c r="U428" s="129">
        <f>IF(AND(J428="実施済",K428="実施済"),$T428*1,0)</f>
        <v>0</v>
      </c>
      <c r="V428" s="258"/>
      <c r="W428" s="129" t="str">
        <f>IF(OR(E428="〇〇(合意形成対象者名に書き換え)",E428=""),"",SUM(R428,T428,U428))</f>
        <v/>
      </c>
      <c r="X428" s="129">
        <f t="shared" ref="X428:X433" si="210">MIN($W$428:$W$433)+1</f>
        <v>1</v>
      </c>
      <c r="Y428" s="129">
        <f>IF(E428="",1,IF(AND(E428="〇〇(合意形成対象者名に書き換え)",COUNTA($F428:$L428)=0),1,IF(AND(E428&lt;&gt;"〇〇(合意形成対象者名に書き換え)",COUNTA($F428:$L428)=7),1,0)))</f>
        <v>1</v>
      </c>
      <c r="Z428" s="129" t="str" cm="1">
        <f t="array" ref="Z428">_xlfn.IFS(X428=4,"A",X428=3,"B",X428=2,"C",X428=1,"D")</f>
        <v>D</v>
      </c>
      <c r="AA428" s="255"/>
    </row>
    <row r="429" spans="1:27">
      <c r="B429" s="95"/>
      <c r="C429" s="96"/>
      <c r="D429" s="97"/>
      <c r="E429" s="447" t="s">
        <v>129</v>
      </c>
      <c r="F429" s="446"/>
      <c r="G429" s="441"/>
      <c r="H429" s="446"/>
      <c r="I429" s="441"/>
      <c r="J429" s="446"/>
      <c r="K429" s="441"/>
      <c r="L429" s="441"/>
      <c r="M429" s="98"/>
      <c r="N429" s="11"/>
      <c r="R429" s="129">
        <f t="shared" si="208"/>
        <v>0</v>
      </c>
      <c r="S429" s="258"/>
      <c r="T429" s="129">
        <f t="shared" si="209"/>
        <v>0</v>
      </c>
      <c r="U429" s="129">
        <f t="shared" ref="U429:U431" si="211">IF(AND(J429="実施済",K429="実施済"),$T429*1,0)</f>
        <v>0</v>
      </c>
      <c r="V429" s="258"/>
      <c r="W429" s="129" t="str">
        <f t="shared" ref="W429:W433" si="212">IF(OR(E429="〇〇(合意形成対象者名に書き換え)",E429=""),"",SUM(R429,T429,U429))</f>
        <v/>
      </c>
      <c r="X429" s="129">
        <f t="shared" si="210"/>
        <v>1</v>
      </c>
      <c r="Y429" s="129">
        <f t="shared" ref="Y429:Y433" si="213">IF(E429="",1,IF(AND(E429="〇〇(合意形成対象者名に書き換え)",COUNTA($F429:$L429)=0),1,IF(AND(E429&lt;&gt;"〇〇(合意形成対象者名に書き換え)",COUNTA($F429:$L429)=7),1,0)))</f>
        <v>1</v>
      </c>
      <c r="Z429" s="129" t="str" cm="1">
        <f t="array" ref="Z429">_xlfn.IFS(X429=4,"A",X429=3,"B",X429=2,"C",X429=1,"D")</f>
        <v>D</v>
      </c>
      <c r="AA429" s="255"/>
    </row>
    <row r="430" spans="1:27">
      <c r="B430" s="95"/>
      <c r="C430" s="96"/>
      <c r="D430" s="97"/>
      <c r="E430" s="447" t="s">
        <v>129</v>
      </c>
      <c r="F430" s="446"/>
      <c r="G430" s="441"/>
      <c r="H430" s="446"/>
      <c r="I430" s="441"/>
      <c r="J430" s="446"/>
      <c r="K430" s="441"/>
      <c r="L430" s="441"/>
      <c r="M430" s="98"/>
      <c r="N430" s="11"/>
      <c r="R430" s="129">
        <f t="shared" si="208"/>
        <v>0</v>
      </c>
      <c r="S430" s="258"/>
      <c r="T430" s="129">
        <f t="shared" si="209"/>
        <v>0</v>
      </c>
      <c r="U430" s="129">
        <f t="shared" si="211"/>
        <v>0</v>
      </c>
      <c r="V430" s="258"/>
      <c r="W430" s="129" t="str">
        <f t="shared" si="212"/>
        <v/>
      </c>
      <c r="X430" s="129">
        <f t="shared" si="210"/>
        <v>1</v>
      </c>
      <c r="Y430" s="129">
        <f t="shared" si="213"/>
        <v>1</v>
      </c>
      <c r="Z430" s="129" t="str" cm="1">
        <f t="array" ref="Z430">_xlfn.IFS(X430=4,"A",X430=3,"B",X430=2,"C",X430=1,"D")</f>
        <v>D</v>
      </c>
      <c r="AA430" s="255"/>
    </row>
    <row r="431" spans="1:27" s="99" customFormat="1">
      <c r="A431" s="11"/>
      <c r="B431" s="95"/>
      <c r="C431" s="96"/>
      <c r="D431" s="97"/>
      <c r="E431" s="447" t="s">
        <v>129</v>
      </c>
      <c r="F431" s="446"/>
      <c r="G431" s="441"/>
      <c r="H431" s="446"/>
      <c r="I431" s="441"/>
      <c r="J431" s="446"/>
      <c r="K431" s="441"/>
      <c r="L431" s="441"/>
      <c r="M431" s="98"/>
      <c r="N431" s="11"/>
      <c r="Q431" s="11"/>
      <c r="R431" s="129">
        <f t="shared" si="208"/>
        <v>0</v>
      </c>
      <c r="S431" s="258"/>
      <c r="T431" s="129">
        <f t="shared" si="209"/>
        <v>0</v>
      </c>
      <c r="U431" s="129">
        <f t="shared" si="211"/>
        <v>0</v>
      </c>
      <c r="V431" s="258"/>
      <c r="W431" s="129" t="str">
        <f t="shared" si="212"/>
        <v/>
      </c>
      <c r="X431" s="129">
        <f t="shared" si="210"/>
        <v>1</v>
      </c>
      <c r="Y431" s="129">
        <f t="shared" si="213"/>
        <v>1</v>
      </c>
      <c r="Z431" s="129" t="str" cm="1">
        <f t="array" ref="Z431">_xlfn.IFS(X431=4,"A",X431=3,"B",X431=2,"C",X431=1,"D")</f>
        <v>D</v>
      </c>
      <c r="AA431" s="129"/>
    </row>
    <row r="432" spans="1:27" customFormat="1" ht="7.5" customHeight="1">
      <c r="B432" s="65"/>
      <c r="C432" s="4"/>
      <c r="D432" s="4"/>
      <c r="E432" s="4"/>
      <c r="F432" s="4"/>
      <c r="G432" s="4"/>
      <c r="H432" s="4"/>
      <c r="I432" s="4"/>
      <c r="J432" s="4"/>
      <c r="K432" s="4"/>
      <c r="L432" s="4"/>
      <c r="M432" s="9"/>
      <c r="N432" s="2"/>
      <c r="O432" s="2"/>
      <c r="P432" s="2"/>
      <c r="R432" s="129">
        <f t="shared" si="208"/>
        <v>0</v>
      </c>
      <c r="S432" s="258"/>
      <c r="T432" s="129">
        <f t="shared" si="209"/>
        <v>0</v>
      </c>
      <c r="U432" s="129">
        <f>IF(AND(J432="実施済",K432="実施済"),$T432*1,0)</f>
        <v>0</v>
      </c>
      <c r="V432" s="258"/>
      <c r="W432" s="129" t="str">
        <f t="shared" si="212"/>
        <v/>
      </c>
      <c r="X432" s="129">
        <f t="shared" si="210"/>
        <v>1</v>
      </c>
      <c r="Y432" s="129">
        <f t="shared" si="213"/>
        <v>1</v>
      </c>
      <c r="Z432" s="129" t="str" cm="1">
        <f t="array" ref="Z432">_xlfn.IFS(X432=4,"A",X432=3,"B",X432=2,"C",X432=1,"D")</f>
        <v>D</v>
      </c>
      <c r="AA432" s="175"/>
    </row>
    <row r="433" spans="1:27" customFormat="1" ht="18" customHeight="1">
      <c r="N433" s="2"/>
      <c r="O433" s="2"/>
      <c r="P433" s="2"/>
      <c r="R433" s="129">
        <f t="shared" si="208"/>
        <v>0</v>
      </c>
      <c r="S433" s="258"/>
      <c r="T433" s="129">
        <f t="shared" si="209"/>
        <v>0</v>
      </c>
      <c r="U433" s="129">
        <f t="shared" ref="U433" si="214">IF(AND(J433="実施済",K433="実施済"),$T433*1,0)</f>
        <v>0</v>
      </c>
      <c r="V433" s="258"/>
      <c r="W433" s="129" t="str">
        <f t="shared" si="212"/>
        <v/>
      </c>
      <c r="X433" s="129">
        <f t="shared" si="210"/>
        <v>1</v>
      </c>
      <c r="Y433" s="129">
        <f t="shared" si="213"/>
        <v>1</v>
      </c>
      <c r="Z433" s="129" t="str" cm="1">
        <f t="array" ref="Z433">_xlfn.IFS(X433=4,"A",X433=3,"B",X433=2,"C",X433=1,"D")</f>
        <v>D</v>
      </c>
      <c r="AA433" s="175"/>
    </row>
    <row r="434" spans="1:27" customFormat="1" ht="103.5" customHeight="1">
      <c r="C434" s="78"/>
      <c r="D434" s="79"/>
      <c r="E434" s="71" t="s">
        <v>236</v>
      </c>
      <c r="F434" s="1452"/>
      <c r="G434" s="1452"/>
      <c r="H434" s="1452"/>
      <c r="I434" s="1452"/>
      <c r="J434" s="1452"/>
      <c r="K434" s="1452"/>
      <c r="L434" s="1452"/>
      <c r="M434" s="80" t="s">
        <v>132</v>
      </c>
      <c r="N434" s="80"/>
    </row>
    <row r="435" spans="1:27" customFormat="1" ht="146.25" customHeight="1">
      <c r="C435" s="75"/>
      <c r="D435" s="68"/>
      <c r="E435" s="71" t="s">
        <v>235</v>
      </c>
      <c r="F435" s="1452"/>
      <c r="G435" s="1452"/>
      <c r="H435" s="1452"/>
      <c r="I435" s="1452"/>
      <c r="J435" s="1452"/>
      <c r="K435" s="1452"/>
      <c r="L435" s="1452"/>
      <c r="N435" s="2"/>
      <c r="O435" s="2"/>
      <c r="P435" s="2"/>
    </row>
    <row r="436" spans="1:27" customFormat="1" ht="13.5" customHeight="1" thickBot="1">
      <c r="A436" s="81"/>
      <c r="B436" s="81"/>
      <c r="C436" s="81"/>
      <c r="D436" s="81"/>
      <c r="E436" s="81"/>
      <c r="F436" s="81"/>
      <c r="G436" s="81"/>
      <c r="H436" s="81"/>
      <c r="I436" s="81"/>
      <c r="J436" s="81"/>
      <c r="K436" s="81"/>
      <c r="L436" s="81"/>
      <c r="M436" s="81"/>
      <c r="N436" s="82"/>
      <c r="O436" s="2"/>
      <c r="P436" s="2"/>
    </row>
    <row r="437" spans="1:27" customFormat="1" ht="13.5" customHeight="1">
      <c r="N437" s="2"/>
      <c r="O437" s="2"/>
      <c r="P437" s="2"/>
    </row>
    <row r="438" spans="1:27" customFormat="1" ht="15" customHeight="1">
      <c r="B438" s="10"/>
      <c r="C438" s="5"/>
      <c r="D438" s="5"/>
      <c r="E438" s="5"/>
      <c r="F438" s="5"/>
      <c r="G438" s="5"/>
      <c r="H438" s="5"/>
      <c r="I438" s="5"/>
      <c r="J438" s="5"/>
      <c r="K438" s="5"/>
      <c r="L438" s="5"/>
      <c r="M438" s="6"/>
      <c r="R438" s="11" t="str">
        <f>D439</f>
        <v>(選択してください)</v>
      </c>
    </row>
    <row r="439" spans="1:27" customFormat="1">
      <c r="B439" s="7"/>
      <c r="C439" s="77" t="str">
        <f ca="1">IFERROR(OFFSET('4.2民生電力需要量'!$C$1,MATCH(D439,'4.2民生電力需要量'!$E:$E,0)-1,0),"")</f>
        <v/>
      </c>
      <c r="D439" s="94" t="s">
        <v>130</v>
      </c>
      <c r="E439" s="72" t="s">
        <v>131</v>
      </c>
      <c r="F439" s="1451" t="str">
        <f ca="1">IFERROR(OFFSET('4.2民生電力需要量'!$G$1,MATCH($D439,'4.2民生電力需要量'!$E:$E,0)-1,0),"")</f>
        <v/>
      </c>
      <c r="G439" s="1451"/>
      <c r="H439" s="1451"/>
      <c r="I439" s="1451"/>
      <c r="J439" s="1451"/>
      <c r="K439" s="1451"/>
      <c r="L439" s="1451"/>
      <c r="M439" s="8"/>
      <c r="R439" s="255" t="str">
        <f ca="1">IFERROR(OFFSET('4.2民生電力需要量'!$G$1,MATCH($D439,'4.2民生電力需要量'!$E:$E,0)-1,0),"")</f>
        <v/>
      </c>
      <c r="S439" s="175"/>
      <c r="T439" s="175"/>
      <c r="U439" s="175"/>
      <c r="V439" s="175"/>
      <c r="W439" s="175"/>
      <c r="X439" s="175"/>
      <c r="Y439" s="175"/>
      <c r="Z439" s="175"/>
      <c r="AA439" s="175">
        <f ca="1">(F439=R439)*1</f>
        <v>1</v>
      </c>
    </row>
    <row r="440" spans="1:27" customFormat="1">
      <c r="B440" s="7"/>
      <c r="C440" s="915"/>
      <c r="D440" s="97"/>
      <c r="E440" s="72" t="s">
        <v>612</v>
      </c>
      <c r="F440" s="1447" t="str">
        <f ca="1">IFERROR(OFFSET('4.2民生電力需要量'!$L$1,MATCH($D439,'4.2民生電力需要量'!$E:$E,0)-1,0),"")</f>
        <v/>
      </c>
      <c r="G440" s="1448"/>
      <c r="H440" s="1448"/>
      <c r="I440" s="1448"/>
      <c r="J440" s="1448"/>
      <c r="K440" s="1448"/>
      <c r="L440" s="1449"/>
      <c r="M440" s="8"/>
      <c r="R440" s="255" t="str">
        <f ca="1">IFERROR(OFFSET('4.2民生電力需要量'!$L$1,MATCH($D439,'4.2民生電力需要量'!$E:$E,0)-1,0),"")</f>
        <v/>
      </c>
      <c r="S440" s="175"/>
      <c r="T440" s="175"/>
      <c r="U440" s="175"/>
      <c r="V440" s="175"/>
      <c r="W440" s="175"/>
      <c r="X440" s="175"/>
      <c r="Y440" s="175"/>
      <c r="Z440" s="175"/>
      <c r="AA440" s="175">
        <f ca="1">(F440=R440)*1</f>
        <v>1</v>
      </c>
    </row>
    <row r="441" spans="1:27" customFormat="1">
      <c r="B441" s="7"/>
      <c r="C441" s="74"/>
      <c r="D441" s="66"/>
      <c r="E441" s="72" t="s">
        <v>220</v>
      </c>
      <c r="F441" s="1450" t="str">
        <f ca="1">IFERROR(OFFSET('4.2民生電力需要量'!$I$1,MATCH($D439,'4.2民生電力需要量'!$E:$E,0)-1,0),"")</f>
        <v/>
      </c>
      <c r="G441" s="1450"/>
      <c r="H441" s="1450"/>
      <c r="I441" s="1450"/>
      <c r="J441" s="1450"/>
      <c r="K441" s="1450"/>
      <c r="L441" s="1450"/>
      <c r="M441" s="8"/>
      <c r="R441" s="255" t="str">
        <f ca="1">IFERROR(OFFSET('4.2民生電力需要量'!$I$1,MATCH($D439,'4.2民生電力需要量'!$E:$E,0)-1,0),"")</f>
        <v/>
      </c>
      <c r="S441" s="175"/>
      <c r="T441" s="175"/>
      <c r="U441" s="175"/>
      <c r="V441" s="175"/>
      <c r="W441" s="175"/>
      <c r="X441" s="175"/>
      <c r="Y441" s="175"/>
      <c r="Z441" s="175"/>
      <c r="AA441" s="175">
        <f t="shared" ref="AA441:AA442" ca="1" si="215">(F441=R441)*1</f>
        <v>1</v>
      </c>
    </row>
    <row r="442" spans="1:27" customFormat="1">
      <c r="B442" s="7"/>
      <c r="C442" s="74"/>
      <c r="D442" s="66"/>
      <c r="E442" s="72" t="s">
        <v>175</v>
      </c>
      <c r="F442" s="1451" t="str">
        <f>_xlfn.IFNA(R442,"")</f>
        <v/>
      </c>
      <c r="G442" s="1451"/>
      <c r="H442" s="1451"/>
      <c r="I442" s="1451"/>
      <c r="J442" s="1451"/>
      <c r="K442" s="1451"/>
      <c r="L442" s="1451"/>
      <c r="M442" s="8"/>
      <c r="R442" s="129" t="str">
        <f>IF(OR(COUNTIF($E444:$E449,"&lt;&gt;〇〇(合意形成対象者名に書き換え)")=3,COUNTIF($E444:$E449,"")&gt;3),"",IF(PRODUCT($Y444:$Y449)=1,Z444,""))</f>
        <v/>
      </c>
      <c r="S442" s="175"/>
      <c r="T442" s="175"/>
      <c r="U442" s="175"/>
      <c r="V442" s="175"/>
      <c r="W442" s="175"/>
      <c r="X442" s="175"/>
      <c r="Y442" s="175"/>
      <c r="Z442" s="175"/>
      <c r="AA442" s="175">
        <f t="shared" si="215"/>
        <v>1</v>
      </c>
    </row>
    <row r="443" spans="1:27" ht="63.75" customHeight="1">
      <c r="B443" s="95"/>
      <c r="C443" s="96"/>
      <c r="D443" s="97"/>
      <c r="E443" s="372"/>
      <c r="F443" s="313" t="s">
        <v>268</v>
      </c>
      <c r="G443" s="313" t="s">
        <v>271</v>
      </c>
      <c r="H443" s="313" t="s">
        <v>272</v>
      </c>
      <c r="I443" s="313" t="s">
        <v>269</v>
      </c>
      <c r="J443" s="313" t="s">
        <v>434</v>
      </c>
      <c r="K443" s="313" t="s">
        <v>435</v>
      </c>
      <c r="L443" s="313" t="s">
        <v>270</v>
      </c>
      <c r="M443" s="98"/>
      <c r="N443" s="11"/>
      <c r="R443" s="126" t="s">
        <v>299</v>
      </c>
      <c r="S443" s="257" t="s">
        <v>423</v>
      </c>
      <c r="T443" s="126" t="s">
        <v>424</v>
      </c>
      <c r="U443" s="296" t="s">
        <v>436</v>
      </c>
      <c r="V443" s="256" t="s">
        <v>270</v>
      </c>
      <c r="W443" s="126" t="s">
        <v>426</v>
      </c>
      <c r="X443" s="129" t="s">
        <v>402</v>
      </c>
      <c r="Y443" s="129" t="s">
        <v>430</v>
      </c>
      <c r="Z443" s="126" t="s">
        <v>425</v>
      </c>
      <c r="AA443" s="255"/>
    </row>
    <row r="444" spans="1:27" hidden="1">
      <c r="B444" s="95"/>
      <c r="C444" s="96"/>
      <c r="D444" s="97"/>
      <c r="E444" s="442"/>
      <c r="F444" s="443"/>
      <c r="G444" s="439"/>
      <c r="H444" s="443"/>
      <c r="I444" s="439"/>
      <c r="J444" s="443"/>
      <c r="K444" s="439"/>
      <c r="L444" s="444"/>
      <c r="M444" s="98"/>
      <c r="N444" s="11"/>
      <c r="R444" s="129">
        <f t="shared" ref="R444:R449" si="216">IF(F444="実施済",1,0)</f>
        <v>0</v>
      </c>
      <c r="S444" s="258"/>
      <c r="T444" s="129">
        <f t="shared" ref="T444:T449" si="217">IF(AND(H444="実施済",I444="実施済"),R444*1,0)</f>
        <v>0</v>
      </c>
      <c r="U444" s="129">
        <f>IF(AND(J444="実施済",K444="実施済"),$T444*1,0)</f>
        <v>0</v>
      </c>
      <c r="V444" s="258"/>
      <c r="W444" s="129" t="str">
        <f>IF(OR(E444="〇〇(合意形成対象者名に書き換え)",E444=""),"",SUM(R444,T444,U444))</f>
        <v/>
      </c>
      <c r="X444" s="129">
        <f t="shared" ref="X444:X449" si="218">MIN($W$444:$W$449)+1</f>
        <v>1</v>
      </c>
      <c r="Y444" s="129">
        <f>IF(E444="",1,IF(AND(E444="〇〇(合意形成対象者名に書き換え)",COUNTA($F444:$L444)=0),1,IF(AND(E444&lt;&gt;"〇〇(合意形成対象者名に書き換え)",COUNTA($F444:$L444)=7),1,0)))</f>
        <v>1</v>
      </c>
      <c r="Z444" s="129" t="str" cm="1">
        <f t="array" ref="Z444">_xlfn.IFS(X444=4,"A",X444=3,"B",X444=2,"C",X444=1,"D")</f>
        <v>D</v>
      </c>
      <c r="AA444" s="255"/>
    </row>
    <row r="445" spans="1:27">
      <c r="B445" s="95"/>
      <c r="C445" s="96"/>
      <c r="D445" s="97"/>
      <c r="E445" s="447" t="s">
        <v>129</v>
      </c>
      <c r="F445" s="446"/>
      <c r="G445" s="441"/>
      <c r="H445" s="446"/>
      <c r="I445" s="441"/>
      <c r="J445" s="446"/>
      <c r="K445" s="441"/>
      <c r="L445" s="441"/>
      <c r="M445" s="98"/>
      <c r="N445" s="11"/>
      <c r="R445" s="129">
        <f t="shared" si="216"/>
        <v>0</v>
      </c>
      <c r="S445" s="258"/>
      <c r="T445" s="129">
        <f t="shared" si="217"/>
        <v>0</v>
      </c>
      <c r="U445" s="129">
        <f t="shared" ref="U445:U447" si="219">IF(AND(J445="実施済",K445="実施済"),$T445*1,0)</f>
        <v>0</v>
      </c>
      <c r="V445" s="258"/>
      <c r="W445" s="129" t="str">
        <f t="shared" ref="W445:W449" si="220">IF(OR(E445="〇〇(合意形成対象者名に書き換え)",E445=""),"",SUM(R445,T445,U445))</f>
        <v/>
      </c>
      <c r="X445" s="129">
        <f t="shared" si="218"/>
        <v>1</v>
      </c>
      <c r="Y445" s="129">
        <f t="shared" ref="Y445:Y449" si="221">IF(E445="",1,IF(AND(E445="〇〇(合意形成対象者名に書き換え)",COUNTA($F445:$L445)=0),1,IF(AND(E445&lt;&gt;"〇〇(合意形成対象者名に書き換え)",COUNTA($F445:$L445)=7),1,0)))</f>
        <v>1</v>
      </c>
      <c r="Z445" s="129" t="str" cm="1">
        <f t="array" ref="Z445">_xlfn.IFS(X445=4,"A",X445=3,"B",X445=2,"C",X445=1,"D")</f>
        <v>D</v>
      </c>
      <c r="AA445" s="255"/>
    </row>
    <row r="446" spans="1:27">
      <c r="B446" s="95"/>
      <c r="C446" s="96"/>
      <c r="D446" s="97"/>
      <c r="E446" s="447" t="s">
        <v>129</v>
      </c>
      <c r="F446" s="446"/>
      <c r="G446" s="441"/>
      <c r="H446" s="446"/>
      <c r="I446" s="441"/>
      <c r="J446" s="446"/>
      <c r="K446" s="441"/>
      <c r="L446" s="441"/>
      <c r="M446" s="98"/>
      <c r="N446" s="11"/>
      <c r="R446" s="129">
        <f t="shared" si="216"/>
        <v>0</v>
      </c>
      <c r="S446" s="258"/>
      <c r="T446" s="129">
        <f t="shared" si="217"/>
        <v>0</v>
      </c>
      <c r="U446" s="129">
        <f t="shared" si="219"/>
        <v>0</v>
      </c>
      <c r="V446" s="258"/>
      <c r="W446" s="129" t="str">
        <f t="shared" si="220"/>
        <v/>
      </c>
      <c r="X446" s="129">
        <f t="shared" si="218"/>
        <v>1</v>
      </c>
      <c r="Y446" s="129">
        <f t="shared" si="221"/>
        <v>1</v>
      </c>
      <c r="Z446" s="129" t="str" cm="1">
        <f t="array" ref="Z446">_xlfn.IFS(X446=4,"A",X446=3,"B",X446=2,"C",X446=1,"D")</f>
        <v>D</v>
      </c>
      <c r="AA446" s="255"/>
    </row>
    <row r="447" spans="1:27" s="99" customFormat="1">
      <c r="A447" s="11"/>
      <c r="B447" s="95"/>
      <c r="C447" s="96"/>
      <c r="D447" s="97"/>
      <c r="E447" s="447" t="s">
        <v>129</v>
      </c>
      <c r="F447" s="446"/>
      <c r="G447" s="441"/>
      <c r="H447" s="446"/>
      <c r="I447" s="441"/>
      <c r="J447" s="446"/>
      <c r="K447" s="441"/>
      <c r="L447" s="441"/>
      <c r="M447" s="98"/>
      <c r="N447" s="11"/>
      <c r="Q447" s="11"/>
      <c r="R447" s="129">
        <f t="shared" si="216"/>
        <v>0</v>
      </c>
      <c r="S447" s="258"/>
      <c r="T447" s="129">
        <f t="shared" si="217"/>
        <v>0</v>
      </c>
      <c r="U447" s="129">
        <f t="shared" si="219"/>
        <v>0</v>
      </c>
      <c r="V447" s="258"/>
      <c r="W447" s="129" t="str">
        <f t="shared" si="220"/>
        <v/>
      </c>
      <c r="X447" s="129">
        <f t="shared" si="218"/>
        <v>1</v>
      </c>
      <c r="Y447" s="129">
        <f t="shared" si="221"/>
        <v>1</v>
      </c>
      <c r="Z447" s="129" t="str" cm="1">
        <f t="array" ref="Z447">_xlfn.IFS(X447=4,"A",X447=3,"B",X447=2,"C",X447=1,"D")</f>
        <v>D</v>
      </c>
      <c r="AA447" s="129"/>
    </row>
    <row r="448" spans="1:27" customFormat="1" ht="7.5" customHeight="1">
      <c r="B448" s="65"/>
      <c r="C448" s="4"/>
      <c r="D448" s="4"/>
      <c r="E448" s="4"/>
      <c r="F448" s="4"/>
      <c r="G448" s="4"/>
      <c r="H448" s="4"/>
      <c r="I448" s="4"/>
      <c r="J448" s="4"/>
      <c r="K448" s="4"/>
      <c r="L448" s="4"/>
      <c r="M448" s="9"/>
      <c r="N448" s="2"/>
      <c r="O448" s="2"/>
      <c r="P448" s="2"/>
      <c r="R448" s="129">
        <f t="shared" si="216"/>
        <v>0</v>
      </c>
      <c r="S448" s="258"/>
      <c r="T448" s="129">
        <f t="shared" si="217"/>
        <v>0</v>
      </c>
      <c r="U448" s="129">
        <f>IF(AND(J448="実施済",K448="実施済"),$T448*1,0)</f>
        <v>0</v>
      </c>
      <c r="V448" s="258"/>
      <c r="W448" s="129" t="str">
        <f t="shared" si="220"/>
        <v/>
      </c>
      <c r="X448" s="129">
        <f t="shared" si="218"/>
        <v>1</v>
      </c>
      <c r="Y448" s="129">
        <f t="shared" si="221"/>
        <v>1</v>
      </c>
      <c r="Z448" s="129" t="str" cm="1">
        <f t="array" ref="Z448">_xlfn.IFS(X448=4,"A",X448=3,"B",X448=2,"C",X448=1,"D")</f>
        <v>D</v>
      </c>
      <c r="AA448" s="175"/>
    </row>
    <row r="449" spans="1:27" customFormat="1" ht="18" customHeight="1">
      <c r="N449" s="2"/>
      <c r="O449" s="2"/>
      <c r="P449" s="2"/>
      <c r="R449" s="129">
        <f t="shared" si="216"/>
        <v>0</v>
      </c>
      <c r="S449" s="258"/>
      <c r="T449" s="129">
        <f t="shared" si="217"/>
        <v>0</v>
      </c>
      <c r="U449" s="129">
        <f t="shared" ref="U449" si="222">IF(AND(J449="実施済",K449="実施済"),$T449*1,0)</f>
        <v>0</v>
      </c>
      <c r="V449" s="258"/>
      <c r="W449" s="129" t="str">
        <f t="shared" si="220"/>
        <v/>
      </c>
      <c r="X449" s="129">
        <f t="shared" si="218"/>
        <v>1</v>
      </c>
      <c r="Y449" s="129">
        <f t="shared" si="221"/>
        <v>1</v>
      </c>
      <c r="Z449" s="129" t="str" cm="1">
        <f t="array" ref="Z449">_xlfn.IFS(X449=4,"A",X449=3,"B",X449=2,"C",X449=1,"D")</f>
        <v>D</v>
      </c>
      <c r="AA449" s="175"/>
    </row>
    <row r="450" spans="1:27" customFormat="1" ht="103.5" customHeight="1">
      <c r="C450" s="78"/>
      <c r="D450" s="79"/>
      <c r="E450" s="71" t="s">
        <v>236</v>
      </c>
      <c r="F450" s="1452"/>
      <c r="G450" s="1452"/>
      <c r="H450" s="1452"/>
      <c r="I450" s="1452"/>
      <c r="J450" s="1452"/>
      <c r="K450" s="1452"/>
      <c r="L450" s="1452"/>
      <c r="M450" s="80" t="s">
        <v>132</v>
      </c>
      <c r="N450" s="80"/>
    </row>
    <row r="451" spans="1:27" customFormat="1" ht="146.25" customHeight="1">
      <c r="C451" s="75"/>
      <c r="D451" s="68"/>
      <c r="E451" s="71" t="s">
        <v>235</v>
      </c>
      <c r="F451" s="1452"/>
      <c r="G451" s="1452"/>
      <c r="H451" s="1452"/>
      <c r="I451" s="1452"/>
      <c r="J451" s="1452"/>
      <c r="K451" s="1452"/>
      <c r="L451" s="1452"/>
      <c r="N451" s="2"/>
      <c r="O451" s="2"/>
      <c r="P451" s="2"/>
    </row>
    <row r="452" spans="1:27" customFormat="1" ht="13.5" customHeight="1" thickBot="1">
      <c r="A452" s="81"/>
      <c r="B452" s="81"/>
      <c r="C452" s="81"/>
      <c r="D452" s="81"/>
      <c r="E452" s="81"/>
      <c r="F452" s="81"/>
      <c r="G452" s="81"/>
      <c r="H452" s="81"/>
      <c r="I452" s="81"/>
      <c r="J452" s="81"/>
      <c r="K452" s="81"/>
      <c r="L452" s="81"/>
      <c r="M452" s="81"/>
      <c r="N452" s="82"/>
      <c r="O452" s="2"/>
      <c r="P452" s="2"/>
    </row>
    <row r="453" spans="1:27" customFormat="1" ht="13.5" customHeight="1">
      <c r="N453" s="2"/>
      <c r="O453" s="2"/>
      <c r="P453" s="2"/>
    </row>
    <row r="454" spans="1:27" customFormat="1" ht="15" customHeight="1">
      <c r="B454" s="10"/>
      <c r="C454" s="5"/>
      <c r="D454" s="5"/>
      <c r="E454" s="5"/>
      <c r="F454" s="5"/>
      <c r="G454" s="5"/>
      <c r="H454" s="5"/>
      <c r="I454" s="5"/>
      <c r="J454" s="5"/>
      <c r="K454" s="5"/>
      <c r="L454" s="5"/>
      <c r="M454" s="6"/>
      <c r="R454" s="11" t="str">
        <f>D455</f>
        <v>(選択してください)</v>
      </c>
    </row>
    <row r="455" spans="1:27" customFormat="1">
      <c r="B455" s="7"/>
      <c r="C455" s="77" t="str">
        <f ca="1">IFERROR(OFFSET('4.2民生電力需要量'!$C$1,MATCH(D455,'4.2民生電力需要量'!$E:$E,0)-1,0),"")</f>
        <v/>
      </c>
      <c r="D455" s="94" t="s">
        <v>130</v>
      </c>
      <c r="E455" s="72" t="s">
        <v>131</v>
      </c>
      <c r="F455" s="1451" t="str">
        <f ca="1">IFERROR(OFFSET('4.2民生電力需要量'!$G$1,MATCH($D455,'4.2民生電力需要量'!$E:$E,0)-1,0),"")</f>
        <v/>
      </c>
      <c r="G455" s="1451"/>
      <c r="H455" s="1451"/>
      <c r="I455" s="1451"/>
      <c r="J455" s="1451"/>
      <c r="K455" s="1451"/>
      <c r="L455" s="1451"/>
      <c r="M455" s="8"/>
      <c r="R455" s="255" t="str">
        <f ca="1">IFERROR(OFFSET('4.2民生電力需要量'!$G$1,MATCH($D455,'4.2民生電力需要量'!$E:$E,0)-1,0),"")</f>
        <v/>
      </c>
      <c r="S455" s="175"/>
      <c r="T455" s="175"/>
      <c r="U455" s="175"/>
      <c r="V455" s="175"/>
      <c r="W455" s="175"/>
      <c r="X455" s="175"/>
      <c r="Y455" s="175"/>
      <c r="Z455" s="175"/>
      <c r="AA455" s="175">
        <f ca="1">(F455=R455)*1</f>
        <v>1</v>
      </c>
    </row>
    <row r="456" spans="1:27" customFormat="1">
      <c r="B456" s="7"/>
      <c r="C456" s="915"/>
      <c r="D456" s="97"/>
      <c r="E456" s="72" t="s">
        <v>612</v>
      </c>
      <c r="F456" s="1447" t="str">
        <f ca="1">IFERROR(OFFSET('4.2民生電力需要量'!$L$1,MATCH($D455,'4.2民生電力需要量'!$E:$E,0)-1,0),"")</f>
        <v/>
      </c>
      <c r="G456" s="1448"/>
      <c r="H456" s="1448"/>
      <c r="I456" s="1448"/>
      <c r="J456" s="1448"/>
      <c r="K456" s="1448"/>
      <c r="L456" s="1449"/>
      <c r="M456" s="8"/>
      <c r="R456" s="255" t="str">
        <f ca="1">IFERROR(OFFSET('4.2民生電力需要量'!$L$1,MATCH($D455,'4.2民生電力需要量'!$E:$E,0)-1,0),"")</f>
        <v/>
      </c>
      <c r="S456" s="175"/>
      <c r="T456" s="175"/>
      <c r="U456" s="175"/>
      <c r="V456" s="175"/>
      <c r="W456" s="175"/>
      <c r="X456" s="175"/>
      <c r="Y456" s="175"/>
      <c r="Z456" s="175"/>
      <c r="AA456" s="175">
        <f ca="1">(F456=R456)*1</f>
        <v>1</v>
      </c>
    </row>
    <row r="457" spans="1:27" customFormat="1">
      <c r="B457" s="7"/>
      <c r="C457" s="74"/>
      <c r="D457" s="66"/>
      <c r="E457" s="72" t="s">
        <v>220</v>
      </c>
      <c r="F457" s="1450" t="str">
        <f ca="1">IFERROR(OFFSET('4.2民生電力需要量'!$I$1,MATCH($D455,'4.2民生電力需要量'!$E:$E,0)-1,0),"")</f>
        <v/>
      </c>
      <c r="G457" s="1450"/>
      <c r="H457" s="1450"/>
      <c r="I457" s="1450"/>
      <c r="J457" s="1450"/>
      <c r="K457" s="1450"/>
      <c r="L457" s="1450"/>
      <c r="M457" s="8"/>
      <c r="R457" s="255" t="str">
        <f ca="1">IFERROR(OFFSET('4.2民生電力需要量'!$I$1,MATCH($D455,'4.2民生電力需要量'!$E:$E,0)-1,0),"")</f>
        <v/>
      </c>
      <c r="S457" s="175"/>
      <c r="T457" s="175"/>
      <c r="U457" s="175"/>
      <c r="V457" s="175"/>
      <c r="W457" s="175"/>
      <c r="X457" s="175"/>
      <c r="Y457" s="175"/>
      <c r="Z457" s="175"/>
      <c r="AA457" s="175">
        <f t="shared" ref="AA457:AA458" ca="1" si="223">(F457=R457)*1</f>
        <v>1</v>
      </c>
    </row>
    <row r="458" spans="1:27" customFormat="1">
      <c r="B458" s="7"/>
      <c r="C458" s="74"/>
      <c r="D458" s="66"/>
      <c r="E458" s="72" t="s">
        <v>175</v>
      </c>
      <c r="F458" s="1451" t="str">
        <f>_xlfn.IFNA(R458,"")</f>
        <v/>
      </c>
      <c r="G458" s="1451"/>
      <c r="H458" s="1451"/>
      <c r="I458" s="1451"/>
      <c r="J458" s="1451"/>
      <c r="K458" s="1451"/>
      <c r="L458" s="1451"/>
      <c r="M458" s="8"/>
      <c r="R458" s="129" t="str">
        <f>IF(OR(COUNTIF($E460:$E465,"&lt;&gt;〇〇(合意形成対象者名に書き換え)")=3,COUNTIF($E460:$E465,"")&gt;3),"",IF(PRODUCT($Y460:$Y465)=1,Z460,""))</f>
        <v/>
      </c>
      <c r="S458" s="175"/>
      <c r="T458" s="175"/>
      <c r="U458" s="175"/>
      <c r="V458" s="175"/>
      <c r="W458" s="175"/>
      <c r="X458" s="175"/>
      <c r="Y458" s="175"/>
      <c r="Z458" s="175"/>
      <c r="AA458" s="175">
        <f t="shared" si="223"/>
        <v>1</v>
      </c>
    </row>
    <row r="459" spans="1:27" ht="63.75" customHeight="1">
      <c r="B459" s="95"/>
      <c r="C459" s="96"/>
      <c r="D459" s="97"/>
      <c r="E459" s="372"/>
      <c r="F459" s="313" t="s">
        <v>268</v>
      </c>
      <c r="G459" s="313" t="s">
        <v>271</v>
      </c>
      <c r="H459" s="313" t="s">
        <v>272</v>
      </c>
      <c r="I459" s="313" t="s">
        <v>269</v>
      </c>
      <c r="J459" s="313" t="s">
        <v>434</v>
      </c>
      <c r="K459" s="313" t="s">
        <v>435</v>
      </c>
      <c r="L459" s="313" t="s">
        <v>270</v>
      </c>
      <c r="M459" s="98"/>
      <c r="N459" s="11"/>
      <c r="R459" s="126" t="s">
        <v>299</v>
      </c>
      <c r="S459" s="257" t="s">
        <v>423</v>
      </c>
      <c r="T459" s="126" t="s">
        <v>424</v>
      </c>
      <c r="U459" s="296" t="s">
        <v>436</v>
      </c>
      <c r="V459" s="256" t="s">
        <v>270</v>
      </c>
      <c r="W459" s="126" t="s">
        <v>426</v>
      </c>
      <c r="X459" s="129" t="s">
        <v>402</v>
      </c>
      <c r="Y459" s="129" t="s">
        <v>430</v>
      </c>
      <c r="Z459" s="126" t="s">
        <v>425</v>
      </c>
      <c r="AA459" s="255"/>
    </row>
    <row r="460" spans="1:27" hidden="1">
      <c r="B460" s="95"/>
      <c r="C460" s="96"/>
      <c r="D460" s="97"/>
      <c r="E460" s="442"/>
      <c r="F460" s="443"/>
      <c r="G460" s="439"/>
      <c r="H460" s="443"/>
      <c r="I460" s="439"/>
      <c r="J460" s="443"/>
      <c r="K460" s="439"/>
      <c r="L460" s="444"/>
      <c r="M460" s="98"/>
      <c r="N460" s="11"/>
      <c r="R460" s="129">
        <f t="shared" ref="R460:R465" si="224">IF(F460="実施済",1,0)</f>
        <v>0</v>
      </c>
      <c r="S460" s="258"/>
      <c r="T460" s="129">
        <f t="shared" ref="T460:T465" si="225">IF(AND(H460="実施済",I460="実施済"),R460*1,0)</f>
        <v>0</v>
      </c>
      <c r="U460" s="129">
        <f>IF(AND(J460="実施済",K460="実施済"),$T460*1,0)</f>
        <v>0</v>
      </c>
      <c r="V460" s="258"/>
      <c r="W460" s="129" t="str">
        <f>IF(OR(E460="〇〇(合意形成対象者名に書き換え)",E460=""),"",SUM(R460,T460,U460))</f>
        <v/>
      </c>
      <c r="X460" s="129">
        <f t="shared" ref="X460:X465" si="226">MIN($W$460:$W$465)+1</f>
        <v>1</v>
      </c>
      <c r="Y460" s="129">
        <f>IF(E460="",1,IF(AND(E460="〇〇(合意形成対象者名に書き換え)",COUNTA($F460:$L460)=0),1,IF(AND(E460&lt;&gt;"〇〇(合意形成対象者名に書き換え)",COUNTA($F460:$L460)=7),1,0)))</f>
        <v>1</v>
      </c>
      <c r="Z460" s="129" t="str" cm="1">
        <f t="array" ref="Z460">_xlfn.IFS(X460=4,"A",X460=3,"B",X460=2,"C",X460=1,"D")</f>
        <v>D</v>
      </c>
      <c r="AA460" s="255"/>
    </row>
    <row r="461" spans="1:27">
      <c r="B461" s="95"/>
      <c r="C461" s="96"/>
      <c r="D461" s="97"/>
      <c r="E461" s="447" t="s">
        <v>129</v>
      </c>
      <c r="F461" s="446"/>
      <c r="G461" s="441"/>
      <c r="H461" s="446"/>
      <c r="I461" s="441"/>
      <c r="J461" s="446"/>
      <c r="K461" s="441"/>
      <c r="L461" s="441"/>
      <c r="M461" s="98"/>
      <c r="N461" s="11"/>
      <c r="R461" s="129">
        <f t="shared" si="224"/>
        <v>0</v>
      </c>
      <c r="S461" s="258"/>
      <c r="T461" s="129">
        <f t="shared" si="225"/>
        <v>0</v>
      </c>
      <c r="U461" s="129">
        <f t="shared" ref="U461:U463" si="227">IF(AND(J461="実施済",K461="実施済"),$T461*1,0)</f>
        <v>0</v>
      </c>
      <c r="V461" s="258"/>
      <c r="W461" s="129" t="str">
        <f t="shared" ref="W461:W465" si="228">IF(OR(E461="〇〇(合意形成対象者名に書き換え)",E461=""),"",SUM(R461,T461,U461))</f>
        <v/>
      </c>
      <c r="X461" s="129">
        <f t="shared" si="226"/>
        <v>1</v>
      </c>
      <c r="Y461" s="129">
        <f t="shared" ref="Y461:Y465" si="229">IF(E461="",1,IF(AND(E461="〇〇(合意形成対象者名に書き換え)",COUNTA($F461:$L461)=0),1,IF(AND(E461&lt;&gt;"〇〇(合意形成対象者名に書き換え)",COUNTA($F461:$L461)=7),1,0)))</f>
        <v>1</v>
      </c>
      <c r="Z461" s="129" t="str" cm="1">
        <f t="array" ref="Z461">_xlfn.IFS(X461=4,"A",X461=3,"B",X461=2,"C",X461=1,"D")</f>
        <v>D</v>
      </c>
      <c r="AA461" s="255"/>
    </row>
    <row r="462" spans="1:27">
      <c r="B462" s="95"/>
      <c r="C462" s="96"/>
      <c r="D462" s="97"/>
      <c r="E462" s="447" t="s">
        <v>129</v>
      </c>
      <c r="F462" s="446"/>
      <c r="G462" s="441"/>
      <c r="H462" s="446"/>
      <c r="I462" s="441"/>
      <c r="J462" s="446"/>
      <c r="K462" s="441"/>
      <c r="L462" s="441"/>
      <c r="M462" s="98"/>
      <c r="N462" s="11"/>
      <c r="R462" s="129">
        <f t="shared" si="224"/>
        <v>0</v>
      </c>
      <c r="S462" s="258"/>
      <c r="T462" s="129">
        <f t="shared" si="225"/>
        <v>0</v>
      </c>
      <c r="U462" s="129">
        <f t="shared" si="227"/>
        <v>0</v>
      </c>
      <c r="V462" s="258"/>
      <c r="W462" s="129" t="str">
        <f t="shared" si="228"/>
        <v/>
      </c>
      <c r="X462" s="129">
        <f t="shared" si="226"/>
        <v>1</v>
      </c>
      <c r="Y462" s="129">
        <f t="shared" si="229"/>
        <v>1</v>
      </c>
      <c r="Z462" s="129" t="str" cm="1">
        <f t="array" ref="Z462">_xlfn.IFS(X462=4,"A",X462=3,"B",X462=2,"C",X462=1,"D")</f>
        <v>D</v>
      </c>
      <c r="AA462" s="255"/>
    </row>
    <row r="463" spans="1:27" s="99" customFormat="1">
      <c r="A463" s="11"/>
      <c r="B463" s="95"/>
      <c r="C463" s="96"/>
      <c r="D463" s="97"/>
      <c r="E463" s="447" t="s">
        <v>129</v>
      </c>
      <c r="F463" s="446"/>
      <c r="G463" s="441"/>
      <c r="H463" s="446"/>
      <c r="I463" s="441"/>
      <c r="J463" s="446"/>
      <c r="K463" s="441"/>
      <c r="L463" s="441"/>
      <c r="M463" s="98"/>
      <c r="N463" s="11"/>
      <c r="Q463" s="11"/>
      <c r="R463" s="129">
        <f t="shared" si="224"/>
        <v>0</v>
      </c>
      <c r="S463" s="258"/>
      <c r="T463" s="129">
        <f t="shared" si="225"/>
        <v>0</v>
      </c>
      <c r="U463" s="129">
        <f t="shared" si="227"/>
        <v>0</v>
      </c>
      <c r="V463" s="258"/>
      <c r="W463" s="129" t="str">
        <f t="shared" si="228"/>
        <v/>
      </c>
      <c r="X463" s="129">
        <f t="shared" si="226"/>
        <v>1</v>
      </c>
      <c r="Y463" s="129">
        <f t="shared" si="229"/>
        <v>1</v>
      </c>
      <c r="Z463" s="129" t="str" cm="1">
        <f t="array" ref="Z463">_xlfn.IFS(X463=4,"A",X463=3,"B",X463=2,"C",X463=1,"D")</f>
        <v>D</v>
      </c>
      <c r="AA463" s="129"/>
    </row>
    <row r="464" spans="1:27" customFormat="1" ht="7.5" customHeight="1">
      <c r="B464" s="65"/>
      <c r="C464" s="4"/>
      <c r="D464" s="4"/>
      <c r="E464" s="4"/>
      <c r="F464" s="4"/>
      <c r="G464" s="4"/>
      <c r="H464" s="4"/>
      <c r="I464" s="4"/>
      <c r="J464" s="4"/>
      <c r="K464" s="4"/>
      <c r="L464" s="4"/>
      <c r="M464" s="9"/>
      <c r="N464" s="2"/>
      <c r="O464" s="2"/>
      <c r="P464" s="2"/>
      <c r="R464" s="129">
        <f t="shared" si="224"/>
        <v>0</v>
      </c>
      <c r="S464" s="258"/>
      <c r="T464" s="129">
        <f t="shared" si="225"/>
        <v>0</v>
      </c>
      <c r="U464" s="129">
        <f>IF(AND(J464="実施済",K464="実施済"),$T464*1,0)</f>
        <v>0</v>
      </c>
      <c r="V464" s="258"/>
      <c r="W464" s="129" t="str">
        <f t="shared" si="228"/>
        <v/>
      </c>
      <c r="X464" s="129">
        <f t="shared" si="226"/>
        <v>1</v>
      </c>
      <c r="Y464" s="129">
        <f t="shared" si="229"/>
        <v>1</v>
      </c>
      <c r="Z464" s="129" t="str" cm="1">
        <f t="array" ref="Z464">_xlfn.IFS(X464=4,"A",X464=3,"B",X464=2,"C",X464=1,"D")</f>
        <v>D</v>
      </c>
      <c r="AA464" s="175"/>
    </row>
    <row r="465" spans="1:27" customFormat="1" ht="18" customHeight="1">
      <c r="N465" s="2"/>
      <c r="O465" s="2"/>
      <c r="P465" s="2"/>
      <c r="R465" s="129">
        <f t="shared" si="224"/>
        <v>0</v>
      </c>
      <c r="S465" s="258"/>
      <c r="T465" s="129">
        <f t="shared" si="225"/>
        <v>0</v>
      </c>
      <c r="U465" s="129">
        <f t="shared" ref="U465" si="230">IF(AND(J465="実施済",K465="実施済"),$T465*1,0)</f>
        <v>0</v>
      </c>
      <c r="V465" s="258"/>
      <c r="W465" s="129" t="str">
        <f t="shared" si="228"/>
        <v/>
      </c>
      <c r="X465" s="129">
        <f t="shared" si="226"/>
        <v>1</v>
      </c>
      <c r="Y465" s="129">
        <f t="shared" si="229"/>
        <v>1</v>
      </c>
      <c r="Z465" s="129" t="str" cm="1">
        <f t="array" ref="Z465">_xlfn.IFS(X465=4,"A",X465=3,"B",X465=2,"C",X465=1,"D")</f>
        <v>D</v>
      </c>
      <c r="AA465" s="175"/>
    </row>
    <row r="466" spans="1:27" customFormat="1" ht="103.5" customHeight="1">
      <c r="C466" s="78"/>
      <c r="D466" s="79"/>
      <c r="E466" s="71" t="s">
        <v>236</v>
      </c>
      <c r="F466" s="1452"/>
      <c r="G466" s="1452"/>
      <c r="H466" s="1452"/>
      <c r="I466" s="1452"/>
      <c r="J466" s="1452"/>
      <c r="K466" s="1452"/>
      <c r="L466" s="1452"/>
      <c r="M466" s="80" t="s">
        <v>132</v>
      </c>
      <c r="N466" s="80"/>
    </row>
    <row r="467" spans="1:27" customFormat="1" ht="146.25" customHeight="1">
      <c r="C467" s="75"/>
      <c r="D467" s="68"/>
      <c r="E467" s="71" t="s">
        <v>235</v>
      </c>
      <c r="F467" s="1452"/>
      <c r="G467" s="1452"/>
      <c r="H467" s="1452"/>
      <c r="I467" s="1452"/>
      <c r="J467" s="1452"/>
      <c r="K467" s="1452"/>
      <c r="L467" s="1452"/>
      <c r="N467" s="2"/>
      <c r="O467" s="2"/>
      <c r="P467" s="2"/>
    </row>
    <row r="468" spans="1:27" customFormat="1" ht="13.5" customHeight="1" thickBot="1">
      <c r="A468" s="81"/>
      <c r="B468" s="81"/>
      <c r="C468" s="81"/>
      <c r="D468" s="81"/>
      <c r="E468" s="81"/>
      <c r="F468" s="81"/>
      <c r="G468" s="81"/>
      <c r="H468" s="81"/>
      <c r="I468" s="81"/>
      <c r="J468" s="81"/>
      <c r="K468" s="81"/>
      <c r="L468" s="81"/>
      <c r="M468" s="81"/>
      <c r="N468" s="82"/>
      <c r="O468" s="2"/>
      <c r="P468" s="2"/>
    </row>
    <row r="469" spans="1:27" customFormat="1" ht="13.5" customHeight="1">
      <c r="N469" s="2"/>
      <c r="O469" s="2"/>
      <c r="P469" s="2"/>
    </row>
    <row r="470" spans="1:27" customFormat="1" ht="15" customHeight="1">
      <c r="B470" s="10"/>
      <c r="C470" s="5"/>
      <c r="D470" s="5"/>
      <c r="E470" s="5"/>
      <c r="F470" s="5"/>
      <c r="G470" s="5"/>
      <c r="H470" s="5"/>
      <c r="I470" s="5"/>
      <c r="J470" s="5"/>
      <c r="K470" s="5"/>
      <c r="L470" s="5"/>
      <c r="M470" s="6"/>
      <c r="R470" s="11" t="str">
        <f>D471</f>
        <v>(選択してください)</v>
      </c>
    </row>
    <row r="471" spans="1:27" customFormat="1">
      <c r="B471" s="7"/>
      <c r="C471" s="77" t="str">
        <f ca="1">IFERROR(OFFSET('4.2民生電力需要量'!$C$1,MATCH(D471,'4.2民生電力需要量'!$E:$E,0)-1,0),"")</f>
        <v/>
      </c>
      <c r="D471" s="94" t="s">
        <v>130</v>
      </c>
      <c r="E471" s="72" t="s">
        <v>131</v>
      </c>
      <c r="F471" s="1451" t="str">
        <f ca="1">IFERROR(OFFSET('4.2民生電力需要量'!$G$1,MATCH($D471,'4.2民生電力需要量'!$E:$E,0)-1,0),"")</f>
        <v/>
      </c>
      <c r="G471" s="1451"/>
      <c r="H471" s="1451"/>
      <c r="I471" s="1451"/>
      <c r="J471" s="1451"/>
      <c r="K471" s="1451"/>
      <c r="L471" s="1451"/>
      <c r="M471" s="8"/>
      <c r="R471" s="255" t="str">
        <f ca="1">IFERROR(OFFSET('4.2民生電力需要量'!$G$1,MATCH($D471,'4.2民生電力需要量'!$E:$E,0)-1,0),"")</f>
        <v/>
      </c>
      <c r="S471" s="175"/>
      <c r="T471" s="175"/>
      <c r="U471" s="175"/>
      <c r="V471" s="175"/>
      <c r="W471" s="175"/>
      <c r="X471" s="175"/>
      <c r="Y471" s="175"/>
      <c r="Z471" s="175"/>
      <c r="AA471" s="175">
        <f ca="1">(F471=R471)*1</f>
        <v>1</v>
      </c>
    </row>
    <row r="472" spans="1:27" customFormat="1">
      <c r="B472" s="7"/>
      <c r="C472" s="915"/>
      <c r="D472" s="97"/>
      <c r="E472" s="72" t="s">
        <v>612</v>
      </c>
      <c r="F472" s="1447" t="str">
        <f ca="1">IFERROR(OFFSET('4.2民生電力需要量'!$L$1,MATCH($D471,'4.2民生電力需要量'!$E:$E,0)-1,0),"")</f>
        <v/>
      </c>
      <c r="G472" s="1448"/>
      <c r="H472" s="1448"/>
      <c r="I472" s="1448"/>
      <c r="J472" s="1448"/>
      <c r="K472" s="1448"/>
      <c r="L472" s="1449"/>
      <c r="M472" s="8"/>
      <c r="R472" s="255" t="str">
        <f ca="1">IFERROR(OFFSET('4.2民生電力需要量'!$L$1,MATCH($D471,'4.2民生電力需要量'!$E:$E,0)-1,0),"")</f>
        <v/>
      </c>
      <c r="S472" s="175"/>
      <c r="T472" s="175"/>
      <c r="U472" s="175"/>
      <c r="V472" s="175"/>
      <c r="W472" s="175"/>
      <c r="X472" s="175"/>
      <c r="Y472" s="175"/>
      <c r="Z472" s="175"/>
      <c r="AA472" s="175">
        <f ca="1">(F472=R472)*1</f>
        <v>1</v>
      </c>
    </row>
    <row r="473" spans="1:27" customFormat="1">
      <c r="B473" s="7"/>
      <c r="C473" s="74"/>
      <c r="D473" s="66"/>
      <c r="E473" s="72" t="s">
        <v>220</v>
      </c>
      <c r="F473" s="1450" t="str">
        <f ca="1">IFERROR(OFFSET('4.2民生電力需要量'!$I$1,MATCH($D471,'4.2民生電力需要量'!$E:$E,0)-1,0),"")</f>
        <v/>
      </c>
      <c r="G473" s="1450"/>
      <c r="H473" s="1450"/>
      <c r="I473" s="1450"/>
      <c r="J473" s="1450"/>
      <c r="K473" s="1450"/>
      <c r="L473" s="1450"/>
      <c r="M473" s="8"/>
      <c r="R473" s="255" t="str">
        <f ca="1">IFERROR(OFFSET('4.2民生電力需要量'!$I$1,MATCH($D471,'4.2民生電力需要量'!$E:$E,0)-1,0),"")</f>
        <v/>
      </c>
      <c r="S473" s="175"/>
      <c r="T473" s="175"/>
      <c r="U473" s="175"/>
      <c r="V473" s="175"/>
      <c r="W473" s="175"/>
      <c r="X473" s="175"/>
      <c r="Y473" s="175"/>
      <c r="Z473" s="175"/>
      <c r="AA473" s="175">
        <f t="shared" ref="AA473:AA474" ca="1" si="231">(F473=R473)*1</f>
        <v>1</v>
      </c>
    </row>
    <row r="474" spans="1:27" customFormat="1">
      <c r="B474" s="7"/>
      <c r="C474" s="74"/>
      <c r="D474" s="66"/>
      <c r="E474" s="72" t="s">
        <v>175</v>
      </c>
      <c r="F474" s="1451" t="str">
        <f>_xlfn.IFNA(R474,"")</f>
        <v/>
      </c>
      <c r="G474" s="1451"/>
      <c r="H474" s="1451"/>
      <c r="I474" s="1451"/>
      <c r="J474" s="1451"/>
      <c r="K474" s="1451"/>
      <c r="L474" s="1451"/>
      <c r="M474" s="8"/>
      <c r="R474" s="129" t="str">
        <f>IF(OR(COUNTIF($E476:$E481,"&lt;&gt;〇〇(合意形成対象者名に書き換え)")=3,COUNTIF($E476:$E481,"")&gt;3),"",IF(PRODUCT($Y476:$Y481)=1,Z476,""))</f>
        <v/>
      </c>
      <c r="S474" s="175"/>
      <c r="T474" s="175"/>
      <c r="U474" s="175"/>
      <c r="V474" s="175"/>
      <c r="W474" s="175"/>
      <c r="X474" s="175"/>
      <c r="Y474" s="175"/>
      <c r="Z474" s="175"/>
      <c r="AA474" s="175">
        <f t="shared" si="231"/>
        <v>1</v>
      </c>
    </row>
    <row r="475" spans="1:27" ht="63.75" customHeight="1">
      <c r="B475" s="95"/>
      <c r="C475" s="96"/>
      <c r="D475" s="97"/>
      <c r="E475" s="372"/>
      <c r="F475" s="313" t="s">
        <v>268</v>
      </c>
      <c r="G475" s="313" t="s">
        <v>271</v>
      </c>
      <c r="H475" s="313" t="s">
        <v>272</v>
      </c>
      <c r="I475" s="313" t="s">
        <v>269</v>
      </c>
      <c r="J475" s="313" t="s">
        <v>434</v>
      </c>
      <c r="K475" s="313" t="s">
        <v>435</v>
      </c>
      <c r="L475" s="313" t="s">
        <v>270</v>
      </c>
      <c r="M475" s="98"/>
      <c r="N475" s="11"/>
      <c r="R475" s="126" t="s">
        <v>299</v>
      </c>
      <c r="S475" s="257" t="s">
        <v>423</v>
      </c>
      <c r="T475" s="126" t="s">
        <v>424</v>
      </c>
      <c r="U475" s="296" t="s">
        <v>436</v>
      </c>
      <c r="V475" s="256" t="s">
        <v>270</v>
      </c>
      <c r="W475" s="126" t="s">
        <v>426</v>
      </c>
      <c r="X475" s="129" t="s">
        <v>402</v>
      </c>
      <c r="Y475" s="129" t="s">
        <v>430</v>
      </c>
      <c r="Z475" s="126" t="s">
        <v>425</v>
      </c>
      <c r="AA475" s="255"/>
    </row>
    <row r="476" spans="1:27" hidden="1">
      <c r="B476" s="95"/>
      <c r="C476" s="96"/>
      <c r="D476" s="97"/>
      <c r="E476" s="442"/>
      <c r="F476" s="443"/>
      <c r="G476" s="439"/>
      <c r="H476" s="443"/>
      <c r="I476" s="439"/>
      <c r="J476" s="443"/>
      <c r="K476" s="439"/>
      <c r="L476" s="444"/>
      <c r="M476" s="98"/>
      <c r="N476" s="11"/>
      <c r="R476" s="129">
        <f t="shared" ref="R476:R481" si="232">IF(F476="実施済",1,0)</f>
        <v>0</v>
      </c>
      <c r="S476" s="258"/>
      <c r="T476" s="129">
        <f t="shared" ref="T476:T481" si="233">IF(AND(H476="実施済",I476="実施済"),R476*1,0)</f>
        <v>0</v>
      </c>
      <c r="U476" s="129">
        <f>IF(AND(J476="実施済",K476="実施済"),$T476*1,0)</f>
        <v>0</v>
      </c>
      <c r="V476" s="258"/>
      <c r="W476" s="129" t="str">
        <f>IF(OR(E476="〇〇(合意形成対象者名に書き換え)",E476=""),"",SUM(R476,T476,U476))</f>
        <v/>
      </c>
      <c r="X476" s="129">
        <f t="shared" ref="X476:X481" si="234">MIN($W$476:$W$481)+1</f>
        <v>1</v>
      </c>
      <c r="Y476" s="129">
        <f>IF(E476="",1,IF(AND(E476="〇〇(合意形成対象者名に書き換え)",COUNTA($F476:$L476)=0),1,IF(AND(E476&lt;&gt;"〇〇(合意形成対象者名に書き換え)",COUNTA($F476:$L476)=7),1,0)))</f>
        <v>1</v>
      </c>
      <c r="Z476" s="129" t="str" cm="1">
        <f t="array" ref="Z476">_xlfn.IFS(X476=4,"A",X476=3,"B",X476=2,"C",X476=1,"D")</f>
        <v>D</v>
      </c>
      <c r="AA476" s="255"/>
    </row>
    <row r="477" spans="1:27">
      <c r="B477" s="95"/>
      <c r="C477" s="96"/>
      <c r="D477" s="97"/>
      <c r="E477" s="447" t="s">
        <v>129</v>
      </c>
      <c r="F477" s="446"/>
      <c r="G477" s="441"/>
      <c r="H477" s="446"/>
      <c r="I477" s="441"/>
      <c r="J477" s="446"/>
      <c r="K477" s="441"/>
      <c r="L477" s="441"/>
      <c r="M477" s="98"/>
      <c r="N477" s="11"/>
      <c r="R477" s="129">
        <f t="shared" si="232"/>
        <v>0</v>
      </c>
      <c r="S477" s="258"/>
      <c r="T477" s="129">
        <f t="shared" si="233"/>
        <v>0</v>
      </c>
      <c r="U477" s="129">
        <f t="shared" ref="U477:U479" si="235">IF(AND(J477="実施済",K477="実施済"),$T477*1,0)</f>
        <v>0</v>
      </c>
      <c r="V477" s="258"/>
      <c r="W477" s="129" t="str">
        <f t="shared" ref="W477:W481" si="236">IF(OR(E477="〇〇(合意形成対象者名に書き換え)",E477=""),"",SUM(R477,T477,U477))</f>
        <v/>
      </c>
      <c r="X477" s="129">
        <f t="shared" si="234"/>
        <v>1</v>
      </c>
      <c r="Y477" s="129">
        <f t="shared" ref="Y477:Y481" si="237">IF(E477="",1,IF(AND(E477="〇〇(合意形成対象者名に書き換え)",COUNTA($F477:$L477)=0),1,IF(AND(E477&lt;&gt;"〇〇(合意形成対象者名に書き換え)",COUNTA($F477:$L477)=7),1,0)))</f>
        <v>1</v>
      </c>
      <c r="Z477" s="129" t="str" cm="1">
        <f t="array" ref="Z477">_xlfn.IFS(X477=4,"A",X477=3,"B",X477=2,"C",X477=1,"D")</f>
        <v>D</v>
      </c>
      <c r="AA477" s="255"/>
    </row>
    <row r="478" spans="1:27">
      <c r="B478" s="95"/>
      <c r="C478" s="96"/>
      <c r="D478" s="97"/>
      <c r="E478" s="447" t="s">
        <v>129</v>
      </c>
      <c r="F478" s="446"/>
      <c r="G478" s="441"/>
      <c r="H478" s="446"/>
      <c r="I478" s="441"/>
      <c r="J478" s="446"/>
      <c r="K478" s="441"/>
      <c r="L478" s="441"/>
      <c r="M478" s="98"/>
      <c r="N478" s="11"/>
      <c r="R478" s="129">
        <f t="shared" si="232"/>
        <v>0</v>
      </c>
      <c r="S478" s="258"/>
      <c r="T478" s="129">
        <f t="shared" si="233"/>
        <v>0</v>
      </c>
      <c r="U478" s="129">
        <f t="shared" si="235"/>
        <v>0</v>
      </c>
      <c r="V478" s="258"/>
      <c r="W478" s="129" t="str">
        <f t="shared" si="236"/>
        <v/>
      </c>
      <c r="X478" s="129">
        <f t="shared" si="234"/>
        <v>1</v>
      </c>
      <c r="Y478" s="129">
        <f t="shared" si="237"/>
        <v>1</v>
      </c>
      <c r="Z478" s="129" t="str" cm="1">
        <f t="array" ref="Z478">_xlfn.IFS(X478=4,"A",X478=3,"B",X478=2,"C",X478=1,"D")</f>
        <v>D</v>
      </c>
      <c r="AA478" s="255"/>
    </row>
    <row r="479" spans="1:27" s="99" customFormat="1">
      <c r="A479" s="11"/>
      <c r="B479" s="95"/>
      <c r="C479" s="96"/>
      <c r="D479" s="97"/>
      <c r="E479" s="447" t="s">
        <v>129</v>
      </c>
      <c r="F479" s="446"/>
      <c r="G479" s="441"/>
      <c r="H479" s="446"/>
      <c r="I479" s="441"/>
      <c r="J479" s="446"/>
      <c r="K479" s="441"/>
      <c r="L479" s="441"/>
      <c r="M479" s="98"/>
      <c r="N479" s="11"/>
      <c r="Q479" s="11"/>
      <c r="R479" s="129">
        <f t="shared" si="232"/>
        <v>0</v>
      </c>
      <c r="S479" s="258"/>
      <c r="T479" s="129">
        <f t="shared" si="233"/>
        <v>0</v>
      </c>
      <c r="U479" s="129">
        <f t="shared" si="235"/>
        <v>0</v>
      </c>
      <c r="V479" s="258"/>
      <c r="W479" s="129" t="str">
        <f t="shared" si="236"/>
        <v/>
      </c>
      <c r="X479" s="129">
        <f t="shared" si="234"/>
        <v>1</v>
      </c>
      <c r="Y479" s="129">
        <f t="shared" si="237"/>
        <v>1</v>
      </c>
      <c r="Z479" s="129" t="str" cm="1">
        <f t="array" ref="Z479">_xlfn.IFS(X479=4,"A",X479=3,"B",X479=2,"C",X479=1,"D")</f>
        <v>D</v>
      </c>
      <c r="AA479" s="129"/>
    </row>
    <row r="480" spans="1:27" customFormat="1" ht="7.5" customHeight="1">
      <c r="B480" s="65"/>
      <c r="C480" s="4"/>
      <c r="D480" s="4"/>
      <c r="E480" s="4"/>
      <c r="F480" s="4"/>
      <c r="G480" s="4"/>
      <c r="H480" s="4"/>
      <c r="I480" s="4"/>
      <c r="J480" s="4"/>
      <c r="K480" s="4"/>
      <c r="L480" s="4"/>
      <c r="M480" s="9"/>
      <c r="N480" s="2"/>
      <c r="O480" s="2"/>
      <c r="P480" s="2"/>
      <c r="R480" s="129">
        <f t="shared" si="232"/>
        <v>0</v>
      </c>
      <c r="S480" s="258"/>
      <c r="T480" s="129">
        <f t="shared" si="233"/>
        <v>0</v>
      </c>
      <c r="U480" s="129">
        <f>IF(AND(J480="実施済",K480="実施済"),$T480*1,0)</f>
        <v>0</v>
      </c>
      <c r="V480" s="258"/>
      <c r="W480" s="129" t="str">
        <f t="shared" si="236"/>
        <v/>
      </c>
      <c r="X480" s="129">
        <f t="shared" si="234"/>
        <v>1</v>
      </c>
      <c r="Y480" s="129">
        <f t="shared" si="237"/>
        <v>1</v>
      </c>
      <c r="Z480" s="129" t="str" cm="1">
        <f t="array" ref="Z480">_xlfn.IFS(X480=4,"A",X480=3,"B",X480=2,"C",X480=1,"D")</f>
        <v>D</v>
      </c>
      <c r="AA480" s="175"/>
    </row>
    <row r="481" spans="1:27" customFormat="1" ht="18" customHeight="1">
      <c r="N481" s="2"/>
      <c r="O481" s="2"/>
      <c r="P481" s="2"/>
      <c r="R481" s="129">
        <f t="shared" si="232"/>
        <v>0</v>
      </c>
      <c r="S481" s="258"/>
      <c r="T481" s="129">
        <f t="shared" si="233"/>
        <v>0</v>
      </c>
      <c r="U481" s="129">
        <f t="shared" ref="U481" si="238">IF(AND(J481="実施済",K481="実施済"),$T481*1,0)</f>
        <v>0</v>
      </c>
      <c r="V481" s="258"/>
      <c r="W481" s="129" t="str">
        <f t="shared" si="236"/>
        <v/>
      </c>
      <c r="X481" s="129">
        <f t="shared" si="234"/>
        <v>1</v>
      </c>
      <c r="Y481" s="129">
        <f t="shared" si="237"/>
        <v>1</v>
      </c>
      <c r="Z481" s="129" t="str" cm="1">
        <f t="array" ref="Z481">_xlfn.IFS(X481=4,"A",X481=3,"B",X481=2,"C",X481=1,"D")</f>
        <v>D</v>
      </c>
      <c r="AA481" s="175"/>
    </row>
    <row r="482" spans="1:27" customFormat="1" ht="103.5" customHeight="1">
      <c r="C482" s="78"/>
      <c r="D482" s="79"/>
      <c r="E482" s="71" t="s">
        <v>236</v>
      </c>
      <c r="F482" s="1452"/>
      <c r="G482" s="1452"/>
      <c r="H482" s="1452"/>
      <c r="I482" s="1452"/>
      <c r="J482" s="1452"/>
      <c r="K482" s="1452"/>
      <c r="L482" s="1452"/>
      <c r="M482" s="80" t="s">
        <v>132</v>
      </c>
      <c r="N482" s="80"/>
    </row>
    <row r="483" spans="1:27" customFormat="1" ht="146.25" customHeight="1">
      <c r="C483" s="75"/>
      <c r="D483" s="68"/>
      <c r="E483" s="71" t="s">
        <v>235</v>
      </c>
      <c r="F483" s="1452"/>
      <c r="G483" s="1452"/>
      <c r="H483" s="1452"/>
      <c r="I483" s="1452"/>
      <c r="J483" s="1452"/>
      <c r="K483" s="1452"/>
      <c r="L483" s="1452"/>
      <c r="N483" s="2"/>
      <c r="O483" s="2"/>
      <c r="P483" s="2"/>
    </row>
    <row r="484" spans="1:27" customFormat="1" ht="13.5" customHeight="1" thickBot="1">
      <c r="A484" s="81"/>
      <c r="B484" s="81"/>
      <c r="C484" s="81"/>
      <c r="D484" s="81"/>
      <c r="E484" s="81"/>
      <c r="F484" s="81"/>
      <c r="G484" s="81"/>
      <c r="H484" s="81"/>
      <c r="I484" s="81"/>
      <c r="J484" s="81"/>
      <c r="K484" s="81"/>
      <c r="L484" s="81"/>
      <c r="M484" s="81"/>
      <c r="N484" s="82"/>
      <c r="O484" s="2"/>
      <c r="P484" s="2"/>
    </row>
    <row r="485" spans="1:27" customFormat="1" ht="13.5" customHeight="1">
      <c r="N485" s="2"/>
      <c r="O485" s="2"/>
      <c r="P485" s="2"/>
    </row>
    <row r="486" spans="1:27" customFormat="1" ht="15" customHeight="1">
      <c r="B486" s="10"/>
      <c r="C486" s="5"/>
      <c r="D486" s="5"/>
      <c r="E486" s="5"/>
      <c r="F486" s="5"/>
      <c r="G486" s="5"/>
      <c r="H486" s="5"/>
      <c r="I486" s="5"/>
      <c r="J486" s="5"/>
      <c r="K486" s="5"/>
      <c r="L486" s="5"/>
      <c r="M486" s="6"/>
      <c r="R486" s="11" t="str">
        <f>D487</f>
        <v>(選択してください)</v>
      </c>
    </row>
    <row r="487" spans="1:27" customFormat="1">
      <c r="B487" s="7"/>
      <c r="C487" s="77" t="str">
        <f ca="1">IFERROR(OFFSET('4.2民生電力需要量'!$C$1,MATCH(D487,'4.2民生電力需要量'!$E:$E,0)-1,0),"")</f>
        <v/>
      </c>
      <c r="D487" s="94" t="s">
        <v>130</v>
      </c>
      <c r="E487" s="72" t="s">
        <v>131</v>
      </c>
      <c r="F487" s="1451" t="str">
        <f ca="1">IFERROR(OFFSET('4.2民生電力需要量'!$G$1,MATCH($D487,'4.2民生電力需要量'!$E:$E,0)-1,0),"")</f>
        <v/>
      </c>
      <c r="G487" s="1451"/>
      <c r="H487" s="1451"/>
      <c r="I487" s="1451"/>
      <c r="J487" s="1451"/>
      <c r="K487" s="1451"/>
      <c r="L487" s="1451"/>
      <c r="M487" s="8"/>
      <c r="R487" s="255" t="str">
        <f ca="1">IFERROR(OFFSET('4.2民生電力需要量'!$G$1,MATCH($D487,'4.2民生電力需要量'!$E:$E,0)-1,0),"")</f>
        <v/>
      </c>
      <c r="S487" s="175"/>
      <c r="T487" s="175"/>
      <c r="U487" s="175"/>
      <c r="V487" s="175"/>
      <c r="W487" s="175"/>
      <c r="X487" s="175"/>
      <c r="Y487" s="175"/>
      <c r="Z487" s="175"/>
      <c r="AA487" s="175">
        <f ca="1">(F487=R487)*1</f>
        <v>1</v>
      </c>
    </row>
    <row r="488" spans="1:27" customFormat="1">
      <c r="B488" s="7"/>
      <c r="C488" s="915"/>
      <c r="D488" s="97"/>
      <c r="E488" s="72" t="s">
        <v>612</v>
      </c>
      <c r="F488" s="1447" t="str">
        <f ca="1">IFERROR(OFFSET('4.2民生電力需要量'!$L$1,MATCH($D487,'4.2民生電力需要量'!$E:$E,0)-1,0),"")</f>
        <v/>
      </c>
      <c r="G488" s="1448"/>
      <c r="H488" s="1448"/>
      <c r="I488" s="1448"/>
      <c r="J488" s="1448"/>
      <c r="K488" s="1448"/>
      <c r="L488" s="1449"/>
      <c r="M488" s="8"/>
      <c r="R488" s="255" t="str">
        <f ca="1">IFERROR(OFFSET('4.2民生電力需要量'!$L$1,MATCH($D487,'4.2民生電力需要量'!$E:$E,0)-1,0),"")</f>
        <v/>
      </c>
      <c r="S488" s="175"/>
      <c r="T488" s="175"/>
      <c r="U488" s="175"/>
      <c r="V488" s="175"/>
      <c r="W488" s="175"/>
      <c r="X488" s="175"/>
      <c r="Y488" s="175"/>
      <c r="Z488" s="175"/>
      <c r="AA488" s="175">
        <f ca="1">(F488=R488)*1</f>
        <v>1</v>
      </c>
    </row>
    <row r="489" spans="1:27" customFormat="1">
      <c r="B489" s="7"/>
      <c r="C489" s="74"/>
      <c r="D489" s="66"/>
      <c r="E489" s="72" t="s">
        <v>220</v>
      </c>
      <c r="F489" s="1450" t="str">
        <f ca="1">IFERROR(OFFSET('4.2民生電力需要量'!$I$1,MATCH($D487,'4.2民生電力需要量'!$E:$E,0)-1,0),"")</f>
        <v/>
      </c>
      <c r="G489" s="1450"/>
      <c r="H489" s="1450"/>
      <c r="I489" s="1450"/>
      <c r="J489" s="1450"/>
      <c r="K489" s="1450"/>
      <c r="L489" s="1450"/>
      <c r="M489" s="8"/>
      <c r="R489" s="255" t="str">
        <f ca="1">IFERROR(OFFSET('4.2民生電力需要量'!$I$1,MATCH($D487,'4.2民生電力需要量'!$E:$E,0)-1,0),"")</f>
        <v/>
      </c>
      <c r="S489" s="175"/>
      <c r="T489" s="175"/>
      <c r="U489" s="175"/>
      <c r="V489" s="175"/>
      <c r="W489" s="175"/>
      <c r="X489" s="175"/>
      <c r="Y489" s="175"/>
      <c r="Z489" s="175"/>
      <c r="AA489" s="175">
        <f t="shared" ref="AA489:AA490" ca="1" si="239">(F489=R489)*1</f>
        <v>1</v>
      </c>
    </row>
    <row r="490" spans="1:27" customFormat="1">
      <c r="B490" s="7"/>
      <c r="C490" s="74"/>
      <c r="D490" s="66"/>
      <c r="E490" s="72" t="s">
        <v>175</v>
      </c>
      <c r="F490" s="1451" t="str">
        <f>_xlfn.IFNA(R490,"")</f>
        <v/>
      </c>
      <c r="G490" s="1451"/>
      <c r="H490" s="1451"/>
      <c r="I490" s="1451"/>
      <c r="J490" s="1451"/>
      <c r="K490" s="1451"/>
      <c r="L490" s="1451"/>
      <c r="M490" s="8"/>
      <c r="R490" s="129" t="str">
        <f>IF(OR(COUNTIF($E492:$E497,"&lt;&gt;〇〇(合意形成対象者名に書き換え)")=3,COUNTIF($E492:$E497,"")&gt;3),"",IF(PRODUCT($Y492:$Y497)=1,Z492,""))</f>
        <v/>
      </c>
      <c r="S490" s="175"/>
      <c r="T490" s="175"/>
      <c r="U490" s="175"/>
      <c r="V490" s="175"/>
      <c r="W490" s="175"/>
      <c r="X490" s="175"/>
      <c r="Y490" s="175"/>
      <c r="Z490" s="175"/>
      <c r="AA490" s="175">
        <f t="shared" si="239"/>
        <v>1</v>
      </c>
    </row>
    <row r="491" spans="1:27" ht="63.75" customHeight="1">
      <c r="B491" s="95"/>
      <c r="C491" s="96"/>
      <c r="D491" s="97"/>
      <c r="E491" s="372"/>
      <c r="F491" s="313" t="s">
        <v>268</v>
      </c>
      <c r="G491" s="313" t="s">
        <v>271</v>
      </c>
      <c r="H491" s="313" t="s">
        <v>272</v>
      </c>
      <c r="I491" s="313" t="s">
        <v>269</v>
      </c>
      <c r="J491" s="313" t="s">
        <v>434</v>
      </c>
      <c r="K491" s="313" t="s">
        <v>435</v>
      </c>
      <c r="L491" s="313" t="s">
        <v>270</v>
      </c>
      <c r="M491" s="98"/>
      <c r="N491" s="11"/>
      <c r="R491" s="126" t="s">
        <v>299</v>
      </c>
      <c r="S491" s="257" t="s">
        <v>423</v>
      </c>
      <c r="T491" s="126" t="s">
        <v>424</v>
      </c>
      <c r="U491" s="296" t="s">
        <v>436</v>
      </c>
      <c r="V491" s="256" t="s">
        <v>270</v>
      </c>
      <c r="W491" s="126" t="s">
        <v>426</v>
      </c>
      <c r="X491" s="129" t="s">
        <v>402</v>
      </c>
      <c r="Y491" s="129" t="s">
        <v>430</v>
      </c>
      <c r="Z491" s="126" t="s">
        <v>425</v>
      </c>
      <c r="AA491" s="255"/>
    </row>
    <row r="492" spans="1:27" hidden="1">
      <c r="B492" s="95"/>
      <c r="C492" s="96"/>
      <c r="D492" s="97"/>
      <c r="E492" s="442"/>
      <c r="F492" s="443"/>
      <c r="G492" s="439"/>
      <c r="H492" s="443"/>
      <c r="I492" s="439"/>
      <c r="J492" s="443"/>
      <c r="K492" s="439"/>
      <c r="L492" s="444"/>
      <c r="M492" s="98"/>
      <c r="N492" s="11"/>
      <c r="R492" s="129">
        <f t="shared" ref="R492:R497" si="240">IF(F492="実施済",1,0)</f>
        <v>0</v>
      </c>
      <c r="S492" s="258"/>
      <c r="T492" s="129">
        <f t="shared" ref="T492:T497" si="241">IF(AND(H492="実施済",I492="実施済"),R492*1,0)</f>
        <v>0</v>
      </c>
      <c r="U492" s="129">
        <f>IF(AND(J492="実施済",K492="実施済"),$T492*1,0)</f>
        <v>0</v>
      </c>
      <c r="V492" s="258"/>
      <c r="W492" s="129" t="str">
        <f>IF(OR(E492="〇〇(合意形成対象者名に書き換え)",E492=""),"",SUM(R492,T492,U492))</f>
        <v/>
      </c>
      <c r="X492" s="129">
        <f t="shared" ref="X492:X497" si="242">MIN($W$492:$W$497)+1</f>
        <v>1</v>
      </c>
      <c r="Y492" s="129">
        <f>IF(E492="",1,IF(AND(E492="〇〇(合意形成対象者名に書き換え)",COUNTA($F492:$L492)=0),1,IF(AND(E492&lt;&gt;"〇〇(合意形成対象者名に書き換え)",COUNTA($F492:$L492)=7),1,0)))</f>
        <v>1</v>
      </c>
      <c r="Z492" s="129" t="str" cm="1">
        <f t="array" ref="Z492">_xlfn.IFS(X492=4,"A",X492=3,"B",X492=2,"C",X492=1,"D")</f>
        <v>D</v>
      </c>
      <c r="AA492" s="255"/>
    </row>
    <row r="493" spans="1:27">
      <c r="B493" s="95"/>
      <c r="C493" s="96"/>
      <c r="D493" s="97"/>
      <c r="E493" s="447" t="s">
        <v>129</v>
      </c>
      <c r="F493" s="446"/>
      <c r="G493" s="441"/>
      <c r="H493" s="446"/>
      <c r="I493" s="441"/>
      <c r="J493" s="446"/>
      <c r="K493" s="441"/>
      <c r="L493" s="441"/>
      <c r="M493" s="98"/>
      <c r="N493" s="11"/>
      <c r="R493" s="129">
        <f t="shared" si="240"/>
        <v>0</v>
      </c>
      <c r="S493" s="258"/>
      <c r="T493" s="129">
        <f t="shared" si="241"/>
        <v>0</v>
      </c>
      <c r="U493" s="129">
        <f t="shared" ref="U493:U495" si="243">IF(AND(J493="実施済",K493="実施済"),$T493*1,0)</f>
        <v>0</v>
      </c>
      <c r="V493" s="258"/>
      <c r="W493" s="129" t="str">
        <f t="shared" ref="W493:W497" si="244">IF(OR(E493="〇〇(合意形成対象者名に書き換え)",E493=""),"",SUM(R493,T493,U493))</f>
        <v/>
      </c>
      <c r="X493" s="129">
        <f t="shared" si="242"/>
        <v>1</v>
      </c>
      <c r="Y493" s="129">
        <f t="shared" ref="Y493:Y497" si="245">IF(E493="",1,IF(AND(E493="〇〇(合意形成対象者名に書き換え)",COUNTA($F493:$L493)=0),1,IF(AND(E493&lt;&gt;"〇〇(合意形成対象者名に書き換え)",COUNTA($F493:$L493)=7),1,0)))</f>
        <v>1</v>
      </c>
      <c r="Z493" s="129" t="str" cm="1">
        <f t="array" ref="Z493">_xlfn.IFS(X493=4,"A",X493=3,"B",X493=2,"C",X493=1,"D")</f>
        <v>D</v>
      </c>
      <c r="AA493" s="255"/>
    </row>
    <row r="494" spans="1:27">
      <c r="B494" s="95"/>
      <c r="C494" s="96"/>
      <c r="D494" s="97"/>
      <c r="E494" s="447" t="s">
        <v>129</v>
      </c>
      <c r="F494" s="446"/>
      <c r="G494" s="441"/>
      <c r="H494" s="446"/>
      <c r="I494" s="441"/>
      <c r="J494" s="446"/>
      <c r="K494" s="441"/>
      <c r="L494" s="441"/>
      <c r="M494" s="98"/>
      <c r="N494" s="11"/>
      <c r="R494" s="129">
        <f t="shared" si="240"/>
        <v>0</v>
      </c>
      <c r="S494" s="258"/>
      <c r="T494" s="129">
        <f t="shared" si="241"/>
        <v>0</v>
      </c>
      <c r="U494" s="129">
        <f t="shared" si="243"/>
        <v>0</v>
      </c>
      <c r="V494" s="258"/>
      <c r="W494" s="129" t="str">
        <f t="shared" si="244"/>
        <v/>
      </c>
      <c r="X494" s="129">
        <f t="shared" si="242"/>
        <v>1</v>
      </c>
      <c r="Y494" s="129">
        <f t="shared" si="245"/>
        <v>1</v>
      </c>
      <c r="Z494" s="129" t="str" cm="1">
        <f t="array" ref="Z494">_xlfn.IFS(X494=4,"A",X494=3,"B",X494=2,"C",X494=1,"D")</f>
        <v>D</v>
      </c>
      <c r="AA494" s="255"/>
    </row>
    <row r="495" spans="1:27" s="99" customFormat="1">
      <c r="A495" s="11"/>
      <c r="B495" s="95"/>
      <c r="C495" s="96"/>
      <c r="D495" s="97"/>
      <c r="E495" s="447" t="s">
        <v>129</v>
      </c>
      <c r="F495" s="446"/>
      <c r="G495" s="441"/>
      <c r="H495" s="446"/>
      <c r="I495" s="441"/>
      <c r="J495" s="446"/>
      <c r="K495" s="441"/>
      <c r="L495" s="441"/>
      <c r="M495" s="98"/>
      <c r="N495" s="11"/>
      <c r="Q495" s="11"/>
      <c r="R495" s="129">
        <f t="shared" si="240"/>
        <v>0</v>
      </c>
      <c r="S495" s="258"/>
      <c r="T495" s="129">
        <f t="shared" si="241"/>
        <v>0</v>
      </c>
      <c r="U495" s="129">
        <f t="shared" si="243"/>
        <v>0</v>
      </c>
      <c r="V495" s="258"/>
      <c r="W495" s="129" t="str">
        <f t="shared" si="244"/>
        <v/>
      </c>
      <c r="X495" s="129">
        <f t="shared" si="242"/>
        <v>1</v>
      </c>
      <c r="Y495" s="129">
        <f t="shared" si="245"/>
        <v>1</v>
      </c>
      <c r="Z495" s="129" t="str" cm="1">
        <f t="array" ref="Z495">_xlfn.IFS(X495=4,"A",X495=3,"B",X495=2,"C",X495=1,"D")</f>
        <v>D</v>
      </c>
      <c r="AA495" s="129"/>
    </row>
    <row r="496" spans="1:27" customFormat="1" ht="7.5" customHeight="1">
      <c r="B496" s="65"/>
      <c r="C496" s="4"/>
      <c r="D496" s="4"/>
      <c r="E496" s="4"/>
      <c r="F496" s="4"/>
      <c r="G496" s="4"/>
      <c r="H496" s="4"/>
      <c r="I496" s="4"/>
      <c r="J496" s="4"/>
      <c r="K496" s="4"/>
      <c r="L496" s="4"/>
      <c r="M496" s="9"/>
      <c r="N496" s="2"/>
      <c r="O496" s="2"/>
      <c r="P496" s="2"/>
      <c r="R496" s="129">
        <f t="shared" si="240"/>
        <v>0</v>
      </c>
      <c r="S496" s="258"/>
      <c r="T496" s="129">
        <f t="shared" si="241"/>
        <v>0</v>
      </c>
      <c r="U496" s="129">
        <f>IF(AND(J496="実施済",K496="実施済"),$T496*1,0)</f>
        <v>0</v>
      </c>
      <c r="V496" s="258"/>
      <c r="W496" s="129" t="str">
        <f t="shared" si="244"/>
        <v/>
      </c>
      <c r="X496" s="129">
        <f t="shared" si="242"/>
        <v>1</v>
      </c>
      <c r="Y496" s="129">
        <f t="shared" si="245"/>
        <v>1</v>
      </c>
      <c r="Z496" s="129" t="str" cm="1">
        <f t="array" ref="Z496">_xlfn.IFS(X496=4,"A",X496=3,"B",X496=2,"C",X496=1,"D")</f>
        <v>D</v>
      </c>
      <c r="AA496" s="175"/>
    </row>
    <row r="497" spans="1:27" customFormat="1" ht="18" customHeight="1">
      <c r="N497" s="2"/>
      <c r="O497" s="2"/>
      <c r="P497" s="2"/>
      <c r="R497" s="129">
        <f t="shared" si="240"/>
        <v>0</v>
      </c>
      <c r="S497" s="258"/>
      <c r="T497" s="129">
        <f t="shared" si="241"/>
        <v>0</v>
      </c>
      <c r="U497" s="129">
        <f t="shared" ref="U497" si="246">IF(AND(J497="実施済",K497="実施済"),$T497*1,0)</f>
        <v>0</v>
      </c>
      <c r="V497" s="258"/>
      <c r="W497" s="129" t="str">
        <f t="shared" si="244"/>
        <v/>
      </c>
      <c r="X497" s="129">
        <f t="shared" si="242"/>
        <v>1</v>
      </c>
      <c r="Y497" s="129">
        <f t="shared" si="245"/>
        <v>1</v>
      </c>
      <c r="Z497" s="129" t="str" cm="1">
        <f t="array" ref="Z497">_xlfn.IFS(X497=4,"A",X497=3,"B",X497=2,"C",X497=1,"D")</f>
        <v>D</v>
      </c>
      <c r="AA497" s="175"/>
    </row>
    <row r="498" spans="1:27" customFormat="1" ht="103.5" customHeight="1">
      <c r="C498" s="78"/>
      <c r="D498" s="79"/>
      <c r="E498" s="71" t="s">
        <v>236</v>
      </c>
      <c r="F498" s="1452"/>
      <c r="G498" s="1452"/>
      <c r="H498" s="1452"/>
      <c r="I498" s="1452"/>
      <c r="J498" s="1452"/>
      <c r="K498" s="1452"/>
      <c r="L498" s="1452"/>
      <c r="M498" s="80" t="s">
        <v>132</v>
      </c>
      <c r="N498" s="80"/>
    </row>
    <row r="499" spans="1:27" customFormat="1" ht="146.25" customHeight="1">
      <c r="C499" s="75"/>
      <c r="D499" s="68"/>
      <c r="E499" s="71" t="s">
        <v>235</v>
      </c>
      <c r="F499" s="1452"/>
      <c r="G499" s="1452"/>
      <c r="H499" s="1452"/>
      <c r="I499" s="1452"/>
      <c r="J499" s="1452"/>
      <c r="K499" s="1452"/>
      <c r="L499" s="1452"/>
      <c r="N499" s="2"/>
      <c r="O499" s="2"/>
      <c r="P499" s="2"/>
    </row>
    <row r="500" spans="1:27" customFormat="1" ht="13.5" customHeight="1" thickBot="1">
      <c r="A500" s="81"/>
      <c r="B500" s="81"/>
      <c r="C500" s="81"/>
      <c r="D500" s="81"/>
      <c r="E500" s="81"/>
      <c r="F500" s="81"/>
      <c r="G500" s="81"/>
      <c r="H500" s="81"/>
      <c r="I500" s="81"/>
      <c r="J500" s="81"/>
      <c r="K500" s="81"/>
      <c r="L500" s="81"/>
      <c r="M500" s="81"/>
      <c r="N500" s="82"/>
      <c r="O500" s="2"/>
      <c r="P500" s="2"/>
    </row>
    <row r="501" spans="1:27" customFormat="1" ht="13.5" customHeight="1">
      <c r="N501" s="2"/>
      <c r="O501" s="2"/>
      <c r="P501" s="2"/>
    </row>
    <row r="502" spans="1:27" customFormat="1" ht="15" customHeight="1">
      <c r="B502" s="10"/>
      <c r="C502" s="5"/>
      <c r="D502" s="5"/>
      <c r="E502" s="5"/>
      <c r="F502" s="5"/>
      <c r="G502" s="5"/>
      <c r="H502" s="5"/>
      <c r="I502" s="5"/>
      <c r="J502" s="5"/>
      <c r="K502" s="5"/>
      <c r="L502" s="5"/>
      <c r="M502" s="6"/>
      <c r="R502" s="11" t="str">
        <f>D503</f>
        <v>(選択してください)</v>
      </c>
    </row>
    <row r="503" spans="1:27" customFormat="1">
      <c r="B503" s="7"/>
      <c r="C503" s="77" t="str">
        <f ca="1">IFERROR(OFFSET('4.2民生電力需要量'!$C$1,MATCH(D503,'4.2民生電力需要量'!$E:$E,0)-1,0),"")</f>
        <v/>
      </c>
      <c r="D503" s="94" t="s">
        <v>130</v>
      </c>
      <c r="E503" s="72" t="s">
        <v>131</v>
      </c>
      <c r="F503" s="1451" t="str">
        <f ca="1">IFERROR(OFFSET('4.2民生電力需要量'!$G$1,MATCH($D503,'4.2民生電力需要量'!$E:$E,0)-1,0),"")</f>
        <v/>
      </c>
      <c r="G503" s="1451"/>
      <c r="H503" s="1451"/>
      <c r="I503" s="1451"/>
      <c r="J503" s="1451"/>
      <c r="K503" s="1451"/>
      <c r="L503" s="1451"/>
      <c r="M503" s="8"/>
      <c r="R503" s="255" t="str">
        <f ca="1">IFERROR(OFFSET('4.2民生電力需要量'!$G$1,MATCH($D503,'4.2民生電力需要量'!$E:$E,0)-1,0),"")</f>
        <v/>
      </c>
      <c r="S503" s="175"/>
      <c r="T503" s="175"/>
      <c r="U503" s="175"/>
      <c r="V503" s="175"/>
      <c r="W503" s="175"/>
      <c r="X503" s="175"/>
      <c r="Y503" s="175"/>
      <c r="Z503" s="175"/>
      <c r="AA503" s="175">
        <f ca="1">(F503=R503)*1</f>
        <v>1</v>
      </c>
    </row>
    <row r="504" spans="1:27" customFormat="1">
      <c r="B504" s="7"/>
      <c r="C504" s="915"/>
      <c r="D504" s="97"/>
      <c r="E504" s="72" t="s">
        <v>612</v>
      </c>
      <c r="F504" s="1447" t="str">
        <f ca="1">IFERROR(OFFSET('4.2民生電力需要量'!$L$1,MATCH($D503,'4.2民生電力需要量'!$E:$E,0)-1,0),"")</f>
        <v/>
      </c>
      <c r="G504" s="1448"/>
      <c r="H504" s="1448"/>
      <c r="I504" s="1448"/>
      <c r="J504" s="1448"/>
      <c r="K504" s="1448"/>
      <c r="L504" s="1449"/>
      <c r="M504" s="8"/>
      <c r="R504" s="255" t="str">
        <f ca="1">IFERROR(OFFSET('4.2民生電力需要量'!$L$1,MATCH($D503,'4.2民生電力需要量'!$E:$E,0)-1,0),"")</f>
        <v/>
      </c>
      <c r="S504" s="175"/>
      <c r="T504" s="175"/>
      <c r="U504" s="175"/>
      <c r="V504" s="175"/>
      <c r="W504" s="175"/>
      <c r="X504" s="175"/>
      <c r="Y504" s="175"/>
      <c r="Z504" s="175"/>
      <c r="AA504" s="175">
        <f ca="1">(F504=R504)*1</f>
        <v>1</v>
      </c>
    </row>
    <row r="505" spans="1:27" customFormat="1">
      <c r="B505" s="7"/>
      <c r="C505" s="74"/>
      <c r="D505" s="66"/>
      <c r="E505" s="72" t="s">
        <v>220</v>
      </c>
      <c r="F505" s="1450" t="str">
        <f ca="1">IFERROR(OFFSET('4.2民生電力需要量'!$I$1,MATCH($D503,'4.2民生電力需要量'!$E:$E,0)-1,0),"")</f>
        <v/>
      </c>
      <c r="G505" s="1450"/>
      <c r="H505" s="1450"/>
      <c r="I505" s="1450"/>
      <c r="J505" s="1450"/>
      <c r="K505" s="1450"/>
      <c r="L505" s="1450"/>
      <c r="M505" s="8"/>
      <c r="R505" s="255" t="str">
        <f ca="1">IFERROR(OFFSET('4.2民生電力需要量'!$I$1,MATCH($D503,'4.2民生電力需要量'!$E:$E,0)-1,0),"")</f>
        <v/>
      </c>
      <c r="S505" s="175"/>
      <c r="T505" s="175"/>
      <c r="U505" s="175"/>
      <c r="V505" s="175"/>
      <c r="W505" s="175"/>
      <c r="X505" s="175"/>
      <c r="Y505" s="175"/>
      <c r="Z505" s="175"/>
      <c r="AA505" s="175">
        <f t="shared" ref="AA505:AA506" ca="1" si="247">(F505=R505)*1</f>
        <v>1</v>
      </c>
    </row>
    <row r="506" spans="1:27" customFormat="1">
      <c r="B506" s="7"/>
      <c r="C506" s="74"/>
      <c r="D506" s="66"/>
      <c r="E506" s="72" t="s">
        <v>175</v>
      </c>
      <c r="F506" s="1451" t="str">
        <f>_xlfn.IFNA(R506,"")</f>
        <v/>
      </c>
      <c r="G506" s="1451"/>
      <c r="H506" s="1451"/>
      <c r="I506" s="1451"/>
      <c r="J506" s="1451"/>
      <c r="K506" s="1451"/>
      <c r="L506" s="1451"/>
      <c r="M506" s="8"/>
      <c r="R506" s="129" t="str">
        <f>IF(OR(COUNTIF($E508:$E513,"&lt;&gt;〇〇(合意形成対象者名に書き換え)")=3,COUNTIF($E508:$E513,"")&gt;3),"",IF(PRODUCT($Y508:$Y513)=1,Z508,""))</f>
        <v/>
      </c>
      <c r="S506" s="175"/>
      <c r="T506" s="175"/>
      <c r="U506" s="175"/>
      <c r="V506" s="175"/>
      <c r="W506" s="175"/>
      <c r="X506" s="175"/>
      <c r="Y506" s="175"/>
      <c r="Z506" s="175"/>
      <c r="AA506" s="175">
        <f t="shared" si="247"/>
        <v>1</v>
      </c>
    </row>
    <row r="507" spans="1:27" ht="63.75" customHeight="1">
      <c r="B507" s="95"/>
      <c r="C507" s="96"/>
      <c r="D507" s="97"/>
      <c r="E507" s="372"/>
      <c r="F507" s="313" t="s">
        <v>268</v>
      </c>
      <c r="G507" s="313" t="s">
        <v>271</v>
      </c>
      <c r="H507" s="313" t="s">
        <v>272</v>
      </c>
      <c r="I507" s="313" t="s">
        <v>269</v>
      </c>
      <c r="J507" s="313" t="s">
        <v>434</v>
      </c>
      <c r="K507" s="313" t="s">
        <v>435</v>
      </c>
      <c r="L507" s="313" t="s">
        <v>270</v>
      </c>
      <c r="M507" s="98"/>
      <c r="N507" s="11"/>
      <c r="R507" s="126" t="s">
        <v>299</v>
      </c>
      <c r="S507" s="257" t="s">
        <v>423</v>
      </c>
      <c r="T507" s="126" t="s">
        <v>424</v>
      </c>
      <c r="U507" s="296" t="s">
        <v>436</v>
      </c>
      <c r="V507" s="256" t="s">
        <v>270</v>
      </c>
      <c r="W507" s="126" t="s">
        <v>426</v>
      </c>
      <c r="X507" s="129" t="s">
        <v>402</v>
      </c>
      <c r="Y507" s="129" t="s">
        <v>430</v>
      </c>
      <c r="Z507" s="126" t="s">
        <v>425</v>
      </c>
      <c r="AA507" s="255"/>
    </row>
    <row r="508" spans="1:27" hidden="1">
      <c r="B508" s="95"/>
      <c r="C508" s="96"/>
      <c r="D508" s="97"/>
      <c r="E508" s="442"/>
      <c r="F508" s="443"/>
      <c r="G508" s="439"/>
      <c r="H508" s="443"/>
      <c r="I508" s="439"/>
      <c r="J508" s="443"/>
      <c r="K508" s="439"/>
      <c r="L508" s="444"/>
      <c r="M508" s="98"/>
      <c r="N508" s="11"/>
      <c r="R508" s="129">
        <f t="shared" ref="R508:R513" si="248">IF(F508="実施済",1,0)</f>
        <v>0</v>
      </c>
      <c r="S508" s="258"/>
      <c r="T508" s="129">
        <f t="shared" ref="T508:T513" si="249">IF(AND(H508="実施済",I508="実施済"),R508*1,0)</f>
        <v>0</v>
      </c>
      <c r="U508" s="129">
        <f>IF(AND(J508="実施済",K508="実施済"),$T508*1,0)</f>
        <v>0</v>
      </c>
      <c r="V508" s="258"/>
      <c r="W508" s="129" t="str">
        <f>IF(OR(E508="〇〇(合意形成対象者名に書き換え)",E508=""),"",SUM(R508,T508,U508))</f>
        <v/>
      </c>
      <c r="X508" s="129">
        <f t="shared" ref="X508:X513" si="250">MIN($W$508:$W$513)+1</f>
        <v>1</v>
      </c>
      <c r="Y508" s="129">
        <f>IF(E508="",1,IF(AND(E508="〇〇(合意形成対象者名に書き換え)",COUNTA($F508:$L508)=0),1,IF(AND(E508&lt;&gt;"〇〇(合意形成対象者名に書き換え)",COUNTA($F508:$L508)=7),1,0)))</f>
        <v>1</v>
      </c>
      <c r="Z508" s="129" t="str" cm="1">
        <f t="array" ref="Z508">_xlfn.IFS(X508=4,"A",X508=3,"B",X508=2,"C",X508=1,"D")</f>
        <v>D</v>
      </c>
      <c r="AA508" s="255"/>
    </row>
    <row r="509" spans="1:27">
      <c r="B509" s="95"/>
      <c r="C509" s="96"/>
      <c r="D509" s="97"/>
      <c r="E509" s="447" t="s">
        <v>129</v>
      </c>
      <c r="F509" s="446"/>
      <c r="G509" s="441"/>
      <c r="H509" s="446"/>
      <c r="I509" s="441"/>
      <c r="J509" s="446"/>
      <c r="K509" s="441"/>
      <c r="L509" s="441"/>
      <c r="M509" s="98"/>
      <c r="N509" s="11"/>
      <c r="R509" s="129">
        <f t="shared" si="248"/>
        <v>0</v>
      </c>
      <c r="S509" s="258"/>
      <c r="T509" s="129">
        <f t="shared" si="249"/>
        <v>0</v>
      </c>
      <c r="U509" s="129">
        <f t="shared" ref="U509:U511" si="251">IF(AND(J509="実施済",K509="実施済"),$T509*1,0)</f>
        <v>0</v>
      </c>
      <c r="V509" s="258"/>
      <c r="W509" s="129" t="str">
        <f t="shared" ref="W509:W513" si="252">IF(OR(E509="〇〇(合意形成対象者名に書き換え)",E509=""),"",SUM(R509,T509,U509))</f>
        <v/>
      </c>
      <c r="X509" s="129">
        <f t="shared" si="250"/>
        <v>1</v>
      </c>
      <c r="Y509" s="129">
        <f t="shared" ref="Y509:Y513" si="253">IF(E509="",1,IF(AND(E509="〇〇(合意形成対象者名に書き換え)",COUNTA($F509:$L509)=0),1,IF(AND(E509&lt;&gt;"〇〇(合意形成対象者名に書き換え)",COUNTA($F509:$L509)=7),1,0)))</f>
        <v>1</v>
      </c>
      <c r="Z509" s="129" t="str" cm="1">
        <f t="array" ref="Z509">_xlfn.IFS(X509=4,"A",X509=3,"B",X509=2,"C",X509=1,"D")</f>
        <v>D</v>
      </c>
      <c r="AA509" s="255"/>
    </row>
    <row r="510" spans="1:27">
      <c r="B510" s="95"/>
      <c r="C510" s="96"/>
      <c r="D510" s="97"/>
      <c r="E510" s="447" t="s">
        <v>129</v>
      </c>
      <c r="F510" s="446"/>
      <c r="G510" s="441"/>
      <c r="H510" s="446"/>
      <c r="I510" s="441"/>
      <c r="J510" s="446"/>
      <c r="K510" s="441"/>
      <c r="L510" s="441"/>
      <c r="M510" s="98"/>
      <c r="N510" s="11"/>
      <c r="R510" s="129">
        <f t="shared" si="248"/>
        <v>0</v>
      </c>
      <c r="S510" s="258"/>
      <c r="T510" s="129">
        <f t="shared" si="249"/>
        <v>0</v>
      </c>
      <c r="U510" s="129">
        <f t="shared" si="251"/>
        <v>0</v>
      </c>
      <c r="V510" s="258"/>
      <c r="W510" s="129" t="str">
        <f t="shared" si="252"/>
        <v/>
      </c>
      <c r="X510" s="129">
        <f t="shared" si="250"/>
        <v>1</v>
      </c>
      <c r="Y510" s="129">
        <f t="shared" si="253"/>
        <v>1</v>
      </c>
      <c r="Z510" s="129" t="str" cm="1">
        <f t="array" ref="Z510">_xlfn.IFS(X510=4,"A",X510=3,"B",X510=2,"C",X510=1,"D")</f>
        <v>D</v>
      </c>
      <c r="AA510" s="255"/>
    </row>
    <row r="511" spans="1:27" s="99" customFormat="1">
      <c r="A511" s="11"/>
      <c r="B511" s="95"/>
      <c r="C511" s="96"/>
      <c r="D511" s="97"/>
      <c r="E511" s="447" t="s">
        <v>129</v>
      </c>
      <c r="F511" s="446"/>
      <c r="G511" s="441"/>
      <c r="H511" s="446"/>
      <c r="I511" s="441"/>
      <c r="J511" s="446"/>
      <c r="K511" s="441"/>
      <c r="L511" s="441"/>
      <c r="M511" s="98"/>
      <c r="N511" s="11"/>
      <c r="Q511" s="11"/>
      <c r="R511" s="129">
        <f t="shared" si="248"/>
        <v>0</v>
      </c>
      <c r="S511" s="258"/>
      <c r="T511" s="129">
        <f t="shared" si="249"/>
        <v>0</v>
      </c>
      <c r="U511" s="129">
        <f t="shared" si="251"/>
        <v>0</v>
      </c>
      <c r="V511" s="258"/>
      <c r="W511" s="129" t="str">
        <f t="shared" si="252"/>
        <v/>
      </c>
      <c r="X511" s="129">
        <f t="shared" si="250"/>
        <v>1</v>
      </c>
      <c r="Y511" s="129">
        <f t="shared" si="253"/>
        <v>1</v>
      </c>
      <c r="Z511" s="129" t="str" cm="1">
        <f t="array" ref="Z511">_xlfn.IFS(X511=4,"A",X511=3,"B",X511=2,"C",X511=1,"D")</f>
        <v>D</v>
      </c>
      <c r="AA511" s="129"/>
    </row>
    <row r="512" spans="1:27" customFormat="1" ht="7.5" customHeight="1">
      <c r="B512" s="65"/>
      <c r="C512" s="4"/>
      <c r="D512" s="4"/>
      <c r="E512" s="4"/>
      <c r="F512" s="4"/>
      <c r="G512" s="4"/>
      <c r="H512" s="4"/>
      <c r="I512" s="4"/>
      <c r="J512" s="4"/>
      <c r="K512" s="4"/>
      <c r="L512" s="4"/>
      <c r="M512" s="9"/>
      <c r="N512" s="2"/>
      <c r="O512" s="2"/>
      <c r="P512" s="2"/>
      <c r="R512" s="129">
        <f t="shared" si="248"/>
        <v>0</v>
      </c>
      <c r="S512" s="258"/>
      <c r="T512" s="129">
        <f t="shared" si="249"/>
        <v>0</v>
      </c>
      <c r="U512" s="129">
        <f>IF(AND(J512="実施済",K512="実施済"),$T512*1,0)</f>
        <v>0</v>
      </c>
      <c r="V512" s="258"/>
      <c r="W512" s="129" t="str">
        <f t="shared" si="252"/>
        <v/>
      </c>
      <c r="X512" s="129">
        <f t="shared" si="250"/>
        <v>1</v>
      </c>
      <c r="Y512" s="129">
        <f t="shared" si="253"/>
        <v>1</v>
      </c>
      <c r="Z512" s="129" t="str" cm="1">
        <f t="array" ref="Z512">_xlfn.IFS(X512=4,"A",X512=3,"B",X512=2,"C",X512=1,"D")</f>
        <v>D</v>
      </c>
      <c r="AA512" s="175"/>
    </row>
    <row r="513" spans="1:27" customFormat="1" ht="18" customHeight="1">
      <c r="N513" s="2"/>
      <c r="O513" s="2"/>
      <c r="P513" s="2"/>
      <c r="R513" s="129">
        <f t="shared" si="248"/>
        <v>0</v>
      </c>
      <c r="S513" s="258"/>
      <c r="T513" s="129">
        <f t="shared" si="249"/>
        <v>0</v>
      </c>
      <c r="U513" s="129">
        <f t="shared" ref="U513" si="254">IF(AND(J513="実施済",K513="実施済"),$T513*1,0)</f>
        <v>0</v>
      </c>
      <c r="V513" s="258"/>
      <c r="W513" s="129" t="str">
        <f t="shared" si="252"/>
        <v/>
      </c>
      <c r="X513" s="129">
        <f t="shared" si="250"/>
        <v>1</v>
      </c>
      <c r="Y513" s="129">
        <f t="shared" si="253"/>
        <v>1</v>
      </c>
      <c r="Z513" s="129" t="str" cm="1">
        <f t="array" ref="Z513">_xlfn.IFS(X513=4,"A",X513=3,"B",X513=2,"C",X513=1,"D")</f>
        <v>D</v>
      </c>
      <c r="AA513" s="175"/>
    </row>
    <row r="514" spans="1:27" customFormat="1" ht="103.5" customHeight="1">
      <c r="C514" s="78"/>
      <c r="D514" s="79"/>
      <c r="E514" s="71" t="s">
        <v>236</v>
      </c>
      <c r="F514" s="1452"/>
      <c r="G514" s="1452"/>
      <c r="H514" s="1452"/>
      <c r="I514" s="1452"/>
      <c r="J514" s="1452"/>
      <c r="K514" s="1452"/>
      <c r="L514" s="1452"/>
      <c r="M514" s="80" t="s">
        <v>132</v>
      </c>
      <c r="N514" s="80"/>
    </row>
    <row r="515" spans="1:27" customFormat="1" ht="146.25" customHeight="1">
      <c r="C515" s="75"/>
      <c r="D515" s="68"/>
      <c r="E515" s="71" t="s">
        <v>235</v>
      </c>
      <c r="F515" s="1452"/>
      <c r="G515" s="1452"/>
      <c r="H515" s="1452"/>
      <c r="I515" s="1452"/>
      <c r="J515" s="1452"/>
      <c r="K515" s="1452"/>
      <c r="L515" s="1452"/>
      <c r="N515" s="2"/>
      <c r="O515" s="2"/>
      <c r="P515" s="2"/>
    </row>
    <row r="516" spans="1:27" customFormat="1" ht="13.5" customHeight="1" thickBot="1">
      <c r="A516" s="81"/>
      <c r="B516" s="81"/>
      <c r="C516" s="81"/>
      <c r="D516" s="81"/>
      <c r="E516" s="81"/>
      <c r="F516" s="81"/>
      <c r="G516" s="81"/>
      <c r="H516" s="81"/>
      <c r="I516" s="81"/>
      <c r="J516" s="81"/>
      <c r="K516" s="81"/>
      <c r="L516" s="81"/>
      <c r="M516" s="81"/>
      <c r="N516" s="82"/>
      <c r="O516" s="2"/>
      <c r="P516" s="2"/>
    </row>
    <row r="517" spans="1:27" customFormat="1" ht="13.5" customHeight="1">
      <c r="N517" s="2"/>
      <c r="O517" s="2"/>
      <c r="P517" s="2"/>
    </row>
    <row r="518" spans="1:27" customFormat="1" ht="15" customHeight="1">
      <c r="B518" s="10"/>
      <c r="C518" s="5"/>
      <c r="D518" s="5"/>
      <c r="E518" s="5"/>
      <c r="F518" s="5"/>
      <c r="G518" s="5"/>
      <c r="H518" s="5"/>
      <c r="I518" s="5"/>
      <c r="J518" s="5"/>
      <c r="K518" s="5"/>
      <c r="L518" s="5"/>
      <c r="M518" s="6"/>
      <c r="R518" s="11" t="str">
        <f>D519</f>
        <v>(選択してください)</v>
      </c>
    </row>
    <row r="519" spans="1:27" customFormat="1">
      <c r="B519" s="7"/>
      <c r="C519" s="77" t="str">
        <f ca="1">IFERROR(OFFSET('4.2民生電力需要量'!$C$1,MATCH(D519,'4.2民生電力需要量'!$E:$E,0)-1,0),"")</f>
        <v/>
      </c>
      <c r="D519" s="94" t="s">
        <v>130</v>
      </c>
      <c r="E519" s="72" t="s">
        <v>131</v>
      </c>
      <c r="F519" s="1451" t="str">
        <f ca="1">IFERROR(OFFSET('4.2民生電力需要量'!$G$1,MATCH($D519,'4.2民生電力需要量'!$E:$E,0)-1,0),"")</f>
        <v/>
      </c>
      <c r="G519" s="1451"/>
      <c r="H519" s="1451"/>
      <c r="I519" s="1451"/>
      <c r="J519" s="1451"/>
      <c r="K519" s="1451"/>
      <c r="L519" s="1451"/>
      <c r="M519" s="8"/>
      <c r="R519" s="255" t="str">
        <f ca="1">IFERROR(OFFSET('4.2民生電力需要量'!$G$1,MATCH($D519,'4.2民生電力需要量'!$E:$E,0)-1,0),"")</f>
        <v/>
      </c>
      <c r="S519" s="175"/>
      <c r="T519" s="175"/>
      <c r="U519" s="175"/>
      <c r="V519" s="175"/>
      <c r="W519" s="175"/>
      <c r="X519" s="175"/>
      <c r="Y519" s="175"/>
      <c r="Z519" s="175"/>
      <c r="AA519" s="175">
        <f ca="1">(F519=R519)*1</f>
        <v>1</v>
      </c>
    </row>
    <row r="520" spans="1:27" customFormat="1">
      <c r="B520" s="7"/>
      <c r="C520" s="915"/>
      <c r="D520" s="97"/>
      <c r="E520" s="72" t="s">
        <v>612</v>
      </c>
      <c r="F520" s="1447" t="str">
        <f ca="1">IFERROR(OFFSET('4.2民生電力需要量'!$L$1,MATCH($D519,'4.2民生電力需要量'!$E:$E,0)-1,0),"")</f>
        <v/>
      </c>
      <c r="G520" s="1448"/>
      <c r="H520" s="1448"/>
      <c r="I520" s="1448"/>
      <c r="J520" s="1448"/>
      <c r="K520" s="1448"/>
      <c r="L520" s="1449"/>
      <c r="M520" s="8"/>
      <c r="R520" s="255" t="str">
        <f ca="1">IFERROR(OFFSET('4.2民生電力需要量'!$L$1,MATCH($D519,'4.2民生電力需要量'!$E:$E,0)-1,0),"")</f>
        <v/>
      </c>
      <c r="S520" s="175"/>
      <c r="T520" s="175"/>
      <c r="U520" s="175"/>
      <c r="V520" s="175"/>
      <c r="W520" s="175"/>
      <c r="X520" s="175"/>
      <c r="Y520" s="175"/>
      <c r="Z520" s="175"/>
      <c r="AA520" s="175">
        <f ca="1">(F520=R520)*1</f>
        <v>1</v>
      </c>
    </row>
    <row r="521" spans="1:27" customFormat="1">
      <c r="B521" s="7"/>
      <c r="C521" s="74"/>
      <c r="D521" s="66"/>
      <c r="E521" s="72" t="s">
        <v>220</v>
      </c>
      <c r="F521" s="1450" t="str">
        <f ca="1">IFERROR(OFFSET('4.2民生電力需要量'!$I$1,MATCH($D519,'4.2民生電力需要量'!$E:$E,0)-1,0),"")</f>
        <v/>
      </c>
      <c r="G521" s="1450"/>
      <c r="H521" s="1450"/>
      <c r="I521" s="1450"/>
      <c r="J521" s="1450"/>
      <c r="K521" s="1450"/>
      <c r="L521" s="1450"/>
      <c r="M521" s="8"/>
      <c r="R521" s="255" t="str">
        <f ca="1">IFERROR(OFFSET('4.2民生電力需要量'!$I$1,MATCH($D519,'4.2民生電力需要量'!$E:$E,0)-1,0),"")</f>
        <v/>
      </c>
      <c r="S521" s="175"/>
      <c r="T521" s="175"/>
      <c r="U521" s="175"/>
      <c r="V521" s="175"/>
      <c r="W521" s="175"/>
      <c r="X521" s="175"/>
      <c r="Y521" s="175"/>
      <c r="Z521" s="175"/>
      <c r="AA521" s="175">
        <f t="shared" ref="AA521:AA522" ca="1" si="255">(F521=R521)*1</f>
        <v>1</v>
      </c>
    </row>
    <row r="522" spans="1:27" customFormat="1">
      <c r="B522" s="7"/>
      <c r="C522" s="74"/>
      <c r="D522" s="66"/>
      <c r="E522" s="72" t="s">
        <v>175</v>
      </c>
      <c r="F522" s="1451" t="str">
        <f>_xlfn.IFNA(R522,"")</f>
        <v/>
      </c>
      <c r="G522" s="1451"/>
      <c r="H522" s="1451"/>
      <c r="I522" s="1451"/>
      <c r="J522" s="1451"/>
      <c r="K522" s="1451"/>
      <c r="L522" s="1451"/>
      <c r="M522" s="8"/>
      <c r="R522" s="129" t="str">
        <f>IF(OR(COUNTIF($E524:$E529,"&lt;&gt;〇〇(合意形成対象者名に書き換え)")=3,COUNTIF($E524:$E529,"")&gt;3),"",IF(PRODUCT($Y524:$Y529)=1,Z524,""))</f>
        <v/>
      </c>
      <c r="S522" s="175"/>
      <c r="T522" s="175"/>
      <c r="U522" s="175"/>
      <c r="V522" s="175"/>
      <c r="W522" s="175"/>
      <c r="X522" s="175"/>
      <c r="Y522" s="175"/>
      <c r="Z522" s="175"/>
      <c r="AA522" s="175">
        <f t="shared" si="255"/>
        <v>1</v>
      </c>
    </row>
    <row r="523" spans="1:27" ht="63.75" customHeight="1">
      <c r="B523" s="95"/>
      <c r="C523" s="96"/>
      <c r="D523" s="97"/>
      <c r="E523" s="372"/>
      <c r="F523" s="313" t="s">
        <v>268</v>
      </c>
      <c r="G523" s="313" t="s">
        <v>271</v>
      </c>
      <c r="H523" s="313" t="s">
        <v>272</v>
      </c>
      <c r="I523" s="313" t="s">
        <v>269</v>
      </c>
      <c r="J523" s="313" t="s">
        <v>434</v>
      </c>
      <c r="K523" s="313" t="s">
        <v>435</v>
      </c>
      <c r="L523" s="313" t="s">
        <v>270</v>
      </c>
      <c r="M523" s="98"/>
      <c r="N523" s="11"/>
      <c r="R523" s="126" t="s">
        <v>299</v>
      </c>
      <c r="S523" s="257" t="s">
        <v>423</v>
      </c>
      <c r="T523" s="126" t="s">
        <v>424</v>
      </c>
      <c r="U523" s="296" t="s">
        <v>436</v>
      </c>
      <c r="V523" s="256" t="s">
        <v>270</v>
      </c>
      <c r="W523" s="126" t="s">
        <v>426</v>
      </c>
      <c r="X523" s="129" t="s">
        <v>402</v>
      </c>
      <c r="Y523" s="129" t="s">
        <v>430</v>
      </c>
      <c r="Z523" s="126" t="s">
        <v>425</v>
      </c>
      <c r="AA523" s="255"/>
    </row>
    <row r="524" spans="1:27" hidden="1">
      <c r="B524" s="95"/>
      <c r="C524" s="96"/>
      <c r="D524" s="97"/>
      <c r="E524" s="442"/>
      <c r="F524" s="443"/>
      <c r="G524" s="439"/>
      <c r="H524" s="443"/>
      <c r="I524" s="439"/>
      <c r="J524" s="443"/>
      <c r="K524" s="439"/>
      <c r="L524" s="444"/>
      <c r="M524" s="98"/>
      <c r="N524" s="11"/>
      <c r="R524" s="129">
        <f t="shared" ref="R524:R529" si="256">IF(F524="実施済",1,0)</f>
        <v>0</v>
      </c>
      <c r="S524" s="258"/>
      <c r="T524" s="129">
        <f t="shared" ref="T524:T529" si="257">IF(AND(H524="実施済",I524="実施済"),R524*1,0)</f>
        <v>0</v>
      </c>
      <c r="U524" s="129">
        <f>IF(AND(J524="実施済",K524="実施済"),$T524*1,0)</f>
        <v>0</v>
      </c>
      <c r="V524" s="258"/>
      <c r="W524" s="129" t="str">
        <f>IF(OR(E524="〇〇(合意形成対象者名に書き換え)",E524=""),"",SUM(R524,T524,U524))</f>
        <v/>
      </c>
      <c r="X524" s="129">
        <f t="shared" ref="X524:X529" si="258">MIN($W$524:$W$529)+1</f>
        <v>1</v>
      </c>
      <c r="Y524" s="129">
        <f>IF(E524="",1,IF(AND(E524="〇〇(合意形成対象者名に書き換え)",COUNTA($F524:$L524)=0),1,IF(AND(E524&lt;&gt;"〇〇(合意形成対象者名に書き換え)",COUNTA($F524:$L524)=7),1,0)))</f>
        <v>1</v>
      </c>
      <c r="Z524" s="129" t="str" cm="1">
        <f t="array" ref="Z524">_xlfn.IFS(X524=4,"A",X524=3,"B",X524=2,"C",X524=1,"D")</f>
        <v>D</v>
      </c>
      <c r="AA524" s="255"/>
    </row>
    <row r="525" spans="1:27">
      <c r="B525" s="95"/>
      <c r="C525" s="96"/>
      <c r="D525" s="97"/>
      <c r="E525" s="447" t="s">
        <v>129</v>
      </c>
      <c r="F525" s="446"/>
      <c r="G525" s="441"/>
      <c r="H525" s="446"/>
      <c r="I525" s="441"/>
      <c r="J525" s="446"/>
      <c r="K525" s="441"/>
      <c r="L525" s="441"/>
      <c r="M525" s="98"/>
      <c r="N525" s="11"/>
      <c r="R525" s="129">
        <f t="shared" si="256"/>
        <v>0</v>
      </c>
      <c r="S525" s="258"/>
      <c r="T525" s="129">
        <f t="shared" si="257"/>
        <v>0</v>
      </c>
      <c r="U525" s="129">
        <f t="shared" ref="U525:U527" si="259">IF(AND(J525="実施済",K525="実施済"),$T525*1,0)</f>
        <v>0</v>
      </c>
      <c r="V525" s="258"/>
      <c r="W525" s="129" t="str">
        <f t="shared" ref="W525:W529" si="260">IF(OR(E525="〇〇(合意形成対象者名に書き換え)",E525=""),"",SUM(R525,T525,U525))</f>
        <v/>
      </c>
      <c r="X525" s="129">
        <f t="shared" si="258"/>
        <v>1</v>
      </c>
      <c r="Y525" s="129">
        <f t="shared" ref="Y525:Y529" si="261">IF(E525="",1,IF(AND(E525="〇〇(合意形成対象者名に書き換え)",COUNTA($F525:$L525)=0),1,IF(AND(E525&lt;&gt;"〇〇(合意形成対象者名に書き換え)",COUNTA($F525:$L525)=7),1,0)))</f>
        <v>1</v>
      </c>
      <c r="Z525" s="129" t="str" cm="1">
        <f t="array" ref="Z525">_xlfn.IFS(X525=4,"A",X525=3,"B",X525=2,"C",X525=1,"D")</f>
        <v>D</v>
      </c>
      <c r="AA525" s="255"/>
    </row>
    <row r="526" spans="1:27">
      <c r="B526" s="95"/>
      <c r="C526" s="96"/>
      <c r="D526" s="97"/>
      <c r="E526" s="447" t="s">
        <v>129</v>
      </c>
      <c r="F526" s="446"/>
      <c r="G526" s="441"/>
      <c r="H526" s="446"/>
      <c r="I526" s="441"/>
      <c r="J526" s="446"/>
      <c r="K526" s="441"/>
      <c r="L526" s="441"/>
      <c r="M526" s="98"/>
      <c r="N526" s="11"/>
      <c r="R526" s="129">
        <f t="shared" si="256"/>
        <v>0</v>
      </c>
      <c r="S526" s="258"/>
      <c r="T526" s="129">
        <f t="shared" si="257"/>
        <v>0</v>
      </c>
      <c r="U526" s="129">
        <f t="shared" si="259"/>
        <v>0</v>
      </c>
      <c r="V526" s="258"/>
      <c r="W526" s="129" t="str">
        <f t="shared" si="260"/>
        <v/>
      </c>
      <c r="X526" s="129">
        <f t="shared" si="258"/>
        <v>1</v>
      </c>
      <c r="Y526" s="129">
        <f t="shared" si="261"/>
        <v>1</v>
      </c>
      <c r="Z526" s="129" t="str" cm="1">
        <f t="array" ref="Z526">_xlfn.IFS(X526=4,"A",X526=3,"B",X526=2,"C",X526=1,"D")</f>
        <v>D</v>
      </c>
      <c r="AA526" s="255"/>
    </row>
    <row r="527" spans="1:27" s="99" customFormat="1">
      <c r="A527" s="11"/>
      <c r="B527" s="95"/>
      <c r="C527" s="96"/>
      <c r="D527" s="97"/>
      <c r="E527" s="447" t="s">
        <v>129</v>
      </c>
      <c r="F527" s="446"/>
      <c r="G527" s="441"/>
      <c r="H527" s="446"/>
      <c r="I527" s="441"/>
      <c r="J527" s="446"/>
      <c r="K527" s="441"/>
      <c r="L527" s="441"/>
      <c r="M527" s="98"/>
      <c r="N527" s="11"/>
      <c r="Q527" s="11"/>
      <c r="R527" s="129">
        <f t="shared" si="256"/>
        <v>0</v>
      </c>
      <c r="S527" s="258"/>
      <c r="T527" s="129">
        <f t="shared" si="257"/>
        <v>0</v>
      </c>
      <c r="U527" s="129">
        <f t="shared" si="259"/>
        <v>0</v>
      </c>
      <c r="V527" s="258"/>
      <c r="W527" s="129" t="str">
        <f t="shared" si="260"/>
        <v/>
      </c>
      <c r="X527" s="129">
        <f t="shared" si="258"/>
        <v>1</v>
      </c>
      <c r="Y527" s="129">
        <f t="shared" si="261"/>
        <v>1</v>
      </c>
      <c r="Z527" s="129" t="str" cm="1">
        <f t="array" ref="Z527">_xlfn.IFS(X527=4,"A",X527=3,"B",X527=2,"C",X527=1,"D")</f>
        <v>D</v>
      </c>
      <c r="AA527" s="129"/>
    </row>
    <row r="528" spans="1:27" customFormat="1" ht="7.5" customHeight="1">
      <c r="B528" s="65"/>
      <c r="C528" s="4"/>
      <c r="D528" s="4"/>
      <c r="E528" s="4"/>
      <c r="F528" s="4"/>
      <c r="G528" s="4"/>
      <c r="H528" s="4"/>
      <c r="I528" s="4"/>
      <c r="J528" s="4"/>
      <c r="K528" s="4"/>
      <c r="L528" s="4"/>
      <c r="M528" s="9"/>
      <c r="N528" s="2"/>
      <c r="O528" s="2"/>
      <c r="P528" s="2"/>
      <c r="R528" s="129">
        <f t="shared" si="256"/>
        <v>0</v>
      </c>
      <c r="S528" s="258"/>
      <c r="T528" s="129">
        <f t="shared" si="257"/>
        <v>0</v>
      </c>
      <c r="U528" s="129">
        <f>IF(AND(J528="実施済",K528="実施済"),$T528*1,0)</f>
        <v>0</v>
      </c>
      <c r="V528" s="258"/>
      <c r="W528" s="129" t="str">
        <f t="shared" si="260"/>
        <v/>
      </c>
      <c r="X528" s="129">
        <f t="shared" si="258"/>
        <v>1</v>
      </c>
      <c r="Y528" s="129">
        <f t="shared" si="261"/>
        <v>1</v>
      </c>
      <c r="Z528" s="129" t="str" cm="1">
        <f t="array" ref="Z528">_xlfn.IFS(X528=4,"A",X528=3,"B",X528=2,"C",X528=1,"D")</f>
        <v>D</v>
      </c>
      <c r="AA528" s="175"/>
    </row>
    <row r="529" spans="1:27" customFormat="1" ht="18" customHeight="1">
      <c r="N529" s="2"/>
      <c r="O529" s="2"/>
      <c r="P529" s="2"/>
      <c r="R529" s="129">
        <f t="shared" si="256"/>
        <v>0</v>
      </c>
      <c r="S529" s="258"/>
      <c r="T529" s="129">
        <f t="shared" si="257"/>
        <v>0</v>
      </c>
      <c r="U529" s="129">
        <f t="shared" ref="U529" si="262">IF(AND(J529="実施済",K529="実施済"),$T529*1,0)</f>
        <v>0</v>
      </c>
      <c r="V529" s="258"/>
      <c r="W529" s="129" t="str">
        <f t="shared" si="260"/>
        <v/>
      </c>
      <c r="X529" s="129">
        <f t="shared" si="258"/>
        <v>1</v>
      </c>
      <c r="Y529" s="129">
        <f t="shared" si="261"/>
        <v>1</v>
      </c>
      <c r="Z529" s="129" t="str" cm="1">
        <f t="array" ref="Z529">_xlfn.IFS(X529=4,"A",X529=3,"B",X529=2,"C",X529=1,"D")</f>
        <v>D</v>
      </c>
      <c r="AA529" s="175"/>
    </row>
    <row r="530" spans="1:27" customFormat="1" ht="103.5" customHeight="1">
      <c r="C530" s="78"/>
      <c r="D530" s="79"/>
      <c r="E530" s="71" t="s">
        <v>236</v>
      </c>
      <c r="F530" s="1452"/>
      <c r="G530" s="1452"/>
      <c r="H530" s="1452"/>
      <c r="I530" s="1452"/>
      <c r="J530" s="1452"/>
      <c r="K530" s="1452"/>
      <c r="L530" s="1452"/>
      <c r="M530" s="80" t="s">
        <v>132</v>
      </c>
      <c r="N530" s="80"/>
    </row>
    <row r="531" spans="1:27" customFormat="1" ht="146.25" customHeight="1">
      <c r="C531" s="75"/>
      <c r="D531" s="68"/>
      <c r="E531" s="71" t="s">
        <v>235</v>
      </c>
      <c r="F531" s="1452"/>
      <c r="G531" s="1452"/>
      <c r="H531" s="1452"/>
      <c r="I531" s="1452"/>
      <c r="J531" s="1452"/>
      <c r="K531" s="1452"/>
      <c r="L531" s="1452"/>
      <c r="N531" s="2"/>
      <c r="O531" s="2"/>
      <c r="P531" s="2"/>
    </row>
    <row r="532" spans="1:27" customFormat="1" ht="13.5" customHeight="1" thickBot="1">
      <c r="A532" s="81"/>
      <c r="B532" s="81"/>
      <c r="C532" s="81"/>
      <c r="D532" s="81"/>
      <c r="E532" s="81"/>
      <c r="F532" s="81"/>
      <c r="G532" s="81"/>
      <c r="H532" s="81"/>
      <c r="I532" s="81"/>
      <c r="J532" s="81"/>
      <c r="K532" s="81"/>
      <c r="L532" s="81"/>
      <c r="M532" s="81"/>
      <c r="N532" s="82"/>
      <c r="O532" s="2"/>
      <c r="P532" s="2"/>
    </row>
    <row r="533" spans="1:27" customFormat="1" ht="13.5" customHeight="1">
      <c r="N533" s="2"/>
      <c r="O533" s="2"/>
      <c r="P533" s="2"/>
    </row>
    <row r="534" spans="1:27" customFormat="1" ht="15" customHeight="1">
      <c r="B534" s="10"/>
      <c r="C534" s="5"/>
      <c r="D534" s="5"/>
      <c r="E534" s="5"/>
      <c r="F534" s="5"/>
      <c r="G534" s="5"/>
      <c r="H534" s="5"/>
      <c r="I534" s="5"/>
      <c r="J534" s="5"/>
      <c r="K534" s="5"/>
      <c r="L534" s="5"/>
      <c r="M534" s="6"/>
      <c r="R534" s="11" t="str">
        <f>D535</f>
        <v>(選択してください)</v>
      </c>
    </row>
    <row r="535" spans="1:27" customFormat="1">
      <c r="B535" s="7"/>
      <c r="C535" s="77" t="str">
        <f ca="1">IFERROR(OFFSET('4.2民生電力需要量'!$C$1,MATCH(D535,'4.2民生電力需要量'!$E:$E,0)-1,0),"")</f>
        <v/>
      </c>
      <c r="D535" s="94" t="s">
        <v>130</v>
      </c>
      <c r="E535" s="72" t="s">
        <v>131</v>
      </c>
      <c r="F535" s="1451" t="str">
        <f ca="1">IFERROR(OFFSET('4.2民生電力需要量'!$G$1,MATCH($D535,'4.2民生電力需要量'!$E:$E,0)-1,0),"")</f>
        <v/>
      </c>
      <c r="G535" s="1451"/>
      <c r="H535" s="1451"/>
      <c r="I535" s="1451"/>
      <c r="J535" s="1451"/>
      <c r="K535" s="1451"/>
      <c r="L535" s="1451"/>
      <c r="M535" s="8"/>
      <c r="R535" s="255" t="str">
        <f ca="1">IFERROR(OFFSET('4.2民生電力需要量'!$G$1,MATCH($D535,'4.2民生電力需要量'!$E:$E,0)-1,0),"")</f>
        <v/>
      </c>
      <c r="S535" s="175"/>
      <c r="T535" s="175"/>
      <c r="U535" s="175"/>
      <c r="V535" s="175"/>
      <c r="W535" s="175"/>
      <c r="X535" s="175"/>
      <c r="Y535" s="175"/>
      <c r="Z535" s="175"/>
      <c r="AA535" s="175">
        <f ca="1">(F535=R535)*1</f>
        <v>1</v>
      </c>
    </row>
    <row r="536" spans="1:27" customFormat="1">
      <c r="B536" s="7"/>
      <c r="C536" s="915"/>
      <c r="D536" s="97"/>
      <c r="E536" s="72" t="s">
        <v>612</v>
      </c>
      <c r="F536" s="1447" t="str">
        <f ca="1">IFERROR(OFFSET('4.2民生電力需要量'!$L$1,MATCH($D535,'4.2民生電力需要量'!$E:$E,0)-1,0),"")</f>
        <v/>
      </c>
      <c r="G536" s="1448"/>
      <c r="H536" s="1448"/>
      <c r="I536" s="1448"/>
      <c r="J536" s="1448"/>
      <c r="K536" s="1448"/>
      <c r="L536" s="1449"/>
      <c r="M536" s="8"/>
      <c r="R536" s="255" t="str">
        <f ca="1">IFERROR(OFFSET('4.2民生電力需要量'!$L$1,MATCH($D535,'4.2民生電力需要量'!$E:$E,0)-1,0),"")</f>
        <v/>
      </c>
      <c r="S536" s="175"/>
      <c r="T536" s="175"/>
      <c r="U536" s="175"/>
      <c r="V536" s="175"/>
      <c r="W536" s="175"/>
      <c r="X536" s="175"/>
      <c r="Y536" s="175"/>
      <c r="Z536" s="175"/>
      <c r="AA536" s="175">
        <f ca="1">(F536=R536)*1</f>
        <v>1</v>
      </c>
    </row>
    <row r="537" spans="1:27" customFormat="1">
      <c r="B537" s="7"/>
      <c r="C537" s="74"/>
      <c r="D537" s="66"/>
      <c r="E537" s="72" t="s">
        <v>220</v>
      </c>
      <c r="F537" s="1450" t="str">
        <f ca="1">IFERROR(OFFSET('4.2民生電力需要量'!$I$1,MATCH($D535,'4.2民生電力需要量'!$E:$E,0)-1,0),"")</f>
        <v/>
      </c>
      <c r="G537" s="1450"/>
      <c r="H537" s="1450"/>
      <c r="I537" s="1450"/>
      <c r="J537" s="1450"/>
      <c r="K537" s="1450"/>
      <c r="L537" s="1450"/>
      <c r="M537" s="8"/>
      <c r="R537" s="255" t="str">
        <f ca="1">IFERROR(OFFSET('4.2民生電力需要量'!$I$1,MATCH($D535,'4.2民生電力需要量'!$E:$E,0)-1,0),"")</f>
        <v/>
      </c>
      <c r="S537" s="175"/>
      <c r="T537" s="175"/>
      <c r="U537" s="175"/>
      <c r="V537" s="175"/>
      <c r="W537" s="175"/>
      <c r="X537" s="175"/>
      <c r="Y537" s="175"/>
      <c r="Z537" s="175"/>
      <c r="AA537" s="175">
        <f t="shared" ref="AA537:AA538" ca="1" si="263">(F537=R537)*1</f>
        <v>1</v>
      </c>
    </row>
    <row r="538" spans="1:27" customFormat="1">
      <c r="B538" s="7"/>
      <c r="C538" s="74"/>
      <c r="D538" s="66"/>
      <c r="E538" s="72" t="s">
        <v>175</v>
      </c>
      <c r="F538" s="1451" t="str">
        <f>_xlfn.IFNA(R538,"")</f>
        <v/>
      </c>
      <c r="G538" s="1451"/>
      <c r="H538" s="1451"/>
      <c r="I538" s="1451"/>
      <c r="J538" s="1451"/>
      <c r="K538" s="1451"/>
      <c r="L538" s="1451"/>
      <c r="M538" s="8"/>
      <c r="R538" s="129" t="str">
        <f>IF(OR(COUNTIF($E540:$E545,"&lt;&gt;〇〇(合意形成対象者名に書き換え)")=3,COUNTIF($E540:$E545,"")&gt;3),"",IF(PRODUCT($Y540:$Y545)=1,Z540,""))</f>
        <v/>
      </c>
      <c r="S538" s="175"/>
      <c r="T538" s="175"/>
      <c r="U538" s="175"/>
      <c r="V538" s="175"/>
      <c r="W538" s="175"/>
      <c r="X538" s="175"/>
      <c r="Y538" s="175"/>
      <c r="Z538" s="175"/>
      <c r="AA538" s="175">
        <f t="shared" si="263"/>
        <v>1</v>
      </c>
    </row>
    <row r="539" spans="1:27" ht="63.75" customHeight="1">
      <c r="B539" s="95"/>
      <c r="C539" s="96"/>
      <c r="D539" s="97"/>
      <c r="E539" s="372"/>
      <c r="F539" s="313" t="s">
        <v>268</v>
      </c>
      <c r="G539" s="313" t="s">
        <v>271</v>
      </c>
      <c r="H539" s="313" t="s">
        <v>272</v>
      </c>
      <c r="I539" s="313" t="s">
        <v>269</v>
      </c>
      <c r="J539" s="313" t="s">
        <v>434</v>
      </c>
      <c r="K539" s="313" t="s">
        <v>435</v>
      </c>
      <c r="L539" s="313" t="s">
        <v>270</v>
      </c>
      <c r="M539" s="98"/>
      <c r="N539" s="11"/>
      <c r="R539" s="126" t="s">
        <v>299</v>
      </c>
      <c r="S539" s="257" t="s">
        <v>423</v>
      </c>
      <c r="T539" s="126" t="s">
        <v>424</v>
      </c>
      <c r="U539" s="296" t="s">
        <v>436</v>
      </c>
      <c r="V539" s="256" t="s">
        <v>270</v>
      </c>
      <c r="W539" s="126" t="s">
        <v>426</v>
      </c>
      <c r="X539" s="129" t="s">
        <v>402</v>
      </c>
      <c r="Y539" s="129" t="s">
        <v>430</v>
      </c>
      <c r="Z539" s="126" t="s">
        <v>425</v>
      </c>
      <c r="AA539" s="255"/>
    </row>
    <row r="540" spans="1:27" hidden="1">
      <c r="B540" s="95"/>
      <c r="C540" s="96"/>
      <c r="D540" s="97"/>
      <c r="E540" s="442"/>
      <c r="F540" s="443"/>
      <c r="G540" s="439"/>
      <c r="H540" s="443"/>
      <c r="I540" s="439"/>
      <c r="J540" s="443"/>
      <c r="K540" s="439"/>
      <c r="L540" s="444"/>
      <c r="M540" s="98"/>
      <c r="N540" s="11"/>
      <c r="R540" s="129">
        <f t="shared" ref="R540:R545" si="264">IF(F540="実施済",1,0)</f>
        <v>0</v>
      </c>
      <c r="S540" s="258"/>
      <c r="T540" s="129">
        <f t="shared" ref="T540:T545" si="265">IF(AND(H540="実施済",I540="実施済"),R540*1,0)</f>
        <v>0</v>
      </c>
      <c r="U540" s="129">
        <f>IF(AND(J540="実施済",K540="実施済"),$T540*1,0)</f>
        <v>0</v>
      </c>
      <c r="V540" s="258"/>
      <c r="W540" s="129" t="str">
        <f>IF(OR(E540="〇〇(合意形成対象者名に書き換え)",E540=""),"",SUM(R540,T540,U540))</f>
        <v/>
      </c>
      <c r="X540" s="129">
        <f t="shared" ref="X540:X545" si="266">MIN($W$540:$W$545)+1</f>
        <v>1</v>
      </c>
      <c r="Y540" s="129">
        <f>IF(E540="",1,IF(AND(E540="〇〇(合意形成対象者名に書き換え)",COUNTA($F540:$L540)=0),1,IF(AND(E540&lt;&gt;"〇〇(合意形成対象者名に書き換え)",COUNTA($F540:$L540)=7),1,0)))</f>
        <v>1</v>
      </c>
      <c r="Z540" s="129" t="str" cm="1">
        <f t="array" ref="Z540">_xlfn.IFS(X540=4,"A",X540=3,"B",X540=2,"C",X540=1,"D")</f>
        <v>D</v>
      </c>
      <c r="AA540" s="255"/>
    </row>
    <row r="541" spans="1:27">
      <c r="B541" s="95"/>
      <c r="C541" s="96"/>
      <c r="D541" s="97"/>
      <c r="E541" s="447" t="s">
        <v>129</v>
      </c>
      <c r="F541" s="446"/>
      <c r="G541" s="441"/>
      <c r="H541" s="446"/>
      <c r="I541" s="441"/>
      <c r="J541" s="446"/>
      <c r="K541" s="441"/>
      <c r="L541" s="441"/>
      <c r="M541" s="98"/>
      <c r="N541" s="11"/>
      <c r="R541" s="129">
        <f t="shared" si="264"/>
        <v>0</v>
      </c>
      <c r="S541" s="258"/>
      <c r="T541" s="129">
        <f t="shared" si="265"/>
        <v>0</v>
      </c>
      <c r="U541" s="129">
        <f t="shared" ref="U541:U543" si="267">IF(AND(J541="実施済",K541="実施済"),$T541*1,0)</f>
        <v>0</v>
      </c>
      <c r="V541" s="258"/>
      <c r="W541" s="129" t="str">
        <f t="shared" ref="W541:W545" si="268">IF(OR(E541="〇〇(合意形成対象者名に書き換え)",E541=""),"",SUM(R541,T541,U541))</f>
        <v/>
      </c>
      <c r="X541" s="129">
        <f t="shared" si="266"/>
        <v>1</v>
      </c>
      <c r="Y541" s="129">
        <f t="shared" ref="Y541:Y545" si="269">IF(E541="",1,IF(AND(E541="〇〇(合意形成対象者名に書き換え)",COUNTA($F541:$L541)=0),1,IF(AND(E541&lt;&gt;"〇〇(合意形成対象者名に書き換え)",COUNTA($F541:$L541)=7),1,0)))</f>
        <v>1</v>
      </c>
      <c r="Z541" s="129" t="str" cm="1">
        <f t="array" ref="Z541">_xlfn.IFS(X541=4,"A",X541=3,"B",X541=2,"C",X541=1,"D")</f>
        <v>D</v>
      </c>
      <c r="AA541" s="255"/>
    </row>
    <row r="542" spans="1:27">
      <c r="B542" s="95"/>
      <c r="C542" s="96"/>
      <c r="D542" s="97"/>
      <c r="E542" s="447" t="s">
        <v>129</v>
      </c>
      <c r="F542" s="446"/>
      <c r="G542" s="441"/>
      <c r="H542" s="446"/>
      <c r="I542" s="441"/>
      <c r="J542" s="446"/>
      <c r="K542" s="441"/>
      <c r="L542" s="441"/>
      <c r="M542" s="98"/>
      <c r="N542" s="11"/>
      <c r="R542" s="129">
        <f t="shared" si="264"/>
        <v>0</v>
      </c>
      <c r="S542" s="258"/>
      <c r="T542" s="129">
        <f t="shared" si="265"/>
        <v>0</v>
      </c>
      <c r="U542" s="129">
        <f t="shared" si="267"/>
        <v>0</v>
      </c>
      <c r="V542" s="258"/>
      <c r="W542" s="129" t="str">
        <f t="shared" si="268"/>
        <v/>
      </c>
      <c r="X542" s="129">
        <f t="shared" si="266"/>
        <v>1</v>
      </c>
      <c r="Y542" s="129">
        <f t="shared" si="269"/>
        <v>1</v>
      </c>
      <c r="Z542" s="129" t="str" cm="1">
        <f t="array" ref="Z542">_xlfn.IFS(X542=4,"A",X542=3,"B",X542=2,"C",X542=1,"D")</f>
        <v>D</v>
      </c>
      <c r="AA542" s="255"/>
    </row>
    <row r="543" spans="1:27" s="99" customFormat="1">
      <c r="A543" s="11"/>
      <c r="B543" s="95"/>
      <c r="C543" s="96"/>
      <c r="D543" s="97"/>
      <c r="E543" s="447" t="s">
        <v>129</v>
      </c>
      <c r="F543" s="446"/>
      <c r="G543" s="441"/>
      <c r="H543" s="446"/>
      <c r="I543" s="441"/>
      <c r="J543" s="446"/>
      <c r="K543" s="441"/>
      <c r="L543" s="441"/>
      <c r="M543" s="98"/>
      <c r="N543" s="11"/>
      <c r="Q543" s="11"/>
      <c r="R543" s="129">
        <f t="shared" si="264"/>
        <v>0</v>
      </c>
      <c r="S543" s="258"/>
      <c r="T543" s="129">
        <f t="shared" si="265"/>
        <v>0</v>
      </c>
      <c r="U543" s="129">
        <f t="shared" si="267"/>
        <v>0</v>
      </c>
      <c r="V543" s="258"/>
      <c r="W543" s="129" t="str">
        <f t="shared" si="268"/>
        <v/>
      </c>
      <c r="X543" s="129">
        <f t="shared" si="266"/>
        <v>1</v>
      </c>
      <c r="Y543" s="129">
        <f t="shared" si="269"/>
        <v>1</v>
      </c>
      <c r="Z543" s="129" t="str" cm="1">
        <f t="array" ref="Z543">_xlfn.IFS(X543=4,"A",X543=3,"B",X543=2,"C",X543=1,"D")</f>
        <v>D</v>
      </c>
      <c r="AA543" s="129"/>
    </row>
    <row r="544" spans="1:27" customFormat="1" ht="7.5" customHeight="1">
      <c r="B544" s="65"/>
      <c r="C544" s="4"/>
      <c r="D544" s="4"/>
      <c r="E544" s="4"/>
      <c r="F544" s="4"/>
      <c r="G544" s="4"/>
      <c r="H544" s="4"/>
      <c r="I544" s="4"/>
      <c r="J544" s="4"/>
      <c r="K544" s="4"/>
      <c r="L544" s="4"/>
      <c r="M544" s="9"/>
      <c r="N544" s="2"/>
      <c r="O544" s="2"/>
      <c r="P544" s="2"/>
      <c r="R544" s="129">
        <f t="shared" si="264"/>
        <v>0</v>
      </c>
      <c r="S544" s="258"/>
      <c r="T544" s="129">
        <f t="shared" si="265"/>
        <v>0</v>
      </c>
      <c r="U544" s="129">
        <f>IF(AND(J544="実施済",K544="実施済"),$T544*1,0)</f>
        <v>0</v>
      </c>
      <c r="V544" s="258"/>
      <c r="W544" s="129" t="str">
        <f t="shared" si="268"/>
        <v/>
      </c>
      <c r="X544" s="129">
        <f t="shared" si="266"/>
        <v>1</v>
      </c>
      <c r="Y544" s="129">
        <f t="shared" si="269"/>
        <v>1</v>
      </c>
      <c r="Z544" s="129" t="str" cm="1">
        <f t="array" ref="Z544">_xlfn.IFS(X544=4,"A",X544=3,"B",X544=2,"C",X544=1,"D")</f>
        <v>D</v>
      </c>
      <c r="AA544" s="175"/>
    </row>
    <row r="545" spans="1:27" customFormat="1" ht="18" customHeight="1">
      <c r="N545" s="2"/>
      <c r="O545" s="2"/>
      <c r="P545" s="2"/>
      <c r="R545" s="129">
        <f t="shared" si="264"/>
        <v>0</v>
      </c>
      <c r="S545" s="258"/>
      <c r="T545" s="129">
        <f t="shared" si="265"/>
        <v>0</v>
      </c>
      <c r="U545" s="129">
        <f t="shared" ref="U545" si="270">IF(AND(J545="実施済",K545="実施済"),$T545*1,0)</f>
        <v>0</v>
      </c>
      <c r="V545" s="258"/>
      <c r="W545" s="129" t="str">
        <f t="shared" si="268"/>
        <v/>
      </c>
      <c r="X545" s="129">
        <f t="shared" si="266"/>
        <v>1</v>
      </c>
      <c r="Y545" s="129">
        <f t="shared" si="269"/>
        <v>1</v>
      </c>
      <c r="Z545" s="129" t="str" cm="1">
        <f t="array" ref="Z545">_xlfn.IFS(X545=4,"A",X545=3,"B",X545=2,"C",X545=1,"D")</f>
        <v>D</v>
      </c>
      <c r="AA545" s="175"/>
    </row>
    <row r="546" spans="1:27" customFormat="1" ht="103.5" customHeight="1">
      <c r="C546" s="78"/>
      <c r="D546" s="79"/>
      <c r="E546" s="71" t="s">
        <v>236</v>
      </c>
      <c r="F546" s="1452"/>
      <c r="G546" s="1452"/>
      <c r="H546" s="1452"/>
      <c r="I546" s="1452"/>
      <c r="J546" s="1452"/>
      <c r="K546" s="1452"/>
      <c r="L546" s="1452"/>
      <c r="M546" s="80" t="s">
        <v>132</v>
      </c>
      <c r="N546" s="80"/>
    </row>
    <row r="547" spans="1:27" customFormat="1" ht="146.25" customHeight="1">
      <c r="C547" s="75"/>
      <c r="D547" s="68"/>
      <c r="E547" s="71" t="s">
        <v>235</v>
      </c>
      <c r="F547" s="1452"/>
      <c r="G547" s="1452"/>
      <c r="H547" s="1452"/>
      <c r="I547" s="1452"/>
      <c r="J547" s="1452"/>
      <c r="K547" s="1452"/>
      <c r="L547" s="1452"/>
      <c r="N547" s="2"/>
      <c r="O547" s="2"/>
      <c r="P547" s="2"/>
    </row>
    <row r="548" spans="1:27" customFormat="1" ht="13.5" customHeight="1" thickBot="1">
      <c r="A548" s="81"/>
      <c r="B548" s="81"/>
      <c r="C548" s="81"/>
      <c r="D548" s="81"/>
      <c r="E548" s="81"/>
      <c r="F548" s="81"/>
      <c r="G548" s="81"/>
      <c r="H548" s="81"/>
      <c r="I548" s="81"/>
      <c r="J548" s="81"/>
      <c r="K548" s="81"/>
      <c r="L548" s="81"/>
      <c r="M548" s="81"/>
      <c r="N548" s="82"/>
      <c r="O548" s="2"/>
      <c r="P548" s="2"/>
    </row>
    <row r="549" spans="1:27" customFormat="1" ht="13.5" customHeight="1">
      <c r="N549" s="2"/>
      <c r="O549" s="2"/>
      <c r="P549" s="2"/>
    </row>
    <row r="550" spans="1:27" customFormat="1" ht="15" customHeight="1">
      <c r="B550" s="10"/>
      <c r="C550" s="5"/>
      <c r="D550" s="5"/>
      <c r="E550" s="5"/>
      <c r="F550" s="5"/>
      <c r="G550" s="5"/>
      <c r="H550" s="5"/>
      <c r="I550" s="5"/>
      <c r="J550" s="5"/>
      <c r="K550" s="5"/>
      <c r="L550" s="5"/>
      <c r="M550" s="6"/>
      <c r="R550" s="11" t="str">
        <f>D551</f>
        <v>(選択してください)</v>
      </c>
    </row>
    <row r="551" spans="1:27" customFormat="1">
      <c r="B551" s="7"/>
      <c r="C551" s="77" t="str">
        <f ca="1">IFERROR(OFFSET('4.2民生電力需要量'!$C$1,MATCH(D551,'4.2民生電力需要量'!$E:$E,0)-1,0),"")</f>
        <v/>
      </c>
      <c r="D551" s="94" t="s">
        <v>130</v>
      </c>
      <c r="E551" s="72" t="s">
        <v>131</v>
      </c>
      <c r="F551" s="1451" t="str">
        <f ca="1">IFERROR(OFFSET('4.2民生電力需要量'!$G$1,MATCH($D551,'4.2民生電力需要量'!$E:$E,0)-1,0),"")</f>
        <v/>
      </c>
      <c r="G551" s="1451"/>
      <c r="H551" s="1451"/>
      <c r="I551" s="1451"/>
      <c r="J551" s="1451"/>
      <c r="K551" s="1451"/>
      <c r="L551" s="1451"/>
      <c r="M551" s="8"/>
      <c r="R551" s="255" t="str">
        <f ca="1">IFERROR(OFFSET('4.2民生電力需要量'!$G$1,MATCH($D551,'4.2民生電力需要量'!$E:$E,0)-1,0),"")</f>
        <v/>
      </c>
      <c r="S551" s="175"/>
      <c r="T551" s="175"/>
      <c r="U551" s="175"/>
      <c r="V551" s="175"/>
      <c r="W551" s="175"/>
      <c r="X551" s="175"/>
      <c r="Y551" s="175"/>
      <c r="Z551" s="175"/>
      <c r="AA551" s="175">
        <f ca="1">(F551=R551)*1</f>
        <v>1</v>
      </c>
    </row>
    <row r="552" spans="1:27" customFormat="1">
      <c r="B552" s="7"/>
      <c r="C552" s="915"/>
      <c r="D552" s="97"/>
      <c r="E552" s="72" t="s">
        <v>612</v>
      </c>
      <c r="F552" s="1447" t="str">
        <f ca="1">IFERROR(OFFSET('4.2民生電力需要量'!$L$1,MATCH($D551,'4.2民生電力需要量'!$E:$E,0)-1,0),"")</f>
        <v/>
      </c>
      <c r="G552" s="1448"/>
      <c r="H552" s="1448"/>
      <c r="I552" s="1448"/>
      <c r="J552" s="1448"/>
      <c r="K552" s="1448"/>
      <c r="L552" s="1449"/>
      <c r="M552" s="8"/>
      <c r="R552" s="255" t="str">
        <f ca="1">IFERROR(OFFSET('4.2民生電力需要量'!$L$1,MATCH($D551,'4.2民生電力需要量'!$E:$E,0)-1,0),"")</f>
        <v/>
      </c>
      <c r="S552" s="175"/>
      <c r="T552" s="175"/>
      <c r="U552" s="175"/>
      <c r="V552" s="175"/>
      <c r="W552" s="175"/>
      <c r="X552" s="175"/>
      <c r="Y552" s="175"/>
      <c r="Z552" s="175"/>
      <c r="AA552" s="175">
        <f ca="1">(F552=R552)*1</f>
        <v>1</v>
      </c>
    </row>
    <row r="553" spans="1:27" customFormat="1">
      <c r="B553" s="7"/>
      <c r="C553" s="74"/>
      <c r="D553" s="66"/>
      <c r="E553" s="72" t="s">
        <v>220</v>
      </c>
      <c r="F553" s="1450" t="str">
        <f ca="1">IFERROR(OFFSET('4.2民生電力需要量'!$I$1,MATCH($D551,'4.2民生電力需要量'!$E:$E,0)-1,0),"")</f>
        <v/>
      </c>
      <c r="G553" s="1450"/>
      <c r="H553" s="1450"/>
      <c r="I553" s="1450"/>
      <c r="J553" s="1450"/>
      <c r="K553" s="1450"/>
      <c r="L553" s="1450"/>
      <c r="M553" s="8"/>
      <c r="R553" s="255" t="str">
        <f ca="1">IFERROR(OFFSET('4.2民生電力需要量'!$I$1,MATCH($D551,'4.2民生電力需要量'!$E:$E,0)-1,0),"")</f>
        <v/>
      </c>
      <c r="S553" s="175"/>
      <c r="T553" s="175"/>
      <c r="U553" s="175"/>
      <c r="V553" s="175"/>
      <c r="W553" s="175"/>
      <c r="X553" s="175"/>
      <c r="Y553" s="175"/>
      <c r="Z553" s="175"/>
      <c r="AA553" s="175">
        <f t="shared" ref="AA553:AA554" ca="1" si="271">(F553=R553)*1</f>
        <v>1</v>
      </c>
    </row>
    <row r="554" spans="1:27" customFormat="1">
      <c r="B554" s="7"/>
      <c r="C554" s="74"/>
      <c r="D554" s="66"/>
      <c r="E554" s="72" t="s">
        <v>175</v>
      </c>
      <c r="F554" s="1451" t="str">
        <f>_xlfn.IFNA(R554,"")</f>
        <v/>
      </c>
      <c r="G554" s="1451"/>
      <c r="H554" s="1451"/>
      <c r="I554" s="1451"/>
      <c r="J554" s="1451"/>
      <c r="K554" s="1451"/>
      <c r="L554" s="1451"/>
      <c r="M554" s="8"/>
      <c r="R554" s="129" t="str">
        <f>IF(OR(COUNTIF($E556:$E561,"&lt;&gt;〇〇(合意形成対象者名に書き換え)")=3,COUNTIF($E556:$E561,"")&gt;3),"",IF(PRODUCT($Y556:$Y561)=1,Z556,""))</f>
        <v/>
      </c>
      <c r="S554" s="175"/>
      <c r="T554" s="175"/>
      <c r="U554" s="175"/>
      <c r="V554" s="175"/>
      <c r="W554" s="175"/>
      <c r="X554" s="175"/>
      <c r="Y554" s="175"/>
      <c r="Z554" s="175"/>
      <c r="AA554" s="175">
        <f t="shared" si="271"/>
        <v>1</v>
      </c>
    </row>
    <row r="555" spans="1:27" ht="63.75" customHeight="1">
      <c r="B555" s="95"/>
      <c r="C555" s="96"/>
      <c r="D555" s="97"/>
      <c r="E555" s="372"/>
      <c r="F555" s="313" t="s">
        <v>268</v>
      </c>
      <c r="G555" s="313" t="s">
        <v>271</v>
      </c>
      <c r="H555" s="313" t="s">
        <v>272</v>
      </c>
      <c r="I555" s="313" t="s">
        <v>269</v>
      </c>
      <c r="J555" s="313" t="s">
        <v>434</v>
      </c>
      <c r="K555" s="313" t="s">
        <v>435</v>
      </c>
      <c r="L555" s="313" t="s">
        <v>270</v>
      </c>
      <c r="M555" s="98"/>
      <c r="N555" s="11"/>
      <c r="R555" s="126" t="s">
        <v>299</v>
      </c>
      <c r="S555" s="257" t="s">
        <v>423</v>
      </c>
      <c r="T555" s="126" t="s">
        <v>424</v>
      </c>
      <c r="U555" s="296" t="s">
        <v>436</v>
      </c>
      <c r="V555" s="256" t="s">
        <v>270</v>
      </c>
      <c r="W555" s="126" t="s">
        <v>426</v>
      </c>
      <c r="X555" s="129" t="s">
        <v>402</v>
      </c>
      <c r="Y555" s="129" t="s">
        <v>430</v>
      </c>
      <c r="Z555" s="126" t="s">
        <v>425</v>
      </c>
      <c r="AA555" s="255"/>
    </row>
    <row r="556" spans="1:27" hidden="1">
      <c r="B556" s="95"/>
      <c r="C556" s="96"/>
      <c r="D556" s="97"/>
      <c r="E556" s="442"/>
      <c r="F556" s="443"/>
      <c r="G556" s="439"/>
      <c r="H556" s="443"/>
      <c r="I556" s="439"/>
      <c r="J556" s="443"/>
      <c r="K556" s="439"/>
      <c r="L556" s="444"/>
      <c r="M556" s="98"/>
      <c r="N556" s="11"/>
      <c r="R556" s="129">
        <f t="shared" ref="R556:R561" si="272">IF(F556="実施済",1,0)</f>
        <v>0</v>
      </c>
      <c r="S556" s="258"/>
      <c r="T556" s="129">
        <f t="shared" ref="T556:T561" si="273">IF(AND(H556="実施済",I556="実施済"),R556*1,0)</f>
        <v>0</v>
      </c>
      <c r="U556" s="129">
        <f>IF(AND(J556="実施済",K556="実施済"),$T556*1,0)</f>
        <v>0</v>
      </c>
      <c r="V556" s="258"/>
      <c r="W556" s="129" t="str">
        <f>IF(OR(E556="〇〇(合意形成対象者名に書き換え)",E556=""),"",SUM(R556,T556,U556))</f>
        <v/>
      </c>
      <c r="X556" s="129">
        <f t="shared" ref="X556:X561" si="274">MIN($W$556:$W$561)+1</f>
        <v>1</v>
      </c>
      <c r="Y556" s="129">
        <f>IF(E556="",1,IF(AND(E556="〇〇(合意形成対象者名に書き換え)",COUNTA($F556:$L556)=0),1,IF(AND(E556&lt;&gt;"〇〇(合意形成対象者名に書き換え)",COUNTA($F556:$L556)=7),1,0)))</f>
        <v>1</v>
      </c>
      <c r="Z556" s="129" t="str" cm="1">
        <f t="array" ref="Z556">_xlfn.IFS(X556=4,"A",X556=3,"B",X556=2,"C",X556=1,"D")</f>
        <v>D</v>
      </c>
      <c r="AA556" s="255"/>
    </row>
    <row r="557" spans="1:27">
      <c r="B557" s="95"/>
      <c r="C557" s="96"/>
      <c r="D557" s="97"/>
      <c r="E557" s="447" t="s">
        <v>129</v>
      </c>
      <c r="F557" s="446"/>
      <c r="G557" s="441"/>
      <c r="H557" s="446"/>
      <c r="I557" s="441"/>
      <c r="J557" s="446"/>
      <c r="K557" s="441"/>
      <c r="L557" s="441"/>
      <c r="M557" s="98"/>
      <c r="N557" s="11"/>
      <c r="R557" s="129">
        <f t="shared" si="272"/>
        <v>0</v>
      </c>
      <c r="S557" s="258"/>
      <c r="T557" s="129">
        <f t="shared" si="273"/>
        <v>0</v>
      </c>
      <c r="U557" s="129">
        <f t="shared" ref="U557:U559" si="275">IF(AND(J557="実施済",K557="実施済"),$T557*1,0)</f>
        <v>0</v>
      </c>
      <c r="V557" s="258"/>
      <c r="W557" s="129" t="str">
        <f t="shared" ref="W557:W561" si="276">IF(OR(E557="〇〇(合意形成対象者名に書き換え)",E557=""),"",SUM(R557,T557,U557))</f>
        <v/>
      </c>
      <c r="X557" s="129">
        <f t="shared" si="274"/>
        <v>1</v>
      </c>
      <c r="Y557" s="129">
        <f t="shared" ref="Y557:Y561" si="277">IF(E557="",1,IF(AND(E557="〇〇(合意形成対象者名に書き換え)",COUNTA($F557:$L557)=0),1,IF(AND(E557&lt;&gt;"〇〇(合意形成対象者名に書き換え)",COUNTA($F557:$L557)=7),1,0)))</f>
        <v>1</v>
      </c>
      <c r="Z557" s="129" t="str" cm="1">
        <f t="array" ref="Z557">_xlfn.IFS(X557=4,"A",X557=3,"B",X557=2,"C",X557=1,"D")</f>
        <v>D</v>
      </c>
      <c r="AA557" s="255"/>
    </row>
    <row r="558" spans="1:27">
      <c r="B558" s="95"/>
      <c r="C558" s="96"/>
      <c r="D558" s="97"/>
      <c r="E558" s="447" t="s">
        <v>129</v>
      </c>
      <c r="F558" s="446"/>
      <c r="G558" s="441"/>
      <c r="H558" s="446"/>
      <c r="I558" s="441"/>
      <c r="J558" s="446"/>
      <c r="K558" s="441"/>
      <c r="L558" s="441"/>
      <c r="M558" s="98"/>
      <c r="N558" s="11"/>
      <c r="R558" s="129">
        <f t="shared" si="272"/>
        <v>0</v>
      </c>
      <c r="S558" s="258"/>
      <c r="T558" s="129">
        <f t="shared" si="273"/>
        <v>0</v>
      </c>
      <c r="U558" s="129">
        <f t="shared" si="275"/>
        <v>0</v>
      </c>
      <c r="V558" s="258"/>
      <c r="W558" s="129" t="str">
        <f t="shared" si="276"/>
        <v/>
      </c>
      <c r="X558" s="129">
        <f t="shared" si="274"/>
        <v>1</v>
      </c>
      <c r="Y558" s="129">
        <f t="shared" si="277"/>
        <v>1</v>
      </c>
      <c r="Z558" s="129" t="str" cm="1">
        <f t="array" ref="Z558">_xlfn.IFS(X558=4,"A",X558=3,"B",X558=2,"C",X558=1,"D")</f>
        <v>D</v>
      </c>
      <c r="AA558" s="255"/>
    </row>
    <row r="559" spans="1:27" s="99" customFormat="1">
      <c r="A559" s="11"/>
      <c r="B559" s="95"/>
      <c r="C559" s="96"/>
      <c r="D559" s="97"/>
      <c r="E559" s="447" t="s">
        <v>129</v>
      </c>
      <c r="F559" s="446"/>
      <c r="G559" s="441"/>
      <c r="H559" s="446"/>
      <c r="I559" s="441"/>
      <c r="J559" s="446"/>
      <c r="K559" s="441"/>
      <c r="L559" s="441"/>
      <c r="M559" s="98"/>
      <c r="N559" s="11"/>
      <c r="Q559" s="11"/>
      <c r="R559" s="129">
        <f t="shared" si="272"/>
        <v>0</v>
      </c>
      <c r="S559" s="258"/>
      <c r="T559" s="129">
        <f t="shared" si="273"/>
        <v>0</v>
      </c>
      <c r="U559" s="129">
        <f t="shared" si="275"/>
        <v>0</v>
      </c>
      <c r="V559" s="258"/>
      <c r="W559" s="129" t="str">
        <f t="shared" si="276"/>
        <v/>
      </c>
      <c r="X559" s="129">
        <f t="shared" si="274"/>
        <v>1</v>
      </c>
      <c r="Y559" s="129">
        <f t="shared" si="277"/>
        <v>1</v>
      </c>
      <c r="Z559" s="129" t="str" cm="1">
        <f t="array" ref="Z559">_xlfn.IFS(X559=4,"A",X559=3,"B",X559=2,"C",X559=1,"D")</f>
        <v>D</v>
      </c>
      <c r="AA559" s="129"/>
    </row>
    <row r="560" spans="1:27" customFormat="1" ht="7.5" customHeight="1">
      <c r="B560" s="65"/>
      <c r="C560" s="4"/>
      <c r="D560" s="4"/>
      <c r="E560" s="4"/>
      <c r="F560" s="4"/>
      <c r="G560" s="4"/>
      <c r="H560" s="4"/>
      <c r="I560" s="4"/>
      <c r="J560" s="4"/>
      <c r="K560" s="4"/>
      <c r="L560" s="4"/>
      <c r="M560" s="9"/>
      <c r="N560" s="2"/>
      <c r="O560" s="2"/>
      <c r="P560" s="2"/>
      <c r="R560" s="129">
        <f t="shared" si="272"/>
        <v>0</v>
      </c>
      <c r="S560" s="258"/>
      <c r="T560" s="129">
        <f t="shared" si="273"/>
        <v>0</v>
      </c>
      <c r="U560" s="129">
        <f>IF(AND(J560="実施済",K560="実施済"),$T560*1,0)</f>
        <v>0</v>
      </c>
      <c r="V560" s="258"/>
      <c r="W560" s="129" t="str">
        <f t="shared" si="276"/>
        <v/>
      </c>
      <c r="X560" s="129">
        <f t="shared" si="274"/>
        <v>1</v>
      </c>
      <c r="Y560" s="129">
        <f t="shared" si="277"/>
        <v>1</v>
      </c>
      <c r="Z560" s="129" t="str" cm="1">
        <f t="array" ref="Z560">_xlfn.IFS(X560=4,"A",X560=3,"B",X560=2,"C",X560=1,"D")</f>
        <v>D</v>
      </c>
      <c r="AA560" s="175"/>
    </row>
    <row r="561" spans="1:27" customFormat="1" ht="18" customHeight="1">
      <c r="N561" s="2"/>
      <c r="O561" s="2"/>
      <c r="P561" s="2"/>
      <c r="R561" s="129">
        <f t="shared" si="272"/>
        <v>0</v>
      </c>
      <c r="S561" s="258"/>
      <c r="T561" s="129">
        <f t="shared" si="273"/>
        <v>0</v>
      </c>
      <c r="U561" s="129">
        <f t="shared" ref="U561" si="278">IF(AND(J561="実施済",K561="実施済"),$T561*1,0)</f>
        <v>0</v>
      </c>
      <c r="V561" s="258"/>
      <c r="W561" s="129" t="str">
        <f t="shared" si="276"/>
        <v/>
      </c>
      <c r="X561" s="129">
        <f t="shared" si="274"/>
        <v>1</v>
      </c>
      <c r="Y561" s="129">
        <f t="shared" si="277"/>
        <v>1</v>
      </c>
      <c r="Z561" s="129" t="str" cm="1">
        <f t="array" ref="Z561">_xlfn.IFS(X561=4,"A",X561=3,"B",X561=2,"C",X561=1,"D")</f>
        <v>D</v>
      </c>
      <c r="AA561" s="175"/>
    </row>
    <row r="562" spans="1:27" customFormat="1" ht="103.5" customHeight="1">
      <c r="C562" s="78"/>
      <c r="D562" s="79"/>
      <c r="E562" s="71" t="s">
        <v>236</v>
      </c>
      <c r="F562" s="1452"/>
      <c r="G562" s="1452"/>
      <c r="H562" s="1452"/>
      <c r="I562" s="1452"/>
      <c r="J562" s="1452"/>
      <c r="K562" s="1452"/>
      <c r="L562" s="1452"/>
      <c r="M562" s="80" t="s">
        <v>132</v>
      </c>
      <c r="N562" s="80"/>
    </row>
    <row r="563" spans="1:27" customFormat="1" ht="146.25" customHeight="1">
      <c r="C563" s="75"/>
      <c r="D563" s="68"/>
      <c r="E563" s="71" t="s">
        <v>235</v>
      </c>
      <c r="F563" s="1452"/>
      <c r="G563" s="1452"/>
      <c r="H563" s="1452"/>
      <c r="I563" s="1452"/>
      <c r="J563" s="1452"/>
      <c r="K563" s="1452"/>
      <c r="L563" s="1452"/>
      <c r="N563" s="2"/>
      <c r="O563" s="2"/>
      <c r="P563" s="2"/>
    </row>
    <row r="564" spans="1:27" customFormat="1" ht="13.5" customHeight="1" thickBot="1">
      <c r="A564" s="81"/>
      <c r="B564" s="81"/>
      <c r="C564" s="81"/>
      <c r="D564" s="81"/>
      <c r="E564" s="81"/>
      <c r="F564" s="81"/>
      <c r="G564" s="81"/>
      <c r="H564" s="81"/>
      <c r="I564" s="81"/>
      <c r="J564" s="81"/>
      <c r="K564" s="81"/>
      <c r="L564" s="81"/>
      <c r="M564" s="81"/>
      <c r="N564" s="82"/>
      <c r="O564" s="2"/>
      <c r="P564" s="2"/>
    </row>
    <row r="565" spans="1:27" customFormat="1" ht="13.5" customHeight="1">
      <c r="N565" s="2"/>
      <c r="O565" s="2"/>
      <c r="P565" s="2"/>
    </row>
    <row r="566" spans="1:27" customFormat="1" ht="15" customHeight="1">
      <c r="B566" s="10"/>
      <c r="C566" s="5"/>
      <c r="D566" s="5"/>
      <c r="E566" s="5"/>
      <c r="F566" s="5"/>
      <c r="G566" s="5"/>
      <c r="H566" s="5"/>
      <c r="I566" s="5"/>
      <c r="J566" s="5"/>
      <c r="K566" s="5"/>
      <c r="L566" s="5"/>
      <c r="M566" s="6"/>
      <c r="R566" s="11" t="str">
        <f>D567</f>
        <v>(選択してください)</v>
      </c>
    </row>
    <row r="567" spans="1:27" customFormat="1">
      <c r="B567" s="7"/>
      <c r="C567" s="77" t="str">
        <f ca="1">IFERROR(OFFSET('4.2民生電力需要量'!$C$1,MATCH(D567,'4.2民生電力需要量'!$E:$E,0)-1,0),"")</f>
        <v/>
      </c>
      <c r="D567" s="94" t="s">
        <v>130</v>
      </c>
      <c r="E567" s="72" t="s">
        <v>131</v>
      </c>
      <c r="F567" s="1451" t="str">
        <f ca="1">IFERROR(OFFSET('4.2民生電力需要量'!$G$1,MATCH($D567,'4.2民生電力需要量'!$E:$E,0)-1,0),"")</f>
        <v/>
      </c>
      <c r="G567" s="1451"/>
      <c r="H567" s="1451"/>
      <c r="I567" s="1451"/>
      <c r="J567" s="1451"/>
      <c r="K567" s="1451"/>
      <c r="L567" s="1451"/>
      <c r="M567" s="8"/>
      <c r="R567" s="255" t="str">
        <f ca="1">IFERROR(OFFSET('4.2民生電力需要量'!$G$1,MATCH($D567,'4.2民生電力需要量'!$E:$E,0)-1,0),"")</f>
        <v/>
      </c>
      <c r="S567" s="175"/>
      <c r="T567" s="175"/>
      <c r="U567" s="175"/>
      <c r="V567" s="175"/>
      <c r="W567" s="175"/>
      <c r="X567" s="175"/>
      <c r="Y567" s="175"/>
      <c r="Z567" s="175"/>
      <c r="AA567" s="175">
        <f ca="1">(F567=R567)*1</f>
        <v>1</v>
      </c>
    </row>
    <row r="568" spans="1:27" customFormat="1">
      <c r="B568" s="7"/>
      <c r="C568" s="915"/>
      <c r="D568" s="97"/>
      <c r="E568" s="72" t="s">
        <v>612</v>
      </c>
      <c r="F568" s="1447" t="str">
        <f ca="1">IFERROR(OFFSET('4.2民生電力需要量'!$L$1,MATCH($D567,'4.2民生電力需要量'!$E:$E,0)-1,0),"")</f>
        <v/>
      </c>
      <c r="G568" s="1448"/>
      <c r="H568" s="1448"/>
      <c r="I568" s="1448"/>
      <c r="J568" s="1448"/>
      <c r="K568" s="1448"/>
      <c r="L568" s="1449"/>
      <c r="M568" s="8"/>
      <c r="R568" s="255" t="str">
        <f ca="1">IFERROR(OFFSET('4.2民生電力需要量'!$L$1,MATCH($D567,'4.2民生電力需要量'!$E:$E,0)-1,0),"")</f>
        <v/>
      </c>
      <c r="S568" s="175"/>
      <c r="T568" s="175"/>
      <c r="U568" s="175"/>
      <c r="V568" s="175"/>
      <c r="W568" s="175"/>
      <c r="X568" s="175"/>
      <c r="Y568" s="175"/>
      <c r="Z568" s="175"/>
      <c r="AA568" s="175">
        <f ca="1">(F568=R568)*1</f>
        <v>1</v>
      </c>
    </row>
    <row r="569" spans="1:27" customFormat="1">
      <c r="B569" s="7"/>
      <c r="C569" s="74"/>
      <c r="D569" s="66"/>
      <c r="E569" s="72" t="s">
        <v>220</v>
      </c>
      <c r="F569" s="1450" t="str">
        <f ca="1">IFERROR(OFFSET('4.2民生電力需要量'!$I$1,MATCH($D567,'4.2民生電力需要量'!$E:$E,0)-1,0),"")</f>
        <v/>
      </c>
      <c r="G569" s="1450"/>
      <c r="H569" s="1450"/>
      <c r="I569" s="1450"/>
      <c r="J569" s="1450"/>
      <c r="K569" s="1450"/>
      <c r="L569" s="1450"/>
      <c r="M569" s="8"/>
      <c r="R569" s="255" t="str">
        <f ca="1">IFERROR(OFFSET('4.2民生電力需要量'!$I$1,MATCH($D567,'4.2民生電力需要量'!$E:$E,0)-1,0),"")</f>
        <v/>
      </c>
      <c r="S569" s="175"/>
      <c r="T569" s="175"/>
      <c r="U569" s="175"/>
      <c r="V569" s="175"/>
      <c r="W569" s="175"/>
      <c r="X569" s="175"/>
      <c r="Y569" s="175"/>
      <c r="Z569" s="175"/>
      <c r="AA569" s="175">
        <f t="shared" ref="AA569:AA570" ca="1" si="279">(F569=R569)*1</f>
        <v>1</v>
      </c>
    </row>
    <row r="570" spans="1:27" customFormat="1">
      <c r="B570" s="7"/>
      <c r="C570" s="74"/>
      <c r="D570" s="66"/>
      <c r="E570" s="72" t="s">
        <v>175</v>
      </c>
      <c r="F570" s="1451" t="str">
        <f>_xlfn.IFNA(R570,"")</f>
        <v/>
      </c>
      <c r="G570" s="1451"/>
      <c r="H570" s="1451"/>
      <c r="I570" s="1451"/>
      <c r="J570" s="1451"/>
      <c r="K570" s="1451"/>
      <c r="L570" s="1451"/>
      <c r="M570" s="8"/>
      <c r="R570" s="129" t="str">
        <f>IF(OR(COUNTIF($E572:$E577,"&lt;&gt;〇〇(合意形成対象者名に書き換え)")=3,COUNTIF($E572:$E577,"")&gt;3),"",IF(PRODUCT($Y572:$Y577)=1,Z572,""))</f>
        <v/>
      </c>
      <c r="S570" s="175"/>
      <c r="T570" s="175"/>
      <c r="U570" s="175"/>
      <c r="V570" s="175"/>
      <c r="W570" s="175"/>
      <c r="X570" s="175"/>
      <c r="Y570" s="175"/>
      <c r="Z570" s="175"/>
      <c r="AA570" s="175">
        <f t="shared" si="279"/>
        <v>1</v>
      </c>
    </row>
    <row r="571" spans="1:27" ht="63.75" customHeight="1">
      <c r="B571" s="95"/>
      <c r="C571" s="96"/>
      <c r="D571" s="97"/>
      <c r="E571" s="372"/>
      <c r="F571" s="313" t="s">
        <v>268</v>
      </c>
      <c r="G571" s="313" t="s">
        <v>271</v>
      </c>
      <c r="H571" s="313" t="s">
        <v>272</v>
      </c>
      <c r="I571" s="313" t="s">
        <v>269</v>
      </c>
      <c r="J571" s="313" t="s">
        <v>434</v>
      </c>
      <c r="K571" s="313" t="s">
        <v>435</v>
      </c>
      <c r="L571" s="313" t="s">
        <v>270</v>
      </c>
      <c r="M571" s="98"/>
      <c r="N571" s="11"/>
      <c r="R571" s="126" t="s">
        <v>299</v>
      </c>
      <c r="S571" s="257" t="s">
        <v>423</v>
      </c>
      <c r="T571" s="126" t="s">
        <v>424</v>
      </c>
      <c r="U571" s="296" t="s">
        <v>436</v>
      </c>
      <c r="V571" s="256" t="s">
        <v>270</v>
      </c>
      <c r="W571" s="126" t="s">
        <v>426</v>
      </c>
      <c r="X571" s="129" t="s">
        <v>402</v>
      </c>
      <c r="Y571" s="129" t="s">
        <v>430</v>
      </c>
      <c r="Z571" s="126" t="s">
        <v>425</v>
      </c>
      <c r="AA571" s="255"/>
    </row>
    <row r="572" spans="1:27" hidden="1">
      <c r="B572" s="95"/>
      <c r="C572" s="96"/>
      <c r="D572" s="97"/>
      <c r="E572" s="442"/>
      <c r="F572" s="443"/>
      <c r="G572" s="439"/>
      <c r="H572" s="443"/>
      <c r="I572" s="439"/>
      <c r="J572" s="443"/>
      <c r="K572" s="439"/>
      <c r="L572" s="444"/>
      <c r="M572" s="98"/>
      <c r="N572" s="11"/>
      <c r="R572" s="129">
        <f t="shared" ref="R572:R577" si="280">IF(F572="実施済",1,0)</f>
        <v>0</v>
      </c>
      <c r="S572" s="258"/>
      <c r="T572" s="129">
        <f t="shared" ref="T572:T577" si="281">IF(AND(H572="実施済",I572="実施済"),R572*1,0)</f>
        <v>0</v>
      </c>
      <c r="U572" s="129">
        <f>IF(AND(J572="実施済",K572="実施済"),$T572*1,0)</f>
        <v>0</v>
      </c>
      <c r="V572" s="258"/>
      <c r="W572" s="129" t="str">
        <f>IF(OR(E572="〇〇(合意形成対象者名に書き換え)",E572=""),"",SUM(R572,T572,U572))</f>
        <v/>
      </c>
      <c r="X572" s="129">
        <f t="shared" ref="X572:X577" si="282">MIN($W$572:$W$577)+1</f>
        <v>1</v>
      </c>
      <c r="Y572" s="129">
        <f>IF(E572="",1,IF(AND(E572="〇〇(合意形成対象者名に書き換え)",COUNTA($F572:$L572)=0),1,IF(AND(E572&lt;&gt;"〇〇(合意形成対象者名に書き換え)",COUNTA($F572:$L572)=7),1,0)))</f>
        <v>1</v>
      </c>
      <c r="Z572" s="129" t="str" cm="1">
        <f t="array" ref="Z572">_xlfn.IFS(X572=4,"A",X572=3,"B",X572=2,"C",X572=1,"D")</f>
        <v>D</v>
      </c>
      <c r="AA572" s="255"/>
    </row>
    <row r="573" spans="1:27">
      <c r="B573" s="95"/>
      <c r="C573" s="96"/>
      <c r="D573" s="97"/>
      <c r="E573" s="447" t="s">
        <v>129</v>
      </c>
      <c r="F573" s="446"/>
      <c r="G573" s="441"/>
      <c r="H573" s="446"/>
      <c r="I573" s="441"/>
      <c r="J573" s="446"/>
      <c r="K573" s="441"/>
      <c r="L573" s="441"/>
      <c r="M573" s="98"/>
      <c r="N573" s="11"/>
      <c r="R573" s="129">
        <f t="shared" si="280"/>
        <v>0</v>
      </c>
      <c r="S573" s="258"/>
      <c r="T573" s="129">
        <f t="shared" si="281"/>
        <v>0</v>
      </c>
      <c r="U573" s="129">
        <f t="shared" ref="U573:U575" si="283">IF(AND(J573="実施済",K573="実施済"),$T573*1,0)</f>
        <v>0</v>
      </c>
      <c r="V573" s="258"/>
      <c r="W573" s="129" t="str">
        <f t="shared" ref="W573:W577" si="284">IF(OR(E573="〇〇(合意形成対象者名に書き換え)",E573=""),"",SUM(R573,T573,U573))</f>
        <v/>
      </c>
      <c r="X573" s="129">
        <f t="shared" si="282"/>
        <v>1</v>
      </c>
      <c r="Y573" s="129">
        <f t="shared" ref="Y573:Y577" si="285">IF(E573="",1,IF(AND(E573="〇〇(合意形成対象者名に書き換え)",COUNTA($F573:$L573)=0),1,IF(AND(E573&lt;&gt;"〇〇(合意形成対象者名に書き換え)",COUNTA($F573:$L573)=7),1,0)))</f>
        <v>1</v>
      </c>
      <c r="Z573" s="129" t="str" cm="1">
        <f t="array" ref="Z573">_xlfn.IFS(X573=4,"A",X573=3,"B",X573=2,"C",X573=1,"D")</f>
        <v>D</v>
      </c>
      <c r="AA573" s="255"/>
    </row>
    <row r="574" spans="1:27">
      <c r="B574" s="95"/>
      <c r="C574" s="96"/>
      <c r="D574" s="97"/>
      <c r="E574" s="447" t="s">
        <v>129</v>
      </c>
      <c r="F574" s="446"/>
      <c r="G574" s="441"/>
      <c r="H574" s="446"/>
      <c r="I574" s="441"/>
      <c r="J574" s="446"/>
      <c r="K574" s="441"/>
      <c r="L574" s="441"/>
      <c r="M574" s="98"/>
      <c r="N574" s="11"/>
      <c r="R574" s="129">
        <f t="shared" si="280"/>
        <v>0</v>
      </c>
      <c r="S574" s="258"/>
      <c r="T574" s="129">
        <f t="shared" si="281"/>
        <v>0</v>
      </c>
      <c r="U574" s="129">
        <f t="shared" si="283"/>
        <v>0</v>
      </c>
      <c r="V574" s="258"/>
      <c r="W574" s="129" t="str">
        <f t="shared" si="284"/>
        <v/>
      </c>
      <c r="X574" s="129">
        <f t="shared" si="282"/>
        <v>1</v>
      </c>
      <c r="Y574" s="129">
        <f t="shared" si="285"/>
        <v>1</v>
      </c>
      <c r="Z574" s="129" t="str" cm="1">
        <f t="array" ref="Z574">_xlfn.IFS(X574=4,"A",X574=3,"B",X574=2,"C",X574=1,"D")</f>
        <v>D</v>
      </c>
      <c r="AA574" s="255"/>
    </row>
    <row r="575" spans="1:27" s="99" customFormat="1">
      <c r="A575" s="11"/>
      <c r="B575" s="95"/>
      <c r="C575" s="96"/>
      <c r="D575" s="97"/>
      <c r="E575" s="447" t="s">
        <v>129</v>
      </c>
      <c r="F575" s="446"/>
      <c r="G575" s="441"/>
      <c r="H575" s="446"/>
      <c r="I575" s="441"/>
      <c r="J575" s="446"/>
      <c r="K575" s="441"/>
      <c r="L575" s="441"/>
      <c r="M575" s="98"/>
      <c r="N575" s="11"/>
      <c r="Q575" s="11"/>
      <c r="R575" s="129">
        <f t="shared" si="280"/>
        <v>0</v>
      </c>
      <c r="S575" s="258"/>
      <c r="T575" s="129">
        <f t="shared" si="281"/>
        <v>0</v>
      </c>
      <c r="U575" s="129">
        <f t="shared" si="283"/>
        <v>0</v>
      </c>
      <c r="V575" s="258"/>
      <c r="W575" s="129" t="str">
        <f t="shared" si="284"/>
        <v/>
      </c>
      <c r="X575" s="129">
        <f t="shared" si="282"/>
        <v>1</v>
      </c>
      <c r="Y575" s="129">
        <f t="shared" si="285"/>
        <v>1</v>
      </c>
      <c r="Z575" s="129" t="str" cm="1">
        <f t="array" ref="Z575">_xlfn.IFS(X575=4,"A",X575=3,"B",X575=2,"C",X575=1,"D")</f>
        <v>D</v>
      </c>
      <c r="AA575" s="129"/>
    </row>
    <row r="576" spans="1:27" customFormat="1" ht="7.5" customHeight="1">
      <c r="B576" s="65"/>
      <c r="C576" s="4"/>
      <c r="D576" s="4"/>
      <c r="E576" s="4"/>
      <c r="F576" s="4"/>
      <c r="G576" s="4"/>
      <c r="H576" s="4"/>
      <c r="I576" s="4"/>
      <c r="J576" s="4"/>
      <c r="K576" s="4"/>
      <c r="L576" s="4"/>
      <c r="M576" s="9"/>
      <c r="N576" s="2"/>
      <c r="O576" s="2"/>
      <c r="P576" s="2"/>
      <c r="R576" s="129">
        <f t="shared" si="280"/>
        <v>0</v>
      </c>
      <c r="S576" s="258"/>
      <c r="T576" s="129">
        <f t="shared" si="281"/>
        <v>0</v>
      </c>
      <c r="U576" s="129">
        <f>IF(AND(J576="実施済",K576="実施済"),$T576*1,0)</f>
        <v>0</v>
      </c>
      <c r="V576" s="258"/>
      <c r="W576" s="129" t="str">
        <f t="shared" si="284"/>
        <v/>
      </c>
      <c r="X576" s="129">
        <f t="shared" si="282"/>
        <v>1</v>
      </c>
      <c r="Y576" s="129">
        <f t="shared" si="285"/>
        <v>1</v>
      </c>
      <c r="Z576" s="129" t="str" cm="1">
        <f t="array" ref="Z576">_xlfn.IFS(X576=4,"A",X576=3,"B",X576=2,"C",X576=1,"D")</f>
        <v>D</v>
      </c>
      <c r="AA576" s="175"/>
    </row>
    <row r="577" spans="1:27" customFormat="1" ht="18" customHeight="1">
      <c r="N577" s="2"/>
      <c r="O577" s="2"/>
      <c r="P577" s="2"/>
      <c r="R577" s="129">
        <f t="shared" si="280"/>
        <v>0</v>
      </c>
      <c r="S577" s="258"/>
      <c r="T577" s="129">
        <f t="shared" si="281"/>
        <v>0</v>
      </c>
      <c r="U577" s="129">
        <f t="shared" ref="U577" si="286">IF(AND(J577="実施済",K577="実施済"),$T577*1,0)</f>
        <v>0</v>
      </c>
      <c r="V577" s="258"/>
      <c r="W577" s="129" t="str">
        <f t="shared" si="284"/>
        <v/>
      </c>
      <c r="X577" s="129">
        <f t="shared" si="282"/>
        <v>1</v>
      </c>
      <c r="Y577" s="129">
        <f t="shared" si="285"/>
        <v>1</v>
      </c>
      <c r="Z577" s="129" t="str" cm="1">
        <f t="array" ref="Z577">_xlfn.IFS(X577=4,"A",X577=3,"B",X577=2,"C",X577=1,"D")</f>
        <v>D</v>
      </c>
      <c r="AA577" s="175"/>
    </row>
    <row r="578" spans="1:27" customFormat="1" ht="103.5" customHeight="1">
      <c r="C578" s="78"/>
      <c r="D578" s="79"/>
      <c r="E578" s="71" t="s">
        <v>236</v>
      </c>
      <c r="F578" s="1452"/>
      <c r="G578" s="1452"/>
      <c r="H578" s="1452"/>
      <c r="I578" s="1452"/>
      <c r="J578" s="1452"/>
      <c r="K578" s="1452"/>
      <c r="L578" s="1452"/>
      <c r="M578" s="80" t="s">
        <v>132</v>
      </c>
      <c r="N578" s="80"/>
    </row>
    <row r="579" spans="1:27" customFormat="1" ht="146.25" customHeight="1">
      <c r="C579" s="75"/>
      <c r="D579" s="68"/>
      <c r="E579" s="71" t="s">
        <v>235</v>
      </c>
      <c r="F579" s="1452"/>
      <c r="G579" s="1452"/>
      <c r="H579" s="1452"/>
      <c r="I579" s="1452"/>
      <c r="J579" s="1452"/>
      <c r="K579" s="1452"/>
      <c r="L579" s="1452"/>
      <c r="N579" s="2"/>
      <c r="O579" s="2"/>
      <c r="P579" s="2"/>
    </row>
    <row r="580" spans="1:27" customFormat="1" ht="13.5" customHeight="1" thickBot="1">
      <c r="A580" s="81"/>
      <c r="B580" s="81"/>
      <c r="C580" s="81"/>
      <c r="D580" s="81"/>
      <c r="E580" s="81"/>
      <c r="F580" s="81"/>
      <c r="G580" s="81"/>
      <c r="H580" s="81"/>
      <c r="I580" s="81"/>
      <c r="J580" s="81"/>
      <c r="K580" s="81"/>
      <c r="L580" s="81"/>
      <c r="M580" s="81"/>
      <c r="N580" s="82"/>
      <c r="O580" s="2"/>
      <c r="P580" s="2"/>
    </row>
    <row r="581" spans="1:27" customFormat="1" ht="13.5" customHeight="1">
      <c r="N581" s="2"/>
      <c r="O581" s="2"/>
      <c r="P581" s="2"/>
    </row>
    <row r="582" spans="1:27" customFormat="1" ht="15" customHeight="1">
      <c r="B582" s="10"/>
      <c r="C582" s="5"/>
      <c r="D582" s="5"/>
      <c r="E582" s="5"/>
      <c r="F582" s="5"/>
      <c r="G582" s="5"/>
      <c r="H582" s="5"/>
      <c r="I582" s="5"/>
      <c r="J582" s="5"/>
      <c r="K582" s="5"/>
      <c r="L582" s="5"/>
      <c r="M582" s="6"/>
      <c r="R582" s="11" t="str">
        <f>D583</f>
        <v>(選択してください)</v>
      </c>
    </row>
    <row r="583" spans="1:27" customFormat="1">
      <c r="B583" s="7"/>
      <c r="C583" s="77" t="str">
        <f ca="1">IFERROR(OFFSET('4.2民生電力需要量'!$C$1,MATCH(D583,'4.2民生電力需要量'!$E:$E,0)-1,0),"")</f>
        <v/>
      </c>
      <c r="D583" s="94" t="s">
        <v>130</v>
      </c>
      <c r="E583" s="72" t="s">
        <v>131</v>
      </c>
      <c r="F583" s="1451" t="str">
        <f ca="1">IFERROR(OFFSET('4.2民生電力需要量'!$G$1,MATCH($D583,'4.2民生電力需要量'!$E:$E,0)-1,0),"")</f>
        <v/>
      </c>
      <c r="G583" s="1451"/>
      <c r="H583" s="1451"/>
      <c r="I583" s="1451"/>
      <c r="J583" s="1451"/>
      <c r="K583" s="1451"/>
      <c r="L583" s="1451"/>
      <c r="M583" s="8"/>
      <c r="R583" s="255" t="str">
        <f ca="1">IFERROR(OFFSET('4.2民生電力需要量'!$G$1,MATCH($D583,'4.2民生電力需要量'!$E:$E,0)-1,0),"")</f>
        <v/>
      </c>
      <c r="S583" s="175"/>
      <c r="T583" s="175"/>
      <c r="U583" s="175"/>
      <c r="V583" s="175"/>
      <c r="W583" s="175"/>
      <c r="X583" s="175"/>
      <c r="Y583" s="175"/>
      <c r="Z583" s="175"/>
      <c r="AA583" s="175">
        <f ca="1">(F583=R583)*1</f>
        <v>1</v>
      </c>
    </row>
    <row r="584" spans="1:27" customFormat="1">
      <c r="B584" s="7"/>
      <c r="C584" s="915"/>
      <c r="D584" s="97"/>
      <c r="E584" s="72" t="s">
        <v>612</v>
      </c>
      <c r="F584" s="1447" t="str">
        <f ca="1">IFERROR(OFFSET('4.2民生電力需要量'!$L$1,MATCH($D583,'4.2民生電力需要量'!$E:$E,0)-1,0),"")</f>
        <v/>
      </c>
      <c r="G584" s="1448"/>
      <c r="H584" s="1448"/>
      <c r="I584" s="1448"/>
      <c r="J584" s="1448"/>
      <c r="K584" s="1448"/>
      <c r="L584" s="1449"/>
      <c r="M584" s="8"/>
      <c r="R584" s="255" t="str">
        <f ca="1">IFERROR(OFFSET('4.2民生電力需要量'!$L$1,MATCH($D583,'4.2民生電力需要量'!$E:$E,0)-1,0),"")</f>
        <v/>
      </c>
      <c r="S584" s="175"/>
      <c r="T584" s="175"/>
      <c r="U584" s="175"/>
      <c r="V584" s="175"/>
      <c r="W584" s="175"/>
      <c r="X584" s="175"/>
      <c r="Y584" s="175"/>
      <c r="Z584" s="175"/>
      <c r="AA584" s="175">
        <f ca="1">(F584=R584)*1</f>
        <v>1</v>
      </c>
    </row>
    <row r="585" spans="1:27" customFormat="1">
      <c r="B585" s="7"/>
      <c r="C585" s="74"/>
      <c r="D585" s="66"/>
      <c r="E585" s="72" t="s">
        <v>220</v>
      </c>
      <c r="F585" s="1450" t="str">
        <f ca="1">IFERROR(OFFSET('4.2民生電力需要量'!$I$1,MATCH($D583,'4.2民生電力需要量'!$E:$E,0)-1,0),"")</f>
        <v/>
      </c>
      <c r="G585" s="1450"/>
      <c r="H585" s="1450"/>
      <c r="I585" s="1450"/>
      <c r="J585" s="1450"/>
      <c r="K585" s="1450"/>
      <c r="L585" s="1450"/>
      <c r="M585" s="8"/>
      <c r="R585" s="255" t="str">
        <f ca="1">IFERROR(OFFSET('4.2民生電力需要量'!$I$1,MATCH($D583,'4.2民生電力需要量'!$E:$E,0)-1,0),"")</f>
        <v/>
      </c>
      <c r="S585" s="175"/>
      <c r="T585" s="175"/>
      <c r="U585" s="175"/>
      <c r="V585" s="175"/>
      <c r="W585" s="175"/>
      <c r="X585" s="175"/>
      <c r="Y585" s="175"/>
      <c r="Z585" s="175"/>
      <c r="AA585" s="175">
        <f t="shared" ref="AA585:AA586" ca="1" si="287">(F585=R585)*1</f>
        <v>1</v>
      </c>
    </row>
    <row r="586" spans="1:27" customFormat="1">
      <c r="B586" s="7"/>
      <c r="C586" s="74"/>
      <c r="D586" s="66"/>
      <c r="E586" s="72" t="s">
        <v>175</v>
      </c>
      <c r="F586" s="1451" t="str">
        <f>_xlfn.IFNA(R586,"")</f>
        <v/>
      </c>
      <c r="G586" s="1451"/>
      <c r="H586" s="1451"/>
      <c r="I586" s="1451"/>
      <c r="J586" s="1451"/>
      <c r="K586" s="1451"/>
      <c r="L586" s="1451"/>
      <c r="M586" s="8"/>
      <c r="R586" s="129" t="str">
        <f>IF(OR(COUNTIF($E588:$E593,"&lt;&gt;〇〇(合意形成対象者名に書き換え)")=3,COUNTIF($E588:$E593,"")&gt;3),"",IF(PRODUCT($Y588:$Y593)=1,Z588,""))</f>
        <v/>
      </c>
      <c r="S586" s="175"/>
      <c r="T586" s="175"/>
      <c r="U586" s="175"/>
      <c r="V586" s="175"/>
      <c r="W586" s="175"/>
      <c r="X586" s="175"/>
      <c r="Y586" s="175"/>
      <c r="Z586" s="175"/>
      <c r="AA586" s="175">
        <f t="shared" si="287"/>
        <v>1</v>
      </c>
    </row>
    <row r="587" spans="1:27" ht="63.75" customHeight="1">
      <c r="B587" s="95"/>
      <c r="C587" s="96"/>
      <c r="D587" s="97"/>
      <c r="E587" s="372"/>
      <c r="F587" s="313" t="s">
        <v>268</v>
      </c>
      <c r="G587" s="313" t="s">
        <v>271</v>
      </c>
      <c r="H587" s="313" t="s">
        <v>272</v>
      </c>
      <c r="I587" s="313" t="s">
        <v>269</v>
      </c>
      <c r="J587" s="313" t="s">
        <v>434</v>
      </c>
      <c r="K587" s="313" t="s">
        <v>435</v>
      </c>
      <c r="L587" s="313" t="s">
        <v>270</v>
      </c>
      <c r="M587" s="98"/>
      <c r="N587" s="11"/>
      <c r="R587" s="126" t="s">
        <v>299</v>
      </c>
      <c r="S587" s="257" t="s">
        <v>423</v>
      </c>
      <c r="T587" s="126" t="s">
        <v>424</v>
      </c>
      <c r="U587" s="296" t="s">
        <v>436</v>
      </c>
      <c r="V587" s="256" t="s">
        <v>270</v>
      </c>
      <c r="W587" s="126" t="s">
        <v>426</v>
      </c>
      <c r="X587" s="129" t="s">
        <v>402</v>
      </c>
      <c r="Y587" s="129" t="s">
        <v>430</v>
      </c>
      <c r="Z587" s="126" t="s">
        <v>425</v>
      </c>
      <c r="AA587" s="255"/>
    </row>
    <row r="588" spans="1:27" hidden="1">
      <c r="B588" s="95"/>
      <c r="C588" s="96"/>
      <c r="D588" s="97"/>
      <c r="E588" s="442"/>
      <c r="F588" s="443"/>
      <c r="G588" s="439"/>
      <c r="H588" s="443"/>
      <c r="I588" s="439"/>
      <c r="J588" s="443"/>
      <c r="K588" s="439"/>
      <c r="L588" s="444"/>
      <c r="M588" s="98"/>
      <c r="N588" s="11"/>
      <c r="R588" s="129">
        <f t="shared" ref="R588:R593" si="288">IF(F588="実施済",1,0)</f>
        <v>0</v>
      </c>
      <c r="S588" s="258"/>
      <c r="T588" s="129">
        <f t="shared" ref="T588:T593" si="289">IF(AND(H588="実施済",I588="実施済"),R588*1,0)</f>
        <v>0</v>
      </c>
      <c r="U588" s="129">
        <f>IF(AND(J588="実施済",K588="実施済"),$T588*1,0)</f>
        <v>0</v>
      </c>
      <c r="V588" s="258"/>
      <c r="W588" s="129" t="str">
        <f>IF(OR(E588="〇〇(合意形成対象者名に書き換え)",E588=""),"",SUM(R588,T588,U588))</f>
        <v/>
      </c>
      <c r="X588" s="129">
        <f t="shared" ref="X588:X593" si="290">MIN($W$588:$W$593)+1</f>
        <v>1</v>
      </c>
      <c r="Y588" s="129">
        <f>IF(E588="",1,IF(AND(E588="〇〇(合意形成対象者名に書き換え)",COUNTA($F588:$L588)=0),1,IF(AND(E588&lt;&gt;"〇〇(合意形成対象者名に書き換え)",COUNTA($F588:$L588)=7),1,0)))</f>
        <v>1</v>
      </c>
      <c r="Z588" s="129" t="str" cm="1">
        <f t="array" ref="Z588">_xlfn.IFS(X588=4,"A",X588=3,"B",X588=2,"C",X588=1,"D")</f>
        <v>D</v>
      </c>
      <c r="AA588" s="255"/>
    </row>
    <row r="589" spans="1:27">
      <c r="B589" s="95"/>
      <c r="C589" s="96"/>
      <c r="D589" s="97"/>
      <c r="E589" s="447" t="s">
        <v>129</v>
      </c>
      <c r="F589" s="446"/>
      <c r="G589" s="441"/>
      <c r="H589" s="446"/>
      <c r="I589" s="441"/>
      <c r="J589" s="446"/>
      <c r="K589" s="441"/>
      <c r="L589" s="441"/>
      <c r="M589" s="98"/>
      <c r="N589" s="11"/>
      <c r="R589" s="129">
        <f t="shared" si="288"/>
        <v>0</v>
      </c>
      <c r="S589" s="258"/>
      <c r="T589" s="129">
        <f t="shared" si="289"/>
        <v>0</v>
      </c>
      <c r="U589" s="129">
        <f t="shared" ref="U589:U591" si="291">IF(AND(J589="実施済",K589="実施済"),$T589*1,0)</f>
        <v>0</v>
      </c>
      <c r="V589" s="258"/>
      <c r="W589" s="129" t="str">
        <f t="shared" ref="W589:W593" si="292">IF(OR(E589="〇〇(合意形成対象者名に書き換え)",E589=""),"",SUM(R589,T589,U589))</f>
        <v/>
      </c>
      <c r="X589" s="129">
        <f t="shared" si="290"/>
        <v>1</v>
      </c>
      <c r="Y589" s="129">
        <f t="shared" ref="Y589:Y593" si="293">IF(E589="",1,IF(AND(E589="〇〇(合意形成対象者名に書き換え)",COUNTA($F589:$L589)=0),1,IF(AND(E589&lt;&gt;"〇〇(合意形成対象者名に書き換え)",COUNTA($F589:$L589)=7),1,0)))</f>
        <v>1</v>
      </c>
      <c r="Z589" s="129" t="str" cm="1">
        <f t="array" ref="Z589">_xlfn.IFS(X589=4,"A",X589=3,"B",X589=2,"C",X589=1,"D")</f>
        <v>D</v>
      </c>
      <c r="AA589" s="255"/>
    </row>
    <row r="590" spans="1:27">
      <c r="B590" s="95"/>
      <c r="C590" s="96"/>
      <c r="D590" s="97"/>
      <c r="E590" s="447" t="s">
        <v>129</v>
      </c>
      <c r="F590" s="446"/>
      <c r="G590" s="441"/>
      <c r="H590" s="446"/>
      <c r="I590" s="441"/>
      <c r="J590" s="446"/>
      <c r="K590" s="441"/>
      <c r="L590" s="441"/>
      <c r="M590" s="98"/>
      <c r="N590" s="11"/>
      <c r="R590" s="129">
        <f t="shared" si="288"/>
        <v>0</v>
      </c>
      <c r="S590" s="258"/>
      <c r="T590" s="129">
        <f t="shared" si="289"/>
        <v>0</v>
      </c>
      <c r="U590" s="129">
        <f t="shared" si="291"/>
        <v>0</v>
      </c>
      <c r="V590" s="258"/>
      <c r="W590" s="129" t="str">
        <f t="shared" si="292"/>
        <v/>
      </c>
      <c r="X590" s="129">
        <f t="shared" si="290"/>
        <v>1</v>
      </c>
      <c r="Y590" s="129">
        <f t="shared" si="293"/>
        <v>1</v>
      </c>
      <c r="Z590" s="129" t="str" cm="1">
        <f t="array" ref="Z590">_xlfn.IFS(X590=4,"A",X590=3,"B",X590=2,"C",X590=1,"D")</f>
        <v>D</v>
      </c>
      <c r="AA590" s="255"/>
    </row>
    <row r="591" spans="1:27" s="99" customFormat="1">
      <c r="A591" s="11"/>
      <c r="B591" s="95"/>
      <c r="C591" s="96"/>
      <c r="D591" s="97"/>
      <c r="E591" s="447" t="s">
        <v>129</v>
      </c>
      <c r="F591" s="446"/>
      <c r="G591" s="441"/>
      <c r="H591" s="446"/>
      <c r="I591" s="441"/>
      <c r="J591" s="446"/>
      <c r="K591" s="441"/>
      <c r="L591" s="441"/>
      <c r="M591" s="98"/>
      <c r="N591" s="11"/>
      <c r="Q591" s="11"/>
      <c r="R591" s="129">
        <f t="shared" si="288"/>
        <v>0</v>
      </c>
      <c r="S591" s="258"/>
      <c r="T591" s="129">
        <f t="shared" si="289"/>
        <v>0</v>
      </c>
      <c r="U591" s="129">
        <f t="shared" si="291"/>
        <v>0</v>
      </c>
      <c r="V591" s="258"/>
      <c r="W591" s="129" t="str">
        <f t="shared" si="292"/>
        <v/>
      </c>
      <c r="X591" s="129">
        <f t="shared" si="290"/>
        <v>1</v>
      </c>
      <c r="Y591" s="129">
        <f t="shared" si="293"/>
        <v>1</v>
      </c>
      <c r="Z591" s="129" t="str" cm="1">
        <f t="array" ref="Z591">_xlfn.IFS(X591=4,"A",X591=3,"B",X591=2,"C",X591=1,"D")</f>
        <v>D</v>
      </c>
      <c r="AA591" s="129"/>
    </row>
    <row r="592" spans="1:27" customFormat="1" ht="7.5" customHeight="1">
      <c r="B592" s="65"/>
      <c r="C592" s="4"/>
      <c r="D592" s="4"/>
      <c r="E592" s="4"/>
      <c r="F592" s="4"/>
      <c r="G592" s="4"/>
      <c r="H592" s="4"/>
      <c r="I592" s="4"/>
      <c r="J592" s="4"/>
      <c r="K592" s="4"/>
      <c r="L592" s="4"/>
      <c r="M592" s="9"/>
      <c r="N592" s="2"/>
      <c r="O592" s="2"/>
      <c r="P592" s="2"/>
      <c r="R592" s="129">
        <f t="shared" si="288"/>
        <v>0</v>
      </c>
      <c r="S592" s="258"/>
      <c r="T592" s="129">
        <f t="shared" si="289"/>
        <v>0</v>
      </c>
      <c r="U592" s="129">
        <f>IF(AND(J592="実施済",K592="実施済"),$T592*1,0)</f>
        <v>0</v>
      </c>
      <c r="V592" s="258"/>
      <c r="W592" s="129" t="str">
        <f t="shared" si="292"/>
        <v/>
      </c>
      <c r="X592" s="129">
        <f t="shared" si="290"/>
        <v>1</v>
      </c>
      <c r="Y592" s="129">
        <f t="shared" si="293"/>
        <v>1</v>
      </c>
      <c r="Z592" s="129" t="str" cm="1">
        <f t="array" ref="Z592">_xlfn.IFS(X592=4,"A",X592=3,"B",X592=2,"C",X592=1,"D")</f>
        <v>D</v>
      </c>
      <c r="AA592" s="175"/>
    </row>
    <row r="593" spans="1:27" customFormat="1" ht="18" customHeight="1">
      <c r="N593" s="2"/>
      <c r="O593" s="2"/>
      <c r="P593" s="2"/>
      <c r="R593" s="129">
        <f t="shared" si="288"/>
        <v>0</v>
      </c>
      <c r="S593" s="258"/>
      <c r="T593" s="129">
        <f t="shared" si="289"/>
        <v>0</v>
      </c>
      <c r="U593" s="129">
        <f t="shared" ref="U593" si="294">IF(AND(J593="実施済",K593="実施済"),$T593*1,0)</f>
        <v>0</v>
      </c>
      <c r="V593" s="258"/>
      <c r="W593" s="129" t="str">
        <f t="shared" si="292"/>
        <v/>
      </c>
      <c r="X593" s="129">
        <f t="shared" si="290"/>
        <v>1</v>
      </c>
      <c r="Y593" s="129">
        <f t="shared" si="293"/>
        <v>1</v>
      </c>
      <c r="Z593" s="129" t="str" cm="1">
        <f t="array" ref="Z593">_xlfn.IFS(X593=4,"A",X593=3,"B",X593=2,"C",X593=1,"D")</f>
        <v>D</v>
      </c>
      <c r="AA593" s="175"/>
    </row>
    <row r="594" spans="1:27" customFormat="1" ht="103.5" customHeight="1">
      <c r="C594" s="78"/>
      <c r="D594" s="79"/>
      <c r="E594" s="71" t="s">
        <v>236</v>
      </c>
      <c r="F594" s="1452"/>
      <c r="G594" s="1452"/>
      <c r="H594" s="1452"/>
      <c r="I594" s="1452"/>
      <c r="J594" s="1452"/>
      <c r="K594" s="1452"/>
      <c r="L594" s="1452"/>
      <c r="M594" s="80" t="s">
        <v>132</v>
      </c>
      <c r="N594" s="80"/>
    </row>
    <row r="595" spans="1:27" customFormat="1" ht="146.25" customHeight="1">
      <c r="C595" s="75"/>
      <c r="D595" s="68"/>
      <c r="E595" s="71" t="s">
        <v>235</v>
      </c>
      <c r="F595" s="1452"/>
      <c r="G595" s="1452"/>
      <c r="H595" s="1452"/>
      <c r="I595" s="1452"/>
      <c r="J595" s="1452"/>
      <c r="K595" s="1452"/>
      <c r="L595" s="1452"/>
      <c r="N595" s="2"/>
      <c r="O595" s="2"/>
      <c r="P595" s="2"/>
    </row>
    <row r="596" spans="1:27" customFormat="1" ht="13.5" customHeight="1" thickBot="1">
      <c r="A596" s="81"/>
      <c r="B596" s="81"/>
      <c r="C596" s="81"/>
      <c r="D596" s="81"/>
      <c r="E596" s="81"/>
      <c r="F596" s="81"/>
      <c r="G596" s="81"/>
      <c r="H596" s="81"/>
      <c r="I596" s="81"/>
      <c r="J596" s="81"/>
      <c r="K596" s="81"/>
      <c r="L596" s="81"/>
      <c r="M596" s="81"/>
      <c r="N596" s="82"/>
      <c r="O596" s="2"/>
      <c r="P596" s="2"/>
    </row>
    <row r="597" spans="1:27" customFormat="1" ht="13.5" customHeight="1">
      <c r="N597" s="2"/>
      <c r="O597" s="2"/>
      <c r="P597" s="2"/>
    </row>
    <row r="598" spans="1:27" customFormat="1" ht="15" customHeight="1">
      <c r="B598" s="10"/>
      <c r="C598" s="5"/>
      <c r="D598" s="5"/>
      <c r="E598" s="5"/>
      <c r="F598" s="5"/>
      <c r="G598" s="5"/>
      <c r="H598" s="5"/>
      <c r="I598" s="5"/>
      <c r="J598" s="5"/>
      <c r="K598" s="5"/>
      <c r="L598" s="5"/>
      <c r="M598" s="6"/>
      <c r="R598" s="11" t="str">
        <f>D599</f>
        <v>(選択してください)</v>
      </c>
    </row>
    <row r="599" spans="1:27" customFormat="1">
      <c r="B599" s="7"/>
      <c r="C599" s="77" t="str">
        <f ca="1">IFERROR(OFFSET('4.2民生電力需要量'!$C$1,MATCH(D599,'4.2民生電力需要量'!$E:$E,0)-1,0),"")</f>
        <v/>
      </c>
      <c r="D599" s="94" t="s">
        <v>130</v>
      </c>
      <c r="E599" s="72" t="s">
        <v>131</v>
      </c>
      <c r="F599" s="1451" t="str">
        <f ca="1">IFERROR(OFFSET('4.2民生電力需要量'!$G$1,MATCH($D599,'4.2民生電力需要量'!$E:$E,0)-1,0),"")</f>
        <v/>
      </c>
      <c r="G599" s="1451"/>
      <c r="H599" s="1451"/>
      <c r="I599" s="1451"/>
      <c r="J599" s="1451"/>
      <c r="K599" s="1451"/>
      <c r="L599" s="1451"/>
      <c r="M599" s="8"/>
      <c r="R599" s="255" t="str">
        <f ca="1">IFERROR(OFFSET('4.2民生電力需要量'!$G$1,MATCH($D599,'4.2民生電力需要量'!$E:$E,0)-1,0),"")</f>
        <v/>
      </c>
      <c r="S599" s="175"/>
      <c r="T599" s="175"/>
      <c r="U599" s="175"/>
      <c r="V599" s="175"/>
      <c r="W599" s="175"/>
      <c r="X599" s="175"/>
      <c r="Y599" s="175"/>
      <c r="Z599" s="175"/>
      <c r="AA599" s="175">
        <f ca="1">(F599=R599)*1</f>
        <v>1</v>
      </c>
    </row>
    <row r="600" spans="1:27" customFormat="1">
      <c r="B600" s="7"/>
      <c r="C600" s="915"/>
      <c r="D600" s="97"/>
      <c r="E600" s="72" t="s">
        <v>612</v>
      </c>
      <c r="F600" s="1447" t="str">
        <f ca="1">IFERROR(OFFSET('4.2民生電力需要量'!$L$1,MATCH($D599,'4.2民生電力需要量'!$E:$E,0)-1,0),"")</f>
        <v/>
      </c>
      <c r="G600" s="1448"/>
      <c r="H600" s="1448"/>
      <c r="I600" s="1448"/>
      <c r="J600" s="1448"/>
      <c r="K600" s="1448"/>
      <c r="L600" s="1449"/>
      <c r="M600" s="8"/>
      <c r="R600" s="255" t="str">
        <f ca="1">IFERROR(OFFSET('4.2民生電力需要量'!$L$1,MATCH($D599,'4.2民生電力需要量'!$E:$E,0)-1,0),"")</f>
        <v/>
      </c>
      <c r="S600" s="175"/>
      <c r="T600" s="175"/>
      <c r="U600" s="175"/>
      <c r="V600" s="175"/>
      <c r="W600" s="175"/>
      <c r="X600" s="175"/>
      <c r="Y600" s="175"/>
      <c r="Z600" s="175"/>
      <c r="AA600" s="175">
        <f ca="1">(F600=R600)*1</f>
        <v>1</v>
      </c>
    </row>
    <row r="601" spans="1:27" customFormat="1">
      <c r="B601" s="7"/>
      <c r="C601" s="74"/>
      <c r="D601" s="66"/>
      <c r="E601" s="72" t="s">
        <v>220</v>
      </c>
      <c r="F601" s="1450" t="str">
        <f ca="1">IFERROR(OFFSET('4.2民生電力需要量'!$I$1,MATCH($D599,'4.2民生電力需要量'!$E:$E,0)-1,0),"")</f>
        <v/>
      </c>
      <c r="G601" s="1450"/>
      <c r="H601" s="1450"/>
      <c r="I601" s="1450"/>
      <c r="J601" s="1450"/>
      <c r="K601" s="1450"/>
      <c r="L601" s="1450"/>
      <c r="M601" s="8"/>
      <c r="R601" s="255" t="str">
        <f ca="1">IFERROR(OFFSET('4.2民生電力需要量'!$I$1,MATCH($D599,'4.2民生電力需要量'!$E:$E,0)-1,0),"")</f>
        <v/>
      </c>
      <c r="S601" s="175"/>
      <c r="T601" s="175"/>
      <c r="U601" s="175"/>
      <c r="V601" s="175"/>
      <c r="W601" s="175"/>
      <c r="X601" s="175"/>
      <c r="Y601" s="175"/>
      <c r="Z601" s="175"/>
      <c r="AA601" s="175">
        <f t="shared" ref="AA601:AA602" ca="1" si="295">(F601=R601)*1</f>
        <v>1</v>
      </c>
    </row>
    <row r="602" spans="1:27" customFormat="1">
      <c r="B602" s="7"/>
      <c r="C602" s="74"/>
      <c r="D602" s="66"/>
      <c r="E602" s="72" t="s">
        <v>175</v>
      </c>
      <c r="F602" s="1451" t="str">
        <f>_xlfn.IFNA(R602,"")</f>
        <v/>
      </c>
      <c r="G602" s="1451"/>
      <c r="H602" s="1451"/>
      <c r="I602" s="1451"/>
      <c r="J602" s="1451"/>
      <c r="K602" s="1451"/>
      <c r="L602" s="1451"/>
      <c r="M602" s="8"/>
      <c r="R602" s="129" t="str">
        <f>IF(OR(COUNTIF($E604:$E609,"&lt;&gt;〇〇(合意形成対象者名に書き換え)")=3,COUNTIF($E604:$E609,"")&gt;3),"",IF(PRODUCT($Y604:$Y609)=1,Z604,""))</f>
        <v/>
      </c>
      <c r="S602" s="175"/>
      <c r="T602" s="175"/>
      <c r="U602" s="175"/>
      <c r="V602" s="175"/>
      <c r="W602" s="175"/>
      <c r="X602" s="175"/>
      <c r="Y602" s="175"/>
      <c r="Z602" s="175"/>
      <c r="AA602" s="175">
        <f t="shared" si="295"/>
        <v>1</v>
      </c>
    </row>
    <row r="603" spans="1:27" ht="63.75" customHeight="1">
      <c r="B603" s="95"/>
      <c r="C603" s="96"/>
      <c r="D603" s="97"/>
      <c r="E603" s="372"/>
      <c r="F603" s="313" t="s">
        <v>268</v>
      </c>
      <c r="G603" s="313" t="s">
        <v>271</v>
      </c>
      <c r="H603" s="313" t="s">
        <v>272</v>
      </c>
      <c r="I603" s="313" t="s">
        <v>269</v>
      </c>
      <c r="J603" s="313" t="s">
        <v>434</v>
      </c>
      <c r="K603" s="313" t="s">
        <v>435</v>
      </c>
      <c r="L603" s="313" t="s">
        <v>270</v>
      </c>
      <c r="M603" s="98"/>
      <c r="N603" s="11"/>
      <c r="R603" s="126" t="s">
        <v>299</v>
      </c>
      <c r="S603" s="257" t="s">
        <v>423</v>
      </c>
      <c r="T603" s="126" t="s">
        <v>424</v>
      </c>
      <c r="U603" s="296" t="s">
        <v>436</v>
      </c>
      <c r="V603" s="256" t="s">
        <v>270</v>
      </c>
      <c r="W603" s="126" t="s">
        <v>426</v>
      </c>
      <c r="X603" s="129" t="s">
        <v>402</v>
      </c>
      <c r="Y603" s="129" t="s">
        <v>430</v>
      </c>
      <c r="Z603" s="126" t="s">
        <v>425</v>
      </c>
      <c r="AA603" s="255"/>
    </row>
    <row r="604" spans="1:27" hidden="1">
      <c r="B604" s="95"/>
      <c r="C604" s="96"/>
      <c r="D604" s="97"/>
      <c r="E604" s="442"/>
      <c r="F604" s="443"/>
      <c r="G604" s="439"/>
      <c r="H604" s="443"/>
      <c r="I604" s="439"/>
      <c r="J604" s="443"/>
      <c r="K604" s="439"/>
      <c r="L604" s="444"/>
      <c r="M604" s="98"/>
      <c r="N604" s="11"/>
      <c r="R604" s="129">
        <f t="shared" ref="R604:R609" si="296">IF(F604="実施済",1,0)</f>
        <v>0</v>
      </c>
      <c r="S604" s="258"/>
      <c r="T604" s="129">
        <f t="shared" ref="T604:T609" si="297">IF(AND(H604="実施済",I604="実施済"),R604*1,0)</f>
        <v>0</v>
      </c>
      <c r="U604" s="129">
        <f>IF(AND(J604="実施済",K604="実施済"),$T604*1,0)</f>
        <v>0</v>
      </c>
      <c r="V604" s="258"/>
      <c r="W604" s="129" t="str">
        <f>IF(OR(E604="〇〇(合意形成対象者名に書き換え)",E604=""),"",SUM(R604,T604,U604))</f>
        <v/>
      </c>
      <c r="X604" s="129">
        <f t="shared" ref="X604:X609" si="298">MIN($W$604:$W$609)+1</f>
        <v>1</v>
      </c>
      <c r="Y604" s="129">
        <f>IF(E604="",1,IF(AND(E604="〇〇(合意形成対象者名に書き換え)",COUNTA($F604:$L604)=0),1,IF(AND(E604&lt;&gt;"〇〇(合意形成対象者名に書き換え)",COUNTA($F604:$L604)=7),1,0)))</f>
        <v>1</v>
      </c>
      <c r="Z604" s="129" t="str" cm="1">
        <f t="array" ref="Z604">_xlfn.IFS(X604=4,"A",X604=3,"B",X604=2,"C",X604=1,"D")</f>
        <v>D</v>
      </c>
      <c r="AA604" s="255"/>
    </row>
    <row r="605" spans="1:27">
      <c r="B605" s="95"/>
      <c r="C605" s="96"/>
      <c r="D605" s="97"/>
      <c r="E605" s="447" t="s">
        <v>129</v>
      </c>
      <c r="F605" s="446"/>
      <c r="G605" s="441"/>
      <c r="H605" s="446"/>
      <c r="I605" s="441"/>
      <c r="J605" s="446"/>
      <c r="K605" s="441"/>
      <c r="L605" s="441"/>
      <c r="M605" s="98"/>
      <c r="N605" s="11"/>
      <c r="R605" s="129">
        <f t="shared" si="296"/>
        <v>0</v>
      </c>
      <c r="S605" s="258"/>
      <c r="T605" s="129">
        <f t="shared" si="297"/>
        <v>0</v>
      </c>
      <c r="U605" s="129">
        <f t="shared" ref="U605:U607" si="299">IF(AND(J605="実施済",K605="実施済"),$T605*1,0)</f>
        <v>0</v>
      </c>
      <c r="V605" s="258"/>
      <c r="W605" s="129" t="str">
        <f t="shared" ref="W605:W609" si="300">IF(OR(E605="〇〇(合意形成対象者名に書き換え)",E605=""),"",SUM(R605,T605,U605))</f>
        <v/>
      </c>
      <c r="X605" s="129">
        <f t="shared" si="298"/>
        <v>1</v>
      </c>
      <c r="Y605" s="129">
        <f t="shared" ref="Y605:Y609" si="301">IF(E605="",1,IF(AND(E605="〇〇(合意形成対象者名に書き換え)",COUNTA($F605:$L605)=0),1,IF(AND(E605&lt;&gt;"〇〇(合意形成対象者名に書き換え)",COUNTA($F605:$L605)=7),1,0)))</f>
        <v>1</v>
      </c>
      <c r="Z605" s="129" t="str" cm="1">
        <f t="array" ref="Z605">_xlfn.IFS(X605=4,"A",X605=3,"B",X605=2,"C",X605=1,"D")</f>
        <v>D</v>
      </c>
      <c r="AA605" s="255"/>
    </row>
    <row r="606" spans="1:27">
      <c r="B606" s="95"/>
      <c r="C606" s="96"/>
      <c r="D606" s="97"/>
      <c r="E606" s="447" t="s">
        <v>129</v>
      </c>
      <c r="F606" s="446"/>
      <c r="G606" s="441"/>
      <c r="H606" s="446"/>
      <c r="I606" s="441"/>
      <c r="J606" s="446"/>
      <c r="K606" s="441"/>
      <c r="L606" s="441"/>
      <c r="M606" s="98"/>
      <c r="N606" s="11"/>
      <c r="R606" s="129">
        <f t="shared" si="296"/>
        <v>0</v>
      </c>
      <c r="S606" s="258"/>
      <c r="T606" s="129">
        <f t="shared" si="297"/>
        <v>0</v>
      </c>
      <c r="U606" s="129">
        <f t="shared" si="299"/>
        <v>0</v>
      </c>
      <c r="V606" s="258"/>
      <c r="W606" s="129" t="str">
        <f t="shared" si="300"/>
        <v/>
      </c>
      <c r="X606" s="129">
        <f t="shared" si="298"/>
        <v>1</v>
      </c>
      <c r="Y606" s="129">
        <f t="shared" si="301"/>
        <v>1</v>
      </c>
      <c r="Z606" s="129" t="str" cm="1">
        <f t="array" ref="Z606">_xlfn.IFS(X606=4,"A",X606=3,"B",X606=2,"C",X606=1,"D")</f>
        <v>D</v>
      </c>
      <c r="AA606" s="255"/>
    </row>
    <row r="607" spans="1:27" s="99" customFormat="1">
      <c r="A607" s="11"/>
      <c r="B607" s="95"/>
      <c r="C607" s="96"/>
      <c r="D607" s="97"/>
      <c r="E607" s="447" t="s">
        <v>129</v>
      </c>
      <c r="F607" s="446"/>
      <c r="G607" s="441"/>
      <c r="H607" s="446"/>
      <c r="I607" s="441"/>
      <c r="J607" s="446"/>
      <c r="K607" s="441"/>
      <c r="L607" s="441"/>
      <c r="M607" s="98"/>
      <c r="N607" s="11"/>
      <c r="Q607" s="11"/>
      <c r="R607" s="129">
        <f t="shared" si="296"/>
        <v>0</v>
      </c>
      <c r="S607" s="258"/>
      <c r="T607" s="129">
        <f t="shared" si="297"/>
        <v>0</v>
      </c>
      <c r="U607" s="129">
        <f t="shared" si="299"/>
        <v>0</v>
      </c>
      <c r="V607" s="258"/>
      <c r="W607" s="129" t="str">
        <f t="shared" si="300"/>
        <v/>
      </c>
      <c r="X607" s="129">
        <f t="shared" si="298"/>
        <v>1</v>
      </c>
      <c r="Y607" s="129">
        <f t="shared" si="301"/>
        <v>1</v>
      </c>
      <c r="Z607" s="129" t="str" cm="1">
        <f t="array" ref="Z607">_xlfn.IFS(X607=4,"A",X607=3,"B",X607=2,"C",X607=1,"D")</f>
        <v>D</v>
      </c>
      <c r="AA607" s="129"/>
    </row>
    <row r="608" spans="1:27" customFormat="1" ht="7.5" customHeight="1">
      <c r="B608" s="65"/>
      <c r="C608" s="4"/>
      <c r="D608" s="4"/>
      <c r="E608" s="4"/>
      <c r="F608" s="4"/>
      <c r="G608" s="4"/>
      <c r="H608" s="4"/>
      <c r="I608" s="4"/>
      <c r="J608" s="4"/>
      <c r="K608" s="4"/>
      <c r="L608" s="4"/>
      <c r="M608" s="9"/>
      <c r="N608" s="2"/>
      <c r="O608" s="2"/>
      <c r="P608" s="2"/>
      <c r="R608" s="129">
        <f t="shared" si="296"/>
        <v>0</v>
      </c>
      <c r="S608" s="258"/>
      <c r="T608" s="129">
        <f t="shared" si="297"/>
        <v>0</v>
      </c>
      <c r="U608" s="129">
        <f>IF(AND(J608="実施済",K608="実施済"),$T608*1,0)</f>
        <v>0</v>
      </c>
      <c r="V608" s="258"/>
      <c r="W608" s="129" t="str">
        <f t="shared" si="300"/>
        <v/>
      </c>
      <c r="X608" s="129">
        <f t="shared" si="298"/>
        <v>1</v>
      </c>
      <c r="Y608" s="129">
        <f t="shared" si="301"/>
        <v>1</v>
      </c>
      <c r="Z608" s="129" t="str" cm="1">
        <f t="array" ref="Z608">_xlfn.IFS(X608=4,"A",X608=3,"B",X608=2,"C",X608=1,"D")</f>
        <v>D</v>
      </c>
      <c r="AA608" s="175"/>
    </row>
    <row r="609" spans="1:27" customFormat="1" ht="18" customHeight="1">
      <c r="N609" s="2"/>
      <c r="O609" s="2"/>
      <c r="P609" s="2"/>
      <c r="R609" s="129">
        <f t="shared" si="296"/>
        <v>0</v>
      </c>
      <c r="S609" s="258"/>
      <c r="T609" s="129">
        <f t="shared" si="297"/>
        <v>0</v>
      </c>
      <c r="U609" s="129">
        <f t="shared" ref="U609" si="302">IF(AND(J609="実施済",K609="実施済"),$T609*1,0)</f>
        <v>0</v>
      </c>
      <c r="V609" s="258"/>
      <c r="W609" s="129" t="str">
        <f t="shared" si="300"/>
        <v/>
      </c>
      <c r="X609" s="129">
        <f t="shared" si="298"/>
        <v>1</v>
      </c>
      <c r="Y609" s="129">
        <f t="shared" si="301"/>
        <v>1</v>
      </c>
      <c r="Z609" s="129" t="str" cm="1">
        <f t="array" ref="Z609">_xlfn.IFS(X609=4,"A",X609=3,"B",X609=2,"C",X609=1,"D")</f>
        <v>D</v>
      </c>
      <c r="AA609" s="175"/>
    </row>
    <row r="610" spans="1:27" customFormat="1" ht="103.5" customHeight="1">
      <c r="C610" s="78"/>
      <c r="D610" s="79"/>
      <c r="E610" s="71" t="s">
        <v>236</v>
      </c>
      <c r="F610" s="1452"/>
      <c r="G610" s="1452"/>
      <c r="H610" s="1452"/>
      <c r="I610" s="1452"/>
      <c r="J610" s="1452"/>
      <c r="K610" s="1452"/>
      <c r="L610" s="1452"/>
      <c r="M610" s="80" t="s">
        <v>132</v>
      </c>
      <c r="N610" s="80"/>
    </row>
    <row r="611" spans="1:27" customFormat="1" ht="146.25" customHeight="1">
      <c r="C611" s="75"/>
      <c r="D611" s="68"/>
      <c r="E611" s="71" t="s">
        <v>235</v>
      </c>
      <c r="F611" s="1452"/>
      <c r="G611" s="1452"/>
      <c r="H611" s="1452"/>
      <c r="I611" s="1452"/>
      <c r="J611" s="1452"/>
      <c r="K611" s="1452"/>
      <c r="L611" s="1452"/>
      <c r="N611" s="2"/>
      <c r="O611" s="2"/>
      <c r="P611" s="2"/>
    </row>
    <row r="612" spans="1:27" customFormat="1" ht="13.5" customHeight="1" thickBot="1">
      <c r="A612" s="81"/>
      <c r="B612" s="81"/>
      <c r="C612" s="81"/>
      <c r="D612" s="81"/>
      <c r="E612" s="81"/>
      <c r="F612" s="81"/>
      <c r="G612" s="81"/>
      <c r="H612" s="81"/>
      <c r="I612" s="81"/>
      <c r="J612" s="81"/>
      <c r="K612" s="81"/>
      <c r="L612" s="81"/>
      <c r="M612" s="81"/>
      <c r="N612" s="82"/>
      <c r="O612" s="2"/>
      <c r="P612" s="2"/>
    </row>
    <row r="613" spans="1:27" customFormat="1" ht="13.5" customHeight="1">
      <c r="N613" s="2"/>
      <c r="O613" s="2"/>
      <c r="P613" s="2"/>
    </row>
    <row r="614" spans="1:27" customFormat="1" ht="15" customHeight="1">
      <c r="B614" s="10"/>
      <c r="C614" s="5"/>
      <c r="D614" s="5"/>
      <c r="E614" s="5"/>
      <c r="F614" s="5"/>
      <c r="G614" s="5"/>
      <c r="H614" s="5"/>
      <c r="I614" s="5"/>
      <c r="J614" s="5"/>
      <c r="K614" s="5"/>
      <c r="L614" s="5"/>
      <c r="M614" s="6"/>
      <c r="R614" s="11" t="str">
        <f>D615</f>
        <v>(選択してください)</v>
      </c>
    </row>
    <row r="615" spans="1:27" customFormat="1">
      <c r="B615" s="7"/>
      <c r="C615" s="77" t="str">
        <f ca="1">IFERROR(OFFSET('4.2民生電力需要量'!$C$1,MATCH(D615,'4.2民生電力需要量'!$E:$E,0)-1,0),"")</f>
        <v/>
      </c>
      <c r="D615" s="94" t="s">
        <v>130</v>
      </c>
      <c r="E615" s="72" t="s">
        <v>131</v>
      </c>
      <c r="F615" s="1451" t="str">
        <f ca="1">IFERROR(OFFSET('4.2民生電力需要量'!$G$1,MATCH($D615,'4.2民生電力需要量'!$E:$E,0)-1,0),"")</f>
        <v/>
      </c>
      <c r="G615" s="1451"/>
      <c r="H615" s="1451"/>
      <c r="I615" s="1451"/>
      <c r="J615" s="1451"/>
      <c r="K615" s="1451"/>
      <c r="L615" s="1451"/>
      <c r="M615" s="8"/>
      <c r="R615" s="255" t="str">
        <f ca="1">IFERROR(OFFSET('4.2民生電力需要量'!$G$1,MATCH($D615,'4.2民生電力需要量'!$E:$E,0)-1,0),"")</f>
        <v/>
      </c>
      <c r="S615" s="175"/>
      <c r="T615" s="175"/>
      <c r="U615" s="175"/>
      <c r="V615" s="175"/>
      <c r="W615" s="175"/>
      <c r="X615" s="175"/>
      <c r="Y615" s="175"/>
      <c r="Z615" s="175"/>
      <c r="AA615" s="175">
        <f ca="1">(F615=R615)*1</f>
        <v>1</v>
      </c>
    </row>
    <row r="616" spans="1:27" customFormat="1">
      <c r="B616" s="7"/>
      <c r="C616" s="915"/>
      <c r="D616" s="97"/>
      <c r="E616" s="72" t="s">
        <v>612</v>
      </c>
      <c r="F616" s="1447" t="str">
        <f ca="1">IFERROR(OFFSET('4.2民生電力需要量'!$L$1,MATCH($D615,'4.2民生電力需要量'!$E:$E,0)-1,0),"")</f>
        <v/>
      </c>
      <c r="G616" s="1448"/>
      <c r="H616" s="1448"/>
      <c r="I616" s="1448"/>
      <c r="J616" s="1448"/>
      <c r="K616" s="1448"/>
      <c r="L616" s="1449"/>
      <c r="M616" s="8"/>
      <c r="R616" s="255" t="str">
        <f ca="1">IFERROR(OFFSET('4.2民生電力需要量'!$L$1,MATCH($D615,'4.2民生電力需要量'!$E:$E,0)-1,0),"")</f>
        <v/>
      </c>
      <c r="S616" s="175"/>
      <c r="T616" s="175"/>
      <c r="U616" s="175"/>
      <c r="V616" s="175"/>
      <c r="W616" s="175"/>
      <c r="X616" s="175"/>
      <c r="Y616" s="175"/>
      <c r="Z616" s="175"/>
      <c r="AA616" s="175">
        <f ca="1">(F616=R616)*1</f>
        <v>1</v>
      </c>
    </row>
    <row r="617" spans="1:27" customFormat="1">
      <c r="B617" s="7"/>
      <c r="C617" s="74"/>
      <c r="D617" s="66"/>
      <c r="E617" s="72" t="s">
        <v>220</v>
      </c>
      <c r="F617" s="1450" t="str">
        <f ca="1">IFERROR(OFFSET('4.2民生電力需要量'!$I$1,MATCH($D615,'4.2民生電力需要量'!$E:$E,0)-1,0),"")</f>
        <v/>
      </c>
      <c r="G617" s="1450"/>
      <c r="H617" s="1450"/>
      <c r="I617" s="1450"/>
      <c r="J617" s="1450"/>
      <c r="K617" s="1450"/>
      <c r="L617" s="1450"/>
      <c r="M617" s="8"/>
      <c r="R617" s="255" t="str">
        <f ca="1">IFERROR(OFFSET('4.2民生電力需要量'!$I$1,MATCH($D615,'4.2民生電力需要量'!$E:$E,0)-1,0),"")</f>
        <v/>
      </c>
      <c r="S617" s="175"/>
      <c r="T617" s="175"/>
      <c r="U617" s="175"/>
      <c r="V617" s="175"/>
      <c r="W617" s="175"/>
      <c r="X617" s="175"/>
      <c r="Y617" s="175"/>
      <c r="Z617" s="175"/>
      <c r="AA617" s="175">
        <f t="shared" ref="AA617:AA618" ca="1" si="303">(F617=R617)*1</f>
        <v>1</v>
      </c>
    </row>
    <row r="618" spans="1:27" customFormat="1">
      <c r="B618" s="7"/>
      <c r="C618" s="74"/>
      <c r="D618" s="66"/>
      <c r="E618" s="72" t="s">
        <v>175</v>
      </c>
      <c r="F618" s="1451" t="str">
        <f>_xlfn.IFNA(R618,"")</f>
        <v/>
      </c>
      <c r="G618" s="1451"/>
      <c r="H618" s="1451"/>
      <c r="I618" s="1451"/>
      <c r="J618" s="1451"/>
      <c r="K618" s="1451"/>
      <c r="L618" s="1451"/>
      <c r="M618" s="8"/>
      <c r="R618" s="129" t="str">
        <f>IF(OR(COUNTIF($E620:$E625,"&lt;&gt;〇〇(合意形成対象者名に書き換え)")=3,COUNTIF($E620:$E625,"")&gt;3),"",IF(PRODUCT($Y620:$Y625)=1,Z620,""))</f>
        <v/>
      </c>
      <c r="S618" s="175"/>
      <c r="T618" s="175"/>
      <c r="U618" s="175"/>
      <c r="V618" s="175"/>
      <c r="W618" s="175"/>
      <c r="X618" s="175"/>
      <c r="Y618" s="175"/>
      <c r="Z618" s="175"/>
      <c r="AA618" s="175">
        <f t="shared" si="303"/>
        <v>1</v>
      </c>
    </row>
    <row r="619" spans="1:27" ht="63.75" customHeight="1">
      <c r="B619" s="95"/>
      <c r="C619" s="96"/>
      <c r="D619" s="97"/>
      <c r="E619" s="372"/>
      <c r="F619" s="313" t="s">
        <v>268</v>
      </c>
      <c r="G619" s="313" t="s">
        <v>271</v>
      </c>
      <c r="H619" s="313" t="s">
        <v>272</v>
      </c>
      <c r="I619" s="313" t="s">
        <v>269</v>
      </c>
      <c r="J619" s="313" t="s">
        <v>434</v>
      </c>
      <c r="K619" s="313" t="s">
        <v>435</v>
      </c>
      <c r="L619" s="313" t="s">
        <v>270</v>
      </c>
      <c r="M619" s="98"/>
      <c r="N619" s="11"/>
      <c r="R619" s="126" t="s">
        <v>299</v>
      </c>
      <c r="S619" s="257" t="s">
        <v>423</v>
      </c>
      <c r="T619" s="126" t="s">
        <v>424</v>
      </c>
      <c r="U619" s="296" t="s">
        <v>436</v>
      </c>
      <c r="V619" s="256" t="s">
        <v>270</v>
      </c>
      <c r="W619" s="126" t="s">
        <v>426</v>
      </c>
      <c r="X619" s="129" t="s">
        <v>402</v>
      </c>
      <c r="Y619" s="129" t="s">
        <v>430</v>
      </c>
      <c r="Z619" s="126" t="s">
        <v>425</v>
      </c>
      <c r="AA619" s="255"/>
    </row>
    <row r="620" spans="1:27" hidden="1">
      <c r="B620" s="95"/>
      <c r="C620" s="96"/>
      <c r="D620" s="97"/>
      <c r="E620" s="442"/>
      <c r="F620" s="443"/>
      <c r="G620" s="439"/>
      <c r="H620" s="443"/>
      <c r="I620" s="439"/>
      <c r="J620" s="443"/>
      <c r="K620" s="439"/>
      <c r="L620" s="444"/>
      <c r="M620" s="98"/>
      <c r="N620" s="11"/>
      <c r="R620" s="129">
        <f t="shared" ref="R620:R625" si="304">IF(F620="実施済",1,0)</f>
        <v>0</v>
      </c>
      <c r="S620" s="258"/>
      <c r="T620" s="129">
        <f t="shared" ref="T620:T625" si="305">IF(AND(H620="実施済",I620="実施済"),R620*1,0)</f>
        <v>0</v>
      </c>
      <c r="U620" s="129">
        <f>IF(AND(J620="実施済",K620="実施済"),$T620*1,0)</f>
        <v>0</v>
      </c>
      <c r="V620" s="258"/>
      <c r="W620" s="129" t="str">
        <f>IF(OR(E620="〇〇(合意形成対象者名に書き換え)",E620=""),"",SUM(R620,T620,U620))</f>
        <v/>
      </c>
      <c r="X620" s="129">
        <f t="shared" ref="X620:X625" si="306">MIN($W$620:$W$625)+1</f>
        <v>1</v>
      </c>
      <c r="Y620" s="129">
        <f>IF(E620="",1,IF(AND(E620="〇〇(合意形成対象者名に書き換え)",COUNTA($F620:$L620)=0),1,IF(AND(E620&lt;&gt;"〇〇(合意形成対象者名に書き換え)",COUNTA($F620:$L620)=7),1,0)))</f>
        <v>1</v>
      </c>
      <c r="Z620" s="129" t="str" cm="1">
        <f t="array" ref="Z620">_xlfn.IFS(X620=4,"A",X620=3,"B",X620=2,"C",X620=1,"D")</f>
        <v>D</v>
      </c>
      <c r="AA620" s="255"/>
    </row>
    <row r="621" spans="1:27">
      <c r="B621" s="95"/>
      <c r="C621" s="96"/>
      <c r="D621" s="97"/>
      <c r="E621" s="447" t="s">
        <v>129</v>
      </c>
      <c r="F621" s="446"/>
      <c r="G621" s="441"/>
      <c r="H621" s="446"/>
      <c r="I621" s="441"/>
      <c r="J621" s="446"/>
      <c r="K621" s="441"/>
      <c r="L621" s="441"/>
      <c r="M621" s="98"/>
      <c r="N621" s="11"/>
      <c r="R621" s="129">
        <f t="shared" si="304"/>
        <v>0</v>
      </c>
      <c r="S621" s="258"/>
      <c r="T621" s="129">
        <f t="shared" si="305"/>
        <v>0</v>
      </c>
      <c r="U621" s="129">
        <f t="shared" ref="U621:U623" si="307">IF(AND(J621="実施済",K621="実施済"),$T621*1,0)</f>
        <v>0</v>
      </c>
      <c r="V621" s="258"/>
      <c r="W621" s="129" t="str">
        <f t="shared" ref="W621:W625" si="308">IF(OR(E621="〇〇(合意形成対象者名に書き換え)",E621=""),"",SUM(R621,T621,U621))</f>
        <v/>
      </c>
      <c r="X621" s="129">
        <f t="shared" si="306"/>
        <v>1</v>
      </c>
      <c r="Y621" s="129">
        <f t="shared" ref="Y621:Y625" si="309">IF(E621="",1,IF(AND(E621="〇〇(合意形成対象者名に書き換え)",COUNTA($F621:$L621)=0),1,IF(AND(E621&lt;&gt;"〇〇(合意形成対象者名に書き換え)",COUNTA($F621:$L621)=7),1,0)))</f>
        <v>1</v>
      </c>
      <c r="Z621" s="129" t="str" cm="1">
        <f t="array" ref="Z621">_xlfn.IFS(X621=4,"A",X621=3,"B",X621=2,"C",X621=1,"D")</f>
        <v>D</v>
      </c>
      <c r="AA621" s="255"/>
    </row>
    <row r="622" spans="1:27">
      <c r="B622" s="95"/>
      <c r="C622" s="96"/>
      <c r="D622" s="97"/>
      <c r="E622" s="447" t="s">
        <v>129</v>
      </c>
      <c r="F622" s="446"/>
      <c r="G622" s="441"/>
      <c r="H622" s="446"/>
      <c r="I622" s="441"/>
      <c r="J622" s="446"/>
      <c r="K622" s="441"/>
      <c r="L622" s="441"/>
      <c r="M622" s="98"/>
      <c r="N622" s="11"/>
      <c r="R622" s="129">
        <f t="shared" si="304"/>
        <v>0</v>
      </c>
      <c r="S622" s="258"/>
      <c r="T622" s="129">
        <f t="shared" si="305"/>
        <v>0</v>
      </c>
      <c r="U622" s="129">
        <f t="shared" si="307"/>
        <v>0</v>
      </c>
      <c r="V622" s="258"/>
      <c r="W622" s="129" t="str">
        <f t="shared" si="308"/>
        <v/>
      </c>
      <c r="X622" s="129">
        <f t="shared" si="306"/>
        <v>1</v>
      </c>
      <c r="Y622" s="129">
        <f t="shared" si="309"/>
        <v>1</v>
      </c>
      <c r="Z622" s="129" t="str" cm="1">
        <f t="array" ref="Z622">_xlfn.IFS(X622=4,"A",X622=3,"B",X622=2,"C",X622=1,"D")</f>
        <v>D</v>
      </c>
      <c r="AA622" s="255"/>
    </row>
    <row r="623" spans="1:27" s="99" customFormat="1">
      <c r="A623" s="11"/>
      <c r="B623" s="95"/>
      <c r="C623" s="96"/>
      <c r="D623" s="97"/>
      <c r="E623" s="447" t="s">
        <v>129</v>
      </c>
      <c r="F623" s="446"/>
      <c r="G623" s="441"/>
      <c r="H623" s="446"/>
      <c r="I623" s="441"/>
      <c r="J623" s="446"/>
      <c r="K623" s="441"/>
      <c r="L623" s="441"/>
      <c r="M623" s="98"/>
      <c r="N623" s="11"/>
      <c r="Q623" s="11"/>
      <c r="R623" s="129">
        <f t="shared" si="304"/>
        <v>0</v>
      </c>
      <c r="S623" s="258"/>
      <c r="T623" s="129">
        <f t="shared" si="305"/>
        <v>0</v>
      </c>
      <c r="U623" s="129">
        <f t="shared" si="307"/>
        <v>0</v>
      </c>
      <c r="V623" s="258"/>
      <c r="W623" s="129" t="str">
        <f t="shared" si="308"/>
        <v/>
      </c>
      <c r="X623" s="129">
        <f t="shared" si="306"/>
        <v>1</v>
      </c>
      <c r="Y623" s="129">
        <f t="shared" si="309"/>
        <v>1</v>
      </c>
      <c r="Z623" s="129" t="str" cm="1">
        <f t="array" ref="Z623">_xlfn.IFS(X623=4,"A",X623=3,"B",X623=2,"C",X623=1,"D")</f>
        <v>D</v>
      </c>
      <c r="AA623" s="129"/>
    </row>
    <row r="624" spans="1:27" customFormat="1" ht="7.5" customHeight="1">
      <c r="B624" s="65"/>
      <c r="C624" s="4"/>
      <c r="D624" s="4"/>
      <c r="E624" s="4"/>
      <c r="F624" s="4"/>
      <c r="G624" s="4"/>
      <c r="H624" s="4"/>
      <c r="I624" s="4"/>
      <c r="J624" s="4"/>
      <c r="K624" s="4"/>
      <c r="L624" s="4"/>
      <c r="M624" s="9"/>
      <c r="N624" s="2"/>
      <c r="O624" s="2"/>
      <c r="P624" s="2"/>
      <c r="R624" s="129">
        <f t="shared" si="304"/>
        <v>0</v>
      </c>
      <c r="S624" s="258"/>
      <c r="T624" s="129">
        <f t="shared" si="305"/>
        <v>0</v>
      </c>
      <c r="U624" s="129">
        <f>IF(AND(J624="実施済",K624="実施済"),$T624*1,0)</f>
        <v>0</v>
      </c>
      <c r="V624" s="258"/>
      <c r="W624" s="129" t="str">
        <f t="shared" si="308"/>
        <v/>
      </c>
      <c r="X624" s="129">
        <f t="shared" si="306"/>
        <v>1</v>
      </c>
      <c r="Y624" s="129">
        <f t="shared" si="309"/>
        <v>1</v>
      </c>
      <c r="Z624" s="129" t="str" cm="1">
        <f t="array" ref="Z624">_xlfn.IFS(X624=4,"A",X624=3,"B",X624=2,"C",X624=1,"D")</f>
        <v>D</v>
      </c>
      <c r="AA624" s="175"/>
    </row>
    <row r="625" spans="1:27" customFormat="1" ht="18" customHeight="1">
      <c r="N625" s="2"/>
      <c r="O625" s="2"/>
      <c r="P625" s="2"/>
      <c r="R625" s="129">
        <f t="shared" si="304"/>
        <v>0</v>
      </c>
      <c r="S625" s="258"/>
      <c r="T625" s="129">
        <f t="shared" si="305"/>
        <v>0</v>
      </c>
      <c r="U625" s="129">
        <f t="shared" ref="U625" si="310">IF(AND(J625="実施済",K625="実施済"),$T625*1,0)</f>
        <v>0</v>
      </c>
      <c r="V625" s="258"/>
      <c r="W625" s="129" t="str">
        <f t="shared" si="308"/>
        <v/>
      </c>
      <c r="X625" s="129">
        <f t="shared" si="306"/>
        <v>1</v>
      </c>
      <c r="Y625" s="129">
        <f t="shared" si="309"/>
        <v>1</v>
      </c>
      <c r="Z625" s="129" t="str" cm="1">
        <f t="array" ref="Z625">_xlfn.IFS(X625=4,"A",X625=3,"B",X625=2,"C",X625=1,"D")</f>
        <v>D</v>
      </c>
      <c r="AA625" s="175"/>
    </row>
    <row r="626" spans="1:27" customFormat="1" ht="103.5" customHeight="1">
      <c r="C626" s="78"/>
      <c r="D626" s="79"/>
      <c r="E626" s="71" t="s">
        <v>236</v>
      </c>
      <c r="F626" s="1452"/>
      <c r="G626" s="1452"/>
      <c r="H626" s="1452"/>
      <c r="I626" s="1452"/>
      <c r="J626" s="1452"/>
      <c r="K626" s="1452"/>
      <c r="L626" s="1452"/>
      <c r="M626" s="80" t="s">
        <v>132</v>
      </c>
      <c r="N626" s="80"/>
    </row>
    <row r="627" spans="1:27" customFormat="1" ht="146.25" customHeight="1">
      <c r="C627" s="75"/>
      <c r="D627" s="68"/>
      <c r="E627" s="71" t="s">
        <v>235</v>
      </c>
      <c r="F627" s="1452"/>
      <c r="G627" s="1452"/>
      <c r="H627" s="1452"/>
      <c r="I627" s="1452"/>
      <c r="J627" s="1452"/>
      <c r="K627" s="1452"/>
      <c r="L627" s="1452"/>
      <c r="N627" s="2"/>
      <c r="O627" s="2"/>
      <c r="P627" s="2"/>
    </row>
    <row r="628" spans="1:27" customFormat="1" ht="13.5" customHeight="1" thickBot="1">
      <c r="A628" s="81"/>
      <c r="B628" s="81"/>
      <c r="C628" s="81"/>
      <c r="D628" s="81"/>
      <c r="E628" s="81"/>
      <c r="F628" s="81"/>
      <c r="G628" s="81"/>
      <c r="H628" s="81"/>
      <c r="I628" s="81"/>
      <c r="J628" s="81"/>
      <c r="K628" s="81"/>
      <c r="L628" s="81"/>
      <c r="M628" s="81"/>
      <c r="N628" s="82"/>
      <c r="O628" s="2"/>
      <c r="P628" s="2"/>
    </row>
    <row r="629" spans="1:27" customFormat="1" ht="13.5" customHeight="1">
      <c r="N629" s="2"/>
      <c r="O629" s="2"/>
      <c r="P629" s="2"/>
    </row>
    <row r="630" spans="1:27" customFormat="1" ht="15" customHeight="1">
      <c r="B630" s="10"/>
      <c r="C630" s="5"/>
      <c r="D630" s="5"/>
      <c r="E630" s="5"/>
      <c r="F630" s="5"/>
      <c r="G630" s="5"/>
      <c r="H630" s="5"/>
      <c r="I630" s="5"/>
      <c r="J630" s="5"/>
      <c r="K630" s="5"/>
      <c r="L630" s="5"/>
      <c r="M630" s="6"/>
      <c r="R630" s="11" t="str">
        <f>D631</f>
        <v>(選択してください)</v>
      </c>
    </row>
    <row r="631" spans="1:27" customFormat="1">
      <c r="B631" s="7"/>
      <c r="C631" s="77" t="str">
        <f ca="1">IFERROR(OFFSET('4.2民生電力需要量'!$C$1,MATCH(D631,'4.2民生電力需要量'!$E:$E,0)-1,0),"")</f>
        <v/>
      </c>
      <c r="D631" s="94" t="s">
        <v>130</v>
      </c>
      <c r="E631" s="72" t="s">
        <v>131</v>
      </c>
      <c r="F631" s="1451" t="str">
        <f ca="1">IFERROR(OFFSET('4.2民生電力需要量'!$G$1,MATCH($D631,'4.2民生電力需要量'!$E:$E,0)-1,0),"")</f>
        <v/>
      </c>
      <c r="G631" s="1451"/>
      <c r="H631" s="1451"/>
      <c r="I631" s="1451"/>
      <c r="J631" s="1451"/>
      <c r="K631" s="1451"/>
      <c r="L631" s="1451"/>
      <c r="M631" s="8"/>
      <c r="R631" s="255" t="str">
        <f ca="1">IFERROR(OFFSET('4.2民生電力需要量'!$G$1,MATCH($D631,'4.2民生電力需要量'!$E:$E,0)-1,0),"")</f>
        <v/>
      </c>
      <c r="S631" s="175"/>
      <c r="T631" s="175"/>
      <c r="U631" s="175"/>
      <c r="V631" s="175"/>
      <c r="W631" s="175"/>
      <c r="X631" s="175"/>
      <c r="Y631" s="175"/>
      <c r="Z631" s="175"/>
      <c r="AA631" s="175">
        <f ca="1">(F631=R631)*1</f>
        <v>1</v>
      </c>
    </row>
    <row r="632" spans="1:27" customFormat="1">
      <c r="B632" s="7"/>
      <c r="C632" s="915"/>
      <c r="D632" s="97"/>
      <c r="E632" s="72" t="s">
        <v>612</v>
      </c>
      <c r="F632" s="1447" t="str">
        <f ca="1">IFERROR(OFFSET('4.2民生電力需要量'!$L$1,MATCH($D631,'4.2民生電力需要量'!$E:$E,0)-1,0),"")</f>
        <v/>
      </c>
      <c r="G632" s="1448"/>
      <c r="H632" s="1448"/>
      <c r="I632" s="1448"/>
      <c r="J632" s="1448"/>
      <c r="K632" s="1448"/>
      <c r="L632" s="1449"/>
      <c r="M632" s="8"/>
      <c r="R632" s="255" t="str">
        <f ca="1">IFERROR(OFFSET('4.2民生電力需要量'!$L$1,MATCH($D631,'4.2民生電力需要量'!$E:$E,0)-1,0),"")</f>
        <v/>
      </c>
      <c r="S632" s="175"/>
      <c r="T632" s="175"/>
      <c r="U632" s="175"/>
      <c r="V632" s="175"/>
      <c r="W632" s="175"/>
      <c r="X632" s="175"/>
      <c r="Y632" s="175"/>
      <c r="Z632" s="175"/>
      <c r="AA632" s="175">
        <f ca="1">(F632=R632)*1</f>
        <v>1</v>
      </c>
    </row>
    <row r="633" spans="1:27" customFormat="1">
      <c r="B633" s="7"/>
      <c r="C633" s="74"/>
      <c r="D633" s="66"/>
      <c r="E633" s="72" t="s">
        <v>220</v>
      </c>
      <c r="F633" s="1450" t="str">
        <f ca="1">IFERROR(OFFSET('4.2民生電力需要量'!$I$1,MATCH($D631,'4.2民生電力需要量'!$E:$E,0)-1,0),"")</f>
        <v/>
      </c>
      <c r="G633" s="1450"/>
      <c r="H633" s="1450"/>
      <c r="I633" s="1450"/>
      <c r="J633" s="1450"/>
      <c r="K633" s="1450"/>
      <c r="L633" s="1450"/>
      <c r="M633" s="8"/>
      <c r="R633" s="255" t="str">
        <f ca="1">IFERROR(OFFSET('4.2民生電力需要量'!$I$1,MATCH($D631,'4.2民生電力需要量'!$E:$E,0)-1,0),"")</f>
        <v/>
      </c>
      <c r="S633" s="175"/>
      <c r="T633" s="175"/>
      <c r="U633" s="175"/>
      <c r="V633" s="175"/>
      <c r="W633" s="175"/>
      <c r="X633" s="175"/>
      <c r="Y633" s="175"/>
      <c r="Z633" s="175"/>
      <c r="AA633" s="175">
        <f t="shared" ref="AA633:AA634" ca="1" si="311">(F633=R633)*1</f>
        <v>1</v>
      </c>
    </row>
    <row r="634" spans="1:27" customFormat="1">
      <c r="B634" s="7"/>
      <c r="C634" s="74"/>
      <c r="D634" s="66"/>
      <c r="E634" s="72" t="s">
        <v>175</v>
      </c>
      <c r="F634" s="1451" t="str">
        <f>_xlfn.IFNA(R634,"")</f>
        <v/>
      </c>
      <c r="G634" s="1451"/>
      <c r="H634" s="1451"/>
      <c r="I634" s="1451"/>
      <c r="J634" s="1451"/>
      <c r="K634" s="1451"/>
      <c r="L634" s="1451"/>
      <c r="M634" s="8"/>
      <c r="R634" s="129" t="str">
        <f>IF(OR(COUNTIF($E636:$E641,"&lt;&gt;〇〇(合意形成対象者名に書き換え)")=3,COUNTIF($E636:$E641,"")&gt;3),"",IF(PRODUCT($Y636:$Y641)=1,Z636,""))</f>
        <v/>
      </c>
      <c r="S634" s="175"/>
      <c r="T634" s="175"/>
      <c r="U634" s="175"/>
      <c r="V634" s="175"/>
      <c r="W634" s="175"/>
      <c r="X634" s="175"/>
      <c r="Y634" s="175"/>
      <c r="Z634" s="175"/>
      <c r="AA634" s="175">
        <f t="shared" si="311"/>
        <v>1</v>
      </c>
    </row>
    <row r="635" spans="1:27" ht="63.75" customHeight="1">
      <c r="B635" s="95"/>
      <c r="C635" s="96"/>
      <c r="D635" s="97"/>
      <c r="E635" s="372"/>
      <c r="F635" s="313" t="s">
        <v>268</v>
      </c>
      <c r="G635" s="313" t="s">
        <v>271</v>
      </c>
      <c r="H635" s="313" t="s">
        <v>272</v>
      </c>
      <c r="I635" s="313" t="s">
        <v>269</v>
      </c>
      <c r="J635" s="313" t="s">
        <v>434</v>
      </c>
      <c r="K635" s="313" t="s">
        <v>435</v>
      </c>
      <c r="L635" s="313" t="s">
        <v>270</v>
      </c>
      <c r="M635" s="98"/>
      <c r="N635" s="11"/>
      <c r="R635" s="126" t="s">
        <v>299</v>
      </c>
      <c r="S635" s="257" t="s">
        <v>423</v>
      </c>
      <c r="T635" s="126" t="s">
        <v>424</v>
      </c>
      <c r="U635" s="296" t="s">
        <v>436</v>
      </c>
      <c r="V635" s="256" t="s">
        <v>270</v>
      </c>
      <c r="W635" s="126" t="s">
        <v>426</v>
      </c>
      <c r="X635" s="129" t="s">
        <v>402</v>
      </c>
      <c r="Y635" s="129" t="s">
        <v>430</v>
      </c>
      <c r="Z635" s="126" t="s">
        <v>425</v>
      </c>
      <c r="AA635" s="255"/>
    </row>
    <row r="636" spans="1:27" hidden="1">
      <c r="B636" s="95"/>
      <c r="C636" s="96"/>
      <c r="D636" s="97"/>
      <c r="E636" s="442"/>
      <c r="F636" s="443"/>
      <c r="G636" s="439"/>
      <c r="H636" s="443"/>
      <c r="I636" s="439"/>
      <c r="J636" s="443"/>
      <c r="K636" s="439"/>
      <c r="L636" s="444"/>
      <c r="M636" s="98"/>
      <c r="N636" s="11"/>
      <c r="R636" s="129">
        <f t="shared" ref="R636:R641" si="312">IF(F636="実施済",1,0)</f>
        <v>0</v>
      </c>
      <c r="S636" s="258"/>
      <c r="T636" s="129">
        <f t="shared" ref="T636:T641" si="313">IF(AND(H636="実施済",I636="実施済"),R636*1,0)</f>
        <v>0</v>
      </c>
      <c r="U636" s="129">
        <f>IF(AND(J636="実施済",K636="実施済"),$T636*1,0)</f>
        <v>0</v>
      </c>
      <c r="V636" s="258"/>
      <c r="W636" s="129" t="str">
        <f>IF(OR(E636="〇〇(合意形成対象者名に書き換え)",E636=""),"",SUM(R636,T636,U636))</f>
        <v/>
      </c>
      <c r="X636" s="129">
        <f t="shared" ref="X636:X641" si="314">MIN($W$636:$W$641)+1</f>
        <v>1</v>
      </c>
      <c r="Y636" s="129">
        <f>IF(E636="",1,IF(AND(E636="〇〇(合意形成対象者名に書き換え)",COUNTA($F636:$L636)=0),1,IF(AND(E636&lt;&gt;"〇〇(合意形成対象者名に書き換え)",COUNTA($F636:$L636)=7),1,0)))</f>
        <v>1</v>
      </c>
      <c r="Z636" s="129" t="str" cm="1">
        <f t="array" ref="Z636">_xlfn.IFS(X636=4,"A",X636=3,"B",X636=2,"C",X636=1,"D")</f>
        <v>D</v>
      </c>
      <c r="AA636" s="255"/>
    </row>
    <row r="637" spans="1:27">
      <c r="B637" s="95"/>
      <c r="C637" s="96"/>
      <c r="D637" s="97"/>
      <c r="E637" s="447" t="s">
        <v>129</v>
      </c>
      <c r="F637" s="446"/>
      <c r="G637" s="441"/>
      <c r="H637" s="446"/>
      <c r="I637" s="441"/>
      <c r="J637" s="446"/>
      <c r="K637" s="441"/>
      <c r="L637" s="441"/>
      <c r="M637" s="98"/>
      <c r="N637" s="11"/>
      <c r="R637" s="129">
        <f t="shared" si="312"/>
        <v>0</v>
      </c>
      <c r="S637" s="258"/>
      <c r="T637" s="129">
        <f t="shared" si="313"/>
        <v>0</v>
      </c>
      <c r="U637" s="129">
        <f t="shared" ref="U637:U639" si="315">IF(AND(J637="実施済",K637="実施済"),$T637*1,0)</f>
        <v>0</v>
      </c>
      <c r="V637" s="258"/>
      <c r="W637" s="129" t="str">
        <f t="shared" ref="W637:W641" si="316">IF(OR(E637="〇〇(合意形成対象者名に書き換え)",E637=""),"",SUM(R637,T637,U637))</f>
        <v/>
      </c>
      <c r="X637" s="129">
        <f t="shared" si="314"/>
        <v>1</v>
      </c>
      <c r="Y637" s="129">
        <f t="shared" ref="Y637:Y641" si="317">IF(E637="",1,IF(AND(E637="〇〇(合意形成対象者名に書き換え)",COUNTA($F637:$L637)=0),1,IF(AND(E637&lt;&gt;"〇〇(合意形成対象者名に書き換え)",COUNTA($F637:$L637)=7),1,0)))</f>
        <v>1</v>
      </c>
      <c r="Z637" s="129" t="str" cm="1">
        <f t="array" ref="Z637">_xlfn.IFS(X637=4,"A",X637=3,"B",X637=2,"C",X637=1,"D")</f>
        <v>D</v>
      </c>
      <c r="AA637" s="255"/>
    </row>
    <row r="638" spans="1:27">
      <c r="B638" s="95"/>
      <c r="C638" s="96"/>
      <c r="D638" s="97"/>
      <c r="E638" s="447" t="s">
        <v>129</v>
      </c>
      <c r="F638" s="446"/>
      <c r="G638" s="441"/>
      <c r="H638" s="446"/>
      <c r="I638" s="441"/>
      <c r="J638" s="446"/>
      <c r="K638" s="441"/>
      <c r="L638" s="441"/>
      <c r="M638" s="98"/>
      <c r="N638" s="11"/>
      <c r="R638" s="129">
        <f t="shared" si="312"/>
        <v>0</v>
      </c>
      <c r="S638" s="258"/>
      <c r="T638" s="129">
        <f t="shared" si="313"/>
        <v>0</v>
      </c>
      <c r="U638" s="129">
        <f t="shared" si="315"/>
        <v>0</v>
      </c>
      <c r="V638" s="258"/>
      <c r="W638" s="129" t="str">
        <f t="shared" si="316"/>
        <v/>
      </c>
      <c r="X638" s="129">
        <f t="shared" si="314"/>
        <v>1</v>
      </c>
      <c r="Y638" s="129">
        <f t="shared" si="317"/>
        <v>1</v>
      </c>
      <c r="Z638" s="129" t="str" cm="1">
        <f t="array" ref="Z638">_xlfn.IFS(X638=4,"A",X638=3,"B",X638=2,"C",X638=1,"D")</f>
        <v>D</v>
      </c>
      <c r="AA638" s="255"/>
    </row>
    <row r="639" spans="1:27" s="99" customFormat="1">
      <c r="A639" s="11"/>
      <c r="B639" s="95"/>
      <c r="C639" s="96"/>
      <c r="D639" s="97"/>
      <c r="E639" s="447" t="s">
        <v>129</v>
      </c>
      <c r="F639" s="446"/>
      <c r="G639" s="441"/>
      <c r="H639" s="446"/>
      <c r="I639" s="441"/>
      <c r="J639" s="446"/>
      <c r="K639" s="441"/>
      <c r="L639" s="441"/>
      <c r="M639" s="98"/>
      <c r="N639" s="11"/>
      <c r="Q639" s="11"/>
      <c r="R639" s="129">
        <f t="shared" si="312"/>
        <v>0</v>
      </c>
      <c r="S639" s="258"/>
      <c r="T639" s="129">
        <f t="shared" si="313"/>
        <v>0</v>
      </c>
      <c r="U639" s="129">
        <f t="shared" si="315"/>
        <v>0</v>
      </c>
      <c r="V639" s="258"/>
      <c r="W639" s="129" t="str">
        <f t="shared" si="316"/>
        <v/>
      </c>
      <c r="X639" s="129">
        <f t="shared" si="314"/>
        <v>1</v>
      </c>
      <c r="Y639" s="129">
        <f t="shared" si="317"/>
        <v>1</v>
      </c>
      <c r="Z639" s="129" t="str" cm="1">
        <f t="array" ref="Z639">_xlfn.IFS(X639=4,"A",X639=3,"B",X639=2,"C",X639=1,"D")</f>
        <v>D</v>
      </c>
      <c r="AA639" s="129"/>
    </row>
    <row r="640" spans="1:27" customFormat="1" ht="7.5" customHeight="1">
      <c r="B640" s="65"/>
      <c r="C640" s="4"/>
      <c r="D640" s="4"/>
      <c r="E640" s="4"/>
      <c r="F640" s="4"/>
      <c r="G640" s="4"/>
      <c r="H640" s="4"/>
      <c r="I640" s="4"/>
      <c r="J640" s="4"/>
      <c r="K640" s="4"/>
      <c r="L640" s="4"/>
      <c r="M640" s="9"/>
      <c r="N640" s="2"/>
      <c r="O640" s="2"/>
      <c r="P640" s="2"/>
      <c r="R640" s="129">
        <f t="shared" si="312"/>
        <v>0</v>
      </c>
      <c r="S640" s="258"/>
      <c r="T640" s="129">
        <f t="shared" si="313"/>
        <v>0</v>
      </c>
      <c r="U640" s="129">
        <f>IF(AND(J640="実施済",K640="実施済"),$T640*1,0)</f>
        <v>0</v>
      </c>
      <c r="V640" s="258"/>
      <c r="W640" s="129" t="str">
        <f t="shared" si="316"/>
        <v/>
      </c>
      <c r="X640" s="129">
        <f t="shared" si="314"/>
        <v>1</v>
      </c>
      <c r="Y640" s="129">
        <f t="shared" si="317"/>
        <v>1</v>
      </c>
      <c r="Z640" s="129" t="str" cm="1">
        <f t="array" ref="Z640">_xlfn.IFS(X640=4,"A",X640=3,"B",X640=2,"C",X640=1,"D")</f>
        <v>D</v>
      </c>
      <c r="AA640" s="175"/>
    </row>
    <row r="641" spans="1:27" customFormat="1" ht="18" customHeight="1">
      <c r="N641" s="2"/>
      <c r="O641" s="2"/>
      <c r="P641" s="2"/>
      <c r="R641" s="129">
        <f t="shared" si="312"/>
        <v>0</v>
      </c>
      <c r="S641" s="258"/>
      <c r="T641" s="129">
        <f t="shared" si="313"/>
        <v>0</v>
      </c>
      <c r="U641" s="129">
        <f t="shared" ref="U641" si="318">IF(AND(J641="実施済",K641="実施済"),$T641*1,0)</f>
        <v>0</v>
      </c>
      <c r="V641" s="258"/>
      <c r="W641" s="129" t="str">
        <f t="shared" si="316"/>
        <v/>
      </c>
      <c r="X641" s="129">
        <f t="shared" si="314"/>
        <v>1</v>
      </c>
      <c r="Y641" s="129">
        <f t="shared" si="317"/>
        <v>1</v>
      </c>
      <c r="Z641" s="129" t="str" cm="1">
        <f t="array" ref="Z641">_xlfn.IFS(X641=4,"A",X641=3,"B",X641=2,"C",X641=1,"D")</f>
        <v>D</v>
      </c>
      <c r="AA641" s="175"/>
    </row>
    <row r="642" spans="1:27" customFormat="1" ht="103.5" customHeight="1">
      <c r="C642" s="78"/>
      <c r="D642" s="79"/>
      <c r="E642" s="71" t="s">
        <v>236</v>
      </c>
      <c r="F642" s="1452"/>
      <c r="G642" s="1452"/>
      <c r="H642" s="1452"/>
      <c r="I642" s="1452"/>
      <c r="J642" s="1452"/>
      <c r="K642" s="1452"/>
      <c r="L642" s="1452"/>
      <c r="M642" s="80" t="s">
        <v>132</v>
      </c>
      <c r="N642" s="80"/>
    </row>
    <row r="643" spans="1:27" customFormat="1" ht="146.25" customHeight="1">
      <c r="C643" s="75"/>
      <c r="D643" s="68"/>
      <c r="E643" s="71" t="s">
        <v>235</v>
      </c>
      <c r="F643" s="1452"/>
      <c r="G643" s="1452"/>
      <c r="H643" s="1452"/>
      <c r="I643" s="1452"/>
      <c r="J643" s="1452"/>
      <c r="K643" s="1452"/>
      <c r="L643" s="1452"/>
      <c r="N643" s="2"/>
      <c r="O643" s="2"/>
      <c r="P643" s="2"/>
    </row>
    <row r="644" spans="1:27" customFormat="1" ht="13.5" customHeight="1" thickBot="1">
      <c r="A644" s="81"/>
      <c r="B644" s="81"/>
      <c r="C644" s="81"/>
      <c r="D644" s="81"/>
      <c r="E644" s="81"/>
      <c r="F644" s="81"/>
      <c r="G644" s="81"/>
      <c r="H644" s="81"/>
      <c r="I644" s="81"/>
      <c r="J644" s="81"/>
      <c r="K644" s="81"/>
      <c r="L644" s="81"/>
      <c r="M644" s="81"/>
      <c r="N644" s="82"/>
      <c r="O644" s="2"/>
      <c r="P644" s="2"/>
    </row>
    <row r="645" spans="1:27" customFormat="1" ht="13.5" customHeight="1">
      <c r="N645" s="2"/>
      <c r="O645" s="2"/>
      <c r="P645" s="2"/>
    </row>
    <row r="646" spans="1:27" customFormat="1" ht="15" customHeight="1">
      <c r="B646" s="10"/>
      <c r="C646" s="5"/>
      <c r="D646" s="5"/>
      <c r="E646" s="5"/>
      <c r="F646" s="5"/>
      <c r="G646" s="5"/>
      <c r="H646" s="5"/>
      <c r="I646" s="5"/>
      <c r="J646" s="5"/>
      <c r="K646" s="5"/>
      <c r="L646" s="5"/>
      <c r="M646" s="6"/>
      <c r="R646" s="11" t="str">
        <f>D647</f>
        <v>(選択してください)</v>
      </c>
    </row>
    <row r="647" spans="1:27" customFormat="1">
      <c r="B647" s="7"/>
      <c r="C647" s="77" t="str">
        <f ca="1">IFERROR(OFFSET('4.2民生電力需要量'!$C$1,MATCH(D647,'4.2民生電力需要量'!$E:$E,0)-1,0),"")</f>
        <v/>
      </c>
      <c r="D647" s="94" t="s">
        <v>130</v>
      </c>
      <c r="E647" s="72" t="s">
        <v>131</v>
      </c>
      <c r="F647" s="1451" t="str">
        <f ca="1">IFERROR(OFFSET('4.2民生電力需要量'!$G$1,MATCH($D647,'4.2民生電力需要量'!$E:$E,0)-1,0),"")</f>
        <v/>
      </c>
      <c r="G647" s="1451"/>
      <c r="H647" s="1451"/>
      <c r="I647" s="1451"/>
      <c r="J647" s="1451"/>
      <c r="K647" s="1451"/>
      <c r="L647" s="1451"/>
      <c r="M647" s="8"/>
      <c r="R647" s="255" t="str">
        <f ca="1">IFERROR(OFFSET('4.2民生電力需要量'!$G$1,MATCH($D647,'4.2民生電力需要量'!$E:$E,0)-1,0),"")</f>
        <v/>
      </c>
      <c r="S647" s="175"/>
      <c r="T647" s="175"/>
      <c r="U647" s="175"/>
      <c r="V647" s="175"/>
      <c r="W647" s="175"/>
      <c r="X647" s="175"/>
      <c r="Y647" s="175"/>
      <c r="Z647" s="175"/>
      <c r="AA647" s="175">
        <f ca="1">(F647=R647)*1</f>
        <v>1</v>
      </c>
    </row>
    <row r="648" spans="1:27" customFormat="1">
      <c r="B648" s="7"/>
      <c r="C648" s="915"/>
      <c r="D648" s="97"/>
      <c r="E648" s="72" t="s">
        <v>612</v>
      </c>
      <c r="F648" s="1447" t="str">
        <f ca="1">IFERROR(OFFSET('4.2民生電力需要量'!$L$1,MATCH($D647,'4.2民生電力需要量'!$E:$E,0)-1,0),"")</f>
        <v/>
      </c>
      <c r="G648" s="1448"/>
      <c r="H648" s="1448"/>
      <c r="I648" s="1448"/>
      <c r="J648" s="1448"/>
      <c r="K648" s="1448"/>
      <c r="L648" s="1449"/>
      <c r="M648" s="8"/>
      <c r="R648" s="255" t="str">
        <f ca="1">IFERROR(OFFSET('4.2民生電力需要量'!$L$1,MATCH($D647,'4.2民生電力需要量'!$E:$E,0)-1,0),"")</f>
        <v/>
      </c>
      <c r="S648" s="175"/>
      <c r="T648" s="175"/>
      <c r="U648" s="175"/>
      <c r="V648" s="175"/>
      <c r="W648" s="175"/>
      <c r="X648" s="175"/>
      <c r="Y648" s="175"/>
      <c r="Z648" s="175"/>
      <c r="AA648" s="175">
        <f ca="1">(F648=R648)*1</f>
        <v>1</v>
      </c>
    </row>
    <row r="649" spans="1:27" customFormat="1">
      <c r="B649" s="7"/>
      <c r="C649" s="74"/>
      <c r="D649" s="66"/>
      <c r="E649" s="72" t="s">
        <v>220</v>
      </c>
      <c r="F649" s="1450" t="str">
        <f ca="1">IFERROR(OFFSET('4.2民生電力需要量'!$I$1,MATCH($D647,'4.2民生電力需要量'!$E:$E,0)-1,0),"")</f>
        <v/>
      </c>
      <c r="G649" s="1450"/>
      <c r="H649" s="1450"/>
      <c r="I649" s="1450"/>
      <c r="J649" s="1450"/>
      <c r="K649" s="1450"/>
      <c r="L649" s="1450"/>
      <c r="M649" s="8"/>
      <c r="R649" s="255" t="str">
        <f ca="1">IFERROR(OFFSET('4.2民生電力需要量'!$I$1,MATCH($D647,'4.2民生電力需要量'!$E:$E,0)-1,0),"")</f>
        <v/>
      </c>
      <c r="S649" s="175"/>
      <c r="T649" s="175"/>
      <c r="U649" s="175"/>
      <c r="V649" s="175"/>
      <c r="W649" s="175"/>
      <c r="X649" s="175"/>
      <c r="Y649" s="175"/>
      <c r="Z649" s="175"/>
      <c r="AA649" s="175">
        <f t="shared" ref="AA649:AA650" ca="1" si="319">(F649=R649)*1</f>
        <v>1</v>
      </c>
    </row>
    <row r="650" spans="1:27" customFormat="1">
      <c r="B650" s="7"/>
      <c r="C650" s="74"/>
      <c r="D650" s="66"/>
      <c r="E650" s="72" t="s">
        <v>175</v>
      </c>
      <c r="F650" s="1451" t="str">
        <f>_xlfn.IFNA(R650,"")</f>
        <v/>
      </c>
      <c r="G650" s="1451"/>
      <c r="H650" s="1451"/>
      <c r="I650" s="1451"/>
      <c r="J650" s="1451"/>
      <c r="K650" s="1451"/>
      <c r="L650" s="1451"/>
      <c r="M650" s="8"/>
      <c r="R650" s="129" t="str">
        <f>IF(OR(COUNTIF($E652:$E657,"&lt;&gt;〇〇(合意形成対象者名に書き換え)")=3,COUNTIF($E652:$E657,"")&gt;3),"",IF(PRODUCT($Y652:$Y657)=1,Z652,""))</f>
        <v/>
      </c>
      <c r="S650" s="175"/>
      <c r="T650" s="175"/>
      <c r="U650" s="175"/>
      <c r="V650" s="175"/>
      <c r="W650" s="175"/>
      <c r="X650" s="175"/>
      <c r="Y650" s="175"/>
      <c r="Z650" s="175"/>
      <c r="AA650" s="175">
        <f t="shared" si="319"/>
        <v>1</v>
      </c>
    </row>
    <row r="651" spans="1:27" ht="63.75" customHeight="1">
      <c r="B651" s="95"/>
      <c r="C651" s="96"/>
      <c r="D651" s="97"/>
      <c r="E651" s="372"/>
      <c r="F651" s="313" t="s">
        <v>268</v>
      </c>
      <c r="G651" s="313" t="s">
        <v>271</v>
      </c>
      <c r="H651" s="313" t="s">
        <v>272</v>
      </c>
      <c r="I651" s="313" t="s">
        <v>269</v>
      </c>
      <c r="J651" s="313" t="s">
        <v>434</v>
      </c>
      <c r="K651" s="313" t="s">
        <v>435</v>
      </c>
      <c r="L651" s="313" t="s">
        <v>270</v>
      </c>
      <c r="M651" s="98"/>
      <c r="N651" s="11"/>
      <c r="R651" s="126" t="s">
        <v>299</v>
      </c>
      <c r="S651" s="257" t="s">
        <v>423</v>
      </c>
      <c r="T651" s="126" t="s">
        <v>424</v>
      </c>
      <c r="U651" s="296" t="s">
        <v>436</v>
      </c>
      <c r="V651" s="256" t="s">
        <v>270</v>
      </c>
      <c r="W651" s="126" t="s">
        <v>426</v>
      </c>
      <c r="X651" s="129" t="s">
        <v>402</v>
      </c>
      <c r="Y651" s="129" t="s">
        <v>430</v>
      </c>
      <c r="Z651" s="126" t="s">
        <v>425</v>
      </c>
      <c r="AA651" s="255"/>
    </row>
    <row r="652" spans="1:27" hidden="1">
      <c r="B652" s="95"/>
      <c r="C652" s="96"/>
      <c r="D652" s="97"/>
      <c r="E652" s="442"/>
      <c r="F652" s="443"/>
      <c r="G652" s="439"/>
      <c r="H652" s="443"/>
      <c r="I652" s="439"/>
      <c r="J652" s="443"/>
      <c r="K652" s="439"/>
      <c r="L652" s="444"/>
      <c r="M652" s="98"/>
      <c r="N652" s="11"/>
      <c r="R652" s="129">
        <f t="shared" ref="R652:R657" si="320">IF(F652="実施済",1,0)</f>
        <v>0</v>
      </c>
      <c r="S652" s="258"/>
      <c r="T652" s="129">
        <f t="shared" ref="T652:T657" si="321">IF(AND(H652="実施済",I652="実施済"),R652*1,0)</f>
        <v>0</v>
      </c>
      <c r="U652" s="129">
        <f>IF(AND(J652="実施済",K652="実施済"),$T652*1,0)</f>
        <v>0</v>
      </c>
      <c r="V652" s="258"/>
      <c r="W652" s="129" t="str">
        <f>IF(OR(E652="〇〇(合意形成対象者名に書き換え)",E652=""),"",SUM(R652,T652,U652))</f>
        <v/>
      </c>
      <c r="X652" s="129">
        <f t="shared" ref="X652:X657" si="322">MIN($W$652:$W$657)+1</f>
        <v>1</v>
      </c>
      <c r="Y652" s="129">
        <f>IF(E652="",1,IF(AND(E652="〇〇(合意形成対象者名に書き換え)",COUNTA($F652:$L652)=0),1,IF(AND(E652&lt;&gt;"〇〇(合意形成対象者名に書き換え)",COUNTA($F652:$L652)=7),1,0)))</f>
        <v>1</v>
      </c>
      <c r="Z652" s="129" t="str" cm="1">
        <f t="array" ref="Z652">_xlfn.IFS(X652=4,"A",X652=3,"B",X652=2,"C",X652=1,"D")</f>
        <v>D</v>
      </c>
      <c r="AA652" s="255"/>
    </row>
    <row r="653" spans="1:27">
      <c r="B653" s="95"/>
      <c r="C653" s="96"/>
      <c r="D653" s="97"/>
      <c r="E653" s="447" t="s">
        <v>129</v>
      </c>
      <c r="F653" s="446"/>
      <c r="G653" s="441"/>
      <c r="H653" s="446"/>
      <c r="I653" s="441"/>
      <c r="J653" s="446"/>
      <c r="K653" s="441"/>
      <c r="L653" s="441"/>
      <c r="M653" s="98"/>
      <c r="N653" s="11"/>
      <c r="R653" s="129">
        <f t="shared" si="320"/>
        <v>0</v>
      </c>
      <c r="S653" s="258"/>
      <c r="T653" s="129">
        <f t="shared" si="321"/>
        <v>0</v>
      </c>
      <c r="U653" s="129">
        <f t="shared" ref="U653:U655" si="323">IF(AND(J653="実施済",K653="実施済"),$T653*1,0)</f>
        <v>0</v>
      </c>
      <c r="V653" s="258"/>
      <c r="W653" s="129" t="str">
        <f t="shared" ref="W653:W657" si="324">IF(OR(E653="〇〇(合意形成対象者名に書き換え)",E653=""),"",SUM(R653,T653,U653))</f>
        <v/>
      </c>
      <c r="X653" s="129">
        <f t="shared" si="322"/>
        <v>1</v>
      </c>
      <c r="Y653" s="129">
        <f t="shared" ref="Y653:Y657" si="325">IF(E653="",1,IF(AND(E653="〇〇(合意形成対象者名に書き換え)",COUNTA($F653:$L653)=0),1,IF(AND(E653&lt;&gt;"〇〇(合意形成対象者名に書き換え)",COUNTA($F653:$L653)=7),1,0)))</f>
        <v>1</v>
      </c>
      <c r="Z653" s="129" t="str" cm="1">
        <f t="array" ref="Z653">_xlfn.IFS(X653=4,"A",X653=3,"B",X653=2,"C",X653=1,"D")</f>
        <v>D</v>
      </c>
      <c r="AA653" s="255"/>
    </row>
    <row r="654" spans="1:27">
      <c r="B654" s="95"/>
      <c r="C654" s="96"/>
      <c r="D654" s="97"/>
      <c r="E654" s="447" t="s">
        <v>129</v>
      </c>
      <c r="F654" s="446"/>
      <c r="G654" s="441"/>
      <c r="H654" s="446"/>
      <c r="I654" s="441"/>
      <c r="J654" s="446"/>
      <c r="K654" s="441"/>
      <c r="L654" s="441"/>
      <c r="M654" s="98"/>
      <c r="N654" s="11"/>
      <c r="R654" s="129">
        <f t="shared" si="320"/>
        <v>0</v>
      </c>
      <c r="S654" s="258"/>
      <c r="T654" s="129">
        <f t="shared" si="321"/>
        <v>0</v>
      </c>
      <c r="U654" s="129">
        <f t="shared" si="323"/>
        <v>0</v>
      </c>
      <c r="V654" s="258"/>
      <c r="W654" s="129" t="str">
        <f t="shared" si="324"/>
        <v/>
      </c>
      <c r="X654" s="129">
        <f t="shared" si="322"/>
        <v>1</v>
      </c>
      <c r="Y654" s="129">
        <f t="shared" si="325"/>
        <v>1</v>
      </c>
      <c r="Z654" s="129" t="str" cm="1">
        <f t="array" ref="Z654">_xlfn.IFS(X654=4,"A",X654=3,"B",X654=2,"C",X654=1,"D")</f>
        <v>D</v>
      </c>
      <c r="AA654" s="255"/>
    </row>
    <row r="655" spans="1:27" s="99" customFormat="1">
      <c r="A655" s="11"/>
      <c r="B655" s="95"/>
      <c r="C655" s="96"/>
      <c r="D655" s="97"/>
      <c r="E655" s="447" t="s">
        <v>129</v>
      </c>
      <c r="F655" s="446"/>
      <c r="G655" s="441"/>
      <c r="H655" s="446"/>
      <c r="I655" s="441"/>
      <c r="J655" s="446"/>
      <c r="K655" s="441"/>
      <c r="L655" s="441"/>
      <c r="M655" s="98"/>
      <c r="N655" s="11"/>
      <c r="Q655" s="11"/>
      <c r="R655" s="129">
        <f t="shared" si="320"/>
        <v>0</v>
      </c>
      <c r="S655" s="258"/>
      <c r="T655" s="129">
        <f t="shared" si="321"/>
        <v>0</v>
      </c>
      <c r="U655" s="129">
        <f t="shared" si="323"/>
        <v>0</v>
      </c>
      <c r="V655" s="258"/>
      <c r="W655" s="129" t="str">
        <f t="shared" si="324"/>
        <v/>
      </c>
      <c r="X655" s="129">
        <f t="shared" si="322"/>
        <v>1</v>
      </c>
      <c r="Y655" s="129">
        <f t="shared" si="325"/>
        <v>1</v>
      </c>
      <c r="Z655" s="129" t="str" cm="1">
        <f t="array" ref="Z655">_xlfn.IFS(X655=4,"A",X655=3,"B",X655=2,"C",X655=1,"D")</f>
        <v>D</v>
      </c>
      <c r="AA655" s="129"/>
    </row>
    <row r="656" spans="1:27" customFormat="1" ht="7.5" customHeight="1">
      <c r="B656" s="65"/>
      <c r="C656" s="4"/>
      <c r="D656" s="4"/>
      <c r="E656" s="4"/>
      <c r="F656" s="4"/>
      <c r="G656" s="4"/>
      <c r="H656" s="4"/>
      <c r="I656" s="4"/>
      <c r="J656" s="4"/>
      <c r="K656" s="4"/>
      <c r="L656" s="4"/>
      <c r="M656" s="9"/>
      <c r="N656" s="2"/>
      <c r="O656" s="2"/>
      <c r="P656" s="2"/>
      <c r="R656" s="129">
        <f t="shared" si="320"/>
        <v>0</v>
      </c>
      <c r="S656" s="258"/>
      <c r="T656" s="129">
        <f t="shared" si="321"/>
        <v>0</v>
      </c>
      <c r="U656" s="129">
        <f>IF(AND(J656="実施済",K656="実施済"),$T656*1,0)</f>
        <v>0</v>
      </c>
      <c r="V656" s="258"/>
      <c r="W656" s="129" t="str">
        <f t="shared" si="324"/>
        <v/>
      </c>
      <c r="X656" s="129">
        <f t="shared" si="322"/>
        <v>1</v>
      </c>
      <c r="Y656" s="129">
        <f t="shared" si="325"/>
        <v>1</v>
      </c>
      <c r="Z656" s="129" t="str" cm="1">
        <f t="array" ref="Z656">_xlfn.IFS(X656=4,"A",X656=3,"B",X656=2,"C",X656=1,"D")</f>
        <v>D</v>
      </c>
      <c r="AA656" s="175"/>
    </row>
    <row r="657" spans="1:27" customFormat="1" ht="18" customHeight="1">
      <c r="N657" s="2"/>
      <c r="O657" s="2"/>
      <c r="P657" s="2"/>
      <c r="R657" s="129">
        <f t="shared" si="320"/>
        <v>0</v>
      </c>
      <c r="S657" s="258"/>
      <c r="T657" s="129">
        <f t="shared" si="321"/>
        <v>0</v>
      </c>
      <c r="U657" s="129">
        <f t="shared" ref="U657" si="326">IF(AND(J657="実施済",K657="実施済"),$T657*1,0)</f>
        <v>0</v>
      </c>
      <c r="V657" s="258"/>
      <c r="W657" s="129" t="str">
        <f t="shared" si="324"/>
        <v/>
      </c>
      <c r="X657" s="129">
        <f t="shared" si="322"/>
        <v>1</v>
      </c>
      <c r="Y657" s="129">
        <f t="shared" si="325"/>
        <v>1</v>
      </c>
      <c r="Z657" s="129" t="str" cm="1">
        <f t="array" ref="Z657">_xlfn.IFS(X657=4,"A",X657=3,"B",X657=2,"C",X657=1,"D")</f>
        <v>D</v>
      </c>
      <c r="AA657" s="175"/>
    </row>
    <row r="658" spans="1:27" customFormat="1" ht="103.5" customHeight="1">
      <c r="C658" s="78"/>
      <c r="D658" s="79"/>
      <c r="E658" s="71" t="s">
        <v>236</v>
      </c>
      <c r="F658" s="1452"/>
      <c r="G658" s="1452"/>
      <c r="H658" s="1452"/>
      <c r="I658" s="1452"/>
      <c r="J658" s="1452"/>
      <c r="K658" s="1452"/>
      <c r="L658" s="1452"/>
      <c r="M658" s="80" t="s">
        <v>132</v>
      </c>
      <c r="N658" s="80"/>
    </row>
    <row r="659" spans="1:27" customFormat="1" ht="146.25" customHeight="1">
      <c r="C659" s="75"/>
      <c r="D659" s="68"/>
      <c r="E659" s="71" t="s">
        <v>235</v>
      </c>
      <c r="F659" s="1452"/>
      <c r="G659" s="1452"/>
      <c r="H659" s="1452"/>
      <c r="I659" s="1452"/>
      <c r="J659" s="1452"/>
      <c r="K659" s="1452"/>
      <c r="L659" s="1452"/>
      <c r="N659" s="2"/>
      <c r="O659" s="2"/>
      <c r="P659" s="2"/>
    </row>
    <row r="660" spans="1:27" customFormat="1" ht="13.5" customHeight="1" thickBot="1">
      <c r="A660" s="81"/>
      <c r="B660" s="81"/>
      <c r="C660" s="81"/>
      <c r="D660" s="81"/>
      <c r="E660" s="81"/>
      <c r="F660" s="81"/>
      <c r="G660" s="81"/>
      <c r="H660" s="81"/>
      <c r="I660" s="81"/>
      <c r="J660" s="81"/>
      <c r="K660" s="81"/>
      <c r="L660" s="81"/>
      <c r="M660" s="81"/>
      <c r="N660" s="82"/>
      <c r="O660" s="2"/>
      <c r="P660" s="2"/>
    </row>
    <row r="661" spans="1:27" customFormat="1" ht="13.5" customHeight="1">
      <c r="N661" s="2"/>
      <c r="O661" s="2"/>
      <c r="P661" s="2"/>
    </row>
    <row r="662" spans="1:27" customFormat="1" ht="15" customHeight="1">
      <c r="B662" s="10"/>
      <c r="C662" s="5"/>
      <c r="D662" s="5"/>
      <c r="E662" s="5"/>
      <c r="F662" s="5"/>
      <c r="G662" s="5"/>
      <c r="H662" s="5"/>
      <c r="I662" s="5"/>
      <c r="J662" s="5"/>
      <c r="K662" s="5"/>
      <c r="L662" s="5"/>
      <c r="M662" s="6"/>
      <c r="R662" s="11" t="str">
        <f>D663</f>
        <v>(選択してください)</v>
      </c>
    </row>
    <row r="663" spans="1:27" customFormat="1">
      <c r="B663" s="7"/>
      <c r="C663" s="77" t="str">
        <f ca="1">IFERROR(OFFSET('4.2民生電力需要量'!$C$1,MATCH(D663,'4.2民生電力需要量'!$E:$E,0)-1,0),"")</f>
        <v/>
      </c>
      <c r="D663" s="94" t="s">
        <v>130</v>
      </c>
      <c r="E663" s="72" t="s">
        <v>131</v>
      </c>
      <c r="F663" s="1451" t="str">
        <f ca="1">IFERROR(OFFSET('4.2民生電力需要量'!$G$1,MATCH($D663,'4.2民生電力需要量'!$E:$E,0)-1,0),"")</f>
        <v/>
      </c>
      <c r="G663" s="1451"/>
      <c r="H663" s="1451"/>
      <c r="I663" s="1451"/>
      <c r="J663" s="1451"/>
      <c r="K663" s="1451"/>
      <c r="L663" s="1451"/>
      <c r="M663" s="8"/>
      <c r="R663" s="255" t="str">
        <f ca="1">IFERROR(OFFSET('4.2民生電力需要量'!$G$1,MATCH($D663,'4.2民生電力需要量'!$E:$E,0)-1,0),"")</f>
        <v/>
      </c>
      <c r="S663" s="175"/>
      <c r="T663" s="175"/>
      <c r="U663" s="175"/>
      <c r="V663" s="175"/>
      <c r="W663" s="175"/>
      <c r="X663" s="175"/>
      <c r="Y663" s="175"/>
      <c r="Z663" s="175"/>
      <c r="AA663" s="175">
        <f ca="1">(F663=R663)*1</f>
        <v>1</v>
      </c>
    </row>
    <row r="664" spans="1:27" customFormat="1">
      <c r="B664" s="7"/>
      <c r="C664" s="915"/>
      <c r="D664" s="97"/>
      <c r="E664" s="72" t="s">
        <v>612</v>
      </c>
      <c r="F664" s="1447" t="str">
        <f ca="1">IFERROR(OFFSET('4.2民生電力需要量'!$L$1,MATCH($D663,'4.2民生電力需要量'!$E:$E,0)-1,0),"")</f>
        <v/>
      </c>
      <c r="G664" s="1448"/>
      <c r="H664" s="1448"/>
      <c r="I664" s="1448"/>
      <c r="J664" s="1448"/>
      <c r="K664" s="1448"/>
      <c r="L664" s="1449"/>
      <c r="M664" s="8"/>
      <c r="R664" s="255" t="str">
        <f ca="1">IFERROR(OFFSET('4.2民生電力需要量'!$L$1,MATCH($D663,'4.2民生電力需要量'!$E:$E,0)-1,0),"")</f>
        <v/>
      </c>
      <c r="S664" s="175"/>
      <c r="T664" s="175"/>
      <c r="U664" s="175"/>
      <c r="V664" s="175"/>
      <c r="W664" s="175"/>
      <c r="X664" s="175"/>
      <c r="Y664" s="175"/>
      <c r="Z664" s="175"/>
      <c r="AA664" s="175">
        <f ca="1">(F664=R664)*1</f>
        <v>1</v>
      </c>
    </row>
    <row r="665" spans="1:27" customFormat="1">
      <c r="B665" s="7"/>
      <c r="C665" s="74"/>
      <c r="D665" s="66"/>
      <c r="E665" s="72" t="s">
        <v>220</v>
      </c>
      <c r="F665" s="1450" t="str">
        <f ca="1">IFERROR(OFFSET('4.2民生電力需要量'!$I$1,MATCH($D663,'4.2民生電力需要量'!$E:$E,0)-1,0),"")</f>
        <v/>
      </c>
      <c r="G665" s="1450"/>
      <c r="H665" s="1450"/>
      <c r="I665" s="1450"/>
      <c r="J665" s="1450"/>
      <c r="K665" s="1450"/>
      <c r="L665" s="1450"/>
      <c r="M665" s="8"/>
      <c r="R665" s="255" t="str">
        <f ca="1">IFERROR(OFFSET('4.2民生電力需要量'!$I$1,MATCH($D663,'4.2民生電力需要量'!$E:$E,0)-1,0),"")</f>
        <v/>
      </c>
      <c r="S665" s="175"/>
      <c r="T665" s="175"/>
      <c r="U665" s="175"/>
      <c r="V665" s="175"/>
      <c r="W665" s="175"/>
      <c r="X665" s="175"/>
      <c r="Y665" s="175"/>
      <c r="Z665" s="175"/>
      <c r="AA665" s="175">
        <f t="shared" ref="AA665:AA666" ca="1" si="327">(F665=R665)*1</f>
        <v>1</v>
      </c>
    </row>
    <row r="666" spans="1:27" customFormat="1">
      <c r="B666" s="7"/>
      <c r="C666" s="74"/>
      <c r="D666" s="66"/>
      <c r="E666" s="72" t="s">
        <v>175</v>
      </c>
      <c r="F666" s="1451" t="str">
        <f>_xlfn.IFNA(R666,"")</f>
        <v/>
      </c>
      <c r="G666" s="1451"/>
      <c r="H666" s="1451"/>
      <c r="I666" s="1451"/>
      <c r="J666" s="1451"/>
      <c r="K666" s="1451"/>
      <c r="L666" s="1451"/>
      <c r="M666" s="8"/>
      <c r="R666" s="129" t="str">
        <f>IF(OR(COUNTIF($E668:$E673,"&lt;&gt;〇〇(合意形成対象者名に書き換え)")=3,COUNTIF($E668:$E673,"")&gt;3),"",IF(PRODUCT($Y668:$Y673)=1,Z668,""))</f>
        <v/>
      </c>
      <c r="S666" s="175"/>
      <c r="T666" s="175"/>
      <c r="U666" s="175"/>
      <c r="V666" s="175"/>
      <c r="W666" s="175"/>
      <c r="X666" s="175"/>
      <c r="Y666" s="175"/>
      <c r="Z666" s="175"/>
      <c r="AA666" s="175">
        <f t="shared" si="327"/>
        <v>1</v>
      </c>
    </row>
    <row r="667" spans="1:27" ht="63.75" customHeight="1">
      <c r="B667" s="95"/>
      <c r="C667" s="96"/>
      <c r="D667" s="97"/>
      <c r="E667" s="372"/>
      <c r="F667" s="313" t="s">
        <v>268</v>
      </c>
      <c r="G667" s="313" t="s">
        <v>271</v>
      </c>
      <c r="H667" s="313" t="s">
        <v>272</v>
      </c>
      <c r="I667" s="313" t="s">
        <v>269</v>
      </c>
      <c r="J667" s="313" t="s">
        <v>434</v>
      </c>
      <c r="K667" s="313" t="s">
        <v>435</v>
      </c>
      <c r="L667" s="313" t="s">
        <v>270</v>
      </c>
      <c r="M667" s="98"/>
      <c r="N667" s="11"/>
      <c r="R667" s="126" t="s">
        <v>299</v>
      </c>
      <c r="S667" s="257" t="s">
        <v>423</v>
      </c>
      <c r="T667" s="126" t="s">
        <v>424</v>
      </c>
      <c r="U667" s="296" t="s">
        <v>436</v>
      </c>
      <c r="V667" s="256" t="s">
        <v>270</v>
      </c>
      <c r="W667" s="126" t="s">
        <v>426</v>
      </c>
      <c r="X667" s="129" t="s">
        <v>402</v>
      </c>
      <c r="Y667" s="129" t="s">
        <v>430</v>
      </c>
      <c r="Z667" s="126" t="s">
        <v>425</v>
      </c>
      <c r="AA667" s="255"/>
    </row>
    <row r="668" spans="1:27" hidden="1">
      <c r="B668" s="95"/>
      <c r="C668" s="96"/>
      <c r="D668" s="97"/>
      <c r="E668" s="442"/>
      <c r="F668" s="443"/>
      <c r="G668" s="439"/>
      <c r="H668" s="443"/>
      <c r="I668" s="439"/>
      <c r="J668" s="443"/>
      <c r="K668" s="439"/>
      <c r="L668" s="444"/>
      <c r="M668" s="98"/>
      <c r="N668" s="11"/>
      <c r="R668" s="129">
        <f t="shared" ref="R668:R673" si="328">IF(F668="実施済",1,0)</f>
        <v>0</v>
      </c>
      <c r="S668" s="258"/>
      <c r="T668" s="129">
        <f t="shared" ref="T668:T673" si="329">IF(AND(H668="実施済",I668="実施済"),R668*1,0)</f>
        <v>0</v>
      </c>
      <c r="U668" s="129">
        <f>IF(AND(J668="実施済",K668="実施済"),$T668*1,0)</f>
        <v>0</v>
      </c>
      <c r="V668" s="258"/>
      <c r="W668" s="129" t="str">
        <f>IF(OR(E668="〇〇(合意形成対象者名に書き換え)",E668=""),"",SUM(R668,T668,U668))</f>
        <v/>
      </c>
      <c r="X668" s="129">
        <f t="shared" ref="X668:X673" si="330">MIN($W$668:$W$673)+1</f>
        <v>1</v>
      </c>
      <c r="Y668" s="129">
        <f>IF(E668="",1,IF(AND(E668="〇〇(合意形成対象者名に書き換え)",COUNTA($F668:$L668)=0),1,IF(AND(E668&lt;&gt;"〇〇(合意形成対象者名に書き換え)",COUNTA($F668:$L668)=7),1,0)))</f>
        <v>1</v>
      </c>
      <c r="Z668" s="129" t="str" cm="1">
        <f t="array" ref="Z668">_xlfn.IFS(X668=4,"A",X668=3,"B",X668=2,"C",X668=1,"D")</f>
        <v>D</v>
      </c>
      <c r="AA668" s="255"/>
    </row>
    <row r="669" spans="1:27">
      <c r="B669" s="95"/>
      <c r="C669" s="96"/>
      <c r="D669" s="97"/>
      <c r="E669" s="447" t="s">
        <v>129</v>
      </c>
      <c r="F669" s="446"/>
      <c r="G669" s="441"/>
      <c r="H669" s="446"/>
      <c r="I669" s="441"/>
      <c r="J669" s="446"/>
      <c r="K669" s="441"/>
      <c r="L669" s="441"/>
      <c r="M669" s="98"/>
      <c r="N669" s="11"/>
      <c r="R669" s="129">
        <f t="shared" si="328"/>
        <v>0</v>
      </c>
      <c r="S669" s="258"/>
      <c r="T669" s="129">
        <f t="shared" si="329"/>
        <v>0</v>
      </c>
      <c r="U669" s="129">
        <f t="shared" ref="U669:U671" si="331">IF(AND(J669="実施済",K669="実施済"),$T669*1,0)</f>
        <v>0</v>
      </c>
      <c r="V669" s="258"/>
      <c r="W669" s="129" t="str">
        <f t="shared" ref="W669:W673" si="332">IF(OR(E669="〇〇(合意形成対象者名に書き換え)",E669=""),"",SUM(R669,T669,U669))</f>
        <v/>
      </c>
      <c r="X669" s="129">
        <f t="shared" si="330"/>
        <v>1</v>
      </c>
      <c r="Y669" s="129">
        <f t="shared" ref="Y669:Y673" si="333">IF(E669="",1,IF(AND(E669="〇〇(合意形成対象者名に書き換え)",COUNTA($F669:$L669)=0),1,IF(AND(E669&lt;&gt;"〇〇(合意形成対象者名に書き換え)",COUNTA($F669:$L669)=7),1,0)))</f>
        <v>1</v>
      </c>
      <c r="Z669" s="129" t="str" cm="1">
        <f t="array" ref="Z669">_xlfn.IFS(X669=4,"A",X669=3,"B",X669=2,"C",X669=1,"D")</f>
        <v>D</v>
      </c>
      <c r="AA669" s="255"/>
    </row>
    <row r="670" spans="1:27">
      <c r="B670" s="95"/>
      <c r="C670" s="96"/>
      <c r="D670" s="97"/>
      <c r="E670" s="447" t="s">
        <v>129</v>
      </c>
      <c r="F670" s="446"/>
      <c r="G670" s="441"/>
      <c r="H670" s="446"/>
      <c r="I670" s="441"/>
      <c r="J670" s="446"/>
      <c r="K670" s="441"/>
      <c r="L670" s="441"/>
      <c r="M670" s="98"/>
      <c r="N670" s="11"/>
      <c r="R670" s="129">
        <f t="shared" si="328"/>
        <v>0</v>
      </c>
      <c r="S670" s="258"/>
      <c r="T670" s="129">
        <f t="shared" si="329"/>
        <v>0</v>
      </c>
      <c r="U670" s="129">
        <f t="shared" si="331"/>
        <v>0</v>
      </c>
      <c r="V670" s="258"/>
      <c r="W670" s="129" t="str">
        <f t="shared" si="332"/>
        <v/>
      </c>
      <c r="X670" s="129">
        <f t="shared" si="330"/>
        <v>1</v>
      </c>
      <c r="Y670" s="129">
        <f t="shared" si="333"/>
        <v>1</v>
      </c>
      <c r="Z670" s="129" t="str" cm="1">
        <f t="array" ref="Z670">_xlfn.IFS(X670=4,"A",X670=3,"B",X670=2,"C",X670=1,"D")</f>
        <v>D</v>
      </c>
      <c r="AA670" s="255"/>
    </row>
    <row r="671" spans="1:27" s="99" customFormat="1">
      <c r="A671" s="11"/>
      <c r="B671" s="95"/>
      <c r="C671" s="96"/>
      <c r="D671" s="97"/>
      <c r="E671" s="447" t="s">
        <v>129</v>
      </c>
      <c r="F671" s="446"/>
      <c r="G671" s="441"/>
      <c r="H671" s="446"/>
      <c r="I671" s="441"/>
      <c r="J671" s="446"/>
      <c r="K671" s="441"/>
      <c r="L671" s="441"/>
      <c r="M671" s="98"/>
      <c r="N671" s="11"/>
      <c r="Q671" s="11"/>
      <c r="R671" s="129">
        <f t="shared" si="328"/>
        <v>0</v>
      </c>
      <c r="S671" s="258"/>
      <c r="T671" s="129">
        <f t="shared" si="329"/>
        <v>0</v>
      </c>
      <c r="U671" s="129">
        <f t="shared" si="331"/>
        <v>0</v>
      </c>
      <c r="V671" s="258"/>
      <c r="W671" s="129" t="str">
        <f t="shared" si="332"/>
        <v/>
      </c>
      <c r="X671" s="129">
        <f t="shared" si="330"/>
        <v>1</v>
      </c>
      <c r="Y671" s="129">
        <f t="shared" si="333"/>
        <v>1</v>
      </c>
      <c r="Z671" s="129" t="str" cm="1">
        <f t="array" ref="Z671">_xlfn.IFS(X671=4,"A",X671=3,"B",X671=2,"C",X671=1,"D")</f>
        <v>D</v>
      </c>
      <c r="AA671" s="129"/>
    </row>
    <row r="672" spans="1:27" customFormat="1" ht="7.5" customHeight="1">
      <c r="B672" s="65"/>
      <c r="C672" s="4"/>
      <c r="D672" s="4"/>
      <c r="E672" s="4"/>
      <c r="F672" s="4"/>
      <c r="G672" s="4"/>
      <c r="H672" s="4"/>
      <c r="I672" s="4"/>
      <c r="J672" s="4"/>
      <c r="K672" s="4"/>
      <c r="L672" s="4"/>
      <c r="M672" s="9"/>
      <c r="N672" s="2"/>
      <c r="O672" s="2"/>
      <c r="P672" s="2"/>
      <c r="R672" s="129">
        <f t="shared" si="328"/>
        <v>0</v>
      </c>
      <c r="S672" s="258"/>
      <c r="T672" s="129">
        <f t="shared" si="329"/>
        <v>0</v>
      </c>
      <c r="U672" s="129">
        <f>IF(AND(J672="実施済",K672="実施済"),$T672*1,0)</f>
        <v>0</v>
      </c>
      <c r="V672" s="258"/>
      <c r="W672" s="129" t="str">
        <f t="shared" si="332"/>
        <v/>
      </c>
      <c r="X672" s="129">
        <f t="shared" si="330"/>
        <v>1</v>
      </c>
      <c r="Y672" s="129">
        <f t="shared" si="333"/>
        <v>1</v>
      </c>
      <c r="Z672" s="129" t="str" cm="1">
        <f t="array" ref="Z672">_xlfn.IFS(X672=4,"A",X672=3,"B",X672=2,"C",X672=1,"D")</f>
        <v>D</v>
      </c>
      <c r="AA672" s="175"/>
    </row>
    <row r="673" spans="1:27" customFormat="1" ht="18" customHeight="1">
      <c r="N673" s="2"/>
      <c r="O673" s="2"/>
      <c r="P673" s="2"/>
      <c r="R673" s="129">
        <f t="shared" si="328"/>
        <v>0</v>
      </c>
      <c r="S673" s="258"/>
      <c r="T673" s="129">
        <f t="shared" si="329"/>
        <v>0</v>
      </c>
      <c r="U673" s="129">
        <f t="shared" ref="U673" si="334">IF(AND(J673="実施済",K673="実施済"),$T673*1,0)</f>
        <v>0</v>
      </c>
      <c r="V673" s="258"/>
      <c r="W673" s="129" t="str">
        <f t="shared" si="332"/>
        <v/>
      </c>
      <c r="X673" s="129">
        <f t="shared" si="330"/>
        <v>1</v>
      </c>
      <c r="Y673" s="129">
        <f t="shared" si="333"/>
        <v>1</v>
      </c>
      <c r="Z673" s="129" t="str" cm="1">
        <f t="array" ref="Z673">_xlfn.IFS(X673=4,"A",X673=3,"B",X673=2,"C",X673=1,"D")</f>
        <v>D</v>
      </c>
      <c r="AA673" s="175"/>
    </row>
    <row r="674" spans="1:27" customFormat="1" ht="103.5" customHeight="1">
      <c r="C674" s="78"/>
      <c r="D674" s="79"/>
      <c r="E674" s="71" t="s">
        <v>236</v>
      </c>
      <c r="F674" s="1452"/>
      <c r="G674" s="1452"/>
      <c r="H674" s="1452"/>
      <c r="I674" s="1452"/>
      <c r="J674" s="1452"/>
      <c r="K674" s="1452"/>
      <c r="L674" s="1452"/>
      <c r="M674" s="80" t="s">
        <v>132</v>
      </c>
      <c r="N674" s="80"/>
    </row>
    <row r="675" spans="1:27" customFormat="1" ht="146.25" customHeight="1">
      <c r="C675" s="75"/>
      <c r="D675" s="68"/>
      <c r="E675" s="71" t="s">
        <v>235</v>
      </c>
      <c r="F675" s="1452"/>
      <c r="G675" s="1452"/>
      <c r="H675" s="1452"/>
      <c r="I675" s="1452"/>
      <c r="J675" s="1452"/>
      <c r="K675" s="1452"/>
      <c r="L675" s="1452"/>
      <c r="N675" s="2"/>
      <c r="O675" s="2"/>
      <c r="P675" s="2"/>
    </row>
    <row r="676" spans="1:27" customFormat="1" ht="13.5" customHeight="1" thickBot="1">
      <c r="A676" s="81"/>
      <c r="B676" s="81"/>
      <c r="C676" s="81"/>
      <c r="D676" s="81"/>
      <c r="E676" s="81"/>
      <c r="F676" s="81"/>
      <c r="G676" s="81"/>
      <c r="H676" s="81"/>
      <c r="I676" s="81"/>
      <c r="J676" s="81"/>
      <c r="K676" s="81"/>
      <c r="L676" s="81"/>
      <c r="M676" s="81"/>
      <c r="N676" s="82"/>
      <c r="O676" s="2"/>
      <c r="P676" s="2"/>
    </row>
    <row r="677" spans="1:27" customFormat="1" ht="13.5" customHeight="1">
      <c r="N677" s="2"/>
      <c r="O677" s="2"/>
      <c r="P677" s="2"/>
    </row>
    <row r="678" spans="1:27" customFormat="1" ht="15" customHeight="1">
      <c r="B678" s="10"/>
      <c r="C678" s="5"/>
      <c r="D678" s="5"/>
      <c r="E678" s="5"/>
      <c r="F678" s="5"/>
      <c r="G678" s="5"/>
      <c r="H678" s="5"/>
      <c r="I678" s="5"/>
      <c r="J678" s="5"/>
      <c r="K678" s="5"/>
      <c r="L678" s="5"/>
      <c r="M678" s="6"/>
      <c r="R678" s="11" t="str">
        <f>D679</f>
        <v>(選択してください)</v>
      </c>
    </row>
    <row r="679" spans="1:27" customFormat="1">
      <c r="B679" s="7"/>
      <c r="C679" s="77" t="str">
        <f ca="1">IFERROR(OFFSET('4.2民生電力需要量'!$C$1,MATCH(D679,'4.2民生電力需要量'!$E:$E,0)-1,0),"")</f>
        <v/>
      </c>
      <c r="D679" s="94" t="s">
        <v>130</v>
      </c>
      <c r="E679" s="72" t="s">
        <v>131</v>
      </c>
      <c r="F679" s="1451" t="str">
        <f ca="1">IFERROR(OFFSET('4.2民生電力需要量'!$G$1,MATCH($D679,'4.2民生電力需要量'!$E:$E,0)-1,0),"")</f>
        <v/>
      </c>
      <c r="G679" s="1451"/>
      <c r="H679" s="1451"/>
      <c r="I679" s="1451"/>
      <c r="J679" s="1451"/>
      <c r="K679" s="1451"/>
      <c r="L679" s="1451"/>
      <c r="M679" s="8"/>
      <c r="R679" s="255" t="str">
        <f ca="1">IFERROR(OFFSET('4.2民生電力需要量'!$G$1,MATCH($D679,'4.2民生電力需要量'!$E:$E,0)-1,0),"")</f>
        <v/>
      </c>
      <c r="S679" s="175"/>
      <c r="T679" s="175"/>
      <c r="U679" s="175"/>
      <c r="V679" s="175"/>
      <c r="W679" s="175"/>
      <c r="X679" s="175"/>
      <c r="Y679" s="175"/>
      <c r="Z679" s="175"/>
      <c r="AA679" s="175">
        <f ca="1">(F679=R679)*1</f>
        <v>1</v>
      </c>
    </row>
    <row r="680" spans="1:27" customFormat="1">
      <c r="B680" s="7"/>
      <c r="C680" s="915"/>
      <c r="D680" s="97"/>
      <c r="E680" s="72" t="s">
        <v>612</v>
      </c>
      <c r="F680" s="1447" t="str">
        <f ca="1">IFERROR(OFFSET('4.2民生電力需要量'!$L$1,MATCH($D679,'4.2民生電力需要量'!$E:$E,0)-1,0),"")</f>
        <v/>
      </c>
      <c r="G680" s="1448"/>
      <c r="H680" s="1448"/>
      <c r="I680" s="1448"/>
      <c r="J680" s="1448"/>
      <c r="K680" s="1448"/>
      <c r="L680" s="1449"/>
      <c r="M680" s="8"/>
      <c r="R680" s="255" t="str">
        <f ca="1">IFERROR(OFFSET('4.2民生電力需要量'!$L$1,MATCH($D679,'4.2民生電力需要量'!$E:$E,0)-1,0),"")</f>
        <v/>
      </c>
      <c r="S680" s="175"/>
      <c r="T680" s="175"/>
      <c r="U680" s="175"/>
      <c r="V680" s="175"/>
      <c r="W680" s="175"/>
      <c r="X680" s="175"/>
      <c r="Y680" s="175"/>
      <c r="Z680" s="175"/>
      <c r="AA680" s="175">
        <f ca="1">(F680=R680)*1</f>
        <v>1</v>
      </c>
    </row>
    <row r="681" spans="1:27" customFormat="1">
      <c r="B681" s="7"/>
      <c r="C681" s="74"/>
      <c r="D681" s="66"/>
      <c r="E681" s="72" t="s">
        <v>220</v>
      </c>
      <c r="F681" s="1450" t="str">
        <f ca="1">IFERROR(OFFSET('4.2民生電力需要量'!$I$1,MATCH($D679,'4.2民生電力需要量'!$E:$E,0)-1,0),"")</f>
        <v/>
      </c>
      <c r="G681" s="1450"/>
      <c r="H681" s="1450"/>
      <c r="I681" s="1450"/>
      <c r="J681" s="1450"/>
      <c r="K681" s="1450"/>
      <c r="L681" s="1450"/>
      <c r="M681" s="8"/>
      <c r="R681" s="255" t="str">
        <f ca="1">IFERROR(OFFSET('4.2民生電力需要量'!$I$1,MATCH($D679,'4.2民生電力需要量'!$E:$E,0)-1,0),"")</f>
        <v/>
      </c>
      <c r="S681" s="175"/>
      <c r="T681" s="175"/>
      <c r="U681" s="175"/>
      <c r="V681" s="175"/>
      <c r="W681" s="175"/>
      <c r="X681" s="175"/>
      <c r="Y681" s="175"/>
      <c r="Z681" s="175"/>
      <c r="AA681" s="175">
        <f t="shared" ref="AA681:AA682" ca="1" si="335">(F681=R681)*1</f>
        <v>1</v>
      </c>
    </row>
    <row r="682" spans="1:27" customFormat="1">
      <c r="B682" s="7"/>
      <c r="C682" s="74"/>
      <c r="D682" s="66"/>
      <c r="E682" s="72" t="s">
        <v>175</v>
      </c>
      <c r="F682" s="1451" t="str">
        <f>_xlfn.IFNA(R682,"")</f>
        <v/>
      </c>
      <c r="G682" s="1451"/>
      <c r="H682" s="1451"/>
      <c r="I682" s="1451"/>
      <c r="J682" s="1451"/>
      <c r="K682" s="1451"/>
      <c r="L682" s="1451"/>
      <c r="M682" s="8"/>
      <c r="R682" s="129" t="str">
        <f>IF(OR(COUNTIF($E684:$E689,"&lt;&gt;〇〇(合意形成対象者名に書き換え)")=3,COUNTIF($E684:$E689,"")&gt;3),"",IF(PRODUCT($Y684:$Y689)=1,Z684,""))</f>
        <v/>
      </c>
      <c r="S682" s="175"/>
      <c r="T682" s="175"/>
      <c r="U682" s="175"/>
      <c r="V682" s="175"/>
      <c r="W682" s="175"/>
      <c r="X682" s="175"/>
      <c r="Y682" s="175"/>
      <c r="Z682" s="175"/>
      <c r="AA682" s="175">
        <f t="shared" si="335"/>
        <v>1</v>
      </c>
    </row>
    <row r="683" spans="1:27" ht="63.75" customHeight="1">
      <c r="B683" s="95"/>
      <c r="C683" s="96"/>
      <c r="D683" s="97"/>
      <c r="E683" s="372"/>
      <c r="F683" s="313" t="s">
        <v>268</v>
      </c>
      <c r="G683" s="313" t="s">
        <v>271</v>
      </c>
      <c r="H683" s="313" t="s">
        <v>272</v>
      </c>
      <c r="I683" s="313" t="s">
        <v>269</v>
      </c>
      <c r="J683" s="313" t="s">
        <v>434</v>
      </c>
      <c r="K683" s="313" t="s">
        <v>435</v>
      </c>
      <c r="L683" s="313" t="s">
        <v>270</v>
      </c>
      <c r="M683" s="98"/>
      <c r="N683" s="11"/>
      <c r="R683" s="126" t="s">
        <v>299</v>
      </c>
      <c r="S683" s="257" t="s">
        <v>423</v>
      </c>
      <c r="T683" s="126" t="s">
        <v>424</v>
      </c>
      <c r="U683" s="296" t="s">
        <v>436</v>
      </c>
      <c r="V683" s="256" t="s">
        <v>270</v>
      </c>
      <c r="W683" s="126" t="s">
        <v>426</v>
      </c>
      <c r="X683" s="129" t="s">
        <v>402</v>
      </c>
      <c r="Y683" s="129" t="s">
        <v>430</v>
      </c>
      <c r="Z683" s="126" t="s">
        <v>425</v>
      </c>
      <c r="AA683" s="255"/>
    </row>
    <row r="684" spans="1:27" hidden="1">
      <c r="B684" s="95"/>
      <c r="C684" s="96"/>
      <c r="D684" s="97"/>
      <c r="E684" s="442"/>
      <c r="F684" s="443"/>
      <c r="G684" s="439"/>
      <c r="H684" s="443"/>
      <c r="I684" s="439"/>
      <c r="J684" s="443"/>
      <c r="K684" s="439"/>
      <c r="L684" s="444"/>
      <c r="M684" s="98"/>
      <c r="N684" s="11"/>
      <c r="R684" s="129">
        <f t="shared" ref="R684:R689" si="336">IF(F684="実施済",1,0)</f>
        <v>0</v>
      </c>
      <c r="S684" s="258"/>
      <c r="T684" s="129">
        <f t="shared" ref="T684:T689" si="337">IF(AND(H684="実施済",I684="実施済"),R684*1,0)</f>
        <v>0</v>
      </c>
      <c r="U684" s="129">
        <f>IF(AND(J684="実施済",K684="実施済"),$T684*1,0)</f>
        <v>0</v>
      </c>
      <c r="V684" s="258"/>
      <c r="W684" s="129" t="str">
        <f>IF(OR(E684="〇〇(合意形成対象者名に書き換え)",E684=""),"",SUM(R684,T684,U684))</f>
        <v/>
      </c>
      <c r="X684" s="129">
        <f t="shared" ref="X684:X689" si="338">MIN($W$684:$W$689)+1</f>
        <v>1</v>
      </c>
      <c r="Y684" s="129">
        <f>IF(E684="",1,IF(AND(E684="〇〇(合意形成対象者名に書き換え)",COUNTA($F684:$L684)=0),1,IF(AND(E684&lt;&gt;"〇〇(合意形成対象者名に書き換え)",COUNTA($F684:$L684)=7),1,0)))</f>
        <v>1</v>
      </c>
      <c r="Z684" s="129" t="str" cm="1">
        <f t="array" ref="Z684">_xlfn.IFS(X684=4,"A",X684=3,"B",X684=2,"C",X684=1,"D")</f>
        <v>D</v>
      </c>
      <c r="AA684" s="255"/>
    </row>
    <row r="685" spans="1:27">
      <c r="B685" s="95"/>
      <c r="C685" s="96"/>
      <c r="D685" s="97"/>
      <c r="E685" s="447" t="s">
        <v>129</v>
      </c>
      <c r="F685" s="446"/>
      <c r="G685" s="441"/>
      <c r="H685" s="446"/>
      <c r="I685" s="441"/>
      <c r="J685" s="446"/>
      <c r="K685" s="441"/>
      <c r="L685" s="441"/>
      <c r="M685" s="98"/>
      <c r="N685" s="11"/>
      <c r="R685" s="129">
        <f t="shared" si="336"/>
        <v>0</v>
      </c>
      <c r="S685" s="258"/>
      <c r="T685" s="129">
        <f t="shared" si="337"/>
        <v>0</v>
      </c>
      <c r="U685" s="129">
        <f t="shared" ref="U685:U687" si="339">IF(AND(J685="実施済",K685="実施済"),$T685*1,0)</f>
        <v>0</v>
      </c>
      <c r="V685" s="258"/>
      <c r="W685" s="129" t="str">
        <f t="shared" ref="W685:W689" si="340">IF(OR(E685="〇〇(合意形成対象者名に書き換え)",E685=""),"",SUM(R685,T685,U685))</f>
        <v/>
      </c>
      <c r="X685" s="129">
        <f t="shared" si="338"/>
        <v>1</v>
      </c>
      <c r="Y685" s="129">
        <f t="shared" ref="Y685:Y689" si="341">IF(E685="",1,IF(AND(E685="〇〇(合意形成対象者名に書き換え)",COUNTA($F685:$L685)=0),1,IF(AND(E685&lt;&gt;"〇〇(合意形成対象者名に書き換え)",COUNTA($F685:$L685)=7),1,0)))</f>
        <v>1</v>
      </c>
      <c r="Z685" s="129" t="str" cm="1">
        <f t="array" ref="Z685">_xlfn.IFS(X685=4,"A",X685=3,"B",X685=2,"C",X685=1,"D")</f>
        <v>D</v>
      </c>
      <c r="AA685" s="255"/>
    </row>
    <row r="686" spans="1:27">
      <c r="B686" s="95"/>
      <c r="C686" s="96"/>
      <c r="D686" s="97"/>
      <c r="E686" s="447" t="s">
        <v>129</v>
      </c>
      <c r="F686" s="446"/>
      <c r="G686" s="441"/>
      <c r="H686" s="446"/>
      <c r="I686" s="441"/>
      <c r="J686" s="446"/>
      <c r="K686" s="441"/>
      <c r="L686" s="441"/>
      <c r="M686" s="98"/>
      <c r="N686" s="11"/>
      <c r="R686" s="129">
        <f t="shared" si="336"/>
        <v>0</v>
      </c>
      <c r="S686" s="258"/>
      <c r="T686" s="129">
        <f t="shared" si="337"/>
        <v>0</v>
      </c>
      <c r="U686" s="129">
        <f t="shared" si="339"/>
        <v>0</v>
      </c>
      <c r="V686" s="258"/>
      <c r="W686" s="129" t="str">
        <f t="shared" si="340"/>
        <v/>
      </c>
      <c r="X686" s="129">
        <f t="shared" si="338"/>
        <v>1</v>
      </c>
      <c r="Y686" s="129">
        <f t="shared" si="341"/>
        <v>1</v>
      </c>
      <c r="Z686" s="129" t="str" cm="1">
        <f t="array" ref="Z686">_xlfn.IFS(X686=4,"A",X686=3,"B",X686=2,"C",X686=1,"D")</f>
        <v>D</v>
      </c>
      <c r="AA686" s="255"/>
    </row>
    <row r="687" spans="1:27" s="99" customFormat="1">
      <c r="A687" s="11"/>
      <c r="B687" s="95"/>
      <c r="C687" s="96"/>
      <c r="D687" s="97"/>
      <c r="E687" s="447" t="s">
        <v>129</v>
      </c>
      <c r="F687" s="446"/>
      <c r="G687" s="441"/>
      <c r="H687" s="446"/>
      <c r="I687" s="441"/>
      <c r="J687" s="446"/>
      <c r="K687" s="441"/>
      <c r="L687" s="441"/>
      <c r="M687" s="98"/>
      <c r="N687" s="11"/>
      <c r="Q687" s="11"/>
      <c r="R687" s="129">
        <f t="shared" si="336"/>
        <v>0</v>
      </c>
      <c r="S687" s="258"/>
      <c r="T687" s="129">
        <f t="shared" si="337"/>
        <v>0</v>
      </c>
      <c r="U687" s="129">
        <f t="shared" si="339"/>
        <v>0</v>
      </c>
      <c r="V687" s="258"/>
      <c r="W687" s="129" t="str">
        <f t="shared" si="340"/>
        <v/>
      </c>
      <c r="X687" s="129">
        <f t="shared" si="338"/>
        <v>1</v>
      </c>
      <c r="Y687" s="129">
        <f t="shared" si="341"/>
        <v>1</v>
      </c>
      <c r="Z687" s="129" t="str" cm="1">
        <f t="array" ref="Z687">_xlfn.IFS(X687=4,"A",X687=3,"B",X687=2,"C",X687=1,"D")</f>
        <v>D</v>
      </c>
      <c r="AA687" s="129"/>
    </row>
    <row r="688" spans="1:27" customFormat="1" ht="7.5" customHeight="1">
      <c r="B688" s="65"/>
      <c r="C688" s="4"/>
      <c r="D688" s="4"/>
      <c r="E688" s="4"/>
      <c r="F688" s="4"/>
      <c r="G688" s="4"/>
      <c r="H688" s="4"/>
      <c r="I688" s="4"/>
      <c r="J688" s="4"/>
      <c r="K688" s="4"/>
      <c r="L688" s="4"/>
      <c r="M688" s="9"/>
      <c r="N688" s="2"/>
      <c r="O688" s="2"/>
      <c r="P688" s="2"/>
      <c r="R688" s="129">
        <f t="shared" si="336"/>
        <v>0</v>
      </c>
      <c r="S688" s="258"/>
      <c r="T688" s="129">
        <f t="shared" si="337"/>
        <v>0</v>
      </c>
      <c r="U688" s="129">
        <f>IF(AND(J688="実施済",K688="実施済"),$T688*1,0)</f>
        <v>0</v>
      </c>
      <c r="V688" s="258"/>
      <c r="W688" s="129" t="str">
        <f t="shared" si="340"/>
        <v/>
      </c>
      <c r="X688" s="129">
        <f t="shared" si="338"/>
        <v>1</v>
      </c>
      <c r="Y688" s="129">
        <f t="shared" si="341"/>
        <v>1</v>
      </c>
      <c r="Z688" s="129" t="str" cm="1">
        <f t="array" ref="Z688">_xlfn.IFS(X688=4,"A",X688=3,"B",X688=2,"C",X688=1,"D")</f>
        <v>D</v>
      </c>
      <c r="AA688" s="175"/>
    </row>
    <row r="689" spans="1:27" customFormat="1" ht="18" customHeight="1">
      <c r="N689" s="2"/>
      <c r="O689" s="2"/>
      <c r="P689" s="2"/>
      <c r="R689" s="129">
        <f t="shared" si="336"/>
        <v>0</v>
      </c>
      <c r="S689" s="258"/>
      <c r="T689" s="129">
        <f t="shared" si="337"/>
        <v>0</v>
      </c>
      <c r="U689" s="129">
        <f t="shared" ref="U689" si="342">IF(AND(J689="実施済",K689="実施済"),$T689*1,0)</f>
        <v>0</v>
      </c>
      <c r="V689" s="258"/>
      <c r="W689" s="129" t="str">
        <f t="shared" si="340"/>
        <v/>
      </c>
      <c r="X689" s="129">
        <f t="shared" si="338"/>
        <v>1</v>
      </c>
      <c r="Y689" s="129">
        <f t="shared" si="341"/>
        <v>1</v>
      </c>
      <c r="Z689" s="129" t="str" cm="1">
        <f t="array" ref="Z689">_xlfn.IFS(X689=4,"A",X689=3,"B",X689=2,"C",X689=1,"D")</f>
        <v>D</v>
      </c>
      <c r="AA689" s="175"/>
    </row>
    <row r="690" spans="1:27" customFormat="1" ht="103.5" customHeight="1">
      <c r="C690" s="78"/>
      <c r="D690" s="79"/>
      <c r="E690" s="71" t="s">
        <v>236</v>
      </c>
      <c r="F690" s="1452"/>
      <c r="G690" s="1452"/>
      <c r="H690" s="1452"/>
      <c r="I690" s="1452"/>
      <c r="J690" s="1452"/>
      <c r="K690" s="1452"/>
      <c r="L690" s="1452"/>
      <c r="M690" s="80" t="s">
        <v>132</v>
      </c>
      <c r="N690" s="80"/>
    </row>
    <row r="691" spans="1:27" customFormat="1" ht="146.25" customHeight="1">
      <c r="C691" s="75"/>
      <c r="D691" s="68"/>
      <c r="E691" s="71" t="s">
        <v>235</v>
      </c>
      <c r="F691" s="1452"/>
      <c r="G691" s="1452"/>
      <c r="H691" s="1452"/>
      <c r="I691" s="1452"/>
      <c r="J691" s="1452"/>
      <c r="K691" s="1452"/>
      <c r="L691" s="1452"/>
      <c r="N691" s="2"/>
      <c r="O691" s="2"/>
      <c r="P691" s="2"/>
    </row>
    <row r="692" spans="1:27" customFormat="1" ht="13.5" customHeight="1" thickBot="1">
      <c r="A692" s="81"/>
      <c r="B692" s="81"/>
      <c r="C692" s="81"/>
      <c r="D692" s="81"/>
      <c r="E692" s="81"/>
      <c r="F692" s="81"/>
      <c r="G692" s="81"/>
      <c r="H692" s="81"/>
      <c r="I692" s="81"/>
      <c r="J692" s="81"/>
      <c r="K692" s="81"/>
      <c r="L692" s="81"/>
      <c r="M692" s="81"/>
      <c r="N692" s="82"/>
      <c r="O692" s="2"/>
      <c r="P692" s="2"/>
    </row>
    <row r="693" spans="1:27" customFormat="1" ht="13.5" customHeight="1">
      <c r="N693" s="2"/>
      <c r="O693" s="2"/>
      <c r="P693" s="2"/>
    </row>
    <row r="694" spans="1:27" customFormat="1" ht="15" customHeight="1">
      <c r="B694" s="10"/>
      <c r="C694" s="5"/>
      <c r="D694" s="5"/>
      <c r="E694" s="5"/>
      <c r="F694" s="5"/>
      <c r="G694" s="5"/>
      <c r="H694" s="5"/>
      <c r="I694" s="5"/>
      <c r="J694" s="5"/>
      <c r="K694" s="5"/>
      <c r="L694" s="5"/>
      <c r="M694" s="6"/>
      <c r="R694" s="11" t="str">
        <f>D695</f>
        <v>(選択してください)</v>
      </c>
    </row>
    <row r="695" spans="1:27" customFormat="1">
      <c r="B695" s="7"/>
      <c r="C695" s="77" t="str">
        <f ca="1">IFERROR(OFFSET('4.2民生電力需要量'!$C$1,MATCH(D695,'4.2民生電力需要量'!$E:$E,0)-1,0),"")</f>
        <v/>
      </c>
      <c r="D695" s="94" t="s">
        <v>130</v>
      </c>
      <c r="E695" s="72" t="s">
        <v>131</v>
      </c>
      <c r="F695" s="1451" t="str">
        <f ca="1">IFERROR(OFFSET('4.2民生電力需要量'!$G$1,MATCH($D695,'4.2民生電力需要量'!$E:$E,0)-1,0),"")</f>
        <v/>
      </c>
      <c r="G695" s="1451"/>
      <c r="H695" s="1451"/>
      <c r="I695" s="1451"/>
      <c r="J695" s="1451"/>
      <c r="K695" s="1451"/>
      <c r="L695" s="1451"/>
      <c r="M695" s="8"/>
      <c r="R695" s="255" t="str">
        <f ca="1">IFERROR(OFFSET('4.2民生電力需要量'!$G$1,MATCH($D695,'4.2民生電力需要量'!$E:$E,0)-1,0),"")</f>
        <v/>
      </c>
      <c r="S695" s="175"/>
      <c r="T695" s="175"/>
      <c r="U695" s="175"/>
      <c r="V695" s="175"/>
      <c r="W695" s="175"/>
      <c r="X695" s="175"/>
      <c r="Y695" s="175"/>
      <c r="Z695" s="175"/>
      <c r="AA695" s="175">
        <f ca="1">(F695=R695)*1</f>
        <v>1</v>
      </c>
    </row>
    <row r="696" spans="1:27" customFormat="1">
      <c r="B696" s="7"/>
      <c r="C696" s="915"/>
      <c r="D696" s="97"/>
      <c r="E696" s="72" t="s">
        <v>612</v>
      </c>
      <c r="F696" s="1447" t="str">
        <f ca="1">IFERROR(OFFSET('4.2民生電力需要量'!$L$1,MATCH($D695,'4.2民生電力需要量'!$E:$E,0)-1,0),"")</f>
        <v/>
      </c>
      <c r="G696" s="1448"/>
      <c r="H696" s="1448"/>
      <c r="I696" s="1448"/>
      <c r="J696" s="1448"/>
      <c r="K696" s="1448"/>
      <c r="L696" s="1449"/>
      <c r="M696" s="8"/>
      <c r="R696" s="255" t="str">
        <f ca="1">IFERROR(OFFSET('4.2民生電力需要量'!$L$1,MATCH($D695,'4.2民生電力需要量'!$E:$E,0)-1,0),"")</f>
        <v/>
      </c>
      <c r="S696" s="175"/>
      <c r="T696" s="175"/>
      <c r="U696" s="175"/>
      <c r="V696" s="175"/>
      <c r="W696" s="175"/>
      <c r="X696" s="175"/>
      <c r="Y696" s="175"/>
      <c r="Z696" s="175"/>
      <c r="AA696" s="175">
        <f ca="1">(F696=R696)*1</f>
        <v>1</v>
      </c>
    </row>
    <row r="697" spans="1:27" customFormat="1">
      <c r="B697" s="7"/>
      <c r="C697" s="74"/>
      <c r="D697" s="66"/>
      <c r="E697" s="72" t="s">
        <v>220</v>
      </c>
      <c r="F697" s="1450" t="str">
        <f ca="1">IFERROR(OFFSET('4.2民生電力需要量'!$I$1,MATCH($D695,'4.2民生電力需要量'!$E:$E,0)-1,0),"")</f>
        <v/>
      </c>
      <c r="G697" s="1450"/>
      <c r="H697" s="1450"/>
      <c r="I697" s="1450"/>
      <c r="J697" s="1450"/>
      <c r="K697" s="1450"/>
      <c r="L697" s="1450"/>
      <c r="M697" s="8"/>
      <c r="R697" s="255" t="str">
        <f ca="1">IFERROR(OFFSET('4.2民生電力需要量'!$I$1,MATCH($D695,'4.2民生電力需要量'!$E:$E,0)-1,0),"")</f>
        <v/>
      </c>
      <c r="S697" s="175"/>
      <c r="T697" s="175"/>
      <c r="U697" s="175"/>
      <c r="V697" s="175"/>
      <c r="W697" s="175"/>
      <c r="X697" s="175"/>
      <c r="Y697" s="175"/>
      <c r="Z697" s="175"/>
      <c r="AA697" s="175">
        <f t="shared" ref="AA697:AA698" ca="1" si="343">(F697=R697)*1</f>
        <v>1</v>
      </c>
    </row>
    <row r="698" spans="1:27" customFormat="1">
      <c r="B698" s="7"/>
      <c r="C698" s="74"/>
      <c r="D698" s="66"/>
      <c r="E698" s="72" t="s">
        <v>175</v>
      </c>
      <c r="F698" s="1451" t="str">
        <f>_xlfn.IFNA(R698,"")</f>
        <v/>
      </c>
      <c r="G698" s="1451"/>
      <c r="H698" s="1451"/>
      <c r="I698" s="1451"/>
      <c r="J698" s="1451"/>
      <c r="K698" s="1451"/>
      <c r="L698" s="1451"/>
      <c r="M698" s="8"/>
      <c r="R698" s="129" t="str">
        <f>IF(OR(COUNTIF($E700:$E705,"&lt;&gt;〇〇(合意形成対象者名に書き換え)")=3,COUNTIF($E700:$E705,"")&gt;3),"",IF(PRODUCT($Y700:$Y705)=1,Z700,""))</f>
        <v/>
      </c>
      <c r="S698" s="175"/>
      <c r="T698" s="175"/>
      <c r="U698" s="175"/>
      <c r="V698" s="175"/>
      <c r="W698" s="175"/>
      <c r="X698" s="175"/>
      <c r="Y698" s="175"/>
      <c r="Z698" s="175"/>
      <c r="AA698" s="175">
        <f t="shared" si="343"/>
        <v>1</v>
      </c>
    </row>
    <row r="699" spans="1:27" ht="63.75" customHeight="1">
      <c r="B699" s="95"/>
      <c r="C699" s="96"/>
      <c r="D699" s="97"/>
      <c r="E699" s="372"/>
      <c r="F699" s="313" t="s">
        <v>268</v>
      </c>
      <c r="G699" s="313" t="s">
        <v>271</v>
      </c>
      <c r="H699" s="313" t="s">
        <v>272</v>
      </c>
      <c r="I699" s="313" t="s">
        <v>269</v>
      </c>
      <c r="J699" s="313" t="s">
        <v>434</v>
      </c>
      <c r="K699" s="313" t="s">
        <v>435</v>
      </c>
      <c r="L699" s="313" t="s">
        <v>270</v>
      </c>
      <c r="M699" s="98"/>
      <c r="N699" s="11"/>
      <c r="R699" s="126" t="s">
        <v>299</v>
      </c>
      <c r="S699" s="257" t="s">
        <v>423</v>
      </c>
      <c r="T699" s="126" t="s">
        <v>424</v>
      </c>
      <c r="U699" s="296" t="s">
        <v>436</v>
      </c>
      <c r="V699" s="256" t="s">
        <v>270</v>
      </c>
      <c r="W699" s="126" t="s">
        <v>426</v>
      </c>
      <c r="X699" s="129" t="s">
        <v>402</v>
      </c>
      <c r="Y699" s="129" t="s">
        <v>430</v>
      </c>
      <c r="Z699" s="126" t="s">
        <v>425</v>
      </c>
      <c r="AA699" s="255"/>
    </row>
    <row r="700" spans="1:27" hidden="1">
      <c r="B700" s="95"/>
      <c r="C700" s="96"/>
      <c r="D700" s="97"/>
      <c r="E700" s="442"/>
      <c r="F700" s="443"/>
      <c r="G700" s="439"/>
      <c r="H700" s="443"/>
      <c r="I700" s="439"/>
      <c r="J700" s="443"/>
      <c r="K700" s="439"/>
      <c r="L700" s="444"/>
      <c r="M700" s="98"/>
      <c r="N700" s="11"/>
      <c r="R700" s="129">
        <f t="shared" ref="R700:R705" si="344">IF(F700="実施済",1,0)</f>
        <v>0</v>
      </c>
      <c r="S700" s="258"/>
      <c r="T700" s="129">
        <f t="shared" ref="T700:T705" si="345">IF(AND(H700="実施済",I700="実施済"),R700*1,0)</f>
        <v>0</v>
      </c>
      <c r="U700" s="129">
        <f>IF(AND(J700="実施済",K700="実施済"),$T700*1,0)</f>
        <v>0</v>
      </c>
      <c r="V700" s="258"/>
      <c r="W700" s="129" t="str">
        <f>IF(OR(E700="〇〇(合意形成対象者名に書き換え)",E700=""),"",SUM(R700,T700,U700))</f>
        <v/>
      </c>
      <c r="X700" s="129">
        <f t="shared" ref="X700:X705" si="346">MIN($W$700:$W$705)+1</f>
        <v>1</v>
      </c>
      <c r="Y700" s="129">
        <f>IF(E700="",1,IF(AND(E700="〇〇(合意形成対象者名に書き換え)",COUNTA($F700:$L700)=0),1,IF(AND(E700&lt;&gt;"〇〇(合意形成対象者名に書き換え)",COUNTA($F700:$L700)=7),1,0)))</f>
        <v>1</v>
      </c>
      <c r="Z700" s="129" t="str" cm="1">
        <f t="array" ref="Z700">_xlfn.IFS(X700=4,"A",X700=3,"B",X700=2,"C",X700=1,"D")</f>
        <v>D</v>
      </c>
      <c r="AA700" s="255"/>
    </row>
    <row r="701" spans="1:27">
      <c r="B701" s="95"/>
      <c r="C701" s="96"/>
      <c r="D701" s="97"/>
      <c r="E701" s="447" t="s">
        <v>129</v>
      </c>
      <c r="F701" s="446"/>
      <c r="G701" s="441"/>
      <c r="H701" s="446"/>
      <c r="I701" s="441"/>
      <c r="J701" s="446"/>
      <c r="K701" s="441"/>
      <c r="L701" s="441"/>
      <c r="M701" s="98"/>
      <c r="N701" s="11"/>
      <c r="R701" s="129">
        <f t="shared" si="344"/>
        <v>0</v>
      </c>
      <c r="S701" s="258"/>
      <c r="T701" s="129">
        <f t="shared" si="345"/>
        <v>0</v>
      </c>
      <c r="U701" s="129">
        <f t="shared" ref="U701:U703" si="347">IF(AND(J701="実施済",K701="実施済"),$T701*1,0)</f>
        <v>0</v>
      </c>
      <c r="V701" s="258"/>
      <c r="W701" s="129" t="str">
        <f t="shared" ref="W701:W705" si="348">IF(OR(E701="〇〇(合意形成対象者名に書き換え)",E701=""),"",SUM(R701,T701,U701))</f>
        <v/>
      </c>
      <c r="X701" s="129">
        <f t="shared" si="346"/>
        <v>1</v>
      </c>
      <c r="Y701" s="129">
        <f t="shared" ref="Y701:Y705" si="349">IF(E701="",1,IF(AND(E701="〇〇(合意形成対象者名に書き換え)",COUNTA($F701:$L701)=0),1,IF(AND(E701&lt;&gt;"〇〇(合意形成対象者名に書き換え)",COUNTA($F701:$L701)=7),1,0)))</f>
        <v>1</v>
      </c>
      <c r="Z701" s="129" t="str" cm="1">
        <f t="array" ref="Z701">_xlfn.IFS(X701=4,"A",X701=3,"B",X701=2,"C",X701=1,"D")</f>
        <v>D</v>
      </c>
      <c r="AA701" s="255"/>
    </row>
    <row r="702" spans="1:27">
      <c r="B702" s="95"/>
      <c r="C702" s="96"/>
      <c r="D702" s="97"/>
      <c r="E702" s="447" t="s">
        <v>129</v>
      </c>
      <c r="F702" s="446"/>
      <c r="G702" s="441"/>
      <c r="H702" s="446"/>
      <c r="I702" s="441"/>
      <c r="J702" s="446"/>
      <c r="K702" s="441"/>
      <c r="L702" s="441"/>
      <c r="M702" s="98"/>
      <c r="N702" s="11"/>
      <c r="R702" s="129">
        <f t="shared" si="344"/>
        <v>0</v>
      </c>
      <c r="S702" s="258"/>
      <c r="T702" s="129">
        <f t="shared" si="345"/>
        <v>0</v>
      </c>
      <c r="U702" s="129">
        <f t="shared" si="347"/>
        <v>0</v>
      </c>
      <c r="V702" s="258"/>
      <c r="W702" s="129" t="str">
        <f t="shared" si="348"/>
        <v/>
      </c>
      <c r="X702" s="129">
        <f t="shared" si="346"/>
        <v>1</v>
      </c>
      <c r="Y702" s="129">
        <f t="shared" si="349"/>
        <v>1</v>
      </c>
      <c r="Z702" s="129" t="str" cm="1">
        <f t="array" ref="Z702">_xlfn.IFS(X702=4,"A",X702=3,"B",X702=2,"C",X702=1,"D")</f>
        <v>D</v>
      </c>
      <c r="AA702" s="255"/>
    </row>
    <row r="703" spans="1:27" s="99" customFormat="1">
      <c r="A703" s="11"/>
      <c r="B703" s="95"/>
      <c r="C703" s="96"/>
      <c r="D703" s="97"/>
      <c r="E703" s="447" t="s">
        <v>129</v>
      </c>
      <c r="F703" s="446"/>
      <c r="G703" s="441"/>
      <c r="H703" s="446"/>
      <c r="I703" s="441"/>
      <c r="J703" s="446"/>
      <c r="K703" s="441"/>
      <c r="L703" s="441"/>
      <c r="M703" s="98"/>
      <c r="N703" s="11"/>
      <c r="Q703" s="11"/>
      <c r="R703" s="129">
        <f t="shared" si="344"/>
        <v>0</v>
      </c>
      <c r="S703" s="258"/>
      <c r="T703" s="129">
        <f t="shared" si="345"/>
        <v>0</v>
      </c>
      <c r="U703" s="129">
        <f t="shared" si="347"/>
        <v>0</v>
      </c>
      <c r="V703" s="258"/>
      <c r="W703" s="129" t="str">
        <f t="shared" si="348"/>
        <v/>
      </c>
      <c r="X703" s="129">
        <f t="shared" si="346"/>
        <v>1</v>
      </c>
      <c r="Y703" s="129">
        <f t="shared" si="349"/>
        <v>1</v>
      </c>
      <c r="Z703" s="129" t="str" cm="1">
        <f t="array" ref="Z703">_xlfn.IFS(X703=4,"A",X703=3,"B",X703=2,"C",X703=1,"D")</f>
        <v>D</v>
      </c>
      <c r="AA703" s="129"/>
    </row>
    <row r="704" spans="1:27" customFormat="1" ht="7.5" customHeight="1">
      <c r="B704" s="65"/>
      <c r="C704" s="4"/>
      <c r="D704" s="4"/>
      <c r="E704" s="4"/>
      <c r="F704" s="4"/>
      <c r="G704" s="4"/>
      <c r="H704" s="4"/>
      <c r="I704" s="4"/>
      <c r="J704" s="4"/>
      <c r="K704" s="4"/>
      <c r="L704" s="4"/>
      <c r="M704" s="9"/>
      <c r="N704" s="2"/>
      <c r="O704" s="2"/>
      <c r="P704" s="2"/>
      <c r="R704" s="129">
        <f t="shared" si="344"/>
        <v>0</v>
      </c>
      <c r="S704" s="258"/>
      <c r="T704" s="129">
        <f t="shared" si="345"/>
        <v>0</v>
      </c>
      <c r="U704" s="129">
        <f>IF(AND(J704="実施済",K704="実施済"),$T704*1,0)</f>
        <v>0</v>
      </c>
      <c r="V704" s="258"/>
      <c r="W704" s="129" t="str">
        <f t="shared" si="348"/>
        <v/>
      </c>
      <c r="X704" s="129">
        <f t="shared" si="346"/>
        <v>1</v>
      </c>
      <c r="Y704" s="129">
        <f t="shared" si="349"/>
        <v>1</v>
      </c>
      <c r="Z704" s="129" t="str" cm="1">
        <f t="array" ref="Z704">_xlfn.IFS(X704=4,"A",X704=3,"B",X704=2,"C",X704=1,"D")</f>
        <v>D</v>
      </c>
      <c r="AA704" s="175"/>
    </row>
    <row r="705" spans="1:27" customFormat="1" ht="18" customHeight="1">
      <c r="N705" s="2"/>
      <c r="O705" s="2"/>
      <c r="P705" s="2"/>
      <c r="R705" s="129">
        <f t="shared" si="344"/>
        <v>0</v>
      </c>
      <c r="S705" s="258"/>
      <c r="T705" s="129">
        <f t="shared" si="345"/>
        <v>0</v>
      </c>
      <c r="U705" s="129">
        <f t="shared" ref="U705" si="350">IF(AND(J705="実施済",K705="実施済"),$T705*1,0)</f>
        <v>0</v>
      </c>
      <c r="V705" s="258"/>
      <c r="W705" s="129" t="str">
        <f t="shared" si="348"/>
        <v/>
      </c>
      <c r="X705" s="129">
        <f t="shared" si="346"/>
        <v>1</v>
      </c>
      <c r="Y705" s="129">
        <f t="shared" si="349"/>
        <v>1</v>
      </c>
      <c r="Z705" s="129" t="str" cm="1">
        <f t="array" ref="Z705">_xlfn.IFS(X705=4,"A",X705=3,"B",X705=2,"C",X705=1,"D")</f>
        <v>D</v>
      </c>
      <c r="AA705" s="175"/>
    </row>
    <row r="706" spans="1:27" customFormat="1" ht="103.5" customHeight="1">
      <c r="C706" s="78"/>
      <c r="D706" s="79"/>
      <c r="E706" s="71" t="s">
        <v>236</v>
      </c>
      <c r="F706" s="1452"/>
      <c r="G706" s="1452"/>
      <c r="H706" s="1452"/>
      <c r="I706" s="1452"/>
      <c r="J706" s="1452"/>
      <c r="K706" s="1452"/>
      <c r="L706" s="1452"/>
      <c r="M706" s="80" t="s">
        <v>132</v>
      </c>
      <c r="N706" s="80"/>
    </row>
    <row r="707" spans="1:27" customFormat="1" ht="146.25" customHeight="1">
      <c r="C707" s="75"/>
      <c r="D707" s="68"/>
      <c r="E707" s="71" t="s">
        <v>235</v>
      </c>
      <c r="F707" s="1452"/>
      <c r="G707" s="1452"/>
      <c r="H707" s="1452"/>
      <c r="I707" s="1452"/>
      <c r="J707" s="1452"/>
      <c r="K707" s="1452"/>
      <c r="L707" s="1452"/>
      <c r="N707" s="2"/>
      <c r="O707" s="2"/>
      <c r="P707" s="2"/>
    </row>
    <row r="708" spans="1:27" customFormat="1" ht="13.5" customHeight="1" thickBot="1">
      <c r="A708" s="81"/>
      <c r="B708" s="81"/>
      <c r="C708" s="81"/>
      <c r="D708" s="81"/>
      <c r="E708" s="81"/>
      <c r="F708" s="81"/>
      <c r="G708" s="81"/>
      <c r="H708" s="81"/>
      <c r="I708" s="81"/>
      <c r="J708" s="81"/>
      <c r="K708" s="81"/>
      <c r="L708" s="81"/>
      <c r="M708" s="81"/>
      <c r="N708" s="82"/>
      <c r="O708" s="2"/>
      <c r="P708" s="2"/>
    </row>
    <row r="709" spans="1:27" customFormat="1" ht="13.5" customHeight="1">
      <c r="N709" s="2"/>
      <c r="O709" s="2"/>
      <c r="P709" s="2"/>
    </row>
    <row r="710" spans="1:27" customFormat="1" ht="15" customHeight="1">
      <c r="B710" s="10"/>
      <c r="C710" s="5"/>
      <c r="D710" s="5"/>
      <c r="E710" s="5"/>
      <c r="F710" s="5"/>
      <c r="G710" s="5"/>
      <c r="H710" s="5"/>
      <c r="I710" s="5"/>
      <c r="J710" s="5"/>
      <c r="K710" s="5"/>
      <c r="L710" s="5"/>
      <c r="M710" s="6"/>
      <c r="R710" s="11" t="str">
        <f>D711</f>
        <v>(選択してください)</v>
      </c>
    </row>
    <row r="711" spans="1:27" customFormat="1">
      <c r="B711" s="7"/>
      <c r="C711" s="77" t="str">
        <f ca="1">IFERROR(OFFSET('4.2民生電力需要量'!$C$1,MATCH(D711,'4.2民生電力需要量'!$E:$E,0)-1,0),"")</f>
        <v/>
      </c>
      <c r="D711" s="94" t="s">
        <v>130</v>
      </c>
      <c r="E711" s="72" t="s">
        <v>131</v>
      </c>
      <c r="F711" s="1451" t="str">
        <f ca="1">IFERROR(OFFSET('4.2民生電力需要量'!$G$1,MATCH($D711,'4.2民生電力需要量'!$E:$E,0)-1,0),"")</f>
        <v/>
      </c>
      <c r="G711" s="1451"/>
      <c r="H711" s="1451"/>
      <c r="I711" s="1451"/>
      <c r="J711" s="1451"/>
      <c r="K711" s="1451"/>
      <c r="L711" s="1451"/>
      <c r="M711" s="8"/>
      <c r="R711" s="255" t="str">
        <f ca="1">IFERROR(OFFSET('4.2民生電力需要量'!$G$1,MATCH($D711,'4.2民生電力需要量'!$E:$E,0)-1,0),"")</f>
        <v/>
      </c>
      <c r="S711" s="175"/>
      <c r="T711" s="175"/>
      <c r="U711" s="175"/>
      <c r="V711" s="175"/>
      <c r="W711" s="175"/>
      <c r="X711" s="175"/>
      <c r="Y711" s="175"/>
      <c r="Z711" s="175"/>
      <c r="AA711" s="175">
        <f ca="1">(F711=R711)*1</f>
        <v>1</v>
      </c>
    </row>
    <row r="712" spans="1:27" customFormat="1">
      <c r="B712" s="7"/>
      <c r="C712" s="915"/>
      <c r="D712" s="97"/>
      <c r="E712" s="72" t="s">
        <v>612</v>
      </c>
      <c r="F712" s="1447" t="str">
        <f ca="1">IFERROR(OFFSET('4.2民生電力需要量'!$L$1,MATCH($D711,'4.2民生電力需要量'!$E:$E,0)-1,0),"")</f>
        <v/>
      </c>
      <c r="G712" s="1448"/>
      <c r="H712" s="1448"/>
      <c r="I712" s="1448"/>
      <c r="J712" s="1448"/>
      <c r="K712" s="1448"/>
      <c r="L712" s="1449"/>
      <c r="M712" s="8"/>
      <c r="R712" s="255" t="str">
        <f ca="1">IFERROR(OFFSET('4.2民生電力需要量'!$L$1,MATCH($D711,'4.2民生電力需要量'!$E:$E,0)-1,0),"")</f>
        <v/>
      </c>
      <c r="S712" s="175"/>
      <c r="T712" s="175"/>
      <c r="U712" s="175"/>
      <c r="V712" s="175"/>
      <c r="W712" s="175"/>
      <c r="X712" s="175"/>
      <c r="Y712" s="175"/>
      <c r="Z712" s="175"/>
      <c r="AA712" s="175">
        <f ca="1">(F712=R712)*1</f>
        <v>1</v>
      </c>
    </row>
    <row r="713" spans="1:27" customFormat="1">
      <c r="B713" s="7"/>
      <c r="C713" s="74"/>
      <c r="D713" s="66"/>
      <c r="E713" s="72" t="s">
        <v>220</v>
      </c>
      <c r="F713" s="1450" t="str">
        <f ca="1">IFERROR(OFFSET('4.2民生電力需要量'!$I$1,MATCH($D711,'4.2民生電力需要量'!$E:$E,0)-1,0),"")</f>
        <v/>
      </c>
      <c r="G713" s="1450"/>
      <c r="H713" s="1450"/>
      <c r="I713" s="1450"/>
      <c r="J713" s="1450"/>
      <c r="K713" s="1450"/>
      <c r="L713" s="1450"/>
      <c r="M713" s="8"/>
      <c r="R713" s="255" t="str">
        <f ca="1">IFERROR(OFFSET('4.2民生電力需要量'!$I$1,MATCH($D711,'4.2民生電力需要量'!$E:$E,0)-1,0),"")</f>
        <v/>
      </c>
      <c r="S713" s="175"/>
      <c r="T713" s="175"/>
      <c r="U713" s="175"/>
      <c r="V713" s="175"/>
      <c r="W713" s="175"/>
      <c r="X713" s="175"/>
      <c r="Y713" s="175"/>
      <c r="Z713" s="175"/>
      <c r="AA713" s="175">
        <f t="shared" ref="AA713:AA714" ca="1" si="351">(F713=R713)*1</f>
        <v>1</v>
      </c>
    </row>
    <row r="714" spans="1:27" customFormat="1">
      <c r="B714" s="7"/>
      <c r="C714" s="74"/>
      <c r="D714" s="66"/>
      <c r="E714" s="72" t="s">
        <v>175</v>
      </c>
      <c r="F714" s="1451" t="str">
        <f>_xlfn.IFNA(R714,"")</f>
        <v/>
      </c>
      <c r="G714" s="1451"/>
      <c r="H714" s="1451"/>
      <c r="I714" s="1451"/>
      <c r="J714" s="1451"/>
      <c r="K714" s="1451"/>
      <c r="L714" s="1451"/>
      <c r="M714" s="8"/>
      <c r="R714" s="129" t="str">
        <f>IF(OR(COUNTIF($E716:$E721,"&lt;&gt;〇〇(合意形成対象者名に書き換え)")=3,COUNTIF($E716:$E721,"")&gt;3),"",IF(PRODUCT($Y716:$Y721)=1,Z716,""))</f>
        <v/>
      </c>
      <c r="S714" s="175"/>
      <c r="T714" s="175"/>
      <c r="U714" s="175"/>
      <c r="V714" s="175"/>
      <c r="W714" s="175"/>
      <c r="X714" s="175"/>
      <c r="Y714" s="175"/>
      <c r="Z714" s="175"/>
      <c r="AA714" s="175">
        <f t="shared" si="351"/>
        <v>1</v>
      </c>
    </row>
    <row r="715" spans="1:27" ht="63.75" customHeight="1">
      <c r="B715" s="95"/>
      <c r="C715" s="96"/>
      <c r="D715" s="97"/>
      <c r="E715" s="372"/>
      <c r="F715" s="313" t="s">
        <v>268</v>
      </c>
      <c r="G715" s="313" t="s">
        <v>271</v>
      </c>
      <c r="H715" s="313" t="s">
        <v>272</v>
      </c>
      <c r="I715" s="313" t="s">
        <v>269</v>
      </c>
      <c r="J715" s="313" t="s">
        <v>434</v>
      </c>
      <c r="K715" s="313" t="s">
        <v>435</v>
      </c>
      <c r="L715" s="313" t="s">
        <v>270</v>
      </c>
      <c r="M715" s="98"/>
      <c r="N715" s="11"/>
      <c r="R715" s="126" t="s">
        <v>299</v>
      </c>
      <c r="S715" s="257" t="s">
        <v>423</v>
      </c>
      <c r="T715" s="126" t="s">
        <v>424</v>
      </c>
      <c r="U715" s="296" t="s">
        <v>436</v>
      </c>
      <c r="V715" s="256" t="s">
        <v>270</v>
      </c>
      <c r="W715" s="126" t="s">
        <v>426</v>
      </c>
      <c r="X715" s="129" t="s">
        <v>402</v>
      </c>
      <c r="Y715" s="129" t="s">
        <v>430</v>
      </c>
      <c r="Z715" s="126" t="s">
        <v>425</v>
      </c>
      <c r="AA715" s="255"/>
    </row>
    <row r="716" spans="1:27" hidden="1">
      <c r="B716" s="95"/>
      <c r="C716" s="96"/>
      <c r="D716" s="97"/>
      <c r="E716" s="442"/>
      <c r="F716" s="443"/>
      <c r="G716" s="439"/>
      <c r="H716" s="443"/>
      <c r="I716" s="439"/>
      <c r="J716" s="443"/>
      <c r="K716" s="439"/>
      <c r="L716" s="444"/>
      <c r="M716" s="98"/>
      <c r="N716" s="11"/>
      <c r="R716" s="129">
        <f t="shared" ref="R716:R721" si="352">IF(F716="実施済",1,0)</f>
        <v>0</v>
      </c>
      <c r="S716" s="258"/>
      <c r="T716" s="129">
        <f t="shared" ref="T716:T721" si="353">IF(AND(H716="実施済",I716="実施済"),R716*1,0)</f>
        <v>0</v>
      </c>
      <c r="U716" s="129">
        <f>IF(AND(J716="実施済",K716="実施済"),$T716*1,0)</f>
        <v>0</v>
      </c>
      <c r="V716" s="258"/>
      <c r="W716" s="129" t="str">
        <f>IF(OR(E716="〇〇(合意形成対象者名に書き換え)",E716=""),"",SUM(R716,T716,U716))</f>
        <v/>
      </c>
      <c r="X716" s="129">
        <f t="shared" ref="X716:X721" si="354">MIN($W$716:$W$721)+1</f>
        <v>1</v>
      </c>
      <c r="Y716" s="129">
        <f>IF(E716="",1,IF(AND(E716="〇〇(合意形成対象者名に書き換え)",COUNTA($F716:$L716)=0),1,IF(AND(E716&lt;&gt;"〇〇(合意形成対象者名に書き換え)",COUNTA($F716:$L716)=7),1,0)))</f>
        <v>1</v>
      </c>
      <c r="Z716" s="129" t="str" cm="1">
        <f t="array" ref="Z716">_xlfn.IFS(X716=4,"A",X716=3,"B",X716=2,"C",X716=1,"D")</f>
        <v>D</v>
      </c>
      <c r="AA716" s="255"/>
    </row>
    <row r="717" spans="1:27">
      <c r="B717" s="95"/>
      <c r="C717" s="96"/>
      <c r="D717" s="97"/>
      <c r="E717" s="447" t="s">
        <v>129</v>
      </c>
      <c r="F717" s="446"/>
      <c r="G717" s="441"/>
      <c r="H717" s="446"/>
      <c r="I717" s="441"/>
      <c r="J717" s="446"/>
      <c r="K717" s="441"/>
      <c r="L717" s="441"/>
      <c r="M717" s="98"/>
      <c r="N717" s="11"/>
      <c r="R717" s="129">
        <f t="shared" si="352"/>
        <v>0</v>
      </c>
      <c r="S717" s="258"/>
      <c r="T717" s="129">
        <f t="shared" si="353"/>
        <v>0</v>
      </c>
      <c r="U717" s="129">
        <f t="shared" ref="U717:U719" si="355">IF(AND(J717="実施済",K717="実施済"),$T717*1,0)</f>
        <v>0</v>
      </c>
      <c r="V717" s="258"/>
      <c r="W717" s="129" t="str">
        <f t="shared" ref="W717:W721" si="356">IF(OR(E717="〇〇(合意形成対象者名に書き換え)",E717=""),"",SUM(R717,T717,U717))</f>
        <v/>
      </c>
      <c r="X717" s="129">
        <f t="shared" si="354"/>
        <v>1</v>
      </c>
      <c r="Y717" s="129">
        <f t="shared" ref="Y717:Y721" si="357">IF(E717="",1,IF(AND(E717="〇〇(合意形成対象者名に書き換え)",COUNTA($F717:$L717)=0),1,IF(AND(E717&lt;&gt;"〇〇(合意形成対象者名に書き換え)",COUNTA($F717:$L717)=7),1,0)))</f>
        <v>1</v>
      </c>
      <c r="Z717" s="129" t="str" cm="1">
        <f t="array" ref="Z717">_xlfn.IFS(X717=4,"A",X717=3,"B",X717=2,"C",X717=1,"D")</f>
        <v>D</v>
      </c>
      <c r="AA717" s="255"/>
    </row>
    <row r="718" spans="1:27">
      <c r="B718" s="95"/>
      <c r="C718" s="96"/>
      <c r="D718" s="97"/>
      <c r="E718" s="447" t="s">
        <v>129</v>
      </c>
      <c r="F718" s="446"/>
      <c r="G718" s="441"/>
      <c r="H718" s="446"/>
      <c r="I718" s="441"/>
      <c r="J718" s="446"/>
      <c r="K718" s="441"/>
      <c r="L718" s="441"/>
      <c r="M718" s="98"/>
      <c r="N718" s="11"/>
      <c r="R718" s="129">
        <f t="shared" si="352"/>
        <v>0</v>
      </c>
      <c r="S718" s="258"/>
      <c r="T718" s="129">
        <f t="shared" si="353"/>
        <v>0</v>
      </c>
      <c r="U718" s="129">
        <f t="shared" si="355"/>
        <v>0</v>
      </c>
      <c r="V718" s="258"/>
      <c r="W718" s="129" t="str">
        <f t="shared" si="356"/>
        <v/>
      </c>
      <c r="X718" s="129">
        <f t="shared" si="354"/>
        <v>1</v>
      </c>
      <c r="Y718" s="129">
        <f t="shared" si="357"/>
        <v>1</v>
      </c>
      <c r="Z718" s="129" t="str" cm="1">
        <f t="array" ref="Z718">_xlfn.IFS(X718=4,"A",X718=3,"B",X718=2,"C",X718=1,"D")</f>
        <v>D</v>
      </c>
      <c r="AA718" s="255"/>
    </row>
    <row r="719" spans="1:27" s="99" customFormat="1">
      <c r="A719" s="11"/>
      <c r="B719" s="95"/>
      <c r="C719" s="96"/>
      <c r="D719" s="97"/>
      <c r="E719" s="447" t="s">
        <v>129</v>
      </c>
      <c r="F719" s="446"/>
      <c r="G719" s="441"/>
      <c r="H719" s="446"/>
      <c r="I719" s="441"/>
      <c r="J719" s="446"/>
      <c r="K719" s="441"/>
      <c r="L719" s="441"/>
      <c r="M719" s="98"/>
      <c r="N719" s="11"/>
      <c r="Q719" s="11"/>
      <c r="R719" s="129">
        <f t="shared" si="352"/>
        <v>0</v>
      </c>
      <c r="S719" s="258"/>
      <c r="T719" s="129">
        <f t="shared" si="353"/>
        <v>0</v>
      </c>
      <c r="U719" s="129">
        <f t="shared" si="355"/>
        <v>0</v>
      </c>
      <c r="V719" s="258"/>
      <c r="W719" s="129" t="str">
        <f t="shared" si="356"/>
        <v/>
      </c>
      <c r="X719" s="129">
        <f t="shared" si="354"/>
        <v>1</v>
      </c>
      <c r="Y719" s="129">
        <f t="shared" si="357"/>
        <v>1</v>
      </c>
      <c r="Z719" s="129" t="str" cm="1">
        <f t="array" ref="Z719">_xlfn.IFS(X719=4,"A",X719=3,"B",X719=2,"C",X719=1,"D")</f>
        <v>D</v>
      </c>
      <c r="AA719" s="129"/>
    </row>
    <row r="720" spans="1:27" customFormat="1" ht="7.5" customHeight="1">
      <c r="B720" s="65"/>
      <c r="C720" s="4"/>
      <c r="D720" s="4"/>
      <c r="E720" s="4"/>
      <c r="F720" s="4"/>
      <c r="G720" s="4"/>
      <c r="H720" s="4"/>
      <c r="I720" s="4"/>
      <c r="J720" s="4"/>
      <c r="K720" s="4"/>
      <c r="L720" s="4"/>
      <c r="M720" s="9"/>
      <c r="N720" s="2"/>
      <c r="O720" s="2"/>
      <c r="P720" s="2"/>
      <c r="R720" s="129">
        <f t="shared" si="352"/>
        <v>0</v>
      </c>
      <c r="S720" s="258"/>
      <c r="T720" s="129">
        <f t="shared" si="353"/>
        <v>0</v>
      </c>
      <c r="U720" s="129">
        <f>IF(AND(J720="実施済",K720="実施済"),$T720*1,0)</f>
        <v>0</v>
      </c>
      <c r="V720" s="258"/>
      <c r="W720" s="129" t="str">
        <f t="shared" si="356"/>
        <v/>
      </c>
      <c r="X720" s="129">
        <f t="shared" si="354"/>
        <v>1</v>
      </c>
      <c r="Y720" s="129">
        <f t="shared" si="357"/>
        <v>1</v>
      </c>
      <c r="Z720" s="129" t="str" cm="1">
        <f t="array" ref="Z720">_xlfn.IFS(X720=4,"A",X720=3,"B",X720=2,"C",X720=1,"D")</f>
        <v>D</v>
      </c>
      <c r="AA720" s="175"/>
    </row>
    <row r="721" spans="1:27" customFormat="1" ht="18" customHeight="1">
      <c r="N721" s="2"/>
      <c r="O721" s="2"/>
      <c r="P721" s="2"/>
      <c r="R721" s="129">
        <f t="shared" si="352"/>
        <v>0</v>
      </c>
      <c r="S721" s="258"/>
      <c r="T721" s="129">
        <f t="shared" si="353"/>
        <v>0</v>
      </c>
      <c r="U721" s="129">
        <f t="shared" ref="U721" si="358">IF(AND(J721="実施済",K721="実施済"),$T721*1,0)</f>
        <v>0</v>
      </c>
      <c r="V721" s="258"/>
      <c r="W721" s="129" t="str">
        <f t="shared" si="356"/>
        <v/>
      </c>
      <c r="X721" s="129">
        <f t="shared" si="354"/>
        <v>1</v>
      </c>
      <c r="Y721" s="129">
        <f t="shared" si="357"/>
        <v>1</v>
      </c>
      <c r="Z721" s="129" t="str" cm="1">
        <f t="array" ref="Z721">_xlfn.IFS(X721=4,"A",X721=3,"B",X721=2,"C",X721=1,"D")</f>
        <v>D</v>
      </c>
      <c r="AA721" s="175"/>
    </row>
    <row r="722" spans="1:27" customFormat="1" ht="103.5" customHeight="1">
      <c r="C722" s="78"/>
      <c r="D722" s="79"/>
      <c r="E722" s="71" t="s">
        <v>236</v>
      </c>
      <c r="F722" s="1452"/>
      <c r="G722" s="1452"/>
      <c r="H722" s="1452"/>
      <c r="I722" s="1452"/>
      <c r="J722" s="1452"/>
      <c r="K722" s="1452"/>
      <c r="L722" s="1452"/>
      <c r="M722" s="80" t="s">
        <v>132</v>
      </c>
      <c r="N722" s="80"/>
    </row>
    <row r="723" spans="1:27" customFormat="1" ht="146.25" customHeight="1">
      <c r="C723" s="75"/>
      <c r="D723" s="68"/>
      <c r="E723" s="71" t="s">
        <v>235</v>
      </c>
      <c r="F723" s="1452"/>
      <c r="G723" s="1452"/>
      <c r="H723" s="1452"/>
      <c r="I723" s="1452"/>
      <c r="J723" s="1452"/>
      <c r="K723" s="1452"/>
      <c r="L723" s="1452"/>
      <c r="N723" s="2"/>
      <c r="O723" s="2"/>
      <c r="P723" s="2"/>
    </row>
    <row r="724" spans="1:27" customFormat="1" ht="13.5" customHeight="1" thickBot="1">
      <c r="A724" s="81"/>
      <c r="B724" s="81"/>
      <c r="C724" s="81"/>
      <c r="D724" s="81"/>
      <c r="E724" s="81"/>
      <c r="F724" s="81"/>
      <c r="G724" s="81"/>
      <c r="H724" s="81"/>
      <c r="I724" s="81"/>
      <c r="J724" s="81"/>
      <c r="K724" s="81"/>
      <c r="L724" s="81"/>
      <c r="M724" s="81"/>
      <c r="N724" s="82"/>
      <c r="O724" s="2"/>
      <c r="P724" s="2"/>
    </row>
    <row r="725" spans="1:27" customFormat="1" ht="13.5" customHeight="1">
      <c r="N725" s="2"/>
      <c r="O725" s="2"/>
      <c r="P725" s="2"/>
    </row>
    <row r="726" spans="1:27" customFormat="1" ht="15" customHeight="1">
      <c r="B726" s="10"/>
      <c r="C726" s="5"/>
      <c r="D726" s="5"/>
      <c r="E726" s="5"/>
      <c r="F726" s="5"/>
      <c r="G726" s="5"/>
      <c r="H726" s="5"/>
      <c r="I726" s="5"/>
      <c r="J726" s="5"/>
      <c r="K726" s="5"/>
      <c r="L726" s="5"/>
      <c r="M726" s="6"/>
      <c r="R726" s="11" t="str">
        <f>D727</f>
        <v>(選択してください)</v>
      </c>
    </row>
    <row r="727" spans="1:27" customFormat="1">
      <c r="B727" s="7"/>
      <c r="C727" s="77" t="str">
        <f ca="1">IFERROR(OFFSET('4.2民生電力需要量'!$C$1,MATCH(D727,'4.2民生電力需要量'!$E:$E,0)-1,0),"")</f>
        <v/>
      </c>
      <c r="D727" s="94" t="s">
        <v>130</v>
      </c>
      <c r="E727" s="72" t="s">
        <v>131</v>
      </c>
      <c r="F727" s="1451" t="str">
        <f ca="1">IFERROR(OFFSET('4.2民生電力需要量'!$G$1,MATCH($D727,'4.2民生電力需要量'!$E:$E,0)-1,0),"")</f>
        <v/>
      </c>
      <c r="G727" s="1451"/>
      <c r="H727" s="1451"/>
      <c r="I727" s="1451"/>
      <c r="J727" s="1451"/>
      <c r="K727" s="1451"/>
      <c r="L727" s="1451"/>
      <c r="M727" s="8"/>
      <c r="R727" s="255" t="str">
        <f ca="1">IFERROR(OFFSET('4.2民生電力需要量'!$G$1,MATCH($D727,'4.2民生電力需要量'!$E:$E,0)-1,0),"")</f>
        <v/>
      </c>
      <c r="S727" s="175"/>
      <c r="T727" s="175"/>
      <c r="U727" s="175"/>
      <c r="V727" s="175"/>
      <c r="W727" s="175"/>
      <c r="X727" s="175"/>
      <c r="Y727" s="175"/>
      <c r="Z727" s="175"/>
      <c r="AA727" s="175">
        <f ca="1">(F727=R727)*1</f>
        <v>1</v>
      </c>
    </row>
    <row r="728" spans="1:27" customFormat="1">
      <c r="B728" s="7"/>
      <c r="C728" s="915"/>
      <c r="D728" s="97"/>
      <c r="E728" s="72" t="s">
        <v>612</v>
      </c>
      <c r="F728" s="1447" t="str">
        <f ca="1">IFERROR(OFFSET('4.2民生電力需要量'!$L$1,MATCH($D727,'4.2民生電力需要量'!$E:$E,0)-1,0),"")</f>
        <v/>
      </c>
      <c r="G728" s="1448"/>
      <c r="H728" s="1448"/>
      <c r="I728" s="1448"/>
      <c r="J728" s="1448"/>
      <c r="K728" s="1448"/>
      <c r="L728" s="1449"/>
      <c r="M728" s="8"/>
      <c r="R728" s="255" t="str">
        <f ca="1">IFERROR(OFFSET('4.2民生電力需要量'!$L$1,MATCH($D727,'4.2民生電力需要量'!$E:$E,0)-1,0),"")</f>
        <v/>
      </c>
      <c r="S728" s="175"/>
      <c r="T728" s="175"/>
      <c r="U728" s="175"/>
      <c r="V728" s="175"/>
      <c r="W728" s="175"/>
      <c r="X728" s="175"/>
      <c r="Y728" s="175"/>
      <c r="Z728" s="175"/>
      <c r="AA728" s="175">
        <f ca="1">(F728=R728)*1</f>
        <v>1</v>
      </c>
    </row>
    <row r="729" spans="1:27" customFormat="1">
      <c r="B729" s="7"/>
      <c r="C729" s="74"/>
      <c r="D729" s="66"/>
      <c r="E729" s="72" t="s">
        <v>220</v>
      </c>
      <c r="F729" s="1450" t="str">
        <f ca="1">IFERROR(OFFSET('4.2民生電力需要量'!$I$1,MATCH($D727,'4.2民生電力需要量'!$E:$E,0)-1,0),"")</f>
        <v/>
      </c>
      <c r="G729" s="1450"/>
      <c r="H729" s="1450"/>
      <c r="I729" s="1450"/>
      <c r="J729" s="1450"/>
      <c r="K729" s="1450"/>
      <c r="L729" s="1450"/>
      <c r="M729" s="8"/>
      <c r="R729" s="255" t="str">
        <f ca="1">IFERROR(OFFSET('4.2民生電力需要量'!$I$1,MATCH($D727,'4.2民生電力需要量'!$E:$E,0)-1,0),"")</f>
        <v/>
      </c>
      <c r="S729" s="175"/>
      <c r="T729" s="175"/>
      <c r="U729" s="175"/>
      <c r="V729" s="175"/>
      <c r="W729" s="175"/>
      <c r="X729" s="175"/>
      <c r="Y729" s="175"/>
      <c r="Z729" s="175"/>
      <c r="AA729" s="175">
        <f t="shared" ref="AA729:AA730" ca="1" si="359">(F729=R729)*1</f>
        <v>1</v>
      </c>
    </row>
    <row r="730" spans="1:27" customFormat="1">
      <c r="B730" s="7"/>
      <c r="C730" s="74"/>
      <c r="D730" s="66"/>
      <c r="E730" s="72" t="s">
        <v>175</v>
      </c>
      <c r="F730" s="1451" t="str">
        <f>_xlfn.IFNA(R730,"")</f>
        <v/>
      </c>
      <c r="G730" s="1451"/>
      <c r="H730" s="1451"/>
      <c r="I730" s="1451"/>
      <c r="J730" s="1451"/>
      <c r="K730" s="1451"/>
      <c r="L730" s="1451"/>
      <c r="M730" s="8"/>
      <c r="R730" s="129" t="str">
        <f>IF(OR(COUNTIF($E732:$E737,"&lt;&gt;〇〇(合意形成対象者名に書き換え)")=3,COUNTIF($E732:$E737,"")&gt;3),"",IF(PRODUCT($Y732:$Y737)=1,Z732,""))</f>
        <v/>
      </c>
      <c r="S730" s="175"/>
      <c r="T730" s="175"/>
      <c r="U730" s="175"/>
      <c r="V730" s="175"/>
      <c r="W730" s="175"/>
      <c r="X730" s="175"/>
      <c r="Y730" s="175"/>
      <c r="Z730" s="175"/>
      <c r="AA730" s="175">
        <f t="shared" si="359"/>
        <v>1</v>
      </c>
    </row>
    <row r="731" spans="1:27" ht="63.75" customHeight="1">
      <c r="B731" s="95"/>
      <c r="C731" s="96"/>
      <c r="D731" s="97"/>
      <c r="E731" s="372"/>
      <c r="F731" s="313" t="s">
        <v>268</v>
      </c>
      <c r="G731" s="313" t="s">
        <v>271</v>
      </c>
      <c r="H731" s="313" t="s">
        <v>272</v>
      </c>
      <c r="I731" s="313" t="s">
        <v>269</v>
      </c>
      <c r="J731" s="313" t="s">
        <v>434</v>
      </c>
      <c r="K731" s="313" t="s">
        <v>435</v>
      </c>
      <c r="L731" s="313" t="s">
        <v>270</v>
      </c>
      <c r="M731" s="98"/>
      <c r="N731" s="11"/>
      <c r="R731" s="126" t="s">
        <v>299</v>
      </c>
      <c r="S731" s="257" t="s">
        <v>423</v>
      </c>
      <c r="T731" s="126" t="s">
        <v>424</v>
      </c>
      <c r="U731" s="296" t="s">
        <v>436</v>
      </c>
      <c r="V731" s="256" t="s">
        <v>270</v>
      </c>
      <c r="W731" s="126" t="s">
        <v>426</v>
      </c>
      <c r="X731" s="129" t="s">
        <v>402</v>
      </c>
      <c r="Y731" s="129" t="s">
        <v>430</v>
      </c>
      <c r="Z731" s="126" t="s">
        <v>425</v>
      </c>
      <c r="AA731" s="255"/>
    </row>
    <row r="732" spans="1:27" hidden="1">
      <c r="B732" s="95"/>
      <c r="C732" s="96"/>
      <c r="D732" s="97"/>
      <c r="E732" s="442"/>
      <c r="F732" s="443"/>
      <c r="G732" s="439"/>
      <c r="H732" s="443"/>
      <c r="I732" s="439"/>
      <c r="J732" s="443"/>
      <c r="K732" s="439"/>
      <c r="L732" s="444"/>
      <c r="M732" s="98"/>
      <c r="N732" s="11"/>
      <c r="R732" s="129">
        <f t="shared" ref="R732:R737" si="360">IF(F732="実施済",1,0)</f>
        <v>0</v>
      </c>
      <c r="S732" s="258"/>
      <c r="T732" s="129">
        <f t="shared" ref="T732:T737" si="361">IF(AND(H732="実施済",I732="実施済"),R732*1,0)</f>
        <v>0</v>
      </c>
      <c r="U732" s="129">
        <f>IF(AND(J732="実施済",K732="実施済"),$T732*1,0)</f>
        <v>0</v>
      </c>
      <c r="V732" s="258"/>
      <c r="W732" s="129" t="str">
        <f>IF(OR(E732="〇〇(合意形成対象者名に書き換え)",E732=""),"",SUM(R732,T732,U732))</f>
        <v/>
      </c>
      <c r="X732" s="129">
        <f t="shared" ref="X732:X737" si="362">MIN($W$732:$W$737)+1</f>
        <v>1</v>
      </c>
      <c r="Y732" s="129">
        <f>IF(E732="",1,IF(AND(E732="〇〇(合意形成対象者名に書き換え)",COUNTA($F732:$L732)=0),1,IF(AND(E732&lt;&gt;"〇〇(合意形成対象者名に書き換え)",COUNTA($F732:$L732)=7),1,0)))</f>
        <v>1</v>
      </c>
      <c r="Z732" s="129" t="str" cm="1">
        <f t="array" ref="Z732">_xlfn.IFS(X732=4,"A",X732=3,"B",X732=2,"C",X732=1,"D")</f>
        <v>D</v>
      </c>
      <c r="AA732" s="255"/>
    </row>
    <row r="733" spans="1:27">
      <c r="B733" s="95"/>
      <c r="C733" s="96"/>
      <c r="D733" s="97"/>
      <c r="E733" s="447" t="s">
        <v>129</v>
      </c>
      <c r="F733" s="446"/>
      <c r="G733" s="441"/>
      <c r="H733" s="446"/>
      <c r="I733" s="441"/>
      <c r="J733" s="446"/>
      <c r="K733" s="441"/>
      <c r="L733" s="441"/>
      <c r="M733" s="98"/>
      <c r="N733" s="11"/>
      <c r="R733" s="129">
        <f t="shared" si="360"/>
        <v>0</v>
      </c>
      <c r="S733" s="258"/>
      <c r="T733" s="129">
        <f t="shared" si="361"/>
        <v>0</v>
      </c>
      <c r="U733" s="129">
        <f t="shared" ref="U733:U735" si="363">IF(AND(J733="実施済",K733="実施済"),$T733*1,0)</f>
        <v>0</v>
      </c>
      <c r="V733" s="258"/>
      <c r="W733" s="129" t="str">
        <f t="shared" ref="W733:W737" si="364">IF(OR(E733="〇〇(合意形成対象者名に書き換え)",E733=""),"",SUM(R733,T733,U733))</f>
        <v/>
      </c>
      <c r="X733" s="129">
        <f t="shared" si="362"/>
        <v>1</v>
      </c>
      <c r="Y733" s="129">
        <f t="shared" ref="Y733:Y737" si="365">IF(E733="",1,IF(AND(E733="〇〇(合意形成対象者名に書き換え)",COUNTA($F733:$L733)=0),1,IF(AND(E733&lt;&gt;"〇〇(合意形成対象者名に書き換え)",COUNTA($F733:$L733)=7),1,0)))</f>
        <v>1</v>
      </c>
      <c r="Z733" s="129" t="str" cm="1">
        <f t="array" ref="Z733">_xlfn.IFS(X733=4,"A",X733=3,"B",X733=2,"C",X733=1,"D")</f>
        <v>D</v>
      </c>
      <c r="AA733" s="255"/>
    </row>
    <row r="734" spans="1:27">
      <c r="B734" s="95"/>
      <c r="C734" s="96"/>
      <c r="D734" s="97"/>
      <c r="E734" s="447" t="s">
        <v>129</v>
      </c>
      <c r="F734" s="446"/>
      <c r="G734" s="441"/>
      <c r="H734" s="446"/>
      <c r="I734" s="441"/>
      <c r="J734" s="446"/>
      <c r="K734" s="441"/>
      <c r="L734" s="441"/>
      <c r="M734" s="98"/>
      <c r="N734" s="11"/>
      <c r="R734" s="129">
        <f t="shared" si="360"/>
        <v>0</v>
      </c>
      <c r="S734" s="258"/>
      <c r="T734" s="129">
        <f t="shared" si="361"/>
        <v>0</v>
      </c>
      <c r="U734" s="129">
        <f t="shared" si="363"/>
        <v>0</v>
      </c>
      <c r="V734" s="258"/>
      <c r="W734" s="129" t="str">
        <f t="shared" si="364"/>
        <v/>
      </c>
      <c r="X734" s="129">
        <f t="shared" si="362"/>
        <v>1</v>
      </c>
      <c r="Y734" s="129">
        <f t="shared" si="365"/>
        <v>1</v>
      </c>
      <c r="Z734" s="129" t="str" cm="1">
        <f t="array" ref="Z734">_xlfn.IFS(X734=4,"A",X734=3,"B",X734=2,"C",X734=1,"D")</f>
        <v>D</v>
      </c>
      <c r="AA734" s="255"/>
    </row>
    <row r="735" spans="1:27" s="99" customFormat="1">
      <c r="A735" s="11"/>
      <c r="B735" s="95"/>
      <c r="C735" s="96"/>
      <c r="D735" s="97"/>
      <c r="E735" s="447" t="s">
        <v>129</v>
      </c>
      <c r="F735" s="446"/>
      <c r="G735" s="441"/>
      <c r="H735" s="446"/>
      <c r="I735" s="441"/>
      <c r="J735" s="446"/>
      <c r="K735" s="441"/>
      <c r="L735" s="441"/>
      <c r="M735" s="98"/>
      <c r="N735" s="11"/>
      <c r="Q735" s="11"/>
      <c r="R735" s="129">
        <f t="shared" si="360"/>
        <v>0</v>
      </c>
      <c r="S735" s="258"/>
      <c r="T735" s="129">
        <f t="shared" si="361"/>
        <v>0</v>
      </c>
      <c r="U735" s="129">
        <f t="shared" si="363"/>
        <v>0</v>
      </c>
      <c r="V735" s="258"/>
      <c r="W735" s="129" t="str">
        <f t="shared" si="364"/>
        <v/>
      </c>
      <c r="X735" s="129">
        <f t="shared" si="362"/>
        <v>1</v>
      </c>
      <c r="Y735" s="129">
        <f t="shared" si="365"/>
        <v>1</v>
      </c>
      <c r="Z735" s="129" t="str" cm="1">
        <f t="array" ref="Z735">_xlfn.IFS(X735=4,"A",X735=3,"B",X735=2,"C",X735=1,"D")</f>
        <v>D</v>
      </c>
      <c r="AA735" s="129"/>
    </row>
    <row r="736" spans="1:27" customFormat="1" ht="7.5" customHeight="1">
      <c r="B736" s="65"/>
      <c r="C736" s="4"/>
      <c r="D736" s="4"/>
      <c r="E736" s="4"/>
      <c r="F736" s="4"/>
      <c r="G736" s="4"/>
      <c r="H736" s="4"/>
      <c r="I736" s="4"/>
      <c r="J736" s="4"/>
      <c r="K736" s="4"/>
      <c r="L736" s="4"/>
      <c r="M736" s="9"/>
      <c r="N736" s="2"/>
      <c r="O736" s="2"/>
      <c r="P736" s="2"/>
      <c r="R736" s="129">
        <f t="shared" si="360"/>
        <v>0</v>
      </c>
      <c r="S736" s="258"/>
      <c r="T736" s="129">
        <f t="shared" si="361"/>
        <v>0</v>
      </c>
      <c r="U736" s="129">
        <f>IF(AND(J736="実施済",K736="実施済"),$T736*1,0)</f>
        <v>0</v>
      </c>
      <c r="V736" s="258"/>
      <c r="W736" s="129" t="str">
        <f t="shared" si="364"/>
        <v/>
      </c>
      <c r="X736" s="129">
        <f t="shared" si="362"/>
        <v>1</v>
      </c>
      <c r="Y736" s="129">
        <f t="shared" si="365"/>
        <v>1</v>
      </c>
      <c r="Z736" s="129" t="str" cm="1">
        <f t="array" ref="Z736">_xlfn.IFS(X736=4,"A",X736=3,"B",X736=2,"C",X736=1,"D")</f>
        <v>D</v>
      </c>
      <c r="AA736" s="175"/>
    </row>
    <row r="737" spans="1:27" customFormat="1" ht="18" customHeight="1">
      <c r="N737" s="2"/>
      <c r="O737" s="2"/>
      <c r="P737" s="2"/>
      <c r="R737" s="129">
        <f t="shared" si="360"/>
        <v>0</v>
      </c>
      <c r="S737" s="258"/>
      <c r="T737" s="129">
        <f t="shared" si="361"/>
        <v>0</v>
      </c>
      <c r="U737" s="129">
        <f t="shared" ref="U737" si="366">IF(AND(J737="実施済",K737="実施済"),$T737*1,0)</f>
        <v>0</v>
      </c>
      <c r="V737" s="258"/>
      <c r="W737" s="129" t="str">
        <f t="shared" si="364"/>
        <v/>
      </c>
      <c r="X737" s="129">
        <f t="shared" si="362"/>
        <v>1</v>
      </c>
      <c r="Y737" s="129">
        <f t="shared" si="365"/>
        <v>1</v>
      </c>
      <c r="Z737" s="129" t="str" cm="1">
        <f t="array" ref="Z737">_xlfn.IFS(X737=4,"A",X737=3,"B",X737=2,"C",X737=1,"D")</f>
        <v>D</v>
      </c>
      <c r="AA737" s="175"/>
    </row>
    <row r="738" spans="1:27" customFormat="1" ht="103.5" customHeight="1">
      <c r="C738" s="78"/>
      <c r="D738" s="79"/>
      <c r="E738" s="71" t="s">
        <v>236</v>
      </c>
      <c r="F738" s="1452"/>
      <c r="G738" s="1452"/>
      <c r="H738" s="1452"/>
      <c r="I738" s="1452"/>
      <c r="J738" s="1452"/>
      <c r="K738" s="1452"/>
      <c r="L738" s="1452"/>
      <c r="M738" s="80" t="s">
        <v>132</v>
      </c>
      <c r="N738" s="80"/>
    </row>
    <row r="739" spans="1:27" customFormat="1" ht="146.25" customHeight="1">
      <c r="C739" s="75"/>
      <c r="D739" s="68"/>
      <c r="E739" s="71" t="s">
        <v>235</v>
      </c>
      <c r="F739" s="1452"/>
      <c r="G739" s="1452"/>
      <c r="H739" s="1452"/>
      <c r="I739" s="1452"/>
      <c r="J739" s="1452"/>
      <c r="K739" s="1452"/>
      <c r="L739" s="1452"/>
      <c r="N739" s="2"/>
      <c r="O739" s="2"/>
      <c r="P739" s="2"/>
    </row>
    <row r="740" spans="1:27" customFormat="1" ht="13.5" customHeight="1" thickBot="1">
      <c r="A740" s="81"/>
      <c r="B740" s="81"/>
      <c r="C740" s="81"/>
      <c r="D740" s="81"/>
      <c r="E740" s="81"/>
      <c r="F740" s="81"/>
      <c r="G740" s="81"/>
      <c r="H740" s="81"/>
      <c r="I740" s="81"/>
      <c r="J740" s="81"/>
      <c r="K740" s="81"/>
      <c r="L740" s="81"/>
      <c r="M740" s="81"/>
      <c r="N740" s="82"/>
      <c r="O740" s="2"/>
      <c r="P740" s="2"/>
    </row>
    <row r="741" spans="1:27" customFormat="1" ht="13.5" customHeight="1">
      <c r="N741" s="2"/>
      <c r="O741" s="2"/>
      <c r="P741" s="2"/>
    </row>
    <row r="742" spans="1:27" customFormat="1" ht="15" customHeight="1">
      <c r="B742" s="10"/>
      <c r="C742" s="5"/>
      <c r="D742" s="5"/>
      <c r="E742" s="5"/>
      <c r="F742" s="5"/>
      <c r="G742" s="5"/>
      <c r="H742" s="5"/>
      <c r="I742" s="5"/>
      <c r="J742" s="5"/>
      <c r="K742" s="5"/>
      <c r="L742" s="5"/>
      <c r="M742" s="6"/>
      <c r="R742" s="11" t="str">
        <f>D743</f>
        <v>(選択してください)</v>
      </c>
    </row>
    <row r="743" spans="1:27" customFormat="1">
      <c r="B743" s="7"/>
      <c r="C743" s="77" t="str">
        <f ca="1">IFERROR(OFFSET('4.2民生電力需要量'!$C$1,MATCH(D743,'4.2民生電力需要量'!$E:$E,0)-1,0),"")</f>
        <v/>
      </c>
      <c r="D743" s="94" t="s">
        <v>130</v>
      </c>
      <c r="E743" s="72" t="s">
        <v>131</v>
      </c>
      <c r="F743" s="1451" t="str">
        <f ca="1">IFERROR(OFFSET('4.2民生電力需要量'!$G$1,MATCH($D743,'4.2民生電力需要量'!$E:$E,0)-1,0),"")</f>
        <v/>
      </c>
      <c r="G743" s="1451"/>
      <c r="H743" s="1451"/>
      <c r="I743" s="1451"/>
      <c r="J743" s="1451"/>
      <c r="K743" s="1451"/>
      <c r="L743" s="1451"/>
      <c r="M743" s="8"/>
      <c r="R743" s="255" t="str">
        <f ca="1">IFERROR(OFFSET('4.2民生電力需要量'!$G$1,MATCH($D743,'4.2民生電力需要量'!$E:$E,0)-1,0),"")</f>
        <v/>
      </c>
      <c r="S743" s="175"/>
      <c r="T743" s="175"/>
      <c r="U743" s="175"/>
      <c r="V743" s="175"/>
      <c r="W743" s="175"/>
      <c r="X743" s="175"/>
      <c r="Y743" s="175"/>
      <c r="Z743" s="175"/>
      <c r="AA743" s="175">
        <f ca="1">(F743=R743)*1</f>
        <v>1</v>
      </c>
    </row>
    <row r="744" spans="1:27" customFormat="1">
      <c r="B744" s="7"/>
      <c r="C744" s="915"/>
      <c r="D744" s="97"/>
      <c r="E744" s="72" t="s">
        <v>612</v>
      </c>
      <c r="F744" s="1447" t="str">
        <f ca="1">IFERROR(OFFSET('4.2民生電力需要量'!$L$1,MATCH($D743,'4.2民生電力需要量'!$E:$E,0)-1,0),"")</f>
        <v/>
      </c>
      <c r="G744" s="1448"/>
      <c r="H744" s="1448"/>
      <c r="I744" s="1448"/>
      <c r="J744" s="1448"/>
      <c r="K744" s="1448"/>
      <c r="L744" s="1449"/>
      <c r="M744" s="8"/>
      <c r="R744" s="255" t="str">
        <f ca="1">IFERROR(OFFSET('4.2民生電力需要量'!$L$1,MATCH($D743,'4.2民生電力需要量'!$E:$E,0)-1,0),"")</f>
        <v/>
      </c>
      <c r="S744" s="175"/>
      <c r="T744" s="175"/>
      <c r="U744" s="175"/>
      <c r="V744" s="175"/>
      <c r="W744" s="175"/>
      <c r="X744" s="175"/>
      <c r="Y744" s="175"/>
      <c r="Z744" s="175"/>
      <c r="AA744" s="175">
        <f ca="1">(F744=R744)*1</f>
        <v>1</v>
      </c>
    </row>
    <row r="745" spans="1:27" customFormat="1">
      <c r="B745" s="7"/>
      <c r="C745" s="74"/>
      <c r="D745" s="66"/>
      <c r="E745" s="72" t="s">
        <v>220</v>
      </c>
      <c r="F745" s="1450" t="str">
        <f ca="1">IFERROR(OFFSET('4.2民生電力需要量'!$I$1,MATCH($D743,'4.2民生電力需要量'!$E:$E,0)-1,0),"")</f>
        <v/>
      </c>
      <c r="G745" s="1450"/>
      <c r="H745" s="1450"/>
      <c r="I745" s="1450"/>
      <c r="J745" s="1450"/>
      <c r="K745" s="1450"/>
      <c r="L745" s="1450"/>
      <c r="M745" s="8"/>
      <c r="R745" s="255" t="str">
        <f ca="1">IFERROR(OFFSET('4.2民生電力需要量'!$I$1,MATCH($D743,'4.2民生電力需要量'!$E:$E,0)-1,0),"")</f>
        <v/>
      </c>
      <c r="S745" s="175"/>
      <c r="T745" s="175"/>
      <c r="U745" s="175"/>
      <c r="V745" s="175"/>
      <c r="W745" s="175"/>
      <c r="X745" s="175"/>
      <c r="Y745" s="175"/>
      <c r="Z745" s="175"/>
      <c r="AA745" s="175">
        <f t="shared" ref="AA745:AA746" ca="1" si="367">(F745=R745)*1</f>
        <v>1</v>
      </c>
    </row>
    <row r="746" spans="1:27" customFormat="1">
      <c r="B746" s="7"/>
      <c r="C746" s="74"/>
      <c r="D746" s="66"/>
      <c r="E746" s="72" t="s">
        <v>175</v>
      </c>
      <c r="F746" s="1451" t="str">
        <f>_xlfn.IFNA(R746,"")</f>
        <v/>
      </c>
      <c r="G746" s="1451"/>
      <c r="H746" s="1451"/>
      <c r="I746" s="1451"/>
      <c r="J746" s="1451"/>
      <c r="K746" s="1451"/>
      <c r="L746" s="1451"/>
      <c r="M746" s="8"/>
      <c r="R746" s="129" t="str">
        <f>IF(OR(COUNTIF($E748:$E753,"&lt;&gt;〇〇(合意形成対象者名に書き換え)")=3,COUNTIF($E748:$E753,"")&gt;3),"",IF(PRODUCT($Y748:$Y753)=1,Z748,""))</f>
        <v/>
      </c>
      <c r="S746" s="175"/>
      <c r="T746" s="175"/>
      <c r="U746" s="175"/>
      <c r="V746" s="175"/>
      <c r="W746" s="175"/>
      <c r="X746" s="175"/>
      <c r="Y746" s="175"/>
      <c r="Z746" s="175"/>
      <c r="AA746" s="175">
        <f t="shared" si="367"/>
        <v>1</v>
      </c>
    </row>
    <row r="747" spans="1:27" ht="63.75" customHeight="1">
      <c r="B747" s="95"/>
      <c r="C747" s="96"/>
      <c r="D747" s="97"/>
      <c r="E747" s="372"/>
      <c r="F747" s="313" t="s">
        <v>268</v>
      </c>
      <c r="G747" s="313" t="s">
        <v>271</v>
      </c>
      <c r="H747" s="313" t="s">
        <v>272</v>
      </c>
      <c r="I747" s="313" t="s">
        <v>269</v>
      </c>
      <c r="J747" s="313" t="s">
        <v>434</v>
      </c>
      <c r="K747" s="313" t="s">
        <v>435</v>
      </c>
      <c r="L747" s="313" t="s">
        <v>270</v>
      </c>
      <c r="M747" s="98"/>
      <c r="N747" s="11"/>
      <c r="R747" s="126" t="s">
        <v>299</v>
      </c>
      <c r="S747" s="257" t="s">
        <v>423</v>
      </c>
      <c r="T747" s="126" t="s">
        <v>424</v>
      </c>
      <c r="U747" s="296" t="s">
        <v>436</v>
      </c>
      <c r="V747" s="256" t="s">
        <v>270</v>
      </c>
      <c r="W747" s="126" t="s">
        <v>426</v>
      </c>
      <c r="X747" s="129" t="s">
        <v>402</v>
      </c>
      <c r="Y747" s="129" t="s">
        <v>430</v>
      </c>
      <c r="Z747" s="126" t="s">
        <v>425</v>
      </c>
      <c r="AA747" s="255"/>
    </row>
    <row r="748" spans="1:27" hidden="1">
      <c r="B748" s="95"/>
      <c r="C748" s="96"/>
      <c r="D748" s="97"/>
      <c r="E748" s="442"/>
      <c r="F748" s="443"/>
      <c r="G748" s="439"/>
      <c r="H748" s="443"/>
      <c r="I748" s="439"/>
      <c r="J748" s="443"/>
      <c r="K748" s="439"/>
      <c r="L748" s="444"/>
      <c r="M748" s="98"/>
      <c r="N748" s="11"/>
      <c r="R748" s="129">
        <f t="shared" ref="R748:R753" si="368">IF(F748="実施済",1,0)</f>
        <v>0</v>
      </c>
      <c r="S748" s="258"/>
      <c r="T748" s="129">
        <f t="shared" ref="T748:T753" si="369">IF(AND(H748="実施済",I748="実施済"),R748*1,0)</f>
        <v>0</v>
      </c>
      <c r="U748" s="129">
        <f>IF(AND(J748="実施済",K748="実施済"),$T748*1,0)</f>
        <v>0</v>
      </c>
      <c r="V748" s="258"/>
      <c r="W748" s="129" t="str">
        <f>IF(OR(E748="〇〇(合意形成対象者名に書き換え)",E748=""),"",SUM(R748,T748,U748))</f>
        <v/>
      </c>
      <c r="X748" s="129">
        <f t="shared" ref="X748:X753" si="370">MIN($W$748:$W$753)+1</f>
        <v>1</v>
      </c>
      <c r="Y748" s="129">
        <f>IF(E748="",1,IF(AND(E748="〇〇(合意形成対象者名に書き換え)",COUNTA($F748:$L748)=0),1,IF(AND(E748&lt;&gt;"〇〇(合意形成対象者名に書き換え)",COUNTA($F748:$L748)=7),1,0)))</f>
        <v>1</v>
      </c>
      <c r="Z748" s="129" t="str" cm="1">
        <f t="array" ref="Z748">_xlfn.IFS(X748=4,"A",X748=3,"B",X748=2,"C",X748=1,"D")</f>
        <v>D</v>
      </c>
      <c r="AA748" s="255"/>
    </row>
    <row r="749" spans="1:27">
      <c r="B749" s="95"/>
      <c r="C749" s="96"/>
      <c r="D749" s="97"/>
      <c r="E749" s="447" t="s">
        <v>129</v>
      </c>
      <c r="F749" s="446"/>
      <c r="G749" s="441"/>
      <c r="H749" s="446"/>
      <c r="I749" s="441"/>
      <c r="J749" s="446"/>
      <c r="K749" s="441"/>
      <c r="L749" s="441"/>
      <c r="M749" s="98"/>
      <c r="N749" s="11"/>
      <c r="R749" s="129">
        <f t="shared" si="368"/>
        <v>0</v>
      </c>
      <c r="S749" s="258"/>
      <c r="T749" s="129">
        <f t="shared" si="369"/>
        <v>0</v>
      </c>
      <c r="U749" s="129">
        <f t="shared" ref="U749:U751" si="371">IF(AND(J749="実施済",K749="実施済"),$T749*1,0)</f>
        <v>0</v>
      </c>
      <c r="V749" s="258"/>
      <c r="W749" s="129" t="str">
        <f t="shared" ref="W749:W753" si="372">IF(OR(E749="〇〇(合意形成対象者名に書き換え)",E749=""),"",SUM(R749,T749,U749))</f>
        <v/>
      </c>
      <c r="X749" s="129">
        <f t="shared" si="370"/>
        <v>1</v>
      </c>
      <c r="Y749" s="129">
        <f t="shared" ref="Y749:Y753" si="373">IF(E749="",1,IF(AND(E749="〇〇(合意形成対象者名に書き換え)",COUNTA($F749:$L749)=0),1,IF(AND(E749&lt;&gt;"〇〇(合意形成対象者名に書き換え)",COUNTA($F749:$L749)=7),1,0)))</f>
        <v>1</v>
      </c>
      <c r="Z749" s="129" t="str" cm="1">
        <f t="array" ref="Z749">_xlfn.IFS(X749=4,"A",X749=3,"B",X749=2,"C",X749=1,"D")</f>
        <v>D</v>
      </c>
      <c r="AA749" s="255"/>
    </row>
    <row r="750" spans="1:27">
      <c r="B750" s="95"/>
      <c r="C750" s="96"/>
      <c r="D750" s="97"/>
      <c r="E750" s="447" t="s">
        <v>129</v>
      </c>
      <c r="F750" s="446"/>
      <c r="G750" s="441"/>
      <c r="H750" s="446"/>
      <c r="I750" s="441"/>
      <c r="J750" s="446"/>
      <c r="K750" s="441"/>
      <c r="L750" s="441"/>
      <c r="M750" s="98"/>
      <c r="N750" s="11"/>
      <c r="R750" s="129">
        <f t="shared" si="368"/>
        <v>0</v>
      </c>
      <c r="S750" s="258"/>
      <c r="T750" s="129">
        <f t="shared" si="369"/>
        <v>0</v>
      </c>
      <c r="U750" s="129">
        <f t="shared" si="371"/>
        <v>0</v>
      </c>
      <c r="V750" s="258"/>
      <c r="W750" s="129" t="str">
        <f t="shared" si="372"/>
        <v/>
      </c>
      <c r="X750" s="129">
        <f t="shared" si="370"/>
        <v>1</v>
      </c>
      <c r="Y750" s="129">
        <f t="shared" si="373"/>
        <v>1</v>
      </c>
      <c r="Z750" s="129" t="str" cm="1">
        <f t="array" ref="Z750">_xlfn.IFS(X750=4,"A",X750=3,"B",X750=2,"C",X750=1,"D")</f>
        <v>D</v>
      </c>
      <c r="AA750" s="255"/>
    </row>
    <row r="751" spans="1:27" s="99" customFormat="1">
      <c r="A751" s="11"/>
      <c r="B751" s="95"/>
      <c r="C751" s="96"/>
      <c r="D751" s="97"/>
      <c r="E751" s="447" t="s">
        <v>129</v>
      </c>
      <c r="F751" s="446"/>
      <c r="G751" s="441"/>
      <c r="H751" s="446"/>
      <c r="I751" s="441"/>
      <c r="J751" s="446"/>
      <c r="K751" s="441"/>
      <c r="L751" s="441"/>
      <c r="M751" s="98"/>
      <c r="N751" s="11"/>
      <c r="Q751" s="11"/>
      <c r="R751" s="129">
        <f t="shared" si="368"/>
        <v>0</v>
      </c>
      <c r="S751" s="258"/>
      <c r="T751" s="129">
        <f t="shared" si="369"/>
        <v>0</v>
      </c>
      <c r="U751" s="129">
        <f t="shared" si="371"/>
        <v>0</v>
      </c>
      <c r="V751" s="258"/>
      <c r="W751" s="129" t="str">
        <f t="shared" si="372"/>
        <v/>
      </c>
      <c r="X751" s="129">
        <f t="shared" si="370"/>
        <v>1</v>
      </c>
      <c r="Y751" s="129">
        <f t="shared" si="373"/>
        <v>1</v>
      </c>
      <c r="Z751" s="129" t="str" cm="1">
        <f t="array" ref="Z751">_xlfn.IFS(X751=4,"A",X751=3,"B",X751=2,"C",X751=1,"D")</f>
        <v>D</v>
      </c>
      <c r="AA751" s="129"/>
    </row>
    <row r="752" spans="1:27" customFormat="1" ht="7.5" customHeight="1">
      <c r="B752" s="65"/>
      <c r="C752" s="4"/>
      <c r="D752" s="4"/>
      <c r="E752" s="4"/>
      <c r="F752" s="4"/>
      <c r="G752" s="4"/>
      <c r="H752" s="4"/>
      <c r="I752" s="4"/>
      <c r="J752" s="4"/>
      <c r="K752" s="4"/>
      <c r="L752" s="4"/>
      <c r="M752" s="9"/>
      <c r="N752" s="2"/>
      <c r="O752" s="2"/>
      <c r="P752" s="2"/>
      <c r="R752" s="129">
        <f t="shared" si="368"/>
        <v>0</v>
      </c>
      <c r="S752" s="258"/>
      <c r="T752" s="129">
        <f t="shared" si="369"/>
        <v>0</v>
      </c>
      <c r="U752" s="129">
        <f>IF(AND(J752="実施済",K752="実施済"),$T752*1,0)</f>
        <v>0</v>
      </c>
      <c r="V752" s="258"/>
      <c r="W752" s="129" t="str">
        <f t="shared" si="372"/>
        <v/>
      </c>
      <c r="X752" s="129">
        <f t="shared" si="370"/>
        <v>1</v>
      </c>
      <c r="Y752" s="129">
        <f t="shared" si="373"/>
        <v>1</v>
      </c>
      <c r="Z752" s="129" t="str" cm="1">
        <f t="array" ref="Z752">_xlfn.IFS(X752=4,"A",X752=3,"B",X752=2,"C",X752=1,"D")</f>
        <v>D</v>
      </c>
      <c r="AA752" s="175"/>
    </row>
    <row r="753" spans="1:27" customFormat="1" ht="18" customHeight="1">
      <c r="N753" s="2"/>
      <c r="O753" s="2"/>
      <c r="P753" s="2"/>
      <c r="R753" s="129">
        <f t="shared" si="368"/>
        <v>0</v>
      </c>
      <c r="S753" s="258"/>
      <c r="T753" s="129">
        <f t="shared" si="369"/>
        <v>0</v>
      </c>
      <c r="U753" s="129">
        <f t="shared" ref="U753" si="374">IF(AND(J753="実施済",K753="実施済"),$T753*1,0)</f>
        <v>0</v>
      </c>
      <c r="V753" s="258"/>
      <c r="W753" s="129" t="str">
        <f t="shared" si="372"/>
        <v/>
      </c>
      <c r="X753" s="129">
        <f t="shared" si="370"/>
        <v>1</v>
      </c>
      <c r="Y753" s="129">
        <f t="shared" si="373"/>
        <v>1</v>
      </c>
      <c r="Z753" s="129" t="str" cm="1">
        <f t="array" ref="Z753">_xlfn.IFS(X753=4,"A",X753=3,"B",X753=2,"C",X753=1,"D")</f>
        <v>D</v>
      </c>
      <c r="AA753" s="175"/>
    </row>
    <row r="754" spans="1:27" customFormat="1" ht="103.5" customHeight="1">
      <c r="C754" s="78"/>
      <c r="D754" s="79"/>
      <c r="E754" s="71" t="s">
        <v>236</v>
      </c>
      <c r="F754" s="1452"/>
      <c r="G754" s="1452"/>
      <c r="H754" s="1452"/>
      <c r="I754" s="1452"/>
      <c r="J754" s="1452"/>
      <c r="K754" s="1452"/>
      <c r="L754" s="1452"/>
      <c r="M754" s="80" t="s">
        <v>132</v>
      </c>
      <c r="N754" s="80"/>
    </row>
    <row r="755" spans="1:27" customFormat="1" ht="146.25" customHeight="1">
      <c r="C755" s="75"/>
      <c r="D755" s="68"/>
      <c r="E755" s="71" t="s">
        <v>235</v>
      </c>
      <c r="F755" s="1452"/>
      <c r="G755" s="1452"/>
      <c r="H755" s="1452"/>
      <c r="I755" s="1452"/>
      <c r="J755" s="1452"/>
      <c r="K755" s="1452"/>
      <c r="L755" s="1452"/>
      <c r="N755" s="2"/>
      <c r="O755" s="2"/>
      <c r="P755" s="2"/>
    </row>
    <row r="756" spans="1:27" customFormat="1" ht="13.5" customHeight="1" thickBot="1">
      <c r="A756" s="81"/>
      <c r="B756" s="81"/>
      <c r="C756" s="81"/>
      <c r="D756" s="81"/>
      <c r="E756" s="81"/>
      <c r="F756" s="81"/>
      <c r="G756" s="81"/>
      <c r="H756" s="81"/>
      <c r="I756" s="81"/>
      <c r="J756" s="81"/>
      <c r="K756" s="81"/>
      <c r="L756" s="81"/>
      <c r="M756" s="81"/>
      <c r="N756" s="82"/>
      <c r="O756" s="2"/>
      <c r="P756" s="2"/>
    </row>
    <row r="757" spans="1:27" customFormat="1" ht="13.5" customHeight="1">
      <c r="N757" s="2"/>
      <c r="O757" s="2"/>
      <c r="P757" s="2"/>
    </row>
    <row r="758" spans="1:27" customFormat="1" ht="15" customHeight="1">
      <c r="B758" s="10"/>
      <c r="C758" s="5"/>
      <c r="D758" s="5"/>
      <c r="E758" s="5"/>
      <c r="F758" s="5"/>
      <c r="G758" s="5"/>
      <c r="H758" s="5"/>
      <c r="I758" s="5"/>
      <c r="J758" s="5"/>
      <c r="K758" s="5"/>
      <c r="L758" s="5"/>
      <c r="M758" s="6"/>
      <c r="R758" s="11" t="str">
        <f>D759</f>
        <v>(選択してください)</v>
      </c>
    </row>
    <row r="759" spans="1:27" customFormat="1">
      <c r="B759" s="7"/>
      <c r="C759" s="77" t="str">
        <f ca="1">IFERROR(OFFSET('4.2民生電力需要量'!$C$1,MATCH(D759,'4.2民生電力需要量'!$E:$E,0)-1,0),"")</f>
        <v/>
      </c>
      <c r="D759" s="94" t="s">
        <v>130</v>
      </c>
      <c r="E759" s="72" t="s">
        <v>131</v>
      </c>
      <c r="F759" s="1451" t="str">
        <f ca="1">IFERROR(OFFSET('4.2民生電力需要量'!$G$1,MATCH($D759,'4.2民生電力需要量'!$E:$E,0)-1,0),"")</f>
        <v/>
      </c>
      <c r="G759" s="1451"/>
      <c r="H759" s="1451"/>
      <c r="I759" s="1451"/>
      <c r="J759" s="1451"/>
      <c r="K759" s="1451"/>
      <c r="L759" s="1451"/>
      <c r="M759" s="8"/>
      <c r="R759" s="255" t="str">
        <f ca="1">IFERROR(OFFSET('4.2民生電力需要量'!$G$1,MATCH($D759,'4.2民生電力需要量'!$E:$E,0)-1,0),"")</f>
        <v/>
      </c>
      <c r="S759" s="175"/>
      <c r="T759" s="175"/>
      <c r="U759" s="175"/>
      <c r="V759" s="175"/>
      <c r="W759" s="175"/>
      <c r="X759" s="175"/>
      <c r="Y759" s="175"/>
      <c r="Z759" s="175"/>
      <c r="AA759" s="175">
        <f ca="1">(F759=R759)*1</f>
        <v>1</v>
      </c>
    </row>
    <row r="760" spans="1:27" customFormat="1">
      <c r="B760" s="7"/>
      <c r="C760" s="915"/>
      <c r="D760" s="97"/>
      <c r="E760" s="72" t="s">
        <v>612</v>
      </c>
      <c r="F760" s="1447" t="str">
        <f ca="1">IFERROR(OFFSET('4.2民生電力需要量'!$L$1,MATCH($D759,'4.2民生電力需要量'!$E:$E,0)-1,0),"")</f>
        <v/>
      </c>
      <c r="G760" s="1448"/>
      <c r="H760" s="1448"/>
      <c r="I760" s="1448"/>
      <c r="J760" s="1448"/>
      <c r="K760" s="1448"/>
      <c r="L760" s="1449"/>
      <c r="M760" s="8"/>
      <c r="R760" s="255" t="str">
        <f ca="1">IFERROR(OFFSET('4.2民生電力需要量'!$L$1,MATCH($D759,'4.2民生電力需要量'!$E:$E,0)-1,0),"")</f>
        <v/>
      </c>
      <c r="S760" s="175"/>
      <c r="T760" s="175"/>
      <c r="U760" s="175"/>
      <c r="V760" s="175"/>
      <c r="W760" s="175"/>
      <c r="X760" s="175"/>
      <c r="Y760" s="175"/>
      <c r="Z760" s="175"/>
      <c r="AA760" s="175">
        <f ca="1">(F760=R760)*1</f>
        <v>1</v>
      </c>
    </row>
    <row r="761" spans="1:27" customFormat="1">
      <c r="B761" s="7"/>
      <c r="C761" s="74"/>
      <c r="D761" s="66"/>
      <c r="E761" s="72" t="s">
        <v>220</v>
      </c>
      <c r="F761" s="1450" t="str">
        <f ca="1">IFERROR(OFFSET('4.2民生電力需要量'!$I$1,MATCH($D759,'4.2民生電力需要量'!$E:$E,0)-1,0),"")</f>
        <v/>
      </c>
      <c r="G761" s="1450"/>
      <c r="H761" s="1450"/>
      <c r="I761" s="1450"/>
      <c r="J761" s="1450"/>
      <c r="K761" s="1450"/>
      <c r="L761" s="1450"/>
      <c r="M761" s="8"/>
      <c r="R761" s="255" t="str">
        <f ca="1">IFERROR(OFFSET('4.2民生電力需要量'!$I$1,MATCH($D759,'4.2民生電力需要量'!$E:$E,0)-1,0),"")</f>
        <v/>
      </c>
      <c r="S761" s="175"/>
      <c r="T761" s="175"/>
      <c r="U761" s="175"/>
      <c r="V761" s="175"/>
      <c r="W761" s="175"/>
      <c r="X761" s="175"/>
      <c r="Y761" s="175"/>
      <c r="Z761" s="175"/>
      <c r="AA761" s="175">
        <f t="shared" ref="AA761:AA762" ca="1" si="375">(F761=R761)*1</f>
        <v>1</v>
      </c>
    </row>
    <row r="762" spans="1:27" customFormat="1">
      <c r="B762" s="7"/>
      <c r="C762" s="74"/>
      <c r="D762" s="66"/>
      <c r="E762" s="72" t="s">
        <v>175</v>
      </c>
      <c r="F762" s="1451" t="str">
        <f>_xlfn.IFNA(R762,"")</f>
        <v/>
      </c>
      <c r="G762" s="1451"/>
      <c r="H762" s="1451"/>
      <c r="I762" s="1451"/>
      <c r="J762" s="1451"/>
      <c r="K762" s="1451"/>
      <c r="L762" s="1451"/>
      <c r="M762" s="8"/>
      <c r="R762" s="129" t="str">
        <f>IF(OR(COUNTIF($E764:$E769,"&lt;&gt;〇〇(合意形成対象者名に書き換え)")=3,COUNTIF($E764:$E769,"")&gt;3),"",IF(PRODUCT($Y764:$Y769)=1,Z764,""))</f>
        <v/>
      </c>
      <c r="S762" s="175"/>
      <c r="T762" s="175"/>
      <c r="U762" s="175"/>
      <c r="V762" s="175"/>
      <c r="W762" s="175"/>
      <c r="X762" s="175"/>
      <c r="Y762" s="175"/>
      <c r="Z762" s="175"/>
      <c r="AA762" s="175">
        <f t="shared" si="375"/>
        <v>1</v>
      </c>
    </row>
    <row r="763" spans="1:27" ht="63.75" customHeight="1">
      <c r="B763" s="95"/>
      <c r="C763" s="96"/>
      <c r="D763" s="97"/>
      <c r="E763" s="372"/>
      <c r="F763" s="313" t="s">
        <v>268</v>
      </c>
      <c r="G763" s="313" t="s">
        <v>271</v>
      </c>
      <c r="H763" s="313" t="s">
        <v>272</v>
      </c>
      <c r="I763" s="313" t="s">
        <v>269</v>
      </c>
      <c r="J763" s="313" t="s">
        <v>434</v>
      </c>
      <c r="K763" s="313" t="s">
        <v>435</v>
      </c>
      <c r="L763" s="313" t="s">
        <v>270</v>
      </c>
      <c r="M763" s="98"/>
      <c r="N763" s="11"/>
      <c r="R763" s="126" t="s">
        <v>299</v>
      </c>
      <c r="S763" s="257" t="s">
        <v>423</v>
      </c>
      <c r="T763" s="126" t="s">
        <v>424</v>
      </c>
      <c r="U763" s="296" t="s">
        <v>436</v>
      </c>
      <c r="V763" s="256" t="s">
        <v>270</v>
      </c>
      <c r="W763" s="126" t="s">
        <v>426</v>
      </c>
      <c r="X763" s="129" t="s">
        <v>402</v>
      </c>
      <c r="Y763" s="129" t="s">
        <v>430</v>
      </c>
      <c r="Z763" s="126" t="s">
        <v>425</v>
      </c>
      <c r="AA763" s="255"/>
    </row>
    <row r="764" spans="1:27" hidden="1">
      <c r="B764" s="95"/>
      <c r="C764" s="96"/>
      <c r="D764" s="97"/>
      <c r="E764" s="442"/>
      <c r="F764" s="443"/>
      <c r="G764" s="439"/>
      <c r="H764" s="443"/>
      <c r="I764" s="439"/>
      <c r="J764" s="443"/>
      <c r="K764" s="439"/>
      <c r="L764" s="444"/>
      <c r="M764" s="98"/>
      <c r="N764" s="11"/>
      <c r="R764" s="129">
        <f t="shared" ref="R764:R769" si="376">IF(F764="実施済",1,0)</f>
        <v>0</v>
      </c>
      <c r="S764" s="258"/>
      <c r="T764" s="129">
        <f t="shared" ref="T764:T769" si="377">IF(AND(H764="実施済",I764="実施済"),R764*1,0)</f>
        <v>0</v>
      </c>
      <c r="U764" s="129">
        <f>IF(AND(J764="実施済",K764="実施済"),$T764*1,0)</f>
        <v>0</v>
      </c>
      <c r="V764" s="258"/>
      <c r="W764" s="129" t="str">
        <f>IF(OR(E764="〇〇(合意形成対象者名に書き換え)",E764=""),"",SUM(R764,T764,U764))</f>
        <v/>
      </c>
      <c r="X764" s="129">
        <f t="shared" ref="X764:X769" si="378">MIN($W$764:$W$769)+1</f>
        <v>1</v>
      </c>
      <c r="Y764" s="129">
        <f>IF(E764="",1,IF(AND(E764="〇〇(合意形成対象者名に書き換え)",COUNTA($F764:$L764)=0),1,IF(AND(E764&lt;&gt;"〇〇(合意形成対象者名に書き換え)",COUNTA($F764:$L764)=7),1,0)))</f>
        <v>1</v>
      </c>
      <c r="Z764" s="129" t="str" cm="1">
        <f t="array" ref="Z764">_xlfn.IFS(X764=4,"A",X764=3,"B",X764=2,"C",X764=1,"D")</f>
        <v>D</v>
      </c>
      <c r="AA764" s="255"/>
    </row>
    <row r="765" spans="1:27">
      <c r="B765" s="95"/>
      <c r="C765" s="96"/>
      <c r="D765" s="97"/>
      <c r="E765" s="447" t="s">
        <v>129</v>
      </c>
      <c r="F765" s="446"/>
      <c r="G765" s="441"/>
      <c r="H765" s="446"/>
      <c r="I765" s="441"/>
      <c r="J765" s="446"/>
      <c r="K765" s="441"/>
      <c r="L765" s="441"/>
      <c r="M765" s="98"/>
      <c r="N765" s="11"/>
      <c r="R765" s="129">
        <f t="shared" si="376"/>
        <v>0</v>
      </c>
      <c r="S765" s="258"/>
      <c r="T765" s="129">
        <f t="shared" si="377"/>
        <v>0</v>
      </c>
      <c r="U765" s="129">
        <f t="shared" ref="U765:U767" si="379">IF(AND(J765="実施済",K765="実施済"),$T765*1,0)</f>
        <v>0</v>
      </c>
      <c r="V765" s="258"/>
      <c r="W765" s="129" t="str">
        <f t="shared" ref="W765:W769" si="380">IF(OR(E765="〇〇(合意形成対象者名に書き換え)",E765=""),"",SUM(R765,T765,U765))</f>
        <v/>
      </c>
      <c r="X765" s="129">
        <f t="shared" si="378"/>
        <v>1</v>
      </c>
      <c r="Y765" s="129">
        <f t="shared" ref="Y765:Y769" si="381">IF(E765="",1,IF(AND(E765="〇〇(合意形成対象者名に書き換え)",COUNTA($F765:$L765)=0),1,IF(AND(E765&lt;&gt;"〇〇(合意形成対象者名に書き換え)",COUNTA($F765:$L765)=7),1,0)))</f>
        <v>1</v>
      </c>
      <c r="Z765" s="129" t="str" cm="1">
        <f t="array" ref="Z765">_xlfn.IFS(X765=4,"A",X765=3,"B",X765=2,"C",X765=1,"D")</f>
        <v>D</v>
      </c>
      <c r="AA765" s="255"/>
    </row>
    <row r="766" spans="1:27">
      <c r="B766" s="95"/>
      <c r="C766" s="96"/>
      <c r="D766" s="97"/>
      <c r="E766" s="447" t="s">
        <v>129</v>
      </c>
      <c r="F766" s="446"/>
      <c r="G766" s="441"/>
      <c r="H766" s="446"/>
      <c r="I766" s="441"/>
      <c r="J766" s="446"/>
      <c r="K766" s="441"/>
      <c r="L766" s="441"/>
      <c r="M766" s="98"/>
      <c r="N766" s="11"/>
      <c r="R766" s="129">
        <f t="shared" si="376"/>
        <v>0</v>
      </c>
      <c r="S766" s="258"/>
      <c r="T766" s="129">
        <f t="shared" si="377"/>
        <v>0</v>
      </c>
      <c r="U766" s="129">
        <f t="shared" si="379"/>
        <v>0</v>
      </c>
      <c r="V766" s="258"/>
      <c r="W766" s="129" t="str">
        <f t="shared" si="380"/>
        <v/>
      </c>
      <c r="X766" s="129">
        <f t="shared" si="378"/>
        <v>1</v>
      </c>
      <c r="Y766" s="129">
        <f t="shared" si="381"/>
        <v>1</v>
      </c>
      <c r="Z766" s="129" t="str" cm="1">
        <f t="array" ref="Z766">_xlfn.IFS(X766=4,"A",X766=3,"B",X766=2,"C",X766=1,"D")</f>
        <v>D</v>
      </c>
      <c r="AA766" s="255"/>
    </row>
    <row r="767" spans="1:27" s="99" customFormat="1">
      <c r="A767" s="11"/>
      <c r="B767" s="95"/>
      <c r="C767" s="96"/>
      <c r="D767" s="97"/>
      <c r="E767" s="447" t="s">
        <v>129</v>
      </c>
      <c r="F767" s="446"/>
      <c r="G767" s="441"/>
      <c r="H767" s="446"/>
      <c r="I767" s="441"/>
      <c r="J767" s="446"/>
      <c r="K767" s="441"/>
      <c r="L767" s="441"/>
      <c r="M767" s="98"/>
      <c r="N767" s="11"/>
      <c r="Q767" s="11"/>
      <c r="R767" s="129">
        <f t="shared" si="376"/>
        <v>0</v>
      </c>
      <c r="S767" s="258"/>
      <c r="T767" s="129">
        <f t="shared" si="377"/>
        <v>0</v>
      </c>
      <c r="U767" s="129">
        <f t="shared" si="379"/>
        <v>0</v>
      </c>
      <c r="V767" s="258"/>
      <c r="W767" s="129" t="str">
        <f t="shared" si="380"/>
        <v/>
      </c>
      <c r="X767" s="129">
        <f t="shared" si="378"/>
        <v>1</v>
      </c>
      <c r="Y767" s="129">
        <f t="shared" si="381"/>
        <v>1</v>
      </c>
      <c r="Z767" s="129" t="str" cm="1">
        <f t="array" ref="Z767">_xlfn.IFS(X767=4,"A",X767=3,"B",X767=2,"C",X767=1,"D")</f>
        <v>D</v>
      </c>
      <c r="AA767" s="129"/>
    </row>
    <row r="768" spans="1:27" customFormat="1" ht="7.5" customHeight="1">
      <c r="B768" s="65"/>
      <c r="C768" s="4"/>
      <c r="D768" s="4"/>
      <c r="E768" s="4"/>
      <c r="F768" s="4"/>
      <c r="G768" s="4"/>
      <c r="H768" s="4"/>
      <c r="I768" s="4"/>
      <c r="J768" s="4"/>
      <c r="K768" s="4"/>
      <c r="L768" s="4"/>
      <c r="M768" s="9"/>
      <c r="N768" s="2"/>
      <c r="O768" s="2"/>
      <c r="P768" s="2"/>
      <c r="R768" s="129">
        <f t="shared" si="376"/>
        <v>0</v>
      </c>
      <c r="S768" s="258"/>
      <c r="T768" s="129">
        <f t="shared" si="377"/>
        <v>0</v>
      </c>
      <c r="U768" s="129">
        <f>IF(AND(J768="実施済",K768="実施済"),$T768*1,0)</f>
        <v>0</v>
      </c>
      <c r="V768" s="258"/>
      <c r="W768" s="129" t="str">
        <f t="shared" si="380"/>
        <v/>
      </c>
      <c r="X768" s="129">
        <f t="shared" si="378"/>
        <v>1</v>
      </c>
      <c r="Y768" s="129">
        <f t="shared" si="381"/>
        <v>1</v>
      </c>
      <c r="Z768" s="129" t="str" cm="1">
        <f t="array" ref="Z768">_xlfn.IFS(X768=4,"A",X768=3,"B",X768=2,"C",X768=1,"D")</f>
        <v>D</v>
      </c>
      <c r="AA768" s="175"/>
    </row>
    <row r="769" spans="1:27" customFormat="1" ht="18" customHeight="1">
      <c r="N769" s="2"/>
      <c r="O769" s="2"/>
      <c r="P769" s="2"/>
      <c r="R769" s="129">
        <f t="shared" si="376"/>
        <v>0</v>
      </c>
      <c r="S769" s="258"/>
      <c r="T769" s="129">
        <f t="shared" si="377"/>
        <v>0</v>
      </c>
      <c r="U769" s="129">
        <f t="shared" ref="U769" si="382">IF(AND(J769="実施済",K769="実施済"),$T769*1,0)</f>
        <v>0</v>
      </c>
      <c r="V769" s="258"/>
      <c r="W769" s="129" t="str">
        <f t="shared" si="380"/>
        <v/>
      </c>
      <c r="X769" s="129">
        <f t="shared" si="378"/>
        <v>1</v>
      </c>
      <c r="Y769" s="129">
        <f t="shared" si="381"/>
        <v>1</v>
      </c>
      <c r="Z769" s="129" t="str" cm="1">
        <f t="array" ref="Z769">_xlfn.IFS(X769=4,"A",X769=3,"B",X769=2,"C",X769=1,"D")</f>
        <v>D</v>
      </c>
      <c r="AA769" s="175"/>
    </row>
    <row r="770" spans="1:27" customFormat="1" ht="103.5" customHeight="1">
      <c r="C770" s="78"/>
      <c r="D770" s="79"/>
      <c r="E770" s="71" t="s">
        <v>236</v>
      </c>
      <c r="F770" s="1452"/>
      <c r="G770" s="1452"/>
      <c r="H770" s="1452"/>
      <c r="I770" s="1452"/>
      <c r="J770" s="1452"/>
      <c r="K770" s="1452"/>
      <c r="L770" s="1452"/>
      <c r="M770" s="80" t="s">
        <v>132</v>
      </c>
      <c r="N770" s="80"/>
    </row>
    <row r="771" spans="1:27" customFormat="1" ht="146.25" customHeight="1">
      <c r="C771" s="75"/>
      <c r="D771" s="68"/>
      <c r="E771" s="71" t="s">
        <v>235</v>
      </c>
      <c r="F771" s="1452"/>
      <c r="G771" s="1452"/>
      <c r="H771" s="1452"/>
      <c r="I771" s="1452"/>
      <c r="J771" s="1452"/>
      <c r="K771" s="1452"/>
      <c r="L771" s="1452"/>
      <c r="N771" s="2"/>
      <c r="O771" s="2"/>
      <c r="P771" s="2"/>
    </row>
    <row r="772" spans="1:27" customFormat="1" ht="13.5" customHeight="1" thickBot="1">
      <c r="A772" s="81"/>
      <c r="B772" s="81"/>
      <c r="C772" s="81"/>
      <c r="D772" s="81"/>
      <c r="E772" s="81"/>
      <c r="F772" s="81"/>
      <c r="G772" s="81"/>
      <c r="H772" s="81"/>
      <c r="I772" s="81"/>
      <c r="J772" s="81"/>
      <c r="K772" s="81"/>
      <c r="L772" s="81"/>
      <c r="M772" s="81"/>
      <c r="N772" s="82"/>
      <c r="O772" s="2"/>
      <c r="P772" s="2"/>
    </row>
    <row r="773" spans="1:27" customFormat="1" ht="13.5" customHeight="1">
      <c r="N773" s="2"/>
      <c r="O773" s="2"/>
      <c r="P773" s="2"/>
    </row>
    <row r="774" spans="1:27" customFormat="1" ht="15" customHeight="1">
      <c r="B774" s="10"/>
      <c r="C774" s="5"/>
      <c r="D774" s="5"/>
      <c r="E774" s="5"/>
      <c r="F774" s="5"/>
      <c r="G774" s="5"/>
      <c r="H774" s="5"/>
      <c r="I774" s="5"/>
      <c r="J774" s="5"/>
      <c r="K774" s="5"/>
      <c r="L774" s="5"/>
      <c r="M774" s="6"/>
      <c r="R774" s="11" t="str">
        <f>D775</f>
        <v>(選択してください)</v>
      </c>
    </row>
    <row r="775" spans="1:27" customFormat="1">
      <c r="B775" s="7"/>
      <c r="C775" s="77" t="str">
        <f ca="1">IFERROR(OFFSET('4.2民生電力需要量'!$C$1,MATCH(D775,'4.2民生電力需要量'!$E:$E,0)-1,0),"")</f>
        <v/>
      </c>
      <c r="D775" s="94" t="s">
        <v>130</v>
      </c>
      <c r="E775" s="72" t="s">
        <v>131</v>
      </c>
      <c r="F775" s="1451" t="str">
        <f ca="1">IFERROR(OFFSET('4.2民生電力需要量'!$G$1,MATCH($D775,'4.2民生電力需要量'!$E:$E,0)-1,0),"")</f>
        <v/>
      </c>
      <c r="G775" s="1451"/>
      <c r="H775" s="1451"/>
      <c r="I775" s="1451"/>
      <c r="J775" s="1451"/>
      <c r="K775" s="1451"/>
      <c r="L775" s="1451"/>
      <c r="M775" s="8"/>
      <c r="R775" s="255" t="str">
        <f ca="1">IFERROR(OFFSET('4.2民生電力需要量'!$G$1,MATCH($D775,'4.2民生電力需要量'!$E:$E,0)-1,0),"")</f>
        <v/>
      </c>
      <c r="S775" s="175"/>
      <c r="T775" s="175"/>
      <c r="U775" s="175"/>
      <c r="V775" s="175"/>
      <c r="W775" s="175"/>
      <c r="X775" s="175"/>
      <c r="Y775" s="175"/>
      <c r="Z775" s="175"/>
      <c r="AA775" s="175">
        <f ca="1">(F775=R775)*1</f>
        <v>1</v>
      </c>
    </row>
    <row r="776" spans="1:27" customFormat="1">
      <c r="B776" s="7"/>
      <c r="C776" s="915"/>
      <c r="D776" s="97"/>
      <c r="E776" s="72" t="s">
        <v>612</v>
      </c>
      <c r="F776" s="1447" t="str">
        <f ca="1">IFERROR(OFFSET('4.2民生電力需要量'!$L$1,MATCH($D775,'4.2民生電力需要量'!$E:$E,0)-1,0),"")</f>
        <v/>
      </c>
      <c r="G776" s="1448"/>
      <c r="H776" s="1448"/>
      <c r="I776" s="1448"/>
      <c r="J776" s="1448"/>
      <c r="K776" s="1448"/>
      <c r="L776" s="1449"/>
      <c r="M776" s="8"/>
      <c r="R776" s="255" t="str">
        <f ca="1">IFERROR(OFFSET('4.2民生電力需要量'!$L$1,MATCH($D775,'4.2民生電力需要量'!$E:$E,0)-1,0),"")</f>
        <v/>
      </c>
      <c r="S776" s="175"/>
      <c r="T776" s="175"/>
      <c r="U776" s="175"/>
      <c r="V776" s="175"/>
      <c r="W776" s="175"/>
      <c r="X776" s="175"/>
      <c r="Y776" s="175"/>
      <c r="Z776" s="175"/>
      <c r="AA776" s="175">
        <f ca="1">(F776=R776)*1</f>
        <v>1</v>
      </c>
    </row>
    <row r="777" spans="1:27" customFormat="1">
      <c r="B777" s="7"/>
      <c r="C777" s="74"/>
      <c r="D777" s="66"/>
      <c r="E777" s="72" t="s">
        <v>220</v>
      </c>
      <c r="F777" s="1450" t="str">
        <f ca="1">IFERROR(OFFSET('4.2民生電力需要量'!$I$1,MATCH($D775,'4.2民生電力需要量'!$E:$E,0)-1,0),"")</f>
        <v/>
      </c>
      <c r="G777" s="1450"/>
      <c r="H777" s="1450"/>
      <c r="I777" s="1450"/>
      <c r="J777" s="1450"/>
      <c r="K777" s="1450"/>
      <c r="L777" s="1450"/>
      <c r="M777" s="8"/>
      <c r="R777" s="255" t="str">
        <f ca="1">IFERROR(OFFSET('4.2民生電力需要量'!$I$1,MATCH($D775,'4.2民生電力需要量'!$E:$E,0)-1,0),"")</f>
        <v/>
      </c>
      <c r="S777" s="175"/>
      <c r="T777" s="175"/>
      <c r="U777" s="175"/>
      <c r="V777" s="175"/>
      <c r="W777" s="175"/>
      <c r="X777" s="175"/>
      <c r="Y777" s="175"/>
      <c r="Z777" s="175"/>
      <c r="AA777" s="175">
        <f t="shared" ref="AA777:AA778" ca="1" si="383">(F777=R777)*1</f>
        <v>1</v>
      </c>
    </row>
    <row r="778" spans="1:27" customFormat="1">
      <c r="B778" s="7"/>
      <c r="C778" s="74"/>
      <c r="D778" s="66"/>
      <c r="E778" s="72" t="s">
        <v>175</v>
      </c>
      <c r="F778" s="1451" t="str">
        <f>_xlfn.IFNA(R778,"")</f>
        <v/>
      </c>
      <c r="G778" s="1451"/>
      <c r="H778" s="1451"/>
      <c r="I778" s="1451"/>
      <c r="J778" s="1451"/>
      <c r="K778" s="1451"/>
      <c r="L778" s="1451"/>
      <c r="M778" s="8"/>
      <c r="R778" s="129" t="str">
        <f>IF(OR(COUNTIF($E780:$E785,"&lt;&gt;〇〇(合意形成対象者名に書き換え)")=3,COUNTIF($E780:$E785,"")&gt;3),"",IF(PRODUCT($Y780:$Y785)=1,Z780,""))</f>
        <v/>
      </c>
      <c r="S778" s="175"/>
      <c r="T778" s="175"/>
      <c r="U778" s="175"/>
      <c r="V778" s="175"/>
      <c r="W778" s="175"/>
      <c r="X778" s="175"/>
      <c r="Y778" s="175"/>
      <c r="Z778" s="175"/>
      <c r="AA778" s="175">
        <f t="shared" si="383"/>
        <v>1</v>
      </c>
    </row>
    <row r="779" spans="1:27" ht="63.75" customHeight="1">
      <c r="B779" s="95"/>
      <c r="C779" s="96"/>
      <c r="D779" s="97"/>
      <c r="E779" s="372"/>
      <c r="F779" s="313" t="s">
        <v>268</v>
      </c>
      <c r="G779" s="313" t="s">
        <v>271</v>
      </c>
      <c r="H779" s="313" t="s">
        <v>272</v>
      </c>
      <c r="I779" s="313" t="s">
        <v>269</v>
      </c>
      <c r="J779" s="313" t="s">
        <v>434</v>
      </c>
      <c r="K779" s="313" t="s">
        <v>435</v>
      </c>
      <c r="L779" s="313" t="s">
        <v>270</v>
      </c>
      <c r="M779" s="98"/>
      <c r="N779" s="11"/>
      <c r="R779" s="126" t="s">
        <v>299</v>
      </c>
      <c r="S779" s="257" t="s">
        <v>423</v>
      </c>
      <c r="T779" s="126" t="s">
        <v>424</v>
      </c>
      <c r="U779" s="296" t="s">
        <v>436</v>
      </c>
      <c r="V779" s="256" t="s">
        <v>270</v>
      </c>
      <c r="W779" s="126" t="s">
        <v>426</v>
      </c>
      <c r="X779" s="129" t="s">
        <v>402</v>
      </c>
      <c r="Y779" s="129" t="s">
        <v>430</v>
      </c>
      <c r="Z779" s="126" t="s">
        <v>425</v>
      </c>
      <c r="AA779" s="255"/>
    </row>
    <row r="780" spans="1:27" hidden="1">
      <c r="B780" s="95"/>
      <c r="C780" s="96"/>
      <c r="D780" s="97"/>
      <c r="E780" s="442"/>
      <c r="F780" s="443"/>
      <c r="G780" s="439"/>
      <c r="H780" s="443"/>
      <c r="I780" s="439"/>
      <c r="J780" s="443"/>
      <c r="K780" s="439"/>
      <c r="L780" s="444"/>
      <c r="M780" s="98"/>
      <c r="N780" s="11"/>
      <c r="R780" s="129">
        <f t="shared" ref="R780:R785" si="384">IF(F780="実施済",1,0)</f>
        <v>0</v>
      </c>
      <c r="S780" s="258"/>
      <c r="T780" s="129">
        <f t="shared" ref="T780:T785" si="385">IF(AND(H780="実施済",I780="実施済"),R780*1,0)</f>
        <v>0</v>
      </c>
      <c r="U780" s="129">
        <f>IF(AND(J780="実施済",K780="実施済"),$T780*1,0)</f>
        <v>0</v>
      </c>
      <c r="V780" s="258"/>
      <c r="W780" s="129" t="str">
        <f>IF(OR(E780="〇〇(合意形成対象者名に書き換え)",E780=""),"",SUM(R780,T780,U780))</f>
        <v/>
      </c>
      <c r="X780" s="129">
        <f t="shared" ref="X780:X785" si="386">MIN($W$780:$W$785)+1</f>
        <v>1</v>
      </c>
      <c r="Y780" s="129">
        <f>IF(E780="",1,IF(AND(E780="〇〇(合意形成対象者名に書き換え)",COUNTA($F780:$L780)=0),1,IF(AND(E780&lt;&gt;"〇〇(合意形成対象者名に書き換え)",COUNTA($F780:$L780)=7),1,0)))</f>
        <v>1</v>
      </c>
      <c r="Z780" s="129" t="str" cm="1">
        <f t="array" ref="Z780">_xlfn.IFS(X780=4,"A",X780=3,"B",X780=2,"C",X780=1,"D")</f>
        <v>D</v>
      </c>
      <c r="AA780" s="255"/>
    </row>
    <row r="781" spans="1:27">
      <c r="B781" s="95"/>
      <c r="C781" s="96"/>
      <c r="D781" s="97"/>
      <c r="E781" s="447" t="s">
        <v>129</v>
      </c>
      <c r="F781" s="446"/>
      <c r="G781" s="441"/>
      <c r="H781" s="446"/>
      <c r="I781" s="441"/>
      <c r="J781" s="446"/>
      <c r="K781" s="441"/>
      <c r="L781" s="441"/>
      <c r="M781" s="98"/>
      <c r="N781" s="11"/>
      <c r="R781" s="129">
        <f t="shared" si="384"/>
        <v>0</v>
      </c>
      <c r="S781" s="258"/>
      <c r="T781" s="129">
        <f t="shared" si="385"/>
        <v>0</v>
      </c>
      <c r="U781" s="129">
        <f t="shared" ref="U781:U783" si="387">IF(AND(J781="実施済",K781="実施済"),$T781*1,0)</f>
        <v>0</v>
      </c>
      <c r="V781" s="258"/>
      <c r="W781" s="129" t="str">
        <f t="shared" ref="W781:W785" si="388">IF(OR(E781="〇〇(合意形成対象者名に書き換え)",E781=""),"",SUM(R781,T781,U781))</f>
        <v/>
      </c>
      <c r="X781" s="129">
        <f t="shared" si="386"/>
        <v>1</v>
      </c>
      <c r="Y781" s="129">
        <f t="shared" ref="Y781:Y785" si="389">IF(E781="",1,IF(AND(E781="〇〇(合意形成対象者名に書き換え)",COUNTA($F781:$L781)=0),1,IF(AND(E781&lt;&gt;"〇〇(合意形成対象者名に書き換え)",COUNTA($F781:$L781)=7),1,0)))</f>
        <v>1</v>
      </c>
      <c r="Z781" s="129" t="str" cm="1">
        <f t="array" ref="Z781">_xlfn.IFS(X781=4,"A",X781=3,"B",X781=2,"C",X781=1,"D")</f>
        <v>D</v>
      </c>
      <c r="AA781" s="255"/>
    </row>
    <row r="782" spans="1:27">
      <c r="B782" s="95"/>
      <c r="C782" s="96"/>
      <c r="D782" s="97"/>
      <c r="E782" s="447" t="s">
        <v>129</v>
      </c>
      <c r="F782" s="446"/>
      <c r="G782" s="441"/>
      <c r="H782" s="446"/>
      <c r="I782" s="441"/>
      <c r="J782" s="446"/>
      <c r="K782" s="441"/>
      <c r="L782" s="441"/>
      <c r="M782" s="98"/>
      <c r="N782" s="11"/>
      <c r="R782" s="129">
        <f t="shared" si="384"/>
        <v>0</v>
      </c>
      <c r="S782" s="258"/>
      <c r="T782" s="129">
        <f t="shared" si="385"/>
        <v>0</v>
      </c>
      <c r="U782" s="129">
        <f t="shared" si="387"/>
        <v>0</v>
      </c>
      <c r="V782" s="258"/>
      <c r="W782" s="129" t="str">
        <f t="shared" si="388"/>
        <v/>
      </c>
      <c r="X782" s="129">
        <f t="shared" si="386"/>
        <v>1</v>
      </c>
      <c r="Y782" s="129">
        <f t="shared" si="389"/>
        <v>1</v>
      </c>
      <c r="Z782" s="129" t="str" cm="1">
        <f t="array" ref="Z782">_xlfn.IFS(X782=4,"A",X782=3,"B",X782=2,"C",X782=1,"D")</f>
        <v>D</v>
      </c>
      <c r="AA782" s="255"/>
    </row>
    <row r="783" spans="1:27" s="99" customFormat="1">
      <c r="A783" s="11"/>
      <c r="B783" s="95"/>
      <c r="C783" s="96"/>
      <c r="D783" s="97"/>
      <c r="E783" s="447" t="s">
        <v>129</v>
      </c>
      <c r="F783" s="446"/>
      <c r="G783" s="441"/>
      <c r="H783" s="446"/>
      <c r="I783" s="441"/>
      <c r="J783" s="446"/>
      <c r="K783" s="441"/>
      <c r="L783" s="441"/>
      <c r="M783" s="98"/>
      <c r="N783" s="11"/>
      <c r="Q783" s="11"/>
      <c r="R783" s="129">
        <f t="shared" si="384"/>
        <v>0</v>
      </c>
      <c r="S783" s="258"/>
      <c r="T783" s="129">
        <f t="shared" si="385"/>
        <v>0</v>
      </c>
      <c r="U783" s="129">
        <f t="shared" si="387"/>
        <v>0</v>
      </c>
      <c r="V783" s="258"/>
      <c r="W783" s="129" t="str">
        <f t="shared" si="388"/>
        <v/>
      </c>
      <c r="X783" s="129">
        <f t="shared" si="386"/>
        <v>1</v>
      </c>
      <c r="Y783" s="129">
        <f t="shared" si="389"/>
        <v>1</v>
      </c>
      <c r="Z783" s="129" t="str" cm="1">
        <f t="array" ref="Z783">_xlfn.IFS(X783=4,"A",X783=3,"B",X783=2,"C",X783=1,"D")</f>
        <v>D</v>
      </c>
      <c r="AA783" s="129"/>
    </row>
    <row r="784" spans="1:27" customFormat="1" ht="7.5" customHeight="1">
      <c r="B784" s="65"/>
      <c r="C784" s="4"/>
      <c r="D784" s="4"/>
      <c r="E784" s="4"/>
      <c r="F784" s="4"/>
      <c r="G784" s="4"/>
      <c r="H784" s="4"/>
      <c r="I784" s="4"/>
      <c r="J784" s="4"/>
      <c r="K784" s="4"/>
      <c r="L784" s="4"/>
      <c r="M784" s="9"/>
      <c r="N784" s="2"/>
      <c r="O784" s="2"/>
      <c r="P784" s="2"/>
      <c r="R784" s="129">
        <f t="shared" si="384"/>
        <v>0</v>
      </c>
      <c r="S784" s="258"/>
      <c r="T784" s="129">
        <f t="shared" si="385"/>
        <v>0</v>
      </c>
      <c r="U784" s="129">
        <f>IF(AND(J784="実施済",K784="実施済"),$T784*1,0)</f>
        <v>0</v>
      </c>
      <c r="V784" s="258"/>
      <c r="W784" s="129" t="str">
        <f t="shared" si="388"/>
        <v/>
      </c>
      <c r="X784" s="129">
        <f t="shared" si="386"/>
        <v>1</v>
      </c>
      <c r="Y784" s="129">
        <f t="shared" si="389"/>
        <v>1</v>
      </c>
      <c r="Z784" s="129" t="str" cm="1">
        <f t="array" ref="Z784">_xlfn.IFS(X784=4,"A",X784=3,"B",X784=2,"C",X784=1,"D")</f>
        <v>D</v>
      </c>
      <c r="AA784" s="175"/>
    </row>
    <row r="785" spans="1:27" customFormat="1" ht="18" customHeight="1">
      <c r="N785" s="2"/>
      <c r="O785" s="2"/>
      <c r="P785" s="2"/>
      <c r="R785" s="129">
        <f t="shared" si="384"/>
        <v>0</v>
      </c>
      <c r="S785" s="258"/>
      <c r="T785" s="129">
        <f t="shared" si="385"/>
        <v>0</v>
      </c>
      <c r="U785" s="129">
        <f t="shared" ref="U785" si="390">IF(AND(J785="実施済",K785="実施済"),$T785*1,0)</f>
        <v>0</v>
      </c>
      <c r="V785" s="258"/>
      <c r="W785" s="129" t="str">
        <f t="shared" si="388"/>
        <v/>
      </c>
      <c r="X785" s="129">
        <f t="shared" si="386"/>
        <v>1</v>
      </c>
      <c r="Y785" s="129">
        <f t="shared" si="389"/>
        <v>1</v>
      </c>
      <c r="Z785" s="129" t="str" cm="1">
        <f t="array" ref="Z785">_xlfn.IFS(X785=4,"A",X785=3,"B",X785=2,"C",X785=1,"D")</f>
        <v>D</v>
      </c>
      <c r="AA785" s="175"/>
    </row>
    <row r="786" spans="1:27" customFormat="1" ht="103.5" customHeight="1">
      <c r="C786" s="78"/>
      <c r="D786" s="79"/>
      <c r="E786" s="71" t="s">
        <v>236</v>
      </c>
      <c r="F786" s="1452"/>
      <c r="G786" s="1452"/>
      <c r="H786" s="1452"/>
      <c r="I786" s="1452"/>
      <c r="J786" s="1452"/>
      <c r="K786" s="1452"/>
      <c r="L786" s="1452"/>
      <c r="M786" s="80" t="s">
        <v>132</v>
      </c>
      <c r="N786" s="80"/>
    </row>
    <row r="787" spans="1:27" customFormat="1" ht="146.25" customHeight="1">
      <c r="C787" s="75"/>
      <c r="D787" s="68"/>
      <c r="E787" s="71" t="s">
        <v>235</v>
      </c>
      <c r="F787" s="1452"/>
      <c r="G787" s="1452"/>
      <c r="H787" s="1452"/>
      <c r="I787" s="1452"/>
      <c r="J787" s="1452"/>
      <c r="K787" s="1452"/>
      <c r="L787" s="1452"/>
      <c r="N787" s="2"/>
      <c r="O787" s="2"/>
      <c r="P787" s="2"/>
    </row>
    <row r="788" spans="1:27" customFormat="1" ht="13.5" customHeight="1" thickBot="1">
      <c r="A788" s="81"/>
      <c r="B788" s="81"/>
      <c r="C788" s="81"/>
      <c r="D788" s="81"/>
      <c r="E788" s="81"/>
      <c r="F788" s="81"/>
      <c r="G788" s="81"/>
      <c r="H788" s="81"/>
      <c r="I788" s="81"/>
      <c r="J788" s="81"/>
      <c r="K788" s="81"/>
      <c r="L788" s="81"/>
      <c r="M788" s="81"/>
      <c r="N788" s="82"/>
      <c r="O788" s="2"/>
      <c r="P788" s="2"/>
    </row>
    <row r="789" spans="1:27" customFormat="1" ht="13.5" customHeight="1">
      <c r="N789" s="2"/>
      <c r="O789" s="2"/>
      <c r="P789" s="2"/>
    </row>
    <row r="790" spans="1:27" customFormat="1" ht="15" customHeight="1">
      <c r="B790" s="10"/>
      <c r="C790" s="5"/>
      <c r="D790" s="5"/>
      <c r="E790" s="5"/>
      <c r="F790" s="5"/>
      <c r="G790" s="5"/>
      <c r="H790" s="5"/>
      <c r="I790" s="5"/>
      <c r="J790" s="5"/>
      <c r="K790" s="5"/>
      <c r="L790" s="5"/>
      <c r="M790" s="6"/>
      <c r="R790" s="11" t="str">
        <f>D791</f>
        <v>(選択してください)</v>
      </c>
    </row>
    <row r="791" spans="1:27" customFormat="1">
      <c r="B791" s="7"/>
      <c r="C791" s="77" t="str">
        <f ca="1">IFERROR(OFFSET('4.2民生電力需要量'!$C$1,MATCH(D791,'4.2民生電力需要量'!$E:$E,0)-1,0),"")</f>
        <v/>
      </c>
      <c r="D791" s="94" t="s">
        <v>130</v>
      </c>
      <c r="E791" s="72" t="s">
        <v>131</v>
      </c>
      <c r="F791" s="1451" t="str">
        <f ca="1">IFERROR(OFFSET('4.2民生電力需要量'!$G$1,MATCH($D791,'4.2民生電力需要量'!$E:$E,0)-1,0),"")</f>
        <v/>
      </c>
      <c r="G791" s="1451"/>
      <c r="H791" s="1451"/>
      <c r="I791" s="1451"/>
      <c r="J791" s="1451"/>
      <c r="K791" s="1451"/>
      <c r="L791" s="1451"/>
      <c r="M791" s="8"/>
      <c r="R791" s="255" t="str">
        <f ca="1">IFERROR(OFFSET('4.2民生電力需要量'!$G$1,MATCH($D791,'4.2民生電力需要量'!$E:$E,0)-1,0),"")</f>
        <v/>
      </c>
      <c r="S791" s="175"/>
      <c r="T791" s="175"/>
      <c r="U791" s="175"/>
      <c r="V791" s="175"/>
      <c r="W791" s="175"/>
      <c r="X791" s="175"/>
      <c r="Y791" s="175"/>
      <c r="Z791" s="175"/>
      <c r="AA791" s="175">
        <f ca="1">(F791=R791)*1</f>
        <v>1</v>
      </c>
    </row>
    <row r="792" spans="1:27" customFormat="1">
      <c r="B792" s="7"/>
      <c r="C792" s="915"/>
      <c r="D792" s="97"/>
      <c r="E792" s="72" t="s">
        <v>612</v>
      </c>
      <c r="F792" s="1447" t="str">
        <f ca="1">IFERROR(OFFSET('4.2民生電力需要量'!$L$1,MATCH($D791,'4.2民生電力需要量'!$E:$E,0)-1,0),"")</f>
        <v/>
      </c>
      <c r="G792" s="1448"/>
      <c r="H792" s="1448"/>
      <c r="I792" s="1448"/>
      <c r="J792" s="1448"/>
      <c r="K792" s="1448"/>
      <c r="L792" s="1449"/>
      <c r="M792" s="8"/>
      <c r="R792" s="255" t="str">
        <f ca="1">IFERROR(OFFSET('4.2民生電力需要量'!$L$1,MATCH($D791,'4.2民生電力需要量'!$E:$E,0)-1,0),"")</f>
        <v/>
      </c>
      <c r="S792" s="175"/>
      <c r="T792" s="175"/>
      <c r="U792" s="175"/>
      <c r="V792" s="175"/>
      <c r="W792" s="175"/>
      <c r="X792" s="175"/>
      <c r="Y792" s="175"/>
      <c r="Z792" s="175"/>
      <c r="AA792" s="175">
        <f ca="1">(F792=R792)*1</f>
        <v>1</v>
      </c>
    </row>
    <row r="793" spans="1:27" customFormat="1">
      <c r="B793" s="7"/>
      <c r="C793" s="74"/>
      <c r="D793" s="66"/>
      <c r="E793" s="72" t="s">
        <v>220</v>
      </c>
      <c r="F793" s="1450" t="str">
        <f ca="1">IFERROR(OFFSET('4.2民生電力需要量'!$I$1,MATCH($D791,'4.2民生電力需要量'!$E:$E,0)-1,0),"")</f>
        <v/>
      </c>
      <c r="G793" s="1450"/>
      <c r="H793" s="1450"/>
      <c r="I793" s="1450"/>
      <c r="J793" s="1450"/>
      <c r="K793" s="1450"/>
      <c r="L793" s="1450"/>
      <c r="M793" s="8"/>
      <c r="R793" s="255" t="str">
        <f ca="1">IFERROR(OFFSET('4.2民生電力需要量'!$I$1,MATCH($D791,'4.2民生電力需要量'!$E:$E,0)-1,0),"")</f>
        <v/>
      </c>
      <c r="S793" s="175"/>
      <c r="T793" s="175"/>
      <c r="U793" s="175"/>
      <c r="V793" s="175"/>
      <c r="W793" s="175"/>
      <c r="X793" s="175"/>
      <c r="Y793" s="175"/>
      <c r="Z793" s="175"/>
      <c r="AA793" s="175">
        <f t="shared" ref="AA793:AA794" ca="1" si="391">(F793=R793)*1</f>
        <v>1</v>
      </c>
    </row>
    <row r="794" spans="1:27" customFormat="1">
      <c r="B794" s="7"/>
      <c r="C794" s="74"/>
      <c r="D794" s="66"/>
      <c r="E794" s="72" t="s">
        <v>175</v>
      </c>
      <c r="F794" s="1451" t="str">
        <f>_xlfn.IFNA(R794,"")</f>
        <v/>
      </c>
      <c r="G794" s="1451"/>
      <c r="H794" s="1451"/>
      <c r="I794" s="1451"/>
      <c r="J794" s="1451"/>
      <c r="K794" s="1451"/>
      <c r="L794" s="1451"/>
      <c r="M794" s="8"/>
      <c r="R794" s="129" t="str">
        <f>IF(OR(COUNTIF($E796:$E801,"&lt;&gt;〇〇(合意形成対象者名に書き換え)")=3,COUNTIF($E796:$E801,"")&gt;3),"",IF(PRODUCT($Y796:$Y801)=1,Z796,""))</f>
        <v/>
      </c>
      <c r="S794" s="175"/>
      <c r="T794" s="175"/>
      <c r="U794" s="175"/>
      <c r="V794" s="175"/>
      <c r="W794" s="175"/>
      <c r="X794" s="175"/>
      <c r="Y794" s="175"/>
      <c r="Z794" s="175"/>
      <c r="AA794" s="175">
        <f t="shared" si="391"/>
        <v>1</v>
      </c>
    </row>
    <row r="795" spans="1:27" ht="63.75" customHeight="1">
      <c r="B795" s="95"/>
      <c r="C795" s="96"/>
      <c r="D795" s="97"/>
      <c r="E795" s="372"/>
      <c r="F795" s="313" t="s">
        <v>268</v>
      </c>
      <c r="G795" s="313" t="s">
        <v>271</v>
      </c>
      <c r="H795" s="313" t="s">
        <v>272</v>
      </c>
      <c r="I795" s="313" t="s">
        <v>269</v>
      </c>
      <c r="J795" s="313" t="s">
        <v>434</v>
      </c>
      <c r="K795" s="313" t="s">
        <v>435</v>
      </c>
      <c r="L795" s="313" t="s">
        <v>270</v>
      </c>
      <c r="M795" s="98"/>
      <c r="N795" s="11"/>
      <c r="R795" s="126" t="s">
        <v>299</v>
      </c>
      <c r="S795" s="257" t="s">
        <v>423</v>
      </c>
      <c r="T795" s="126" t="s">
        <v>424</v>
      </c>
      <c r="U795" s="296" t="s">
        <v>436</v>
      </c>
      <c r="V795" s="256" t="s">
        <v>270</v>
      </c>
      <c r="W795" s="126" t="s">
        <v>426</v>
      </c>
      <c r="X795" s="129" t="s">
        <v>402</v>
      </c>
      <c r="Y795" s="129" t="s">
        <v>430</v>
      </c>
      <c r="Z795" s="126" t="s">
        <v>425</v>
      </c>
      <c r="AA795" s="255"/>
    </row>
    <row r="796" spans="1:27" hidden="1">
      <c r="B796" s="95"/>
      <c r="C796" s="96"/>
      <c r="D796" s="97"/>
      <c r="E796" s="442"/>
      <c r="F796" s="443"/>
      <c r="G796" s="439"/>
      <c r="H796" s="443"/>
      <c r="I796" s="439"/>
      <c r="J796" s="443"/>
      <c r="K796" s="439"/>
      <c r="L796" s="444"/>
      <c r="M796" s="98"/>
      <c r="N796" s="11"/>
      <c r="R796" s="129">
        <f t="shared" ref="R796:R801" si="392">IF(F796="実施済",1,0)</f>
        <v>0</v>
      </c>
      <c r="S796" s="258"/>
      <c r="T796" s="129">
        <f t="shared" ref="T796:T801" si="393">IF(AND(H796="実施済",I796="実施済"),R796*1,0)</f>
        <v>0</v>
      </c>
      <c r="U796" s="129">
        <f>IF(AND(J796="実施済",K796="実施済"),$T796*1,0)</f>
        <v>0</v>
      </c>
      <c r="V796" s="258"/>
      <c r="W796" s="129" t="str">
        <f>IF(OR(E796="〇〇(合意形成対象者名に書き換え)",E796=""),"",SUM(R796,T796,U796))</f>
        <v/>
      </c>
      <c r="X796" s="129">
        <f t="shared" ref="X796:X801" si="394">MIN($W$796:$W$801)+1</f>
        <v>1</v>
      </c>
      <c r="Y796" s="129">
        <f>IF(E796="",1,IF(AND(E796="〇〇(合意形成対象者名に書き換え)",COUNTA($F796:$L796)=0),1,IF(AND(E796&lt;&gt;"〇〇(合意形成対象者名に書き換え)",COUNTA($F796:$L796)=7),1,0)))</f>
        <v>1</v>
      </c>
      <c r="Z796" s="129" t="str" cm="1">
        <f t="array" ref="Z796">_xlfn.IFS(X796=4,"A",X796=3,"B",X796=2,"C",X796=1,"D")</f>
        <v>D</v>
      </c>
      <c r="AA796" s="255"/>
    </row>
    <row r="797" spans="1:27">
      <c r="B797" s="95"/>
      <c r="C797" s="96"/>
      <c r="D797" s="97"/>
      <c r="E797" s="447" t="s">
        <v>129</v>
      </c>
      <c r="F797" s="446"/>
      <c r="G797" s="441"/>
      <c r="H797" s="446"/>
      <c r="I797" s="441"/>
      <c r="J797" s="446"/>
      <c r="K797" s="441"/>
      <c r="L797" s="441"/>
      <c r="M797" s="98"/>
      <c r="N797" s="11"/>
      <c r="R797" s="129">
        <f t="shared" si="392"/>
        <v>0</v>
      </c>
      <c r="S797" s="258"/>
      <c r="T797" s="129">
        <f t="shared" si="393"/>
        <v>0</v>
      </c>
      <c r="U797" s="129">
        <f t="shared" ref="U797:U799" si="395">IF(AND(J797="実施済",K797="実施済"),$T797*1,0)</f>
        <v>0</v>
      </c>
      <c r="V797" s="258"/>
      <c r="W797" s="129" t="str">
        <f t="shared" ref="W797:W801" si="396">IF(OR(E797="〇〇(合意形成対象者名に書き換え)",E797=""),"",SUM(R797,T797,U797))</f>
        <v/>
      </c>
      <c r="X797" s="129">
        <f t="shared" si="394"/>
        <v>1</v>
      </c>
      <c r="Y797" s="129">
        <f t="shared" ref="Y797:Y801" si="397">IF(E797="",1,IF(AND(E797="〇〇(合意形成対象者名に書き換え)",COUNTA($F797:$L797)=0),1,IF(AND(E797&lt;&gt;"〇〇(合意形成対象者名に書き換え)",COUNTA($F797:$L797)=7),1,0)))</f>
        <v>1</v>
      </c>
      <c r="Z797" s="129" t="str" cm="1">
        <f t="array" ref="Z797">_xlfn.IFS(X797=4,"A",X797=3,"B",X797=2,"C",X797=1,"D")</f>
        <v>D</v>
      </c>
      <c r="AA797" s="255"/>
    </row>
    <row r="798" spans="1:27">
      <c r="B798" s="95"/>
      <c r="C798" s="96"/>
      <c r="D798" s="97"/>
      <c r="E798" s="447" t="s">
        <v>129</v>
      </c>
      <c r="F798" s="446"/>
      <c r="G798" s="441"/>
      <c r="H798" s="446"/>
      <c r="I798" s="441"/>
      <c r="J798" s="446"/>
      <c r="K798" s="441"/>
      <c r="L798" s="441"/>
      <c r="M798" s="98"/>
      <c r="N798" s="11"/>
      <c r="R798" s="129">
        <f t="shared" si="392"/>
        <v>0</v>
      </c>
      <c r="S798" s="258"/>
      <c r="T798" s="129">
        <f t="shared" si="393"/>
        <v>0</v>
      </c>
      <c r="U798" s="129">
        <f t="shared" si="395"/>
        <v>0</v>
      </c>
      <c r="V798" s="258"/>
      <c r="W798" s="129" t="str">
        <f t="shared" si="396"/>
        <v/>
      </c>
      <c r="X798" s="129">
        <f t="shared" si="394"/>
        <v>1</v>
      </c>
      <c r="Y798" s="129">
        <f t="shared" si="397"/>
        <v>1</v>
      </c>
      <c r="Z798" s="129" t="str" cm="1">
        <f t="array" ref="Z798">_xlfn.IFS(X798=4,"A",X798=3,"B",X798=2,"C",X798=1,"D")</f>
        <v>D</v>
      </c>
      <c r="AA798" s="255"/>
    </row>
    <row r="799" spans="1:27" s="99" customFormat="1">
      <c r="A799" s="11"/>
      <c r="B799" s="95"/>
      <c r="C799" s="96"/>
      <c r="D799" s="97"/>
      <c r="E799" s="447" t="s">
        <v>129</v>
      </c>
      <c r="F799" s="446"/>
      <c r="G799" s="441"/>
      <c r="H799" s="446"/>
      <c r="I799" s="441"/>
      <c r="J799" s="446"/>
      <c r="K799" s="441"/>
      <c r="L799" s="441"/>
      <c r="M799" s="98"/>
      <c r="N799" s="11"/>
      <c r="Q799" s="11"/>
      <c r="R799" s="129">
        <f t="shared" si="392"/>
        <v>0</v>
      </c>
      <c r="S799" s="258"/>
      <c r="T799" s="129">
        <f t="shared" si="393"/>
        <v>0</v>
      </c>
      <c r="U799" s="129">
        <f t="shared" si="395"/>
        <v>0</v>
      </c>
      <c r="V799" s="258"/>
      <c r="W799" s="129" t="str">
        <f t="shared" si="396"/>
        <v/>
      </c>
      <c r="X799" s="129">
        <f t="shared" si="394"/>
        <v>1</v>
      </c>
      <c r="Y799" s="129">
        <f t="shared" si="397"/>
        <v>1</v>
      </c>
      <c r="Z799" s="129" t="str" cm="1">
        <f t="array" ref="Z799">_xlfn.IFS(X799=4,"A",X799=3,"B",X799=2,"C",X799=1,"D")</f>
        <v>D</v>
      </c>
      <c r="AA799" s="129"/>
    </row>
    <row r="800" spans="1:27" customFormat="1" ht="7.5" customHeight="1">
      <c r="B800" s="65"/>
      <c r="C800" s="4"/>
      <c r="D800" s="4"/>
      <c r="E800" s="4"/>
      <c r="F800" s="4"/>
      <c r="G800" s="4"/>
      <c r="H800" s="4"/>
      <c r="I800" s="4"/>
      <c r="J800" s="4"/>
      <c r="K800" s="4"/>
      <c r="L800" s="4"/>
      <c r="M800" s="9"/>
      <c r="N800" s="2"/>
      <c r="O800" s="2"/>
      <c r="P800" s="2"/>
      <c r="R800" s="129">
        <f t="shared" si="392"/>
        <v>0</v>
      </c>
      <c r="S800" s="258"/>
      <c r="T800" s="129">
        <f t="shared" si="393"/>
        <v>0</v>
      </c>
      <c r="U800" s="129">
        <f>IF(AND(J800="実施済",K800="実施済"),$T800*1,0)</f>
        <v>0</v>
      </c>
      <c r="V800" s="258"/>
      <c r="W800" s="129" t="str">
        <f t="shared" si="396"/>
        <v/>
      </c>
      <c r="X800" s="129">
        <f t="shared" si="394"/>
        <v>1</v>
      </c>
      <c r="Y800" s="129">
        <f t="shared" si="397"/>
        <v>1</v>
      </c>
      <c r="Z800" s="129" t="str" cm="1">
        <f t="array" ref="Z800">_xlfn.IFS(X800=4,"A",X800=3,"B",X800=2,"C",X800=1,"D")</f>
        <v>D</v>
      </c>
      <c r="AA800" s="175"/>
    </row>
    <row r="801" spans="1:27" customFormat="1" ht="18" customHeight="1">
      <c r="N801" s="2"/>
      <c r="O801" s="2"/>
      <c r="P801" s="2"/>
      <c r="R801" s="129">
        <f t="shared" si="392"/>
        <v>0</v>
      </c>
      <c r="S801" s="258"/>
      <c r="T801" s="129">
        <f t="shared" si="393"/>
        <v>0</v>
      </c>
      <c r="U801" s="129">
        <f t="shared" ref="U801" si="398">IF(AND(J801="実施済",K801="実施済"),$T801*1,0)</f>
        <v>0</v>
      </c>
      <c r="V801" s="258"/>
      <c r="W801" s="129" t="str">
        <f t="shared" si="396"/>
        <v/>
      </c>
      <c r="X801" s="129">
        <f t="shared" si="394"/>
        <v>1</v>
      </c>
      <c r="Y801" s="129">
        <f t="shared" si="397"/>
        <v>1</v>
      </c>
      <c r="Z801" s="129" t="str" cm="1">
        <f t="array" ref="Z801">_xlfn.IFS(X801=4,"A",X801=3,"B",X801=2,"C",X801=1,"D")</f>
        <v>D</v>
      </c>
      <c r="AA801" s="175"/>
    </row>
    <row r="802" spans="1:27" customFormat="1" ht="103.5" customHeight="1">
      <c r="C802" s="78"/>
      <c r="D802" s="79"/>
      <c r="E802" s="71" t="s">
        <v>236</v>
      </c>
      <c r="F802" s="1452"/>
      <c r="G802" s="1452"/>
      <c r="H802" s="1452"/>
      <c r="I802" s="1452"/>
      <c r="J802" s="1452"/>
      <c r="K802" s="1452"/>
      <c r="L802" s="1452"/>
      <c r="M802" s="80" t="s">
        <v>132</v>
      </c>
      <c r="N802" s="80"/>
    </row>
    <row r="803" spans="1:27" customFormat="1" ht="146.25" customHeight="1">
      <c r="C803" s="75"/>
      <c r="D803" s="68"/>
      <c r="E803" s="71" t="s">
        <v>235</v>
      </c>
      <c r="F803" s="1452"/>
      <c r="G803" s="1452"/>
      <c r="H803" s="1452"/>
      <c r="I803" s="1452"/>
      <c r="J803" s="1452"/>
      <c r="K803" s="1452"/>
      <c r="L803" s="1452"/>
      <c r="N803" s="2"/>
      <c r="O803" s="2"/>
      <c r="P803" s="2"/>
    </row>
    <row r="804" spans="1:27" customFormat="1" ht="13.5" customHeight="1" thickBot="1">
      <c r="A804" s="81"/>
      <c r="B804" s="81"/>
      <c r="C804" s="81"/>
      <c r="D804" s="81"/>
      <c r="E804" s="81"/>
      <c r="F804" s="81"/>
      <c r="G804" s="81"/>
      <c r="H804" s="81"/>
      <c r="I804" s="81"/>
      <c r="J804" s="81"/>
      <c r="K804" s="81"/>
      <c r="L804" s="81"/>
      <c r="M804" s="81"/>
      <c r="N804" s="82"/>
      <c r="O804" s="2"/>
      <c r="P804" s="2"/>
    </row>
  </sheetData>
  <sheetProtection algorithmName="SHA-512" hashValue="AU85dufFqsty2rZaw2wevBzMjqio08uyPAPpro6tfMxnh9tAboQqsg8w4kclR7/0uWya6AbIQznRtiJCz6QFvg==" saltValue="Vls6cLduh4bu4JngrbZOMw==" spinCount="100000" sheet="1" formatCells="0" insertRows="0" deleteRows="0"/>
  <mergeCells count="300">
    <mergeCell ref="F792:L792"/>
    <mergeCell ref="F793:L793"/>
    <mergeCell ref="F794:L794"/>
    <mergeCell ref="F802:L802"/>
    <mergeCell ref="F803:L803"/>
    <mergeCell ref="F770:L770"/>
    <mergeCell ref="F771:L771"/>
    <mergeCell ref="F775:L775"/>
    <mergeCell ref="F776:L776"/>
    <mergeCell ref="F777:L777"/>
    <mergeCell ref="F778:L778"/>
    <mergeCell ref="F786:L786"/>
    <mergeCell ref="F787:L787"/>
    <mergeCell ref="F791:L791"/>
    <mergeCell ref="F744:L744"/>
    <mergeCell ref="F745:L745"/>
    <mergeCell ref="F746:L746"/>
    <mergeCell ref="F754:L754"/>
    <mergeCell ref="F755:L755"/>
    <mergeCell ref="F759:L759"/>
    <mergeCell ref="F760:L760"/>
    <mergeCell ref="F761:L761"/>
    <mergeCell ref="F762:L762"/>
    <mergeCell ref="F722:L722"/>
    <mergeCell ref="F723:L723"/>
    <mergeCell ref="F727:L727"/>
    <mergeCell ref="F728:L728"/>
    <mergeCell ref="F729:L729"/>
    <mergeCell ref="F730:L730"/>
    <mergeCell ref="F738:L738"/>
    <mergeCell ref="F739:L739"/>
    <mergeCell ref="F743:L743"/>
    <mergeCell ref="F696:L696"/>
    <mergeCell ref="F697:L697"/>
    <mergeCell ref="F698:L698"/>
    <mergeCell ref="F706:L706"/>
    <mergeCell ref="F707:L707"/>
    <mergeCell ref="F711:L711"/>
    <mergeCell ref="F712:L712"/>
    <mergeCell ref="F713:L713"/>
    <mergeCell ref="F714:L714"/>
    <mergeCell ref="F674:L674"/>
    <mergeCell ref="F675:L675"/>
    <mergeCell ref="F679:L679"/>
    <mergeCell ref="F680:L680"/>
    <mergeCell ref="F681:L681"/>
    <mergeCell ref="F682:L682"/>
    <mergeCell ref="F690:L690"/>
    <mergeCell ref="F691:L691"/>
    <mergeCell ref="F695:L695"/>
    <mergeCell ref="F648:L648"/>
    <mergeCell ref="F649:L649"/>
    <mergeCell ref="F650:L650"/>
    <mergeCell ref="F658:L658"/>
    <mergeCell ref="F659:L659"/>
    <mergeCell ref="F663:L663"/>
    <mergeCell ref="F664:L664"/>
    <mergeCell ref="F665:L665"/>
    <mergeCell ref="F666:L666"/>
    <mergeCell ref="F626:L626"/>
    <mergeCell ref="F627:L627"/>
    <mergeCell ref="F631:L631"/>
    <mergeCell ref="F632:L632"/>
    <mergeCell ref="F633:L633"/>
    <mergeCell ref="F634:L634"/>
    <mergeCell ref="F642:L642"/>
    <mergeCell ref="F643:L643"/>
    <mergeCell ref="F647:L647"/>
    <mergeCell ref="F600:L600"/>
    <mergeCell ref="F601:L601"/>
    <mergeCell ref="F602:L602"/>
    <mergeCell ref="F610:L610"/>
    <mergeCell ref="F611:L611"/>
    <mergeCell ref="F615:L615"/>
    <mergeCell ref="F616:L616"/>
    <mergeCell ref="F617:L617"/>
    <mergeCell ref="F618:L618"/>
    <mergeCell ref="F578:L578"/>
    <mergeCell ref="F579:L579"/>
    <mergeCell ref="F583:L583"/>
    <mergeCell ref="F584:L584"/>
    <mergeCell ref="F585:L585"/>
    <mergeCell ref="F586:L586"/>
    <mergeCell ref="F594:L594"/>
    <mergeCell ref="F595:L595"/>
    <mergeCell ref="F599:L599"/>
    <mergeCell ref="F552:L552"/>
    <mergeCell ref="F553:L553"/>
    <mergeCell ref="F554:L554"/>
    <mergeCell ref="F562:L562"/>
    <mergeCell ref="F563:L563"/>
    <mergeCell ref="F567:L567"/>
    <mergeCell ref="F568:L568"/>
    <mergeCell ref="F569:L569"/>
    <mergeCell ref="F570:L570"/>
    <mergeCell ref="F530:L530"/>
    <mergeCell ref="F531:L531"/>
    <mergeCell ref="F535:L535"/>
    <mergeCell ref="F536:L536"/>
    <mergeCell ref="F537:L537"/>
    <mergeCell ref="F538:L538"/>
    <mergeCell ref="F546:L546"/>
    <mergeCell ref="F547:L547"/>
    <mergeCell ref="F551:L551"/>
    <mergeCell ref="F504:L504"/>
    <mergeCell ref="F505:L505"/>
    <mergeCell ref="F506:L506"/>
    <mergeCell ref="F514:L514"/>
    <mergeCell ref="F515:L515"/>
    <mergeCell ref="F519:L519"/>
    <mergeCell ref="F520:L520"/>
    <mergeCell ref="F521:L521"/>
    <mergeCell ref="F522:L522"/>
    <mergeCell ref="F482:L482"/>
    <mergeCell ref="F483:L483"/>
    <mergeCell ref="F487:L487"/>
    <mergeCell ref="F488:L488"/>
    <mergeCell ref="F489:L489"/>
    <mergeCell ref="F490:L490"/>
    <mergeCell ref="F498:L498"/>
    <mergeCell ref="F499:L499"/>
    <mergeCell ref="F503:L503"/>
    <mergeCell ref="F456:L456"/>
    <mergeCell ref="F457:L457"/>
    <mergeCell ref="F458:L458"/>
    <mergeCell ref="F466:L466"/>
    <mergeCell ref="F467:L467"/>
    <mergeCell ref="F471:L471"/>
    <mergeCell ref="F472:L472"/>
    <mergeCell ref="F473:L473"/>
    <mergeCell ref="F474:L474"/>
    <mergeCell ref="F455:L455"/>
    <mergeCell ref="F440:L440"/>
    <mergeCell ref="F425:L425"/>
    <mergeCell ref="F439:L439"/>
    <mergeCell ref="F426:L426"/>
    <mergeCell ref="F434:L434"/>
    <mergeCell ref="F435:L435"/>
    <mergeCell ref="F441:L441"/>
    <mergeCell ref="F442:L442"/>
    <mergeCell ref="F450:L450"/>
    <mergeCell ref="F451:L451"/>
    <mergeCell ref="F410:L410"/>
    <mergeCell ref="F424:L424"/>
    <mergeCell ref="F409:L409"/>
    <mergeCell ref="F402:L402"/>
    <mergeCell ref="F403:L403"/>
    <mergeCell ref="F407:L407"/>
    <mergeCell ref="F408:L408"/>
    <mergeCell ref="F418:L418"/>
    <mergeCell ref="F419:L419"/>
    <mergeCell ref="F423:L423"/>
    <mergeCell ref="F386:L386"/>
    <mergeCell ref="F394:L394"/>
    <mergeCell ref="F370:L370"/>
    <mergeCell ref="F371:L371"/>
    <mergeCell ref="F375:L375"/>
    <mergeCell ref="F376:L376"/>
    <mergeCell ref="F377:L377"/>
    <mergeCell ref="F378:L378"/>
    <mergeCell ref="F387:L387"/>
    <mergeCell ref="F391:L391"/>
    <mergeCell ref="F392:L392"/>
    <mergeCell ref="F393:L393"/>
    <mergeCell ref="F360:L360"/>
    <mergeCell ref="F361:L361"/>
    <mergeCell ref="F362:L362"/>
    <mergeCell ref="F311:L311"/>
    <mergeCell ref="F306:L306"/>
    <mergeCell ref="F307:L307"/>
    <mergeCell ref="F312:L312"/>
    <mergeCell ref="F313:L313"/>
    <mergeCell ref="F314:L314"/>
    <mergeCell ref="F322:L322"/>
    <mergeCell ref="F323:L323"/>
    <mergeCell ref="F327:L327"/>
    <mergeCell ref="F328:L328"/>
    <mergeCell ref="F329:L329"/>
    <mergeCell ref="F330:L330"/>
    <mergeCell ref="F354:L354"/>
    <mergeCell ref="F355:L355"/>
    <mergeCell ref="F339:L339"/>
    <mergeCell ref="F338:L338"/>
    <mergeCell ref="F343:L343"/>
    <mergeCell ref="F344:L344"/>
    <mergeCell ref="F345:L345"/>
    <mergeCell ref="F346:L346"/>
    <mergeCell ref="F359:L359"/>
    <mergeCell ref="F297:L297"/>
    <mergeCell ref="F298:L298"/>
    <mergeCell ref="F264:L264"/>
    <mergeCell ref="F265:L265"/>
    <mergeCell ref="F266:L266"/>
    <mergeCell ref="F274:L274"/>
    <mergeCell ref="F249:L249"/>
    <mergeCell ref="F250:L250"/>
    <mergeCell ref="F259:L259"/>
    <mergeCell ref="F290:L290"/>
    <mergeCell ref="F295:L295"/>
    <mergeCell ref="F296:L296"/>
    <mergeCell ref="F275:L275"/>
    <mergeCell ref="F279:L279"/>
    <mergeCell ref="F280:L280"/>
    <mergeCell ref="F281:L281"/>
    <mergeCell ref="F282:L282"/>
    <mergeCell ref="F291:L291"/>
    <mergeCell ref="F247:L247"/>
    <mergeCell ref="F248:L248"/>
    <mergeCell ref="F258:L258"/>
    <mergeCell ref="F263:L263"/>
    <mergeCell ref="F234:L234"/>
    <mergeCell ref="F215:L215"/>
    <mergeCell ref="F216:L216"/>
    <mergeCell ref="F217:L217"/>
    <mergeCell ref="F218:L218"/>
    <mergeCell ref="F226:L226"/>
    <mergeCell ref="F227:L227"/>
    <mergeCell ref="F231:L231"/>
    <mergeCell ref="F232:L232"/>
    <mergeCell ref="F233:L233"/>
    <mergeCell ref="F242:L242"/>
    <mergeCell ref="F243:L243"/>
    <mergeCell ref="F211:L211"/>
    <mergeCell ref="F170:L170"/>
    <mergeCell ref="F184:L184"/>
    <mergeCell ref="F169:L169"/>
    <mergeCell ref="F162:L162"/>
    <mergeCell ref="F163:L163"/>
    <mergeCell ref="F167:L167"/>
    <mergeCell ref="F168:L168"/>
    <mergeCell ref="F178:L178"/>
    <mergeCell ref="F179:L179"/>
    <mergeCell ref="F183:L183"/>
    <mergeCell ref="F200:L200"/>
    <mergeCell ref="F185:L185"/>
    <mergeCell ref="F199:L199"/>
    <mergeCell ref="F186:L186"/>
    <mergeCell ref="F194:L194"/>
    <mergeCell ref="F195:L195"/>
    <mergeCell ref="F201:L201"/>
    <mergeCell ref="F202:L202"/>
    <mergeCell ref="F210:L210"/>
    <mergeCell ref="F146:L146"/>
    <mergeCell ref="F154:L154"/>
    <mergeCell ref="F130:L130"/>
    <mergeCell ref="F131:L131"/>
    <mergeCell ref="F135:L135"/>
    <mergeCell ref="F136:L136"/>
    <mergeCell ref="F137:L137"/>
    <mergeCell ref="F138:L138"/>
    <mergeCell ref="F147:L147"/>
    <mergeCell ref="F151:L151"/>
    <mergeCell ref="F152:L152"/>
    <mergeCell ref="F153:L153"/>
    <mergeCell ref="F120:L120"/>
    <mergeCell ref="F121:L121"/>
    <mergeCell ref="F122:L122"/>
    <mergeCell ref="F71:L71"/>
    <mergeCell ref="F66:L66"/>
    <mergeCell ref="F67:L67"/>
    <mergeCell ref="F72:L72"/>
    <mergeCell ref="F73:L73"/>
    <mergeCell ref="F74:L74"/>
    <mergeCell ref="F82:L82"/>
    <mergeCell ref="F83:L83"/>
    <mergeCell ref="F87:L87"/>
    <mergeCell ref="F88:L88"/>
    <mergeCell ref="F89:L89"/>
    <mergeCell ref="F90:L90"/>
    <mergeCell ref="F114:L114"/>
    <mergeCell ref="F115:L115"/>
    <mergeCell ref="F99:L99"/>
    <mergeCell ref="F98:L98"/>
    <mergeCell ref="F103:L103"/>
    <mergeCell ref="F104:L104"/>
    <mergeCell ref="F105:L105"/>
    <mergeCell ref="F106:L106"/>
    <mergeCell ref="F119:L119"/>
    <mergeCell ref="F57:L57"/>
    <mergeCell ref="F58:L58"/>
    <mergeCell ref="F23:L23"/>
    <mergeCell ref="F25:L25"/>
    <mergeCell ref="F34:L34"/>
    <mergeCell ref="F26:L26"/>
    <mergeCell ref="F7:L7"/>
    <mergeCell ref="F9:L9"/>
    <mergeCell ref="F10:L10"/>
    <mergeCell ref="F19:L19"/>
    <mergeCell ref="F18:L18"/>
    <mergeCell ref="F8:L8"/>
    <mergeCell ref="F24:L24"/>
    <mergeCell ref="F50:L50"/>
    <mergeCell ref="F55:L55"/>
    <mergeCell ref="F56:L56"/>
    <mergeCell ref="F35:L35"/>
    <mergeCell ref="F39:L39"/>
    <mergeCell ref="F40:L40"/>
    <mergeCell ref="F41:L41"/>
    <mergeCell ref="F42:L42"/>
    <mergeCell ref="F51:L51"/>
  </mergeCells>
  <phoneticPr fontId="1"/>
  <conditionalFormatting sqref="C7">
    <cfRule type="containsBlanks" dxfId="1657" priority="2198">
      <formula>LEN(TRIM(C7))=0</formula>
    </cfRule>
  </conditionalFormatting>
  <conditionalFormatting sqref="C23">
    <cfRule type="containsBlanks" dxfId="1656" priority="536">
      <formula>LEN(TRIM(C23))=0</formula>
    </cfRule>
  </conditionalFormatting>
  <conditionalFormatting sqref="C39">
    <cfRule type="containsBlanks" dxfId="1655" priority="525">
      <formula>LEN(TRIM(C39))=0</formula>
    </cfRule>
  </conditionalFormatting>
  <conditionalFormatting sqref="C55">
    <cfRule type="containsBlanks" dxfId="1654" priority="514">
      <formula>LEN(TRIM(C55))=0</formula>
    </cfRule>
  </conditionalFormatting>
  <conditionalFormatting sqref="C71">
    <cfRule type="containsBlanks" dxfId="1653" priority="503">
      <formula>LEN(TRIM(C71))=0</formula>
    </cfRule>
  </conditionalFormatting>
  <conditionalFormatting sqref="C87">
    <cfRule type="containsBlanks" dxfId="1652" priority="492">
      <formula>LEN(TRIM(C87))=0</formula>
    </cfRule>
  </conditionalFormatting>
  <conditionalFormatting sqref="C103">
    <cfRule type="containsBlanks" dxfId="1651" priority="481">
      <formula>LEN(TRIM(C103))=0</formula>
    </cfRule>
  </conditionalFormatting>
  <conditionalFormatting sqref="C119">
    <cfRule type="containsBlanks" dxfId="1650" priority="470">
      <formula>LEN(TRIM(C119))=0</formula>
    </cfRule>
  </conditionalFormatting>
  <conditionalFormatting sqref="C135">
    <cfRule type="containsBlanks" dxfId="1649" priority="459">
      <formula>LEN(TRIM(C135))=0</formula>
    </cfRule>
  </conditionalFormatting>
  <conditionalFormatting sqref="C151">
    <cfRule type="containsBlanks" dxfId="1648" priority="448">
      <formula>LEN(TRIM(C151))=0</formula>
    </cfRule>
  </conditionalFormatting>
  <conditionalFormatting sqref="C167">
    <cfRule type="containsBlanks" dxfId="1647" priority="437">
      <formula>LEN(TRIM(C167))=0</formula>
    </cfRule>
  </conditionalFormatting>
  <conditionalFormatting sqref="C183">
    <cfRule type="containsBlanks" dxfId="1646" priority="426">
      <formula>LEN(TRIM(C183))=0</formula>
    </cfRule>
  </conditionalFormatting>
  <conditionalFormatting sqref="C199">
    <cfRule type="containsBlanks" dxfId="1645" priority="415">
      <formula>LEN(TRIM(C199))=0</formula>
    </cfRule>
  </conditionalFormatting>
  <conditionalFormatting sqref="C215">
    <cfRule type="containsBlanks" dxfId="1644" priority="404">
      <formula>LEN(TRIM(C215))=0</formula>
    </cfRule>
  </conditionalFormatting>
  <conditionalFormatting sqref="C231">
    <cfRule type="containsBlanks" dxfId="1643" priority="393">
      <formula>LEN(TRIM(C231))=0</formula>
    </cfRule>
  </conditionalFormatting>
  <conditionalFormatting sqref="C247">
    <cfRule type="containsBlanks" dxfId="1642" priority="382">
      <formula>LEN(TRIM(C247))=0</formula>
    </cfRule>
  </conditionalFormatting>
  <conditionalFormatting sqref="C263">
    <cfRule type="containsBlanks" dxfId="1641" priority="371">
      <formula>LEN(TRIM(C263))=0</formula>
    </cfRule>
  </conditionalFormatting>
  <conditionalFormatting sqref="C279">
    <cfRule type="containsBlanks" dxfId="1640" priority="360">
      <formula>LEN(TRIM(C279))=0</formula>
    </cfRule>
  </conditionalFormatting>
  <conditionalFormatting sqref="C295">
    <cfRule type="containsBlanks" dxfId="1639" priority="349">
      <formula>LEN(TRIM(C295))=0</formula>
    </cfRule>
  </conditionalFormatting>
  <conditionalFormatting sqref="C311">
    <cfRule type="containsBlanks" dxfId="1638" priority="338">
      <formula>LEN(TRIM(C311))=0</formula>
    </cfRule>
  </conditionalFormatting>
  <conditionalFormatting sqref="C327">
    <cfRule type="containsBlanks" dxfId="1637" priority="327">
      <formula>LEN(TRIM(C327))=0</formula>
    </cfRule>
  </conditionalFormatting>
  <conditionalFormatting sqref="C343">
    <cfRule type="containsBlanks" dxfId="1636" priority="316">
      <formula>LEN(TRIM(C343))=0</formula>
    </cfRule>
  </conditionalFormatting>
  <conditionalFormatting sqref="C359">
    <cfRule type="containsBlanks" dxfId="1635" priority="305">
      <formula>LEN(TRIM(C359))=0</formula>
    </cfRule>
  </conditionalFormatting>
  <conditionalFormatting sqref="C375">
    <cfRule type="containsBlanks" dxfId="1634" priority="294">
      <formula>LEN(TRIM(C375))=0</formula>
    </cfRule>
  </conditionalFormatting>
  <conditionalFormatting sqref="C391">
    <cfRule type="containsBlanks" dxfId="1633" priority="283">
      <formula>LEN(TRIM(C391))=0</formula>
    </cfRule>
  </conditionalFormatting>
  <conditionalFormatting sqref="C407">
    <cfRule type="containsBlanks" dxfId="1632" priority="272">
      <formula>LEN(TRIM(C407))=0</formula>
    </cfRule>
  </conditionalFormatting>
  <conditionalFormatting sqref="C423">
    <cfRule type="containsBlanks" dxfId="1631" priority="261">
      <formula>LEN(TRIM(C423))=0</formula>
    </cfRule>
  </conditionalFormatting>
  <conditionalFormatting sqref="C439">
    <cfRule type="containsBlanks" dxfId="1630" priority="250">
      <formula>LEN(TRIM(C439))=0</formula>
    </cfRule>
  </conditionalFormatting>
  <conditionalFormatting sqref="C455">
    <cfRule type="containsBlanks" dxfId="1629" priority="239">
      <formula>LEN(TRIM(C455))=0</formula>
    </cfRule>
  </conditionalFormatting>
  <conditionalFormatting sqref="C471">
    <cfRule type="containsBlanks" dxfId="1628" priority="228">
      <formula>LEN(TRIM(C471))=0</formula>
    </cfRule>
  </conditionalFormatting>
  <conditionalFormatting sqref="C487">
    <cfRule type="containsBlanks" dxfId="1627" priority="217">
      <formula>LEN(TRIM(C487))=0</formula>
    </cfRule>
  </conditionalFormatting>
  <conditionalFormatting sqref="C503">
    <cfRule type="containsBlanks" dxfId="1626" priority="206">
      <formula>LEN(TRIM(C503))=0</formula>
    </cfRule>
  </conditionalFormatting>
  <conditionalFormatting sqref="C519">
    <cfRule type="containsBlanks" dxfId="1625" priority="195">
      <formula>LEN(TRIM(C519))=0</formula>
    </cfRule>
  </conditionalFormatting>
  <conditionalFormatting sqref="C535">
    <cfRule type="containsBlanks" dxfId="1624" priority="184">
      <formula>LEN(TRIM(C535))=0</formula>
    </cfRule>
  </conditionalFormatting>
  <conditionalFormatting sqref="C551">
    <cfRule type="containsBlanks" dxfId="1623" priority="173">
      <formula>LEN(TRIM(C551))=0</formula>
    </cfRule>
  </conditionalFormatting>
  <conditionalFormatting sqref="C567">
    <cfRule type="containsBlanks" dxfId="1622" priority="162">
      <formula>LEN(TRIM(C567))=0</formula>
    </cfRule>
  </conditionalFormatting>
  <conditionalFormatting sqref="C583">
    <cfRule type="containsBlanks" dxfId="1621" priority="151">
      <formula>LEN(TRIM(C583))=0</formula>
    </cfRule>
  </conditionalFormatting>
  <conditionalFormatting sqref="C599">
    <cfRule type="containsBlanks" dxfId="1620" priority="140">
      <formula>LEN(TRIM(C599))=0</formula>
    </cfRule>
  </conditionalFormatting>
  <conditionalFormatting sqref="C615">
    <cfRule type="containsBlanks" dxfId="1619" priority="129">
      <formula>LEN(TRIM(C615))=0</formula>
    </cfRule>
  </conditionalFormatting>
  <conditionalFormatting sqref="C631">
    <cfRule type="containsBlanks" dxfId="1618" priority="118">
      <formula>LEN(TRIM(C631))=0</formula>
    </cfRule>
  </conditionalFormatting>
  <conditionalFormatting sqref="C647">
    <cfRule type="containsBlanks" dxfId="1617" priority="107">
      <formula>LEN(TRIM(C647))=0</formula>
    </cfRule>
  </conditionalFormatting>
  <conditionalFormatting sqref="C663">
    <cfRule type="containsBlanks" dxfId="1616" priority="96">
      <formula>LEN(TRIM(C663))=0</formula>
    </cfRule>
  </conditionalFormatting>
  <conditionalFormatting sqref="C679">
    <cfRule type="containsBlanks" dxfId="1615" priority="85">
      <formula>LEN(TRIM(C679))=0</formula>
    </cfRule>
  </conditionalFormatting>
  <conditionalFormatting sqref="C695">
    <cfRule type="containsBlanks" dxfId="1614" priority="74">
      <formula>LEN(TRIM(C695))=0</formula>
    </cfRule>
  </conditionalFormatting>
  <conditionalFormatting sqref="C711">
    <cfRule type="containsBlanks" dxfId="1613" priority="63">
      <formula>LEN(TRIM(C711))=0</formula>
    </cfRule>
  </conditionalFormatting>
  <conditionalFormatting sqref="C727">
    <cfRule type="containsBlanks" dxfId="1612" priority="52">
      <formula>LEN(TRIM(C727))=0</formula>
    </cfRule>
  </conditionalFormatting>
  <conditionalFormatting sqref="C743">
    <cfRule type="containsBlanks" dxfId="1611" priority="41">
      <formula>LEN(TRIM(C743))=0</formula>
    </cfRule>
  </conditionalFormatting>
  <conditionalFormatting sqref="C759">
    <cfRule type="containsBlanks" dxfId="1610" priority="30">
      <formula>LEN(TRIM(C759))=0</formula>
    </cfRule>
  </conditionalFormatting>
  <conditionalFormatting sqref="C775">
    <cfRule type="containsBlanks" dxfId="1609" priority="19">
      <formula>LEN(TRIM(C775))=0</formula>
    </cfRule>
  </conditionalFormatting>
  <conditionalFormatting sqref="C791">
    <cfRule type="containsBlanks" dxfId="1608" priority="8">
      <formula>LEN(TRIM(C791))=0</formula>
    </cfRule>
  </conditionalFormatting>
  <conditionalFormatting sqref="C16:D16">
    <cfRule type="expression" dxfId="1607" priority="788">
      <formula>$E18="懸念事項"</formula>
    </cfRule>
  </conditionalFormatting>
  <conditionalFormatting sqref="C32:D32">
    <cfRule type="expression" dxfId="1606" priority="529">
      <formula>$E34="懸念事項"</formula>
    </cfRule>
  </conditionalFormatting>
  <conditionalFormatting sqref="C48:D48">
    <cfRule type="expression" dxfId="1605" priority="518">
      <formula>$E50="懸念事項"</formula>
    </cfRule>
  </conditionalFormatting>
  <conditionalFormatting sqref="C64:D64">
    <cfRule type="expression" dxfId="1604" priority="507">
      <formula>$E66="懸念事項"</formula>
    </cfRule>
  </conditionalFormatting>
  <conditionalFormatting sqref="C80:D80">
    <cfRule type="expression" dxfId="1603" priority="496">
      <formula>$E82="懸念事項"</formula>
    </cfRule>
  </conditionalFormatting>
  <conditionalFormatting sqref="C96:D96">
    <cfRule type="expression" dxfId="1602" priority="485">
      <formula>$E98="懸念事項"</formula>
    </cfRule>
  </conditionalFormatting>
  <conditionalFormatting sqref="C112:D112">
    <cfRule type="expression" dxfId="1601" priority="474">
      <formula>$E114="懸念事項"</formula>
    </cfRule>
  </conditionalFormatting>
  <conditionalFormatting sqref="C128:D128">
    <cfRule type="expression" dxfId="1600" priority="463">
      <formula>$E130="懸念事項"</formula>
    </cfRule>
  </conditionalFormatting>
  <conditionalFormatting sqref="C144:D144">
    <cfRule type="expression" dxfId="1599" priority="452">
      <formula>$E146="懸念事項"</formula>
    </cfRule>
  </conditionalFormatting>
  <conditionalFormatting sqref="C160:D160">
    <cfRule type="expression" dxfId="1598" priority="441">
      <formula>$E162="懸念事項"</formula>
    </cfRule>
  </conditionalFormatting>
  <conditionalFormatting sqref="C176:D176">
    <cfRule type="expression" dxfId="1597" priority="430">
      <formula>$E178="懸念事項"</formula>
    </cfRule>
  </conditionalFormatting>
  <conditionalFormatting sqref="C192:D192">
    <cfRule type="expression" dxfId="1596" priority="419">
      <formula>$E194="懸念事項"</formula>
    </cfRule>
  </conditionalFormatting>
  <conditionalFormatting sqref="C208:D208">
    <cfRule type="expression" dxfId="1595" priority="408">
      <formula>$E210="懸念事項"</formula>
    </cfRule>
  </conditionalFormatting>
  <conditionalFormatting sqref="C224:D224">
    <cfRule type="expression" dxfId="1594" priority="397">
      <formula>$E226="懸念事項"</formula>
    </cfRule>
  </conditionalFormatting>
  <conditionalFormatting sqref="C240:D240">
    <cfRule type="expression" dxfId="1593" priority="386">
      <formula>$E242="懸念事項"</formula>
    </cfRule>
  </conditionalFormatting>
  <conditionalFormatting sqref="C256:D256">
    <cfRule type="expression" dxfId="1592" priority="375">
      <formula>$E258="懸念事項"</formula>
    </cfRule>
  </conditionalFormatting>
  <conditionalFormatting sqref="C272:D272">
    <cfRule type="expression" dxfId="1591" priority="364">
      <formula>$E274="懸念事項"</formula>
    </cfRule>
  </conditionalFormatting>
  <conditionalFormatting sqref="C288:D288">
    <cfRule type="expression" dxfId="1590" priority="353">
      <formula>$E290="懸念事項"</formula>
    </cfRule>
  </conditionalFormatting>
  <conditionalFormatting sqref="C304:D304">
    <cfRule type="expression" dxfId="1589" priority="342">
      <formula>$E306="懸念事項"</formula>
    </cfRule>
  </conditionalFormatting>
  <conditionalFormatting sqref="C320:D320">
    <cfRule type="expression" dxfId="1588" priority="331">
      <formula>$E322="懸念事項"</formula>
    </cfRule>
  </conditionalFormatting>
  <conditionalFormatting sqref="C336:D336">
    <cfRule type="expression" dxfId="1587" priority="320">
      <formula>$E338="懸念事項"</formula>
    </cfRule>
  </conditionalFormatting>
  <conditionalFormatting sqref="C352:D352">
    <cfRule type="expression" dxfId="1586" priority="309">
      <formula>$E354="懸念事項"</formula>
    </cfRule>
  </conditionalFormatting>
  <conditionalFormatting sqref="C368:D368">
    <cfRule type="expression" dxfId="1585" priority="298">
      <formula>$E370="懸念事項"</formula>
    </cfRule>
  </conditionalFormatting>
  <conditionalFormatting sqref="C384:D384">
    <cfRule type="expression" dxfId="1584" priority="287">
      <formula>$E386="懸念事項"</formula>
    </cfRule>
  </conditionalFormatting>
  <conditionalFormatting sqref="C400:D400">
    <cfRule type="expression" dxfId="1583" priority="276">
      <formula>$E402="懸念事項"</formula>
    </cfRule>
  </conditionalFormatting>
  <conditionalFormatting sqref="C416:D416">
    <cfRule type="expression" dxfId="1582" priority="265">
      <formula>$E418="懸念事項"</formula>
    </cfRule>
  </conditionalFormatting>
  <conditionalFormatting sqref="C432:D432">
    <cfRule type="expression" dxfId="1581" priority="254">
      <formula>$E434="懸念事項"</formula>
    </cfRule>
  </conditionalFormatting>
  <conditionalFormatting sqref="C448:D448">
    <cfRule type="expression" dxfId="1580" priority="243">
      <formula>$E450="懸念事項"</formula>
    </cfRule>
  </conditionalFormatting>
  <conditionalFormatting sqref="C464:D464">
    <cfRule type="expression" dxfId="1579" priority="232">
      <formula>$E466="懸念事項"</formula>
    </cfRule>
  </conditionalFormatting>
  <conditionalFormatting sqref="C480:D480">
    <cfRule type="expression" dxfId="1578" priority="221">
      <formula>$E482="懸念事項"</formula>
    </cfRule>
  </conditionalFormatting>
  <conditionalFormatting sqref="C496:D496">
    <cfRule type="expression" dxfId="1577" priority="210">
      <formula>$E498="懸念事項"</formula>
    </cfRule>
  </conditionalFormatting>
  <conditionalFormatting sqref="C512:D512">
    <cfRule type="expression" dxfId="1576" priority="199">
      <formula>$E514="懸念事項"</formula>
    </cfRule>
  </conditionalFormatting>
  <conditionalFormatting sqref="C528:D528">
    <cfRule type="expression" dxfId="1575" priority="188">
      <formula>$E530="懸念事項"</formula>
    </cfRule>
  </conditionalFormatting>
  <conditionalFormatting sqref="C544:D544">
    <cfRule type="expression" dxfId="1574" priority="177">
      <formula>$E546="懸念事項"</formula>
    </cfRule>
  </conditionalFormatting>
  <conditionalFormatting sqref="C560:D560">
    <cfRule type="expression" dxfId="1573" priority="166">
      <formula>$E562="懸念事項"</formula>
    </cfRule>
  </conditionalFormatting>
  <conditionalFormatting sqref="C576:D576">
    <cfRule type="expression" dxfId="1572" priority="155">
      <formula>$E578="懸念事項"</formula>
    </cfRule>
  </conditionalFormatting>
  <conditionalFormatting sqref="C592:D592">
    <cfRule type="expression" dxfId="1571" priority="144">
      <formula>$E594="懸念事項"</formula>
    </cfRule>
  </conditionalFormatting>
  <conditionalFormatting sqref="C608:D608">
    <cfRule type="expression" dxfId="1570" priority="133">
      <formula>$E610="懸念事項"</formula>
    </cfRule>
  </conditionalFormatting>
  <conditionalFormatting sqref="C624:D624">
    <cfRule type="expression" dxfId="1569" priority="122">
      <formula>$E626="懸念事項"</formula>
    </cfRule>
  </conditionalFormatting>
  <conditionalFormatting sqref="C640:D640">
    <cfRule type="expression" dxfId="1568" priority="111">
      <formula>$E642="懸念事項"</formula>
    </cfRule>
  </conditionalFormatting>
  <conditionalFormatting sqref="C656:D656">
    <cfRule type="expression" dxfId="1567" priority="100">
      <formula>$E658="懸念事項"</formula>
    </cfRule>
  </conditionalFormatting>
  <conditionalFormatting sqref="C672:D672">
    <cfRule type="expression" dxfId="1566" priority="89">
      <formula>$E674="懸念事項"</formula>
    </cfRule>
  </conditionalFormatting>
  <conditionalFormatting sqref="C688:D688">
    <cfRule type="expression" dxfId="1565" priority="78">
      <formula>$E690="懸念事項"</formula>
    </cfRule>
  </conditionalFormatting>
  <conditionalFormatting sqref="C704:D704">
    <cfRule type="expression" dxfId="1564" priority="67">
      <formula>$E706="懸念事項"</formula>
    </cfRule>
  </conditionalFormatting>
  <conditionalFormatting sqref="C720:D720">
    <cfRule type="expression" dxfId="1563" priority="56">
      <formula>$E722="懸念事項"</formula>
    </cfRule>
  </conditionalFormatting>
  <conditionalFormatting sqref="C736:D736">
    <cfRule type="expression" dxfId="1562" priority="45">
      <formula>$E738="懸念事項"</formula>
    </cfRule>
  </conditionalFormatting>
  <conditionalFormatting sqref="C752:D752">
    <cfRule type="expression" dxfId="1561" priority="34">
      <formula>$E754="懸念事項"</formula>
    </cfRule>
  </conditionalFormatting>
  <conditionalFormatting sqref="C768:D768">
    <cfRule type="expression" dxfId="1560" priority="23">
      <formula>$E770="懸念事項"</formula>
    </cfRule>
  </conditionalFormatting>
  <conditionalFormatting sqref="C784:D784">
    <cfRule type="expression" dxfId="1559" priority="12">
      <formula>$E786="懸念事項"</formula>
    </cfRule>
  </conditionalFormatting>
  <conditionalFormatting sqref="C800:D800">
    <cfRule type="expression" dxfId="1558" priority="1">
      <formula>$E802="懸念事項"</formula>
    </cfRule>
  </conditionalFormatting>
  <conditionalFormatting sqref="C11:L16">
    <cfRule type="expression" dxfId="1557" priority="1118">
      <formula>$R11=""</formula>
    </cfRule>
  </conditionalFormatting>
  <conditionalFormatting sqref="C27:L32">
    <cfRule type="expression" dxfId="1556" priority="531">
      <formula>$R27=""</formula>
    </cfRule>
  </conditionalFormatting>
  <conditionalFormatting sqref="C43:L48">
    <cfRule type="expression" dxfId="1555" priority="520">
      <formula>$R43=""</formula>
    </cfRule>
  </conditionalFormatting>
  <conditionalFormatting sqref="C59:L64">
    <cfRule type="expression" dxfId="1554" priority="509">
      <formula>$R59=""</formula>
    </cfRule>
  </conditionalFormatting>
  <conditionalFormatting sqref="C75:L80">
    <cfRule type="expression" dxfId="1553" priority="498">
      <formula>$R75=""</formula>
    </cfRule>
  </conditionalFormatting>
  <conditionalFormatting sqref="C91:L96">
    <cfRule type="expression" dxfId="1552" priority="487">
      <formula>$R91=""</formula>
    </cfRule>
  </conditionalFormatting>
  <conditionalFormatting sqref="C107:L112">
    <cfRule type="expression" dxfId="1551" priority="476">
      <formula>$R107=""</formula>
    </cfRule>
  </conditionalFormatting>
  <conditionalFormatting sqref="C123:L128">
    <cfRule type="expression" dxfId="1550" priority="465">
      <formula>$R123=""</formula>
    </cfRule>
  </conditionalFormatting>
  <conditionalFormatting sqref="C139:L144">
    <cfRule type="expression" dxfId="1549" priority="454">
      <formula>$R139=""</formula>
    </cfRule>
  </conditionalFormatting>
  <conditionalFormatting sqref="C155:L160">
    <cfRule type="expression" dxfId="1548" priority="443">
      <formula>$R155=""</formula>
    </cfRule>
  </conditionalFormatting>
  <conditionalFormatting sqref="C171:L176">
    <cfRule type="expression" dxfId="1547" priority="432">
      <formula>$R171=""</formula>
    </cfRule>
  </conditionalFormatting>
  <conditionalFormatting sqref="C187:L192">
    <cfRule type="expression" dxfId="1546" priority="421">
      <formula>$R187=""</formula>
    </cfRule>
  </conditionalFormatting>
  <conditionalFormatting sqref="C203:L208">
    <cfRule type="expression" dxfId="1545" priority="410">
      <formula>$R203=""</formula>
    </cfRule>
  </conditionalFormatting>
  <conditionalFormatting sqref="C219:L224">
    <cfRule type="expression" dxfId="1544" priority="399">
      <formula>$R219=""</formula>
    </cfRule>
  </conditionalFormatting>
  <conditionalFormatting sqref="C235:L240">
    <cfRule type="expression" dxfId="1543" priority="388">
      <formula>$R235=""</formula>
    </cfRule>
  </conditionalFormatting>
  <conditionalFormatting sqref="C251:L256">
    <cfRule type="expression" dxfId="1542" priority="377">
      <formula>$R251=""</formula>
    </cfRule>
  </conditionalFormatting>
  <conditionalFormatting sqref="C267:L272">
    <cfRule type="expression" dxfId="1541" priority="366">
      <formula>$R267=""</formula>
    </cfRule>
  </conditionalFormatting>
  <conditionalFormatting sqref="C283:L288">
    <cfRule type="expression" dxfId="1540" priority="355">
      <formula>$R283=""</formula>
    </cfRule>
  </conditionalFormatting>
  <conditionalFormatting sqref="C299:L304">
    <cfRule type="expression" dxfId="1539" priority="344">
      <formula>$R299=""</formula>
    </cfRule>
  </conditionalFormatting>
  <conditionalFormatting sqref="C315:L320">
    <cfRule type="expression" dxfId="1538" priority="333">
      <formula>$R315=""</formula>
    </cfRule>
  </conditionalFormatting>
  <conditionalFormatting sqref="C331:L336">
    <cfRule type="expression" dxfId="1537" priority="322">
      <formula>$R331=""</formula>
    </cfRule>
  </conditionalFormatting>
  <conditionalFormatting sqref="C347:L352">
    <cfRule type="expression" dxfId="1536" priority="311">
      <formula>$R347=""</formula>
    </cfRule>
  </conditionalFormatting>
  <conditionalFormatting sqref="C363:L368">
    <cfRule type="expression" dxfId="1535" priority="300">
      <formula>$R363=""</formula>
    </cfRule>
  </conditionalFormatting>
  <conditionalFormatting sqref="C379:L384">
    <cfRule type="expression" dxfId="1534" priority="289">
      <formula>$R379=""</formula>
    </cfRule>
  </conditionalFormatting>
  <conditionalFormatting sqref="C395:L400">
    <cfRule type="expression" dxfId="1533" priority="278">
      <formula>$R395=""</formula>
    </cfRule>
  </conditionalFormatting>
  <conditionalFormatting sqref="C411:L416">
    <cfRule type="expression" dxfId="1532" priority="267">
      <formula>$R411=""</formula>
    </cfRule>
  </conditionalFormatting>
  <conditionalFormatting sqref="C427:L432">
    <cfRule type="expression" dxfId="1531" priority="256">
      <formula>$R427=""</formula>
    </cfRule>
  </conditionalFormatting>
  <conditionalFormatting sqref="C443:L448">
    <cfRule type="expression" dxfId="1530" priority="245">
      <formula>$R443=""</formula>
    </cfRule>
  </conditionalFormatting>
  <conditionalFormatting sqref="C459:L464">
    <cfRule type="expression" dxfId="1529" priority="234">
      <formula>$R459=""</formula>
    </cfRule>
  </conditionalFormatting>
  <conditionalFormatting sqref="C475:L480">
    <cfRule type="expression" dxfId="1528" priority="223">
      <formula>$R475=""</formula>
    </cfRule>
  </conditionalFormatting>
  <conditionalFormatting sqref="C491:L496">
    <cfRule type="expression" dxfId="1527" priority="212">
      <formula>$R491=""</formula>
    </cfRule>
  </conditionalFormatting>
  <conditionalFormatting sqref="C507:L512">
    <cfRule type="expression" dxfId="1526" priority="201">
      <formula>$R507=""</formula>
    </cfRule>
  </conditionalFormatting>
  <conditionalFormatting sqref="C523:L528">
    <cfRule type="expression" dxfId="1525" priority="190">
      <formula>$R523=""</formula>
    </cfRule>
  </conditionalFormatting>
  <conditionalFormatting sqref="C539:L544">
    <cfRule type="expression" dxfId="1524" priority="179">
      <formula>$R539=""</formula>
    </cfRule>
  </conditionalFormatting>
  <conditionalFormatting sqref="C555:L560">
    <cfRule type="expression" dxfId="1523" priority="168">
      <formula>$R555=""</formula>
    </cfRule>
  </conditionalFormatting>
  <conditionalFormatting sqref="C571:L576">
    <cfRule type="expression" dxfId="1522" priority="157">
      <formula>$R571=""</formula>
    </cfRule>
  </conditionalFormatting>
  <conditionalFormatting sqref="C587:L592">
    <cfRule type="expression" dxfId="1521" priority="146">
      <formula>$R587=""</formula>
    </cfRule>
  </conditionalFormatting>
  <conditionalFormatting sqref="C603:L608">
    <cfRule type="expression" dxfId="1520" priority="135">
      <formula>$R603=""</formula>
    </cfRule>
  </conditionalFormatting>
  <conditionalFormatting sqref="C619:L624">
    <cfRule type="expression" dxfId="1519" priority="124">
      <formula>$R619=""</formula>
    </cfRule>
  </conditionalFormatting>
  <conditionalFormatting sqref="C635:L640">
    <cfRule type="expression" dxfId="1518" priority="113">
      <formula>$R635=""</formula>
    </cfRule>
  </conditionalFormatting>
  <conditionalFormatting sqref="C651:L656">
    <cfRule type="expression" dxfId="1517" priority="102">
      <formula>$R651=""</formula>
    </cfRule>
  </conditionalFormatting>
  <conditionalFormatting sqref="C667:L672">
    <cfRule type="expression" dxfId="1516" priority="91">
      <formula>$R667=""</formula>
    </cfRule>
  </conditionalFormatting>
  <conditionalFormatting sqref="C683:L688">
    <cfRule type="expression" dxfId="1515" priority="80">
      <formula>$R683=""</formula>
    </cfRule>
  </conditionalFormatting>
  <conditionalFormatting sqref="C699:L704">
    <cfRule type="expression" dxfId="1514" priority="69">
      <formula>$R699=""</formula>
    </cfRule>
  </conditionalFormatting>
  <conditionalFormatting sqref="C715:L720">
    <cfRule type="expression" dxfId="1513" priority="58">
      <formula>$R715=""</formula>
    </cfRule>
  </conditionalFormatting>
  <conditionalFormatting sqref="C731:L736">
    <cfRule type="expression" dxfId="1512" priority="47">
      <formula>$R731=""</formula>
    </cfRule>
  </conditionalFormatting>
  <conditionalFormatting sqref="C747:L752">
    <cfRule type="expression" dxfId="1511" priority="36">
      <formula>$R747=""</formula>
    </cfRule>
  </conditionalFormatting>
  <conditionalFormatting sqref="C763:L768">
    <cfRule type="expression" dxfId="1510" priority="25">
      <formula>$R763=""</formula>
    </cfRule>
  </conditionalFormatting>
  <conditionalFormatting sqref="C779:L784">
    <cfRule type="expression" dxfId="1509" priority="14">
      <formula>$R779=""</formula>
    </cfRule>
  </conditionalFormatting>
  <conditionalFormatting sqref="C795:L800">
    <cfRule type="expression" dxfId="1508" priority="3">
      <formula>$R795=""</formula>
    </cfRule>
  </conditionalFormatting>
  <conditionalFormatting sqref="D7:D8">
    <cfRule type="containsText" dxfId="1507" priority="966" operator="containsText" text="選択してください">
      <formula>NOT(ISERROR(SEARCH("選択してください",D7)))</formula>
    </cfRule>
  </conditionalFormatting>
  <conditionalFormatting sqref="D23:D24">
    <cfRule type="containsText" dxfId="1506" priority="530" operator="containsText" text="選択してください">
      <formula>NOT(ISERROR(SEARCH("選択してください",D23)))</formula>
    </cfRule>
  </conditionalFormatting>
  <conditionalFormatting sqref="D39:D40">
    <cfRule type="containsText" dxfId="1505" priority="519" operator="containsText" text="選択してください">
      <formula>NOT(ISERROR(SEARCH("選択してください",D39)))</formula>
    </cfRule>
  </conditionalFormatting>
  <conditionalFormatting sqref="D55:D56">
    <cfRule type="containsText" dxfId="1504" priority="508" operator="containsText" text="選択してください">
      <formula>NOT(ISERROR(SEARCH("選択してください",D55)))</formula>
    </cfRule>
  </conditionalFormatting>
  <conditionalFormatting sqref="D71:D72">
    <cfRule type="containsText" dxfId="1503" priority="497" operator="containsText" text="選択してください">
      <formula>NOT(ISERROR(SEARCH("選択してください",D71)))</formula>
    </cfRule>
  </conditionalFormatting>
  <conditionalFormatting sqref="D87:D88">
    <cfRule type="containsText" dxfId="1502" priority="486" operator="containsText" text="選択してください">
      <formula>NOT(ISERROR(SEARCH("選択してください",D87)))</formula>
    </cfRule>
  </conditionalFormatting>
  <conditionalFormatting sqref="D103:D104">
    <cfRule type="containsText" dxfId="1501" priority="475" operator="containsText" text="選択してください">
      <formula>NOT(ISERROR(SEARCH("選択してください",D103)))</formula>
    </cfRule>
  </conditionalFormatting>
  <conditionalFormatting sqref="D119:D120">
    <cfRule type="containsText" dxfId="1500" priority="464" operator="containsText" text="選択してください">
      <formula>NOT(ISERROR(SEARCH("選択してください",D119)))</formula>
    </cfRule>
  </conditionalFormatting>
  <conditionalFormatting sqref="D135:D136">
    <cfRule type="containsText" dxfId="1499" priority="453" operator="containsText" text="選択してください">
      <formula>NOT(ISERROR(SEARCH("選択してください",D135)))</formula>
    </cfRule>
  </conditionalFormatting>
  <conditionalFormatting sqref="D151:D152">
    <cfRule type="containsText" dxfId="1498" priority="442" operator="containsText" text="選択してください">
      <formula>NOT(ISERROR(SEARCH("選択してください",D151)))</formula>
    </cfRule>
  </conditionalFormatting>
  <conditionalFormatting sqref="D167:D168">
    <cfRule type="containsText" dxfId="1497" priority="431" operator="containsText" text="選択してください">
      <formula>NOT(ISERROR(SEARCH("選択してください",D167)))</formula>
    </cfRule>
  </conditionalFormatting>
  <conditionalFormatting sqref="D183:D184">
    <cfRule type="containsText" dxfId="1496" priority="420" operator="containsText" text="選択してください">
      <formula>NOT(ISERROR(SEARCH("選択してください",D183)))</formula>
    </cfRule>
  </conditionalFormatting>
  <conditionalFormatting sqref="D199:D200">
    <cfRule type="containsText" dxfId="1495" priority="409" operator="containsText" text="選択してください">
      <formula>NOT(ISERROR(SEARCH("選択してください",D199)))</formula>
    </cfRule>
  </conditionalFormatting>
  <conditionalFormatting sqref="D215:D216">
    <cfRule type="containsText" dxfId="1494" priority="398" operator="containsText" text="選択してください">
      <formula>NOT(ISERROR(SEARCH("選択してください",D215)))</formula>
    </cfRule>
  </conditionalFormatting>
  <conditionalFormatting sqref="D231:D232">
    <cfRule type="containsText" dxfId="1493" priority="387" operator="containsText" text="選択してください">
      <formula>NOT(ISERROR(SEARCH("選択してください",D231)))</formula>
    </cfRule>
  </conditionalFormatting>
  <conditionalFormatting sqref="D247:D248">
    <cfRule type="containsText" dxfId="1492" priority="376" operator="containsText" text="選択してください">
      <formula>NOT(ISERROR(SEARCH("選択してください",D247)))</formula>
    </cfRule>
  </conditionalFormatting>
  <conditionalFormatting sqref="D263:D264">
    <cfRule type="containsText" dxfId="1491" priority="365" operator="containsText" text="選択してください">
      <formula>NOT(ISERROR(SEARCH("選択してください",D263)))</formula>
    </cfRule>
  </conditionalFormatting>
  <conditionalFormatting sqref="D279:D280">
    <cfRule type="containsText" dxfId="1490" priority="354" operator="containsText" text="選択してください">
      <formula>NOT(ISERROR(SEARCH("選択してください",D279)))</formula>
    </cfRule>
  </conditionalFormatting>
  <conditionalFormatting sqref="D295:D296">
    <cfRule type="containsText" dxfId="1489" priority="343" operator="containsText" text="選択してください">
      <formula>NOT(ISERROR(SEARCH("選択してください",D295)))</formula>
    </cfRule>
  </conditionalFormatting>
  <conditionalFormatting sqref="D311:D312">
    <cfRule type="containsText" dxfId="1488" priority="332" operator="containsText" text="選択してください">
      <formula>NOT(ISERROR(SEARCH("選択してください",D311)))</formula>
    </cfRule>
  </conditionalFormatting>
  <conditionalFormatting sqref="D327:D328">
    <cfRule type="containsText" dxfId="1487" priority="321" operator="containsText" text="選択してください">
      <formula>NOT(ISERROR(SEARCH("選択してください",D327)))</formula>
    </cfRule>
  </conditionalFormatting>
  <conditionalFormatting sqref="D343:D344">
    <cfRule type="containsText" dxfId="1486" priority="310" operator="containsText" text="選択してください">
      <formula>NOT(ISERROR(SEARCH("選択してください",D343)))</formula>
    </cfRule>
  </conditionalFormatting>
  <conditionalFormatting sqref="D359:D360">
    <cfRule type="containsText" dxfId="1485" priority="299" operator="containsText" text="選択してください">
      <formula>NOT(ISERROR(SEARCH("選択してください",D359)))</formula>
    </cfRule>
  </conditionalFormatting>
  <conditionalFormatting sqref="D375:D376">
    <cfRule type="containsText" dxfId="1484" priority="288" operator="containsText" text="選択してください">
      <formula>NOT(ISERROR(SEARCH("選択してください",D375)))</formula>
    </cfRule>
  </conditionalFormatting>
  <conditionalFormatting sqref="D391:D392">
    <cfRule type="containsText" dxfId="1483" priority="277" operator="containsText" text="選択してください">
      <formula>NOT(ISERROR(SEARCH("選択してください",D391)))</formula>
    </cfRule>
  </conditionalFormatting>
  <conditionalFormatting sqref="D407:D408">
    <cfRule type="containsText" dxfId="1482" priority="266" operator="containsText" text="選択してください">
      <formula>NOT(ISERROR(SEARCH("選択してください",D407)))</formula>
    </cfRule>
  </conditionalFormatting>
  <conditionalFormatting sqref="D423:D424">
    <cfRule type="containsText" dxfId="1481" priority="255" operator="containsText" text="選択してください">
      <formula>NOT(ISERROR(SEARCH("選択してください",D423)))</formula>
    </cfRule>
  </conditionalFormatting>
  <conditionalFormatting sqref="D439:D440">
    <cfRule type="containsText" dxfId="1480" priority="244" operator="containsText" text="選択してください">
      <formula>NOT(ISERROR(SEARCH("選択してください",D439)))</formula>
    </cfRule>
  </conditionalFormatting>
  <conditionalFormatting sqref="D455:D456">
    <cfRule type="containsText" dxfId="1479" priority="233" operator="containsText" text="選択してください">
      <formula>NOT(ISERROR(SEARCH("選択してください",D455)))</formula>
    </cfRule>
  </conditionalFormatting>
  <conditionalFormatting sqref="D471:D472">
    <cfRule type="containsText" dxfId="1478" priority="222" operator="containsText" text="選択してください">
      <formula>NOT(ISERROR(SEARCH("選択してください",D471)))</formula>
    </cfRule>
  </conditionalFormatting>
  <conditionalFormatting sqref="D487:D488">
    <cfRule type="containsText" dxfId="1477" priority="211" operator="containsText" text="選択してください">
      <formula>NOT(ISERROR(SEARCH("選択してください",D487)))</formula>
    </cfRule>
  </conditionalFormatting>
  <conditionalFormatting sqref="D503:D504">
    <cfRule type="containsText" dxfId="1476" priority="200" operator="containsText" text="選択してください">
      <formula>NOT(ISERROR(SEARCH("選択してください",D503)))</formula>
    </cfRule>
  </conditionalFormatting>
  <conditionalFormatting sqref="D519:D520">
    <cfRule type="containsText" dxfId="1475" priority="189" operator="containsText" text="選択してください">
      <formula>NOT(ISERROR(SEARCH("選択してください",D519)))</formula>
    </cfRule>
  </conditionalFormatting>
  <conditionalFormatting sqref="D535:D536">
    <cfRule type="containsText" dxfId="1474" priority="178" operator="containsText" text="選択してください">
      <formula>NOT(ISERROR(SEARCH("選択してください",D535)))</formula>
    </cfRule>
  </conditionalFormatting>
  <conditionalFormatting sqref="D551:D552">
    <cfRule type="containsText" dxfId="1473" priority="167" operator="containsText" text="選択してください">
      <formula>NOT(ISERROR(SEARCH("選択してください",D551)))</formula>
    </cfRule>
  </conditionalFormatting>
  <conditionalFormatting sqref="D567:D568">
    <cfRule type="containsText" dxfId="1472" priority="156" operator="containsText" text="選択してください">
      <formula>NOT(ISERROR(SEARCH("選択してください",D567)))</formula>
    </cfRule>
  </conditionalFormatting>
  <conditionalFormatting sqref="D583:D584">
    <cfRule type="containsText" dxfId="1471" priority="145" operator="containsText" text="選択してください">
      <formula>NOT(ISERROR(SEARCH("選択してください",D583)))</formula>
    </cfRule>
  </conditionalFormatting>
  <conditionalFormatting sqref="D599:D600">
    <cfRule type="containsText" dxfId="1470" priority="134" operator="containsText" text="選択してください">
      <formula>NOT(ISERROR(SEARCH("選択してください",D599)))</formula>
    </cfRule>
  </conditionalFormatting>
  <conditionalFormatting sqref="D615:D616">
    <cfRule type="containsText" dxfId="1469" priority="123" operator="containsText" text="選択してください">
      <formula>NOT(ISERROR(SEARCH("選択してください",D615)))</formula>
    </cfRule>
  </conditionalFormatting>
  <conditionalFormatting sqref="D631:D632">
    <cfRule type="containsText" dxfId="1468" priority="112" operator="containsText" text="選択してください">
      <formula>NOT(ISERROR(SEARCH("選択してください",D631)))</formula>
    </cfRule>
  </conditionalFormatting>
  <conditionalFormatting sqref="D647:D648">
    <cfRule type="containsText" dxfId="1467" priority="101" operator="containsText" text="選択してください">
      <formula>NOT(ISERROR(SEARCH("選択してください",D647)))</formula>
    </cfRule>
  </conditionalFormatting>
  <conditionalFormatting sqref="D663:D664">
    <cfRule type="containsText" dxfId="1466" priority="90" operator="containsText" text="選択してください">
      <formula>NOT(ISERROR(SEARCH("選択してください",D663)))</formula>
    </cfRule>
  </conditionalFormatting>
  <conditionalFormatting sqref="D679:D680">
    <cfRule type="containsText" dxfId="1465" priority="79" operator="containsText" text="選択してください">
      <formula>NOT(ISERROR(SEARCH("選択してください",D679)))</formula>
    </cfRule>
  </conditionalFormatting>
  <conditionalFormatting sqref="D695:D696">
    <cfRule type="containsText" dxfId="1464" priority="68" operator="containsText" text="選択してください">
      <formula>NOT(ISERROR(SEARCH("選択してください",D695)))</formula>
    </cfRule>
  </conditionalFormatting>
  <conditionalFormatting sqref="D711:D712">
    <cfRule type="containsText" dxfId="1463" priority="57" operator="containsText" text="選択してください">
      <formula>NOT(ISERROR(SEARCH("選択してください",D711)))</formula>
    </cfRule>
  </conditionalFormatting>
  <conditionalFormatting sqref="D727:D728">
    <cfRule type="containsText" dxfId="1462" priority="46" operator="containsText" text="選択してください">
      <formula>NOT(ISERROR(SEARCH("選択してください",D727)))</formula>
    </cfRule>
  </conditionalFormatting>
  <conditionalFormatting sqref="D743:D744">
    <cfRule type="containsText" dxfId="1461" priority="35" operator="containsText" text="選択してください">
      <formula>NOT(ISERROR(SEARCH("選択してください",D743)))</formula>
    </cfRule>
  </conditionalFormatting>
  <conditionalFormatting sqref="D759:D760">
    <cfRule type="containsText" dxfId="1460" priority="24" operator="containsText" text="選択してください">
      <formula>NOT(ISERROR(SEARCH("選択してください",D759)))</formula>
    </cfRule>
  </conditionalFormatting>
  <conditionalFormatting sqref="D775:D776">
    <cfRule type="containsText" dxfId="1459" priority="13" operator="containsText" text="選択してください">
      <formula>NOT(ISERROR(SEARCH("選択してください",D775)))</formula>
    </cfRule>
  </conditionalFormatting>
  <conditionalFormatting sqref="D791:D792">
    <cfRule type="containsText" dxfId="1458" priority="2" operator="containsText" text="選択してください">
      <formula>NOT(ISERROR(SEARCH("選択してください",D791)))</formula>
    </cfRule>
  </conditionalFormatting>
  <conditionalFormatting sqref="E12:E16">
    <cfRule type="containsText" dxfId="1457" priority="2399" operator="containsText" text="合意形成対象者">
      <formula>NOT(ISERROR(SEARCH("合意形成対象者",E12)))</formula>
    </cfRule>
  </conditionalFormatting>
  <conditionalFormatting sqref="E28:E32">
    <cfRule type="containsText" dxfId="1456" priority="538" operator="containsText" text="合意形成対象者">
      <formula>NOT(ISERROR(SEARCH("合意形成対象者",E28)))</formula>
    </cfRule>
  </conditionalFormatting>
  <conditionalFormatting sqref="E44:E48">
    <cfRule type="containsText" dxfId="1455" priority="527" operator="containsText" text="合意形成対象者">
      <formula>NOT(ISERROR(SEARCH("合意形成対象者",E44)))</formula>
    </cfRule>
  </conditionalFormatting>
  <conditionalFormatting sqref="E60:E64">
    <cfRule type="containsText" dxfId="1454" priority="516" operator="containsText" text="合意形成対象者">
      <formula>NOT(ISERROR(SEARCH("合意形成対象者",E60)))</formula>
    </cfRule>
  </conditionalFormatting>
  <conditionalFormatting sqref="E76:E80">
    <cfRule type="containsText" dxfId="1453" priority="505" operator="containsText" text="合意形成対象者">
      <formula>NOT(ISERROR(SEARCH("合意形成対象者",E76)))</formula>
    </cfRule>
  </conditionalFormatting>
  <conditionalFormatting sqref="E92:E96">
    <cfRule type="containsText" dxfId="1452" priority="494" operator="containsText" text="合意形成対象者">
      <formula>NOT(ISERROR(SEARCH("合意形成対象者",E92)))</formula>
    </cfRule>
  </conditionalFormatting>
  <conditionalFormatting sqref="E108:E112">
    <cfRule type="containsText" dxfId="1451" priority="483" operator="containsText" text="合意形成対象者">
      <formula>NOT(ISERROR(SEARCH("合意形成対象者",E108)))</formula>
    </cfRule>
  </conditionalFormatting>
  <conditionalFormatting sqref="E124:E128">
    <cfRule type="containsText" dxfId="1450" priority="472" operator="containsText" text="合意形成対象者">
      <formula>NOT(ISERROR(SEARCH("合意形成対象者",E124)))</formula>
    </cfRule>
  </conditionalFormatting>
  <conditionalFormatting sqref="E140:E144">
    <cfRule type="containsText" dxfId="1449" priority="461" operator="containsText" text="合意形成対象者">
      <formula>NOT(ISERROR(SEARCH("合意形成対象者",E140)))</formula>
    </cfRule>
  </conditionalFormatting>
  <conditionalFormatting sqref="E156:E160">
    <cfRule type="containsText" dxfId="1448" priority="450" operator="containsText" text="合意形成対象者">
      <formula>NOT(ISERROR(SEARCH("合意形成対象者",E156)))</formula>
    </cfRule>
  </conditionalFormatting>
  <conditionalFormatting sqref="E172:E176">
    <cfRule type="containsText" dxfId="1447" priority="439" operator="containsText" text="合意形成対象者">
      <formula>NOT(ISERROR(SEARCH("合意形成対象者",E172)))</formula>
    </cfRule>
  </conditionalFormatting>
  <conditionalFormatting sqref="E188:E192">
    <cfRule type="containsText" dxfId="1446" priority="428" operator="containsText" text="合意形成対象者">
      <formula>NOT(ISERROR(SEARCH("合意形成対象者",E188)))</formula>
    </cfRule>
  </conditionalFormatting>
  <conditionalFormatting sqref="E204:E208">
    <cfRule type="containsText" dxfId="1445" priority="417" operator="containsText" text="合意形成対象者">
      <formula>NOT(ISERROR(SEARCH("合意形成対象者",E204)))</formula>
    </cfRule>
  </conditionalFormatting>
  <conditionalFormatting sqref="E220:E224">
    <cfRule type="containsText" dxfId="1444" priority="406" operator="containsText" text="合意形成対象者">
      <formula>NOT(ISERROR(SEARCH("合意形成対象者",E220)))</formula>
    </cfRule>
  </conditionalFormatting>
  <conditionalFormatting sqref="E236:E240">
    <cfRule type="containsText" dxfId="1443" priority="395" operator="containsText" text="合意形成対象者">
      <formula>NOT(ISERROR(SEARCH("合意形成対象者",E236)))</formula>
    </cfRule>
  </conditionalFormatting>
  <conditionalFormatting sqref="E252:E256">
    <cfRule type="containsText" dxfId="1442" priority="384" operator="containsText" text="合意形成対象者">
      <formula>NOT(ISERROR(SEARCH("合意形成対象者",E252)))</formula>
    </cfRule>
  </conditionalFormatting>
  <conditionalFormatting sqref="E268:E272">
    <cfRule type="containsText" dxfId="1441" priority="373" operator="containsText" text="合意形成対象者">
      <formula>NOT(ISERROR(SEARCH("合意形成対象者",E268)))</formula>
    </cfRule>
  </conditionalFormatting>
  <conditionalFormatting sqref="E284:E288">
    <cfRule type="containsText" dxfId="1440" priority="362" operator="containsText" text="合意形成対象者">
      <formula>NOT(ISERROR(SEARCH("合意形成対象者",E284)))</formula>
    </cfRule>
  </conditionalFormatting>
  <conditionalFormatting sqref="E300:E304">
    <cfRule type="containsText" dxfId="1439" priority="351" operator="containsText" text="合意形成対象者">
      <formula>NOT(ISERROR(SEARCH("合意形成対象者",E300)))</formula>
    </cfRule>
  </conditionalFormatting>
  <conditionalFormatting sqref="E316:E320">
    <cfRule type="containsText" dxfId="1438" priority="340" operator="containsText" text="合意形成対象者">
      <formula>NOT(ISERROR(SEARCH("合意形成対象者",E316)))</formula>
    </cfRule>
  </conditionalFormatting>
  <conditionalFormatting sqref="E332:E336">
    <cfRule type="containsText" dxfId="1437" priority="329" operator="containsText" text="合意形成対象者">
      <formula>NOT(ISERROR(SEARCH("合意形成対象者",E332)))</formula>
    </cfRule>
  </conditionalFormatting>
  <conditionalFormatting sqref="E348:E352">
    <cfRule type="containsText" dxfId="1436" priority="318" operator="containsText" text="合意形成対象者">
      <formula>NOT(ISERROR(SEARCH("合意形成対象者",E348)))</formula>
    </cfRule>
  </conditionalFormatting>
  <conditionalFormatting sqref="E364:E368">
    <cfRule type="containsText" dxfId="1435" priority="307" operator="containsText" text="合意形成対象者">
      <formula>NOT(ISERROR(SEARCH("合意形成対象者",E364)))</formula>
    </cfRule>
  </conditionalFormatting>
  <conditionalFormatting sqref="E380:E384">
    <cfRule type="containsText" dxfId="1434" priority="296" operator="containsText" text="合意形成対象者">
      <formula>NOT(ISERROR(SEARCH("合意形成対象者",E380)))</formula>
    </cfRule>
  </conditionalFormatting>
  <conditionalFormatting sqref="E396:E400">
    <cfRule type="containsText" dxfId="1433" priority="285" operator="containsText" text="合意形成対象者">
      <formula>NOT(ISERROR(SEARCH("合意形成対象者",E396)))</formula>
    </cfRule>
  </conditionalFormatting>
  <conditionalFormatting sqref="E412:E416">
    <cfRule type="containsText" dxfId="1432" priority="274" operator="containsText" text="合意形成対象者">
      <formula>NOT(ISERROR(SEARCH("合意形成対象者",E412)))</formula>
    </cfRule>
  </conditionalFormatting>
  <conditionalFormatting sqref="E428:E432">
    <cfRule type="containsText" dxfId="1431" priority="263" operator="containsText" text="合意形成対象者">
      <formula>NOT(ISERROR(SEARCH("合意形成対象者",E428)))</formula>
    </cfRule>
  </conditionalFormatting>
  <conditionalFormatting sqref="E444:E448">
    <cfRule type="containsText" dxfId="1430" priority="252" operator="containsText" text="合意形成対象者">
      <formula>NOT(ISERROR(SEARCH("合意形成対象者",E444)))</formula>
    </cfRule>
  </conditionalFormatting>
  <conditionalFormatting sqref="E460:E464">
    <cfRule type="containsText" dxfId="1429" priority="241" operator="containsText" text="合意形成対象者">
      <formula>NOT(ISERROR(SEARCH("合意形成対象者",E460)))</formula>
    </cfRule>
  </conditionalFormatting>
  <conditionalFormatting sqref="E476:E480">
    <cfRule type="containsText" dxfId="1428" priority="230" operator="containsText" text="合意形成対象者">
      <formula>NOT(ISERROR(SEARCH("合意形成対象者",E476)))</formula>
    </cfRule>
  </conditionalFormatting>
  <conditionalFormatting sqref="E492:E496">
    <cfRule type="containsText" dxfId="1427" priority="219" operator="containsText" text="合意形成対象者">
      <formula>NOT(ISERROR(SEARCH("合意形成対象者",E492)))</formula>
    </cfRule>
  </conditionalFormatting>
  <conditionalFormatting sqref="E508:E512">
    <cfRule type="containsText" dxfId="1426" priority="208" operator="containsText" text="合意形成対象者">
      <formula>NOT(ISERROR(SEARCH("合意形成対象者",E508)))</formula>
    </cfRule>
  </conditionalFormatting>
  <conditionalFormatting sqref="E524:E528">
    <cfRule type="containsText" dxfId="1425" priority="197" operator="containsText" text="合意形成対象者">
      <formula>NOT(ISERROR(SEARCH("合意形成対象者",E524)))</formula>
    </cfRule>
  </conditionalFormatting>
  <conditionalFormatting sqref="E540:E544">
    <cfRule type="containsText" dxfId="1424" priority="186" operator="containsText" text="合意形成対象者">
      <formula>NOT(ISERROR(SEARCH("合意形成対象者",E540)))</formula>
    </cfRule>
  </conditionalFormatting>
  <conditionalFormatting sqref="E556:E560">
    <cfRule type="containsText" dxfId="1423" priority="175" operator="containsText" text="合意形成対象者">
      <formula>NOT(ISERROR(SEARCH("合意形成対象者",E556)))</formula>
    </cfRule>
  </conditionalFormatting>
  <conditionalFormatting sqref="E572:E576">
    <cfRule type="containsText" dxfId="1422" priority="164" operator="containsText" text="合意形成対象者">
      <formula>NOT(ISERROR(SEARCH("合意形成対象者",E572)))</formula>
    </cfRule>
  </conditionalFormatting>
  <conditionalFormatting sqref="E588:E592">
    <cfRule type="containsText" dxfId="1421" priority="153" operator="containsText" text="合意形成対象者">
      <formula>NOT(ISERROR(SEARCH("合意形成対象者",E588)))</formula>
    </cfRule>
  </conditionalFormatting>
  <conditionalFormatting sqref="E604:E608">
    <cfRule type="containsText" dxfId="1420" priority="142" operator="containsText" text="合意形成対象者">
      <formula>NOT(ISERROR(SEARCH("合意形成対象者",E604)))</formula>
    </cfRule>
  </conditionalFormatting>
  <conditionalFormatting sqref="E620:E624">
    <cfRule type="containsText" dxfId="1419" priority="131" operator="containsText" text="合意形成対象者">
      <formula>NOT(ISERROR(SEARCH("合意形成対象者",E620)))</formula>
    </cfRule>
  </conditionalFormatting>
  <conditionalFormatting sqref="E636:E640">
    <cfRule type="containsText" dxfId="1418" priority="120" operator="containsText" text="合意形成対象者">
      <formula>NOT(ISERROR(SEARCH("合意形成対象者",E636)))</formula>
    </cfRule>
  </conditionalFormatting>
  <conditionalFormatting sqref="E652:E656">
    <cfRule type="containsText" dxfId="1417" priority="109" operator="containsText" text="合意形成対象者">
      <formula>NOT(ISERROR(SEARCH("合意形成対象者",E652)))</formula>
    </cfRule>
  </conditionalFormatting>
  <conditionalFormatting sqref="E668:E672">
    <cfRule type="containsText" dxfId="1416" priority="98" operator="containsText" text="合意形成対象者">
      <formula>NOT(ISERROR(SEARCH("合意形成対象者",E668)))</formula>
    </cfRule>
  </conditionalFormatting>
  <conditionalFormatting sqref="E684:E688">
    <cfRule type="containsText" dxfId="1415" priority="87" operator="containsText" text="合意形成対象者">
      <formula>NOT(ISERROR(SEARCH("合意形成対象者",E684)))</formula>
    </cfRule>
  </conditionalFormatting>
  <conditionalFormatting sqref="E700:E704">
    <cfRule type="containsText" dxfId="1414" priority="76" operator="containsText" text="合意形成対象者">
      <formula>NOT(ISERROR(SEARCH("合意形成対象者",E700)))</formula>
    </cfRule>
  </conditionalFormatting>
  <conditionalFormatting sqref="E716:E720">
    <cfRule type="containsText" dxfId="1413" priority="65" operator="containsText" text="合意形成対象者">
      <formula>NOT(ISERROR(SEARCH("合意形成対象者",E716)))</formula>
    </cfRule>
  </conditionalFormatting>
  <conditionalFormatting sqref="E732:E736">
    <cfRule type="containsText" dxfId="1412" priority="54" operator="containsText" text="合意形成対象者">
      <formula>NOT(ISERROR(SEARCH("合意形成対象者",E732)))</formula>
    </cfRule>
  </conditionalFormatting>
  <conditionalFormatting sqref="E748:E752">
    <cfRule type="containsText" dxfId="1411" priority="43" operator="containsText" text="合意形成対象者">
      <formula>NOT(ISERROR(SEARCH("合意形成対象者",E748)))</formula>
    </cfRule>
  </conditionalFormatting>
  <conditionalFormatting sqref="E764:E768">
    <cfRule type="containsText" dxfId="1410" priority="32" operator="containsText" text="合意形成対象者">
      <formula>NOT(ISERROR(SEARCH("合意形成対象者",E764)))</formula>
    </cfRule>
  </conditionalFormatting>
  <conditionalFormatting sqref="E780:E784">
    <cfRule type="containsText" dxfId="1409" priority="21" operator="containsText" text="合意形成対象者">
      <formula>NOT(ISERROR(SEARCH("合意形成対象者",E780)))</formula>
    </cfRule>
  </conditionalFormatting>
  <conditionalFormatting sqref="E796:E800">
    <cfRule type="containsText" dxfId="1408" priority="10" operator="containsText" text="合意形成対象者">
      <formula>NOT(ISERROR(SEARCH("合意形成対象者",E796)))</formula>
    </cfRule>
  </conditionalFormatting>
  <conditionalFormatting sqref="E12:L16">
    <cfRule type="notContainsBlanks" dxfId="1407" priority="2400">
      <formula>LEN(TRIM(E12))&gt;0</formula>
    </cfRule>
  </conditionalFormatting>
  <conditionalFormatting sqref="E28:L32">
    <cfRule type="notContainsBlanks" dxfId="1406" priority="539">
      <formula>LEN(TRIM(E28))&gt;0</formula>
    </cfRule>
  </conditionalFormatting>
  <conditionalFormatting sqref="E44:L48">
    <cfRule type="notContainsBlanks" dxfId="1405" priority="528">
      <formula>LEN(TRIM(E44))&gt;0</formula>
    </cfRule>
  </conditionalFormatting>
  <conditionalFormatting sqref="E60:L64">
    <cfRule type="notContainsBlanks" dxfId="1404" priority="517">
      <formula>LEN(TRIM(E60))&gt;0</formula>
    </cfRule>
  </conditionalFormatting>
  <conditionalFormatting sqref="E76:L80">
    <cfRule type="notContainsBlanks" dxfId="1403" priority="506">
      <formula>LEN(TRIM(E76))&gt;0</formula>
    </cfRule>
  </conditionalFormatting>
  <conditionalFormatting sqref="E92:L96">
    <cfRule type="notContainsBlanks" dxfId="1402" priority="495">
      <formula>LEN(TRIM(E92))&gt;0</formula>
    </cfRule>
  </conditionalFormatting>
  <conditionalFormatting sqref="E108:L112">
    <cfRule type="notContainsBlanks" dxfId="1401" priority="484">
      <formula>LEN(TRIM(E108))&gt;0</formula>
    </cfRule>
  </conditionalFormatting>
  <conditionalFormatting sqref="E124:L128">
    <cfRule type="notContainsBlanks" dxfId="1400" priority="473">
      <formula>LEN(TRIM(E124))&gt;0</formula>
    </cfRule>
  </conditionalFormatting>
  <conditionalFormatting sqref="E140:L144">
    <cfRule type="notContainsBlanks" dxfId="1399" priority="462">
      <formula>LEN(TRIM(E140))&gt;0</formula>
    </cfRule>
  </conditionalFormatting>
  <conditionalFormatting sqref="E156:L160">
    <cfRule type="notContainsBlanks" dxfId="1398" priority="451">
      <formula>LEN(TRIM(E156))&gt;0</formula>
    </cfRule>
  </conditionalFormatting>
  <conditionalFormatting sqref="E172:L176">
    <cfRule type="notContainsBlanks" dxfId="1397" priority="440">
      <formula>LEN(TRIM(E172))&gt;0</formula>
    </cfRule>
  </conditionalFormatting>
  <conditionalFormatting sqref="E188:L192">
    <cfRule type="notContainsBlanks" dxfId="1396" priority="429">
      <formula>LEN(TRIM(E188))&gt;0</formula>
    </cfRule>
  </conditionalFormatting>
  <conditionalFormatting sqref="E204:L208">
    <cfRule type="notContainsBlanks" dxfId="1395" priority="418">
      <formula>LEN(TRIM(E204))&gt;0</formula>
    </cfRule>
  </conditionalFormatting>
  <conditionalFormatting sqref="E220:L224">
    <cfRule type="notContainsBlanks" dxfId="1394" priority="407">
      <formula>LEN(TRIM(E220))&gt;0</formula>
    </cfRule>
  </conditionalFormatting>
  <conditionalFormatting sqref="E236:L240">
    <cfRule type="notContainsBlanks" dxfId="1393" priority="396">
      <formula>LEN(TRIM(E236))&gt;0</formula>
    </cfRule>
  </conditionalFormatting>
  <conditionalFormatting sqref="E252:L256">
    <cfRule type="notContainsBlanks" dxfId="1392" priority="385">
      <formula>LEN(TRIM(E252))&gt;0</formula>
    </cfRule>
  </conditionalFormatting>
  <conditionalFormatting sqref="E268:L272">
    <cfRule type="notContainsBlanks" dxfId="1391" priority="374">
      <formula>LEN(TRIM(E268))&gt;0</formula>
    </cfRule>
  </conditionalFormatting>
  <conditionalFormatting sqref="E284:L288">
    <cfRule type="notContainsBlanks" dxfId="1390" priority="363">
      <formula>LEN(TRIM(E284))&gt;0</formula>
    </cfRule>
  </conditionalFormatting>
  <conditionalFormatting sqref="E300:L304">
    <cfRule type="notContainsBlanks" dxfId="1389" priority="352">
      <formula>LEN(TRIM(E300))&gt;0</formula>
    </cfRule>
  </conditionalFormatting>
  <conditionalFormatting sqref="E316:L320">
    <cfRule type="notContainsBlanks" dxfId="1388" priority="341">
      <formula>LEN(TRIM(E316))&gt;0</formula>
    </cfRule>
  </conditionalFormatting>
  <conditionalFormatting sqref="E332:L336">
    <cfRule type="notContainsBlanks" dxfId="1387" priority="330">
      <formula>LEN(TRIM(E332))&gt;0</formula>
    </cfRule>
  </conditionalFormatting>
  <conditionalFormatting sqref="E348:L352">
    <cfRule type="notContainsBlanks" dxfId="1386" priority="319">
      <formula>LEN(TRIM(E348))&gt;0</formula>
    </cfRule>
  </conditionalFormatting>
  <conditionalFormatting sqref="E364:L368">
    <cfRule type="notContainsBlanks" dxfId="1385" priority="308">
      <formula>LEN(TRIM(E364))&gt;0</formula>
    </cfRule>
  </conditionalFormatting>
  <conditionalFormatting sqref="E380:L384">
    <cfRule type="notContainsBlanks" dxfId="1384" priority="297">
      <formula>LEN(TRIM(E380))&gt;0</formula>
    </cfRule>
  </conditionalFormatting>
  <conditionalFormatting sqref="E396:L400">
    <cfRule type="notContainsBlanks" dxfId="1383" priority="286">
      <formula>LEN(TRIM(E396))&gt;0</formula>
    </cfRule>
  </conditionalFormatting>
  <conditionalFormatting sqref="E412:L416">
    <cfRule type="notContainsBlanks" dxfId="1382" priority="275">
      <formula>LEN(TRIM(E412))&gt;0</formula>
    </cfRule>
  </conditionalFormatting>
  <conditionalFormatting sqref="E428:L432">
    <cfRule type="notContainsBlanks" dxfId="1381" priority="264">
      <formula>LEN(TRIM(E428))&gt;0</formula>
    </cfRule>
  </conditionalFormatting>
  <conditionalFormatting sqref="E444:L448">
    <cfRule type="notContainsBlanks" dxfId="1380" priority="253">
      <formula>LEN(TRIM(E444))&gt;0</formula>
    </cfRule>
  </conditionalFormatting>
  <conditionalFormatting sqref="E460:L464">
    <cfRule type="notContainsBlanks" dxfId="1379" priority="242">
      <formula>LEN(TRIM(E460))&gt;0</formula>
    </cfRule>
  </conditionalFormatting>
  <conditionalFormatting sqref="E476:L480">
    <cfRule type="notContainsBlanks" dxfId="1378" priority="231">
      <formula>LEN(TRIM(E476))&gt;0</formula>
    </cfRule>
  </conditionalFormatting>
  <conditionalFormatting sqref="E492:L496">
    <cfRule type="notContainsBlanks" dxfId="1377" priority="220">
      <formula>LEN(TRIM(E492))&gt;0</formula>
    </cfRule>
  </conditionalFormatting>
  <conditionalFormatting sqref="E508:L512">
    <cfRule type="notContainsBlanks" dxfId="1376" priority="209">
      <formula>LEN(TRIM(E508))&gt;0</formula>
    </cfRule>
  </conditionalFormatting>
  <conditionalFormatting sqref="E524:L528">
    <cfRule type="notContainsBlanks" dxfId="1375" priority="198">
      <formula>LEN(TRIM(E524))&gt;0</formula>
    </cfRule>
  </conditionalFormatting>
  <conditionalFormatting sqref="E540:L544">
    <cfRule type="notContainsBlanks" dxfId="1374" priority="187">
      <formula>LEN(TRIM(E540))&gt;0</formula>
    </cfRule>
  </conditionalFormatting>
  <conditionalFormatting sqref="E556:L560">
    <cfRule type="notContainsBlanks" dxfId="1373" priority="176">
      <formula>LEN(TRIM(E556))&gt;0</formula>
    </cfRule>
  </conditionalFormatting>
  <conditionalFormatting sqref="E572:L576">
    <cfRule type="notContainsBlanks" dxfId="1372" priority="165">
      <formula>LEN(TRIM(E572))&gt;0</formula>
    </cfRule>
  </conditionalFormatting>
  <conditionalFormatting sqref="E588:L592">
    <cfRule type="notContainsBlanks" dxfId="1371" priority="154">
      <formula>LEN(TRIM(E588))&gt;0</formula>
    </cfRule>
  </conditionalFormatting>
  <conditionalFormatting sqref="E604:L608">
    <cfRule type="notContainsBlanks" dxfId="1370" priority="143">
      <formula>LEN(TRIM(E604))&gt;0</formula>
    </cfRule>
  </conditionalFormatting>
  <conditionalFormatting sqref="E620:L624">
    <cfRule type="notContainsBlanks" dxfId="1369" priority="132">
      <formula>LEN(TRIM(E620))&gt;0</formula>
    </cfRule>
  </conditionalFormatting>
  <conditionalFormatting sqref="E636:L640">
    <cfRule type="notContainsBlanks" dxfId="1368" priority="121">
      <formula>LEN(TRIM(E636))&gt;0</formula>
    </cfRule>
  </conditionalFormatting>
  <conditionalFormatting sqref="E652:L656">
    <cfRule type="notContainsBlanks" dxfId="1367" priority="110">
      <formula>LEN(TRIM(E652))&gt;0</formula>
    </cfRule>
  </conditionalFormatting>
  <conditionalFormatting sqref="E668:L672">
    <cfRule type="notContainsBlanks" dxfId="1366" priority="99">
      <formula>LEN(TRIM(E668))&gt;0</formula>
    </cfRule>
  </conditionalFormatting>
  <conditionalFormatting sqref="E684:L688">
    <cfRule type="notContainsBlanks" dxfId="1365" priority="88">
      <formula>LEN(TRIM(E684))&gt;0</formula>
    </cfRule>
  </conditionalFormatting>
  <conditionalFormatting sqref="E700:L704">
    <cfRule type="notContainsBlanks" dxfId="1364" priority="77">
      <formula>LEN(TRIM(E700))&gt;0</formula>
    </cfRule>
  </conditionalFormatting>
  <conditionalFormatting sqref="E716:L720">
    <cfRule type="notContainsBlanks" dxfId="1363" priority="66">
      <formula>LEN(TRIM(E716))&gt;0</formula>
    </cfRule>
  </conditionalFormatting>
  <conditionalFormatting sqref="E732:L736">
    <cfRule type="notContainsBlanks" dxfId="1362" priority="55">
      <formula>LEN(TRIM(E732))&gt;0</formula>
    </cfRule>
  </conditionalFormatting>
  <conditionalFormatting sqref="E748:L752">
    <cfRule type="notContainsBlanks" dxfId="1361" priority="44">
      <formula>LEN(TRIM(E748))&gt;0</formula>
    </cfRule>
  </conditionalFormatting>
  <conditionalFormatting sqref="E764:L768">
    <cfRule type="notContainsBlanks" dxfId="1360" priority="33">
      <formula>LEN(TRIM(E764))&gt;0</formula>
    </cfRule>
  </conditionalFormatting>
  <conditionalFormatting sqref="E780:L784">
    <cfRule type="notContainsBlanks" dxfId="1359" priority="22">
      <formula>LEN(TRIM(E780))&gt;0</formula>
    </cfRule>
  </conditionalFormatting>
  <conditionalFormatting sqref="E796:L800">
    <cfRule type="notContainsBlanks" dxfId="1358" priority="11">
      <formula>LEN(TRIM(E796))&gt;0</formula>
    </cfRule>
  </conditionalFormatting>
  <conditionalFormatting sqref="F7:L7 F8 F9:L10">
    <cfRule type="containsBlanks" dxfId="1357" priority="2209">
      <formula>LEN(TRIM(F7))=0</formula>
    </cfRule>
    <cfRule type="expression" dxfId="1356" priority="1239">
      <formula>$F7&lt;&gt;$R7</formula>
    </cfRule>
  </conditionalFormatting>
  <conditionalFormatting sqref="F18:L18">
    <cfRule type="expression" dxfId="1355" priority="1475">
      <formula>$C7&lt;&gt;""</formula>
    </cfRule>
  </conditionalFormatting>
  <conditionalFormatting sqref="F18:L19">
    <cfRule type="notContainsBlanks" dxfId="1354" priority="1472">
      <formula>LEN(TRIM(F18))&gt;0</formula>
    </cfRule>
  </conditionalFormatting>
  <conditionalFormatting sqref="F19:L19">
    <cfRule type="expression" dxfId="1353" priority="1473">
      <formula>$C7&lt;&gt;""</formula>
    </cfRule>
  </conditionalFormatting>
  <conditionalFormatting sqref="F23:L23 F24 F25:L26">
    <cfRule type="containsBlanks" dxfId="1352" priority="537">
      <formula>LEN(TRIM(F23))=0</formula>
    </cfRule>
    <cfRule type="expression" dxfId="1351" priority="532">
      <formula>$F23&lt;&gt;$R23</formula>
    </cfRule>
  </conditionalFormatting>
  <conditionalFormatting sqref="F34:L34">
    <cfRule type="expression" dxfId="1350" priority="535">
      <formula>$C23&lt;&gt;""</formula>
    </cfRule>
  </conditionalFormatting>
  <conditionalFormatting sqref="F34:L35">
    <cfRule type="notContainsBlanks" dxfId="1349" priority="533">
      <formula>LEN(TRIM(F34))&gt;0</formula>
    </cfRule>
  </conditionalFormatting>
  <conditionalFormatting sqref="F35:L35">
    <cfRule type="expression" dxfId="1348" priority="534">
      <formula>$C23&lt;&gt;""</formula>
    </cfRule>
  </conditionalFormatting>
  <conditionalFormatting sqref="F39:L39 F40 F41:L42">
    <cfRule type="expression" dxfId="1347" priority="521">
      <formula>$F39&lt;&gt;$R39</formula>
    </cfRule>
    <cfRule type="containsBlanks" dxfId="1346" priority="526">
      <formula>LEN(TRIM(F39))=0</formula>
    </cfRule>
  </conditionalFormatting>
  <conditionalFormatting sqref="F50:L50">
    <cfRule type="expression" dxfId="1345" priority="524">
      <formula>$C39&lt;&gt;""</formula>
    </cfRule>
  </conditionalFormatting>
  <conditionalFormatting sqref="F50:L51">
    <cfRule type="notContainsBlanks" dxfId="1344" priority="522">
      <formula>LEN(TRIM(F50))&gt;0</formula>
    </cfRule>
  </conditionalFormatting>
  <conditionalFormatting sqref="F51:L51">
    <cfRule type="expression" dxfId="1343" priority="523">
      <formula>$C39&lt;&gt;""</formula>
    </cfRule>
  </conditionalFormatting>
  <conditionalFormatting sqref="F55:L55 F56 F57:L58">
    <cfRule type="containsBlanks" dxfId="1342" priority="515">
      <formula>LEN(TRIM(F55))=0</formula>
    </cfRule>
    <cfRule type="expression" dxfId="1341" priority="510">
      <formula>$F55&lt;&gt;$R55</formula>
    </cfRule>
  </conditionalFormatting>
  <conditionalFormatting sqref="F66:L66">
    <cfRule type="expression" dxfId="1340" priority="513">
      <formula>$C55&lt;&gt;""</formula>
    </cfRule>
  </conditionalFormatting>
  <conditionalFormatting sqref="F66:L67">
    <cfRule type="notContainsBlanks" dxfId="1339" priority="511">
      <formula>LEN(TRIM(F66))&gt;0</formula>
    </cfRule>
  </conditionalFormatting>
  <conditionalFormatting sqref="F67:L67">
    <cfRule type="expression" dxfId="1338" priority="512">
      <formula>$C55&lt;&gt;""</formula>
    </cfRule>
  </conditionalFormatting>
  <conditionalFormatting sqref="F71:L71 F72 F73:L74">
    <cfRule type="containsBlanks" dxfId="1337" priority="504">
      <formula>LEN(TRIM(F71))=0</formula>
    </cfRule>
    <cfRule type="expression" dxfId="1336" priority="499">
      <formula>$F71&lt;&gt;$R71</formula>
    </cfRule>
  </conditionalFormatting>
  <conditionalFormatting sqref="F82:L82">
    <cfRule type="expression" dxfId="1335" priority="502">
      <formula>$C71&lt;&gt;""</formula>
    </cfRule>
  </conditionalFormatting>
  <conditionalFormatting sqref="F82:L83">
    <cfRule type="notContainsBlanks" dxfId="1334" priority="500">
      <formula>LEN(TRIM(F82))&gt;0</formula>
    </cfRule>
  </conditionalFormatting>
  <conditionalFormatting sqref="F83:L83">
    <cfRule type="expression" dxfId="1333" priority="501">
      <formula>$C71&lt;&gt;""</formula>
    </cfRule>
  </conditionalFormatting>
  <conditionalFormatting sqref="F87:L87 F88 F89:L90">
    <cfRule type="containsBlanks" dxfId="1332" priority="493">
      <formula>LEN(TRIM(F87))=0</formula>
    </cfRule>
    <cfRule type="expression" dxfId="1331" priority="488">
      <formula>$F87&lt;&gt;$R87</formula>
    </cfRule>
  </conditionalFormatting>
  <conditionalFormatting sqref="F98:L98">
    <cfRule type="expression" dxfId="1330" priority="491">
      <formula>$C87&lt;&gt;""</formula>
    </cfRule>
  </conditionalFormatting>
  <conditionalFormatting sqref="F98:L99">
    <cfRule type="notContainsBlanks" dxfId="1329" priority="489">
      <formula>LEN(TRIM(F98))&gt;0</formula>
    </cfRule>
  </conditionalFormatting>
  <conditionalFormatting sqref="F99:L99">
    <cfRule type="expression" dxfId="1328" priority="490">
      <formula>$C87&lt;&gt;""</formula>
    </cfRule>
  </conditionalFormatting>
  <conditionalFormatting sqref="F103:L103 F104 F105:L106">
    <cfRule type="containsBlanks" dxfId="1327" priority="482">
      <formula>LEN(TRIM(F103))=0</formula>
    </cfRule>
    <cfRule type="expression" dxfId="1326" priority="477">
      <formula>$F103&lt;&gt;$R103</formula>
    </cfRule>
  </conditionalFormatting>
  <conditionalFormatting sqref="F114:L114">
    <cfRule type="expression" dxfId="1325" priority="480">
      <formula>$C103&lt;&gt;""</formula>
    </cfRule>
  </conditionalFormatting>
  <conditionalFormatting sqref="F114:L115">
    <cfRule type="notContainsBlanks" dxfId="1324" priority="478">
      <formula>LEN(TRIM(F114))&gt;0</formula>
    </cfRule>
  </conditionalFormatting>
  <conditionalFormatting sqref="F115:L115">
    <cfRule type="expression" dxfId="1323" priority="479">
      <formula>$C103&lt;&gt;""</formula>
    </cfRule>
  </conditionalFormatting>
  <conditionalFormatting sqref="F119:L119 F120 F121:L122">
    <cfRule type="containsBlanks" dxfId="1322" priority="471">
      <formula>LEN(TRIM(F119))=0</formula>
    </cfRule>
    <cfRule type="expression" dxfId="1321" priority="466">
      <formula>$F119&lt;&gt;$R119</formula>
    </cfRule>
  </conditionalFormatting>
  <conditionalFormatting sqref="F130:L130">
    <cfRule type="expression" dxfId="1320" priority="469">
      <formula>$C119&lt;&gt;""</formula>
    </cfRule>
  </conditionalFormatting>
  <conditionalFormatting sqref="F130:L131">
    <cfRule type="notContainsBlanks" dxfId="1319" priority="467">
      <formula>LEN(TRIM(F130))&gt;0</formula>
    </cfRule>
  </conditionalFormatting>
  <conditionalFormatting sqref="F131:L131">
    <cfRule type="expression" dxfId="1318" priority="468">
      <formula>$C119&lt;&gt;""</formula>
    </cfRule>
  </conditionalFormatting>
  <conditionalFormatting sqref="F135:L135 F136 F137:L138">
    <cfRule type="expression" dxfId="1317" priority="455">
      <formula>$F135&lt;&gt;$R135</formula>
    </cfRule>
    <cfRule type="containsBlanks" dxfId="1316" priority="460">
      <formula>LEN(TRIM(F135))=0</formula>
    </cfRule>
  </conditionalFormatting>
  <conditionalFormatting sqref="F146:L146">
    <cfRule type="expression" dxfId="1315" priority="458">
      <formula>$C135&lt;&gt;""</formula>
    </cfRule>
  </conditionalFormatting>
  <conditionalFormatting sqref="F146:L147">
    <cfRule type="notContainsBlanks" dxfId="1314" priority="456">
      <formula>LEN(TRIM(F146))&gt;0</formula>
    </cfRule>
  </conditionalFormatting>
  <conditionalFormatting sqref="F147:L147">
    <cfRule type="expression" dxfId="1313" priority="457">
      <formula>$C135&lt;&gt;""</formula>
    </cfRule>
  </conditionalFormatting>
  <conditionalFormatting sqref="F151:L151 F152 F153:L154">
    <cfRule type="expression" dxfId="1312" priority="444">
      <formula>$F151&lt;&gt;$R151</formula>
    </cfRule>
    <cfRule type="containsBlanks" dxfId="1311" priority="449">
      <formula>LEN(TRIM(F151))=0</formula>
    </cfRule>
  </conditionalFormatting>
  <conditionalFormatting sqref="F162:L162">
    <cfRule type="expression" dxfId="1310" priority="447">
      <formula>$C151&lt;&gt;""</formula>
    </cfRule>
  </conditionalFormatting>
  <conditionalFormatting sqref="F162:L163">
    <cfRule type="notContainsBlanks" dxfId="1309" priority="445">
      <formula>LEN(TRIM(F162))&gt;0</formula>
    </cfRule>
  </conditionalFormatting>
  <conditionalFormatting sqref="F163:L163">
    <cfRule type="expression" dxfId="1308" priority="446">
      <formula>$C151&lt;&gt;""</formula>
    </cfRule>
  </conditionalFormatting>
  <conditionalFormatting sqref="F167:L167 F168 F169:L170">
    <cfRule type="containsBlanks" dxfId="1307" priority="438">
      <formula>LEN(TRIM(F167))=0</formula>
    </cfRule>
    <cfRule type="expression" dxfId="1306" priority="433">
      <formula>$F167&lt;&gt;$R167</formula>
    </cfRule>
  </conditionalFormatting>
  <conditionalFormatting sqref="F178:L178">
    <cfRule type="expression" dxfId="1305" priority="436">
      <formula>$C167&lt;&gt;""</formula>
    </cfRule>
  </conditionalFormatting>
  <conditionalFormatting sqref="F178:L179">
    <cfRule type="notContainsBlanks" dxfId="1304" priority="434">
      <formula>LEN(TRIM(F178))&gt;0</formula>
    </cfRule>
  </conditionalFormatting>
  <conditionalFormatting sqref="F179:L179">
    <cfRule type="expression" dxfId="1303" priority="435">
      <formula>$C167&lt;&gt;""</formula>
    </cfRule>
  </conditionalFormatting>
  <conditionalFormatting sqref="F183:L183 F184 F185:L186">
    <cfRule type="containsBlanks" dxfId="1302" priority="427">
      <formula>LEN(TRIM(F183))=0</formula>
    </cfRule>
    <cfRule type="expression" dxfId="1301" priority="422">
      <formula>$F183&lt;&gt;$R183</formula>
    </cfRule>
  </conditionalFormatting>
  <conditionalFormatting sqref="F194:L194">
    <cfRule type="expression" dxfId="1300" priority="425">
      <formula>$C183&lt;&gt;""</formula>
    </cfRule>
  </conditionalFormatting>
  <conditionalFormatting sqref="F194:L195">
    <cfRule type="notContainsBlanks" dxfId="1299" priority="423">
      <formula>LEN(TRIM(F194))&gt;0</formula>
    </cfRule>
  </conditionalFormatting>
  <conditionalFormatting sqref="F195:L195">
    <cfRule type="expression" dxfId="1298" priority="424">
      <formula>$C183&lt;&gt;""</formula>
    </cfRule>
  </conditionalFormatting>
  <conditionalFormatting sqref="F199:L199 F200 F201:L202">
    <cfRule type="containsBlanks" dxfId="1297" priority="416">
      <formula>LEN(TRIM(F199))=0</formula>
    </cfRule>
    <cfRule type="expression" dxfId="1296" priority="411">
      <formula>$F199&lt;&gt;$R199</formula>
    </cfRule>
  </conditionalFormatting>
  <conditionalFormatting sqref="F210:L210">
    <cfRule type="expression" dxfId="1295" priority="414">
      <formula>$C199&lt;&gt;""</formula>
    </cfRule>
  </conditionalFormatting>
  <conditionalFormatting sqref="F210:L211">
    <cfRule type="notContainsBlanks" dxfId="1294" priority="412">
      <formula>LEN(TRIM(F210))&gt;0</formula>
    </cfRule>
  </conditionalFormatting>
  <conditionalFormatting sqref="F211:L211">
    <cfRule type="expression" dxfId="1293" priority="413">
      <formula>$C199&lt;&gt;""</formula>
    </cfRule>
  </conditionalFormatting>
  <conditionalFormatting sqref="F215:L215 F216 F217:L218">
    <cfRule type="expression" dxfId="1292" priority="400">
      <formula>$F215&lt;&gt;$R215</formula>
    </cfRule>
    <cfRule type="containsBlanks" dxfId="1291" priority="405">
      <formula>LEN(TRIM(F215))=0</formula>
    </cfRule>
  </conditionalFormatting>
  <conditionalFormatting sqref="F226:L226">
    <cfRule type="expression" dxfId="1290" priority="403">
      <formula>$C215&lt;&gt;""</formula>
    </cfRule>
  </conditionalFormatting>
  <conditionalFormatting sqref="F226:L227">
    <cfRule type="notContainsBlanks" dxfId="1289" priority="401">
      <formula>LEN(TRIM(F226))&gt;0</formula>
    </cfRule>
  </conditionalFormatting>
  <conditionalFormatting sqref="F227:L227">
    <cfRule type="expression" dxfId="1288" priority="402">
      <formula>$C215&lt;&gt;""</formula>
    </cfRule>
  </conditionalFormatting>
  <conditionalFormatting sqref="F231:L231 F232 F233:L234">
    <cfRule type="containsBlanks" dxfId="1287" priority="394">
      <formula>LEN(TRIM(F231))=0</formula>
    </cfRule>
    <cfRule type="expression" dxfId="1286" priority="389">
      <formula>$F231&lt;&gt;$R231</formula>
    </cfRule>
  </conditionalFormatting>
  <conditionalFormatting sqref="F242:L242">
    <cfRule type="expression" dxfId="1285" priority="392">
      <formula>$C231&lt;&gt;""</formula>
    </cfRule>
  </conditionalFormatting>
  <conditionalFormatting sqref="F242:L243">
    <cfRule type="notContainsBlanks" dxfId="1284" priority="390">
      <formula>LEN(TRIM(F242))&gt;0</formula>
    </cfRule>
  </conditionalFormatting>
  <conditionalFormatting sqref="F243:L243">
    <cfRule type="expression" dxfId="1283" priority="391">
      <formula>$C231&lt;&gt;""</formula>
    </cfRule>
  </conditionalFormatting>
  <conditionalFormatting sqref="F247:L247 F248 F249:L250">
    <cfRule type="containsBlanks" dxfId="1282" priority="383">
      <formula>LEN(TRIM(F247))=0</formula>
    </cfRule>
    <cfRule type="expression" dxfId="1281" priority="378">
      <formula>$F247&lt;&gt;$R247</formula>
    </cfRule>
  </conditionalFormatting>
  <conditionalFormatting sqref="F258:L258">
    <cfRule type="expression" dxfId="1280" priority="381">
      <formula>$C247&lt;&gt;""</formula>
    </cfRule>
  </conditionalFormatting>
  <conditionalFormatting sqref="F258:L259">
    <cfRule type="notContainsBlanks" dxfId="1279" priority="379">
      <formula>LEN(TRIM(F258))&gt;0</formula>
    </cfRule>
  </conditionalFormatting>
  <conditionalFormatting sqref="F259:L259">
    <cfRule type="expression" dxfId="1278" priority="380">
      <formula>$C247&lt;&gt;""</formula>
    </cfRule>
  </conditionalFormatting>
  <conditionalFormatting sqref="F263:L263 F264 F265:L266">
    <cfRule type="expression" dxfId="1277" priority="367">
      <formula>$F263&lt;&gt;$R263</formula>
    </cfRule>
    <cfRule type="containsBlanks" dxfId="1276" priority="372">
      <formula>LEN(TRIM(F263))=0</formula>
    </cfRule>
  </conditionalFormatting>
  <conditionalFormatting sqref="F274:L274">
    <cfRule type="expression" dxfId="1275" priority="370">
      <formula>$C263&lt;&gt;""</formula>
    </cfRule>
  </conditionalFormatting>
  <conditionalFormatting sqref="F274:L275">
    <cfRule type="notContainsBlanks" dxfId="1274" priority="368">
      <formula>LEN(TRIM(F274))&gt;0</formula>
    </cfRule>
  </conditionalFormatting>
  <conditionalFormatting sqref="F275:L275">
    <cfRule type="expression" dxfId="1273" priority="369">
      <formula>$C263&lt;&gt;""</formula>
    </cfRule>
  </conditionalFormatting>
  <conditionalFormatting sqref="F279:L279 F280 F281:L282">
    <cfRule type="containsBlanks" dxfId="1272" priority="361">
      <formula>LEN(TRIM(F279))=0</formula>
    </cfRule>
    <cfRule type="expression" dxfId="1271" priority="356">
      <formula>$F279&lt;&gt;$R279</formula>
    </cfRule>
  </conditionalFormatting>
  <conditionalFormatting sqref="F290:L290">
    <cfRule type="expression" dxfId="1270" priority="359">
      <formula>$C279&lt;&gt;""</formula>
    </cfRule>
  </conditionalFormatting>
  <conditionalFormatting sqref="F290:L291">
    <cfRule type="notContainsBlanks" dxfId="1269" priority="357">
      <formula>LEN(TRIM(F290))&gt;0</formula>
    </cfRule>
  </conditionalFormatting>
  <conditionalFormatting sqref="F291:L291">
    <cfRule type="expression" dxfId="1268" priority="358">
      <formula>$C279&lt;&gt;""</formula>
    </cfRule>
  </conditionalFormatting>
  <conditionalFormatting sqref="F295:L295 F296 F297:L298">
    <cfRule type="expression" dxfId="1267" priority="345">
      <formula>$F295&lt;&gt;$R295</formula>
    </cfRule>
    <cfRule type="containsBlanks" dxfId="1266" priority="350">
      <formula>LEN(TRIM(F295))=0</formula>
    </cfRule>
  </conditionalFormatting>
  <conditionalFormatting sqref="F306:L306">
    <cfRule type="expression" dxfId="1265" priority="348">
      <formula>$C295&lt;&gt;""</formula>
    </cfRule>
  </conditionalFormatting>
  <conditionalFormatting sqref="F306:L307">
    <cfRule type="notContainsBlanks" dxfId="1264" priority="346">
      <formula>LEN(TRIM(F306))&gt;0</formula>
    </cfRule>
  </conditionalFormatting>
  <conditionalFormatting sqref="F307:L307">
    <cfRule type="expression" dxfId="1263" priority="347">
      <formula>$C295&lt;&gt;""</formula>
    </cfRule>
  </conditionalFormatting>
  <conditionalFormatting sqref="F311:L311 F312 F313:L314">
    <cfRule type="containsBlanks" dxfId="1262" priority="339">
      <formula>LEN(TRIM(F311))=0</formula>
    </cfRule>
    <cfRule type="expression" dxfId="1261" priority="334">
      <formula>$F311&lt;&gt;$R311</formula>
    </cfRule>
  </conditionalFormatting>
  <conditionalFormatting sqref="F322:L322">
    <cfRule type="expression" dxfId="1260" priority="337">
      <formula>$C311&lt;&gt;""</formula>
    </cfRule>
  </conditionalFormatting>
  <conditionalFormatting sqref="F322:L323">
    <cfRule type="notContainsBlanks" dxfId="1259" priority="335">
      <formula>LEN(TRIM(F322))&gt;0</formula>
    </cfRule>
  </conditionalFormatting>
  <conditionalFormatting sqref="F323:L323">
    <cfRule type="expression" dxfId="1258" priority="336">
      <formula>$C311&lt;&gt;""</formula>
    </cfRule>
  </conditionalFormatting>
  <conditionalFormatting sqref="F327:L327 F328 F329:L330">
    <cfRule type="expression" dxfId="1257" priority="323">
      <formula>$F327&lt;&gt;$R327</formula>
    </cfRule>
    <cfRule type="containsBlanks" dxfId="1256" priority="328">
      <formula>LEN(TRIM(F327))=0</formula>
    </cfRule>
  </conditionalFormatting>
  <conditionalFormatting sqref="F338:L338">
    <cfRule type="expression" dxfId="1255" priority="326">
      <formula>$C327&lt;&gt;""</formula>
    </cfRule>
  </conditionalFormatting>
  <conditionalFormatting sqref="F338:L339">
    <cfRule type="notContainsBlanks" dxfId="1254" priority="324">
      <formula>LEN(TRIM(F338))&gt;0</formula>
    </cfRule>
  </conditionalFormatting>
  <conditionalFormatting sqref="F339:L339">
    <cfRule type="expression" dxfId="1253" priority="325">
      <formula>$C327&lt;&gt;""</formula>
    </cfRule>
  </conditionalFormatting>
  <conditionalFormatting sqref="F343:L343 F344 F345:L346">
    <cfRule type="containsBlanks" dxfId="1252" priority="317">
      <formula>LEN(TRIM(F343))=0</formula>
    </cfRule>
    <cfRule type="expression" dxfId="1251" priority="312">
      <formula>$F343&lt;&gt;$R343</formula>
    </cfRule>
  </conditionalFormatting>
  <conditionalFormatting sqref="F354:L354">
    <cfRule type="expression" dxfId="1250" priority="315">
      <formula>$C343&lt;&gt;""</formula>
    </cfRule>
  </conditionalFormatting>
  <conditionalFormatting sqref="F354:L355">
    <cfRule type="notContainsBlanks" dxfId="1249" priority="313">
      <formula>LEN(TRIM(F354))&gt;0</formula>
    </cfRule>
  </conditionalFormatting>
  <conditionalFormatting sqref="F355:L355">
    <cfRule type="expression" dxfId="1248" priority="314">
      <formula>$C343&lt;&gt;""</formula>
    </cfRule>
  </conditionalFormatting>
  <conditionalFormatting sqref="F359:L359 F360 F361:L362">
    <cfRule type="containsBlanks" dxfId="1247" priority="306">
      <formula>LEN(TRIM(F359))=0</formula>
    </cfRule>
    <cfRule type="expression" dxfId="1246" priority="301">
      <formula>$F359&lt;&gt;$R359</formula>
    </cfRule>
  </conditionalFormatting>
  <conditionalFormatting sqref="F370:L370">
    <cfRule type="expression" dxfId="1245" priority="304">
      <formula>$C359&lt;&gt;""</formula>
    </cfRule>
  </conditionalFormatting>
  <conditionalFormatting sqref="F370:L371">
    <cfRule type="notContainsBlanks" dxfId="1244" priority="302">
      <formula>LEN(TRIM(F370))&gt;0</formula>
    </cfRule>
  </conditionalFormatting>
  <conditionalFormatting sqref="F371:L371">
    <cfRule type="expression" dxfId="1243" priority="303">
      <formula>$C359&lt;&gt;""</formula>
    </cfRule>
  </conditionalFormatting>
  <conditionalFormatting sqref="F375:L375 F376 F377:L378">
    <cfRule type="expression" dxfId="1242" priority="290">
      <formula>$F375&lt;&gt;$R375</formula>
    </cfRule>
    <cfRule type="containsBlanks" dxfId="1241" priority="295">
      <formula>LEN(TRIM(F375))=0</formula>
    </cfRule>
  </conditionalFormatting>
  <conditionalFormatting sqref="F386:L386">
    <cfRule type="expression" dxfId="1240" priority="293">
      <formula>$C375&lt;&gt;""</formula>
    </cfRule>
  </conditionalFormatting>
  <conditionalFormatting sqref="F386:L387">
    <cfRule type="notContainsBlanks" dxfId="1239" priority="291">
      <formula>LEN(TRIM(F386))&gt;0</formula>
    </cfRule>
  </conditionalFormatting>
  <conditionalFormatting sqref="F387:L387">
    <cfRule type="expression" dxfId="1238" priority="292">
      <formula>$C375&lt;&gt;""</formula>
    </cfRule>
  </conditionalFormatting>
  <conditionalFormatting sqref="F391:L391 F392 F393:L394">
    <cfRule type="containsBlanks" dxfId="1237" priority="284">
      <formula>LEN(TRIM(F391))=0</formula>
    </cfRule>
    <cfRule type="expression" dxfId="1236" priority="279">
      <formula>$F391&lt;&gt;$R391</formula>
    </cfRule>
  </conditionalFormatting>
  <conditionalFormatting sqref="F402:L402">
    <cfRule type="expression" dxfId="1235" priority="282">
      <formula>$C391&lt;&gt;""</formula>
    </cfRule>
  </conditionalFormatting>
  <conditionalFormatting sqref="F402:L403">
    <cfRule type="notContainsBlanks" dxfId="1234" priority="280">
      <formula>LEN(TRIM(F402))&gt;0</formula>
    </cfRule>
  </conditionalFormatting>
  <conditionalFormatting sqref="F403:L403">
    <cfRule type="expression" dxfId="1233" priority="281">
      <formula>$C391&lt;&gt;""</formula>
    </cfRule>
  </conditionalFormatting>
  <conditionalFormatting sqref="F407:L407 F408 F409:L410">
    <cfRule type="expression" dxfId="1232" priority="268">
      <formula>$F407&lt;&gt;$R407</formula>
    </cfRule>
    <cfRule type="containsBlanks" dxfId="1231" priority="273">
      <formula>LEN(TRIM(F407))=0</formula>
    </cfRule>
  </conditionalFormatting>
  <conditionalFormatting sqref="F418:L418">
    <cfRule type="expression" dxfId="1230" priority="271">
      <formula>$C407&lt;&gt;""</formula>
    </cfRule>
  </conditionalFormatting>
  <conditionalFormatting sqref="F418:L419">
    <cfRule type="notContainsBlanks" dxfId="1229" priority="269">
      <formula>LEN(TRIM(F418))&gt;0</formula>
    </cfRule>
  </conditionalFormatting>
  <conditionalFormatting sqref="F419:L419">
    <cfRule type="expression" dxfId="1228" priority="270">
      <formula>$C407&lt;&gt;""</formula>
    </cfRule>
  </conditionalFormatting>
  <conditionalFormatting sqref="F423:L423 F424 F425:L426">
    <cfRule type="expression" dxfId="1227" priority="257">
      <formula>$F423&lt;&gt;$R423</formula>
    </cfRule>
    <cfRule type="containsBlanks" dxfId="1226" priority="262">
      <formula>LEN(TRIM(F423))=0</formula>
    </cfRule>
  </conditionalFormatting>
  <conditionalFormatting sqref="F434:L434">
    <cfRule type="expression" dxfId="1225" priority="260">
      <formula>$C423&lt;&gt;""</formula>
    </cfRule>
  </conditionalFormatting>
  <conditionalFormatting sqref="F434:L435">
    <cfRule type="notContainsBlanks" dxfId="1224" priority="258">
      <formula>LEN(TRIM(F434))&gt;0</formula>
    </cfRule>
  </conditionalFormatting>
  <conditionalFormatting sqref="F435:L435">
    <cfRule type="expression" dxfId="1223" priority="259">
      <formula>$C423&lt;&gt;""</formula>
    </cfRule>
  </conditionalFormatting>
  <conditionalFormatting sqref="F439:L439 F440 F441:L442">
    <cfRule type="expression" dxfId="1222" priority="246">
      <formula>$F439&lt;&gt;$R439</formula>
    </cfRule>
    <cfRule type="containsBlanks" dxfId="1221" priority="251">
      <formula>LEN(TRIM(F439))=0</formula>
    </cfRule>
  </conditionalFormatting>
  <conditionalFormatting sqref="F450:L450">
    <cfRule type="expression" dxfId="1220" priority="249">
      <formula>$C439&lt;&gt;""</formula>
    </cfRule>
  </conditionalFormatting>
  <conditionalFormatting sqref="F450:L451">
    <cfRule type="notContainsBlanks" dxfId="1219" priority="247">
      <formula>LEN(TRIM(F450))&gt;0</formula>
    </cfRule>
  </conditionalFormatting>
  <conditionalFormatting sqref="F451:L451">
    <cfRule type="expression" dxfId="1218" priority="248">
      <formula>$C439&lt;&gt;""</formula>
    </cfRule>
  </conditionalFormatting>
  <conditionalFormatting sqref="F455:L455 F456 F457:L458">
    <cfRule type="containsBlanks" dxfId="1217" priority="240">
      <formula>LEN(TRIM(F455))=0</formula>
    </cfRule>
    <cfRule type="expression" dxfId="1216" priority="235">
      <formula>$F455&lt;&gt;$R455</formula>
    </cfRule>
  </conditionalFormatting>
  <conditionalFormatting sqref="F466:L466">
    <cfRule type="expression" dxfId="1215" priority="238">
      <formula>$C455&lt;&gt;""</formula>
    </cfRule>
  </conditionalFormatting>
  <conditionalFormatting sqref="F466:L467">
    <cfRule type="notContainsBlanks" dxfId="1214" priority="236">
      <formula>LEN(TRIM(F466))&gt;0</formula>
    </cfRule>
  </conditionalFormatting>
  <conditionalFormatting sqref="F467:L467">
    <cfRule type="expression" dxfId="1213" priority="237">
      <formula>$C455&lt;&gt;""</formula>
    </cfRule>
  </conditionalFormatting>
  <conditionalFormatting sqref="F471:L471 F472 F473:L474">
    <cfRule type="expression" dxfId="1212" priority="224">
      <formula>$F471&lt;&gt;$R471</formula>
    </cfRule>
    <cfRule type="containsBlanks" dxfId="1211" priority="229">
      <formula>LEN(TRIM(F471))=0</formula>
    </cfRule>
  </conditionalFormatting>
  <conditionalFormatting sqref="F482:L482">
    <cfRule type="expression" dxfId="1210" priority="227">
      <formula>$C471&lt;&gt;""</formula>
    </cfRule>
  </conditionalFormatting>
  <conditionalFormatting sqref="F482:L483">
    <cfRule type="notContainsBlanks" dxfId="1209" priority="225">
      <formula>LEN(TRIM(F482))&gt;0</formula>
    </cfRule>
  </conditionalFormatting>
  <conditionalFormatting sqref="F483:L483">
    <cfRule type="expression" dxfId="1208" priority="226">
      <formula>$C471&lt;&gt;""</formula>
    </cfRule>
  </conditionalFormatting>
  <conditionalFormatting sqref="F487:L487 F488 F489:L490">
    <cfRule type="expression" dxfId="1207" priority="213">
      <formula>$F487&lt;&gt;$R487</formula>
    </cfRule>
    <cfRule type="containsBlanks" dxfId="1206" priority="218">
      <formula>LEN(TRIM(F487))=0</formula>
    </cfRule>
  </conditionalFormatting>
  <conditionalFormatting sqref="F498:L498">
    <cfRule type="expression" dxfId="1205" priority="216">
      <formula>$C487&lt;&gt;""</formula>
    </cfRule>
  </conditionalFormatting>
  <conditionalFormatting sqref="F498:L499">
    <cfRule type="notContainsBlanks" dxfId="1204" priority="214">
      <formula>LEN(TRIM(F498))&gt;0</formula>
    </cfRule>
  </conditionalFormatting>
  <conditionalFormatting sqref="F499:L499">
    <cfRule type="expression" dxfId="1203" priority="215">
      <formula>$C487&lt;&gt;""</formula>
    </cfRule>
  </conditionalFormatting>
  <conditionalFormatting sqref="F503:L503 F504 F505:L506">
    <cfRule type="expression" dxfId="1202" priority="202">
      <formula>$F503&lt;&gt;$R503</formula>
    </cfRule>
    <cfRule type="containsBlanks" dxfId="1201" priority="207">
      <formula>LEN(TRIM(F503))=0</formula>
    </cfRule>
  </conditionalFormatting>
  <conditionalFormatting sqref="F514:L514">
    <cfRule type="expression" dxfId="1200" priority="205">
      <formula>$C503&lt;&gt;""</formula>
    </cfRule>
  </conditionalFormatting>
  <conditionalFormatting sqref="F514:L515">
    <cfRule type="notContainsBlanks" dxfId="1199" priority="203">
      <formula>LEN(TRIM(F514))&gt;0</formula>
    </cfRule>
  </conditionalFormatting>
  <conditionalFormatting sqref="F515:L515">
    <cfRule type="expression" dxfId="1198" priority="204">
      <formula>$C503&lt;&gt;""</formula>
    </cfRule>
  </conditionalFormatting>
  <conditionalFormatting sqref="F519:L519 F520 F521:L522">
    <cfRule type="expression" dxfId="1197" priority="191">
      <formula>$F519&lt;&gt;$R519</formula>
    </cfRule>
    <cfRule type="containsBlanks" dxfId="1196" priority="196">
      <formula>LEN(TRIM(F519))=0</formula>
    </cfRule>
  </conditionalFormatting>
  <conditionalFormatting sqref="F530:L530">
    <cfRule type="expression" dxfId="1195" priority="194">
      <formula>$C519&lt;&gt;""</formula>
    </cfRule>
  </conditionalFormatting>
  <conditionalFormatting sqref="F530:L531">
    <cfRule type="notContainsBlanks" dxfId="1194" priority="192">
      <formula>LEN(TRIM(F530))&gt;0</formula>
    </cfRule>
  </conditionalFormatting>
  <conditionalFormatting sqref="F531:L531">
    <cfRule type="expression" dxfId="1193" priority="193">
      <formula>$C519&lt;&gt;""</formula>
    </cfRule>
  </conditionalFormatting>
  <conditionalFormatting sqref="F535:L535 F536 F537:L538">
    <cfRule type="containsBlanks" dxfId="1192" priority="185">
      <formula>LEN(TRIM(F535))=0</formula>
    </cfRule>
    <cfRule type="expression" dxfId="1191" priority="180">
      <formula>$F535&lt;&gt;$R535</formula>
    </cfRule>
  </conditionalFormatting>
  <conditionalFormatting sqref="F546:L546">
    <cfRule type="expression" dxfId="1190" priority="183">
      <formula>$C535&lt;&gt;""</formula>
    </cfRule>
  </conditionalFormatting>
  <conditionalFormatting sqref="F546:L547">
    <cfRule type="notContainsBlanks" dxfId="1189" priority="181">
      <formula>LEN(TRIM(F546))&gt;0</formula>
    </cfRule>
  </conditionalFormatting>
  <conditionalFormatting sqref="F547:L547">
    <cfRule type="expression" dxfId="1188" priority="182">
      <formula>$C535&lt;&gt;""</formula>
    </cfRule>
  </conditionalFormatting>
  <conditionalFormatting sqref="F551:L551 F552 F553:L554">
    <cfRule type="containsBlanks" dxfId="1187" priority="174">
      <formula>LEN(TRIM(F551))=0</formula>
    </cfRule>
    <cfRule type="expression" dxfId="1186" priority="169">
      <formula>$F551&lt;&gt;$R551</formula>
    </cfRule>
  </conditionalFormatting>
  <conditionalFormatting sqref="F562:L562">
    <cfRule type="expression" dxfId="1185" priority="172">
      <formula>$C551&lt;&gt;""</formula>
    </cfRule>
  </conditionalFormatting>
  <conditionalFormatting sqref="F562:L563">
    <cfRule type="notContainsBlanks" dxfId="1184" priority="170">
      <formula>LEN(TRIM(F562))&gt;0</formula>
    </cfRule>
  </conditionalFormatting>
  <conditionalFormatting sqref="F563:L563">
    <cfRule type="expression" dxfId="1183" priority="171">
      <formula>$C551&lt;&gt;""</formula>
    </cfRule>
  </conditionalFormatting>
  <conditionalFormatting sqref="F567:L567 F568 F569:L570">
    <cfRule type="expression" dxfId="1182" priority="158">
      <formula>$F567&lt;&gt;$R567</formula>
    </cfRule>
    <cfRule type="containsBlanks" dxfId="1181" priority="163">
      <formula>LEN(TRIM(F567))=0</formula>
    </cfRule>
  </conditionalFormatting>
  <conditionalFormatting sqref="F578:L578">
    <cfRule type="expression" dxfId="1180" priority="161">
      <formula>$C567&lt;&gt;""</formula>
    </cfRule>
  </conditionalFormatting>
  <conditionalFormatting sqref="F578:L579">
    <cfRule type="notContainsBlanks" dxfId="1179" priority="159">
      <formula>LEN(TRIM(F578))&gt;0</formula>
    </cfRule>
  </conditionalFormatting>
  <conditionalFormatting sqref="F579:L579">
    <cfRule type="expression" dxfId="1178" priority="160">
      <formula>$C567&lt;&gt;""</formula>
    </cfRule>
  </conditionalFormatting>
  <conditionalFormatting sqref="F583:L583 F584 F585:L586">
    <cfRule type="containsBlanks" dxfId="1177" priority="152">
      <formula>LEN(TRIM(F583))=0</formula>
    </cfRule>
    <cfRule type="expression" dxfId="1176" priority="147">
      <formula>$F583&lt;&gt;$R583</formula>
    </cfRule>
  </conditionalFormatting>
  <conditionalFormatting sqref="F594:L594">
    <cfRule type="expression" dxfId="1175" priority="150">
      <formula>$C583&lt;&gt;""</formula>
    </cfRule>
  </conditionalFormatting>
  <conditionalFormatting sqref="F594:L595">
    <cfRule type="notContainsBlanks" dxfId="1174" priority="148">
      <formula>LEN(TRIM(F594))&gt;0</formula>
    </cfRule>
  </conditionalFormatting>
  <conditionalFormatting sqref="F595:L595">
    <cfRule type="expression" dxfId="1173" priority="149">
      <formula>$C583&lt;&gt;""</formula>
    </cfRule>
  </conditionalFormatting>
  <conditionalFormatting sqref="F599:L599 F600 F601:L602">
    <cfRule type="containsBlanks" dxfId="1172" priority="141">
      <formula>LEN(TRIM(F599))=0</formula>
    </cfRule>
    <cfRule type="expression" dxfId="1171" priority="136">
      <formula>$F599&lt;&gt;$R599</formula>
    </cfRule>
  </conditionalFormatting>
  <conditionalFormatting sqref="F610:L610">
    <cfRule type="expression" dxfId="1170" priority="139">
      <formula>$C599&lt;&gt;""</formula>
    </cfRule>
  </conditionalFormatting>
  <conditionalFormatting sqref="F610:L611">
    <cfRule type="notContainsBlanks" dxfId="1169" priority="137">
      <formula>LEN(TRIM(F610))&gt;0</formula>
    </cfRule>
  </conditionalFormatting>
  <conditionalFormatting sqref="F611:L611">
    <cfRule type="expression" dxfId="1168" priority="138">
      <formula>$C599&lt;&gt;""</formula>
    </cfRule>
  </conditionalFormatting>
  <conditionalFormatting sqref="F615:L615 F616 F617:L618">
    <cfRule type="containsBlanks" dxfId="1167" priority="130">
      <formula>LEN(TRIM(F615))=0</formula>
    </cfRule>
    <cfRule type="expression" dxfId="1166" priority="125">
      <formula>$F615&lt;&gt;$R615</formula>
    </cfRule>
  </conditionalFormatting>
  <conditionalFormatting sqref="F626:L626">
    <cfRule type="expression" dxfId="1165" priority="128">
      <formula>$C615&lt;&gt;""</formula>
    </cfRule>
  </conditionalFormatting>
  <conditionalFormatting sqref="F626:L627">
    <cfRule type="notContainsBlanks" dxfId="1164" priority="126">
      <formula>LEN(TRIM(F626))&gt;0</formula>
    </cfRule>
  </conditionalFormatting>
  <conditionalFormatting sqref="F627:L627">
    <cfRule type="expression" dxfId="1163" priority="127">
      <formula>$C615&lt;&gt;""</formula>
    </cfRule>
  </conditionalFormatting>
  <conditionalFormatting sqref="F631:L631 F632 F633:L634">
    <cfRule type="expression" dxfId="1162" priority="114">
      <formula>$F631&lt;&gt;$R631</formula>
    </cfRule>
    <cfRule type="containsBlanks" dxfId="1161" priority="119">
      <formula>LEN(TRIM(F631))=0</formula>
    </cfRule>
  </conditionalFormatting>
  <conditionalFormatting sqref="F642:L642">
    <cfRule type="expression" dxfId="1160" priority="117">
      <formula>$C631&lt;&gt;""</formula>
    </cfRule>
  </conditionalFormatting>
  <conditionalFormatting sqref="F642:L643">
    <cfRule type="notContainsBlanks" dxfId="1159" priority="115">
      <formula>LEN(TRIM(F642))&gt;0</formula>
    </cfRule>
  </conditionalFormatting>
  <conditionalFormatting sqref="F643:L643">
    <cfRule type="expression" dxfId="1158" priority="116">
      <formula>$C631&lt;&gt;""</formula>
    </cfRule>
  </conditionalFormatting>
  <conditionalFormatting sqref="F647:L647 F648 F649:L650">
    <cfRule type="expression" dxfId="1157" priority="103">
      <formula>$F647&lt;&gt;$R647</formula>
    </cfRule>
    <cfRule type="containsBlanks" dxfId="1156" priority="108">
      <formula>LEN(TRIM(F647))=0</formula>
    </cfRule>
  </conditionalFormatting>
  <conditionalFormatting sqref="F658:L658">
    <cfRule type="expression" dxfId="1155" priority="106">
      <formula>$C647&lt;&gt;""</formula>
    </cfRule>
  </conditionalFormatting>
  <conditionalFormatting sqref="F658:L659">
    <cfRule type="notContainsBlanks" dxfId="1154" priority="104">
      <formula>LEN(TRIM(F658))&gt;0</formula>
    </cfRule>
  </conditionalFormatting>
  <conditionalFormatting sqref="F659:L659">
    <cfRule type="expression" dxfId="1153" priority="105">
      <formula>$C647&lt;&gt;""</formula>
    </cfRule>
  </conditionalFormatting>
  <conditionalFormatting sqref="F663:L663 F664 F665:L666">
    <cfRule type="expression" dxfId="1152" priority="92">
      <formula>$F663&lt;&gt;$R663</formula>
    </cfRule>
    <cfRule type="containsBlanks" dxfId="1151" priority="97">
      <formula>LEN(TRIM(F663))=0</formula>
    </cfRule>
  </conditionalFormatting>
  <conditionalFormatting sqref="F674:L674">
    <cfRule type="expression" dxfId="1150" priority="95">
      <formula>$C663&lt;&gt;""</formula>
    </cfRule>
  </conditionalFormatting>
  <conditionalFormatting sqref="F674:L675">
    <cfRule type="notContainsBlanks" dxfId="1149" priority="93">
      <formula>LEN(TRIM(F674))&gt;0</formula>
    </cfRule>
  </conditionalFormatting>
  <conditionalFormatting sqref="F675:L675">
    <cfRule type="expression" dxfId="1148" priority="94">
      <formula>$C663&lt;&gt;""</formula>
    </cfRule>
  </conditionalFormatting>
  <conditionalFormatting sqref="F679:L679 F680 F681:L682">
    <cfRule type="expression" dxfId="1147" priority="81">
      <formula>$F679&lt;&gt;$R679</formula>
    </cfRule>
    <cfRule type="containsBlanks" dxfId="1146" priority="86">
      <formula>LEN(TRIM(F679))=0</formula>
    </cfRule>
  </conditionalFormatting>
  <conditionalFormatting sqref="F690:L690">
    <cfRule type="expression" dxfId="1145" priority="84">
      <formula>$C679&lt;&gt;""</formula>
    </cfRule>
  </conditionalFormatting>
  <conditionalFormatting sqref="F690:L691">
    <cfRule type="notContainsBlanks" dxfId="1144" priority="82">
      <formula>LEN(TRIM(F690))&gt;0</formula>
    </cfRule>
  </conditionalFormatting>
  <conditionalFormatting sqref="F691:L691">
    <cfRule type="expression" dxfId="1143" priority="83">
      <formula>$C679&lt;&gt;""</formula>
    </cfRule>
  </conditionalFormatting>
  <conditionalFormatting sqref="F695:L695 F696 F697:L698">
    <cfRule type="containsBlanks" dxfId="1142" priority="75">
      <formula>LEN(TRIM(F695))=0</formula>
    </cfRule>
    <cfRule type="expression" dxfId="1141" priority="70">
      <formula>$F695&lt;&gt;$R695</formula>
    </cfRule>
  </conditionalFormatting>
  <conditionalFormatting sqref="F706:L706">
    <cfRule type="expression" dxfId="1140" priority="73">
      <formula>$C695&lt;&gt;""</formula>
    </cfRule>
  </conditionalFormatting>
  <conditionalFormatting sqref="F706:L707">
    <cfRule type="notContainsBlanks" dxfId="1139" priority="71">
      <formula>LEN(TRIM(F706))&gt;0</formula>
    </cfRule>
  </conditionalFormatting>
  <conditionalFormatting sqref="F707:L707">
    <cfRule type="expression" dxfId="1138" priority="72">
      <formula>$C695&lt;&gt;""</formula>
    </cfRule>
  </conditionalFormatting>
  <conditionalFormatting sqref="F711:L711 F712 F713:L714">
    <cfRule type="containsBlanks" dxfId="1137" priority="64">
      <formula>LEN(TRIM(F711))=0</formula>
    </cfRule>
    <cfRule type="expression" dxfId="1136" priority="59">
      <formula>$F711&lt;&gt;$R711</formula>
    </cfRule>
  </conditionalFormatting>
  <conditionalFormatting sqref="F722:L722">
    <cfRule type="expression" dxfId="1135" priority="62">
      <formula>$C711&lt;&gt;""</formula>
    </cfRule>
  </conditionalFormatting>
  <conditionalFormatting sqref="F722:L723">
    <cfRule type="notContainsBlanks" dxfId="1134" priority="60">
      <formula>LEN(TRIM(F722))&gt;0</formula>
    </cfRule>
  </conditionalFormatting>
  <conditionalFormatting sqref="F723:L723">
    <cfRule type="expression" dxfId="1133" priority="61">
      <formula>$C711&lt;&gt;""</formula>
    </cfRule>
  </conditionalFormatting>
  <conditionalFormatting sqref="F727:L727 F728 F729:L730">
    <cfRule type="expression" dxfId="1132" priority="48">
      <formula>$F727&lt;&gt;$R727</formula>
    </cfRule>
    <cfRule type="containsBlanks" dxfId="1131" priority="53">
      <formula>LEN(TRIM(F727))=0</formula>
    </cfRule>
  </conditionalFormatting>
  <conditionalFormatting sqref="F738:L738">
    <cfRule type="expression" dxfId="1130" priority="51">
      <formula>$C727&lt;&gt;""</formula>
    </cfRule>
  </conditionalFormatting>
  <conditionalFormatting sqref="F738:L739">
    <cfRule type="notContainsBlanks" dxfId="1129" priority="49">
      <formula>LEN(TRIM(F738))&gt;0</formula>
    </cfRule>
  </conditionalFormatting>
  <conditionalFormatting sqref="F739:L739">
    <cfRule type="expression" dxfId="1128" priority="50">
      <formula>$C727&lt;&gt;""</formula>
    </cfRule>
  </conditionalFormatting>
  <conditionalFormatting sqref="F743:L743 F744 F745:L746">
    <cfRule type="expression" dxfId="1127" priority="37">
      <formula>$F743&lt;&gt;$R743</formula>
    </cfRule>
    <cfRule type="containsBlanks" dxfId="1126" priority="42">
      <formula>LEN(TRIM(F743))=0</formula>
    </cfRule>
  </conditionalFormatting>
  <conditionalFormatting sqref="F754:L754">
    <cfRule type="expression" dxfId="1125" priority="40">
      <formula>$C743&lt;&gt;""</formula>
    </cfRule>
  </conditionalFormatting>
  <conditionalFormatting sqref="F754:L755">
    <cfRule type="notContainsBlanks" dxfId="1124" priority="38">
      <formula>LEN(TRIM(F754))&gt;0</formula>
    </cfRule>
  </conditionalFormatting>
  <conditionalFormatting sqref="F755:L755">
    <cfRule type="expression" dxfId="1123" priority="39">
      <formula>$C743&lt;&gt;""</formula>
    </cfRule>
  </conditionalFormatting>
  <conditionalFormatting sqref="F759:L759 F760 F761:L762">
    <cfRule type="expression" dxfId="1122" priority="26">
      <formula>$F759&lt;&gt;$R759</formula>
    </cfRule>
    <cfRule type="containsBlanks" dxfId="1121" priority="31">
      <formula>LEN(TRIM(F759))=0</formula>
    </cfRule>
  </conditionalFormatting>
  <conditionalFormatting sqref="F770:L770">
    <cfRule type="expression" dxfId="1120" priority="29">
      <formula>$C759&lt;&gt;""</formula>
    </cfRule>
  </conditionalFormatting>
  <conditionalFormatting sqref="F770:L771">
    <cfRule type="notContainsBlanks" dxfId="1119" priority="27">
      <formula>LEN(TRIM(F770))&gt;0</formula>
    </cfRule>
  </conditionalFormatting>
  <conditionalFormatting sqref="F771:L771">
    <cfRule type="expression" dxfId="1118" priority="28">
      <formula>$C759&lt;&gt;""</formula>
    </cfRule>
  </conditionalFormatting>
  <conditionalFormatting sqref="F775:L775 F776 F777:L778">
    <cfRule type="expression" dxfId="1117" priority="15">
      <formula>$F775&lt;&gt;$R775</formula>
    </cfRule>
    <cfRule type="containsBlanks" dxfId="1116" priority="20">
      <formula>LEN(TRIM(F775))=0</formula>
    </cfRule>
  </conditionalFormatting>
  <conditionalFormatting sqref="F786:L786">
    <cfRule type="expression" dxfId="1115" priority="18">
      <formula>$C775&lt;&gt;""</formula>
    </cfRule>
  </conditionalFormatting>
  <conditionalFormatting sqref="F786:L787">
    <cfRule type="notContainsBlanks" dxfId="1114" priority="16">
      <formula>LEN(TRIM(F786))&gt;0</formula>
    </cfRule>
  </conditionalFormatting>
  <conditionalFormatting sqref="F787:L787">
    <cfRule type="expression" dxfId="1113" priority="17">
      <formula>$C775&lt;&gt;""</formula>
    </cfRule>
  </conditionalFormatting>
  <conditionalFormatting sqref="F791:L791 F792 F793:L794">
    <cfRule type="containsBlanks" dxfId="1112" priority="9">
      <formula>LEN(TRIM(F791))=0</formula>
    </cfRule>
    <cfRule type="expression" dxfId="1111" priority="4">
      <formula>$F791&lt;&gt;$R791</formula>
    </cfRule>
  </conditionalFormatting>
  <conditionalFormatting sqref="F802:L802">
    <cfRule type="expression" dxfId="1110" priority="7">
      <formula>$C791&lt;&gt;""</formula>
    </cfRule>
  </conditionalFormatting>
  <conditionalFormatting sqref="F802:L803">
    <cfRule type="notContainsBlanks" dxfId="1109" priority="5">
      <formula>LEN(TRIM(F802))&gt;0</formula>
    </cfRule>
  </conditionalFormatting>
  <conditionalFormatting sqref="F803:L803">
    <cfRule type="expression" dxfId="1108" priority="6">
      <formula>$C791&lt;&gt;""</formula>
    </cfRule>
  </conditionalFormatting>
  <dataValidations count="2">
    <dataValidation type="list" allowBlank="1" showInputMessage="1" showErrorMessage="1" sqref="F12:K15 F28:K31 F44:K47 F60:K63 F76:K79 F92:K95 F108:K111 F124:K127 F140:K143 F156:K159 F172:K175 F188:K191 F204:K207 F220:K223 F236:K239 F252:K255 F268:K271 F284:K287 F300:K303 F316:K319 F332:K335 F348:K351 F364:K367 F380:K383 F396:K399 F412:K415 F428:K431 F444:K447 F460:K463 F476:K479 F492:K495 F508:K511 F524:K527 F540:K543 F556:K559 F572:K575 F588:K591 F604:K607 F620:K623 F636:K639 F652:K655 F668:K671 F684:K687 F700:K703 F716:K719 F732:K735 F748:K751 F764:K767 F780:K783 F796:K799" xr:uid="{F2230F50-7779-4695-A90F-AD4F83F4453B}">
      <formula1>"未実施,実施中,実施済"</formula1>
    </dataValidation>
    <dataValidation type="list" allowBlank="1" showInputMessage="1" showErrorMessage="1" sqref="L12:L15 L28:L31 L44:L47 L60:L63 L76:L79 L92:L95 L108:L111 L124:L127 L140:L143 L156:L159 L172:L175 L188:L191 L204:L207 L220:L223 L236:L239 L252:L255 L268:L271 L284:L287 L300:L303 L316:L319 L332:L335 L348:L351 L364:L367 L380:L383 L396:L399 L412:L415 L428:L431 L444:L447 L460:L463 L476:L479 L492:L495 L508:L511 L524:L527 L540:L543 L556:L559 L572:L575 L588:L591 L604:L607 L620:L623 L636:L639 L652:L655 L668:L671 L684:L687 L700:L703 L716:L719 L732:L735 L748:L751 L764:L767 L780:L783 L796:L799" xr:uid="{B39B76D5-EEF1-48E3-BFCA-E94A94899CF3}">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xr:uid="{47BDB702-EB99-489A-AF6B-CC861A6AAD58}">
          <x14:formula1>
            <xm:f>IF('4.2民生電力需要量'!$U$2=1,OFFSET('4.2民生電力需要量'!$Z$8,1,0,'4.2民生電力需要量'!$U$4,1),OFFSET('4.2民生電力需要量'!$V$8,1,0,'4.2民生電力需要量'!$R$4,1))</xm:f>
          </x14:formula1>
          <xm:sqref>D7:D8 D23:D24 D39:D40 D55:D56 D71:D72 D87:D88 D103:D104 D119:D120 D135:D136 D151:D152 D167:D168 D183:D184 D199:D200 D215:D216 D231:D232 D247:D248 D263:D264 D279:D280 D295:D296 D311:D312 D327:D328 D343:D344 D359:D360 D375:D376 D391:D392 D407:D408 D423:D424 D439:D440 D455:D456 D471:D472 D487:D488 D503:D504 D519:D520 D535:D536 D551:D552 D567:D568 D583:D584 D599:D600 D615:D616 D631:D632 D647:D648 D663:D664 D679:D680 D695:D696 D711:D712 D727:D728 D743:D744 D759:D760 D775:D776 D791:D792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0163-034D-4CAD-AFDC-3F211632E6ED}">
  <sheetPr codeName="Sheet34">
    <tabColor theme="7" tint="0.79998168889431442"/>
    <pageSetUpPr autoPageBreaks="0" fitToPage="1"/>
  </sheetPr>
  <dimension ref="A1:W854"/>
  <sheetViews>
    <sheetView showGridLines="0" zoomScaleNormal="100" zoomScaleSheetLayoutView="56" workbookViewId="0">
      <selection activeCell="E2" sqref="E2"/>
    </sheetView>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1" customWidth="1"/>
    <col min="6" max="8" width="15" style="11" customWidth="1"/>
    <col min="9" max="9" width="2" style="11" customWidth="1"/>
    <col min="10" max="10" width="4.08203125" style="99" customWidth="1"/>
    <col min="11" max="12" width="9" style="99"/>
    <col min="13" max="17" width="9" style="11"/>
    <col min="18" max="21" width="12.58203125" style="11" hidden="1" customWidth="1"/>
    <col min="22" max="23" width="9" style="11" hidden="1" customWidth="1"/>
    <col min="24" max="16384" width="9" style="11"/>
  </cols>
  <sheetData>
    <row r="1" spans="1:23" customFormat="1">
      <c r="A1" s="44" t="s">
        <v>360</v>
      </c>
      <c r="B1" s="1"/>
      <c r="C1" s="1"/>
      <c r="J1" s="2"/>
      <c r="K1" s="2"/>
      <c r="L1" s="2"/>
    </row>
    <row r="2" spans="1:23" customFormat="1" ht="18.75" customHeight="1">
      <c r="B2" s="80" t="s">
        <v>449</v>
      </c>
      <c r="C2" s="80"/>
      <c r="D2" s="80"/>
      <c r="E2" s="80"/>
      <c r="F2" s="80"/>
      <c r="G2" s="80"/>
      <c r="H2" s="80"/>
      <c r="I2" s="80"/>
      <c r="J2" s="80"/>
      <c r="K2" s="80"/>
      <c r="L2" s="80"/>
      <c r="M2" s="80"/>
    </row>
    <row r="3" spans="1:23" customFormat="1">
      <c r="B3" s="11"/>
      <c r="C3" t="s">
        <v>507</v>
      </c>
      <c r="J3" s="2"/>
      <c r="K3" s="2"/>
      <c r="L3" s="2"/>
    </row>
    <row r="4" spans="1:23" customFormat="1">
      <c r="B4" s="11"/>
      <c r="C4" t="s">
        <v>428</v>
      </c>
      <c r="J4" s="2"/>
      <c r="K4" s="2"/>
      <c r="L4" s="2"/>
      <c r="R4" t="s">
        <v>314</v>
      </c>
    </row>
    <row r="5" spans="1:23" customFormat="1" ht="13.5" customHeight="1">
      <c r="J5" s="2"/>
      <c r="K5" s="2"/>
      <c r="L5" s="2"/>
      <c r="V5">
        <f ca="1">PRODUCT(W:W)</f>
        <v>1</v>
      </c>
    </row>
    <row r="6" spans="1:23" customFormat="1" ht="15" customHeight="1">
      <c r="B6" s="10"/>
      <c r="C6" s="5"/>
      <c r="D6" s="5"/>
      <c r="E6" s="5"/>
      <c r="F6" s="5"/>
      <c r="G6" s="5"/>
      <c r="H6" s="5"/>
      <c r="I6" s="6"/>
      <c r="R6" s="11" t="str">
        <f>D7</f>
        <v>(選択してください)</v>
      </c>
    </row>
    <row r="7" spans="1:23" customFormat="1">
      <c r="B7" s="7"/>
      <c r="C7" s="77" t="str">
        <f ca="1">IFERROR(OFFSET('4.2民生電力需要量'!$C$8,MATCH(D7,'4.2民生電力需要量'!$E$9:$E$49,0),0),"")</f>
        <v/>
      </c>
      <c r="D7" s="94" t="s">
        <v>130</v>
      </c>
      <c r="E7" s="72" t="s">
        <v>131</v>
      </c>
      <c r="F7" s="1451" t="str">
        <f ca="1">IFERROR(OFFSET('4.2民生電力需要量'!$G$1,MATCH($D7,'4.2民生電力需要量'!$E:$E,0)-1,0),"")</f>
        <v/>
      </c>
      <c r="G7" s="1451"/>
      <c r="H7" s="1451"/>
      <c r="I7" s="8"/>
      <c r="R7" s="255" t="str">
        <f ca="1">IFERROR(OFFSET('4.2民生電力需要量'!$G$1,MATCH($D7,'4.2民生電力需要量'!$E:$E,0)-1,0),"")</f>
        <v/>
      </c>
      <c r="S7" s="515"/>
      <c r="T7" s="515"/>
      <c r="U7" s="515"/>
      <c r="V7" s="515"/>
      <c r="W7" s="175">
        <f ca="1">(F7=R7)*1</f>
        <v>1</v>
      </c>
    </row>
    <row r="8" spans="1:23" customFormat="1">
      <c r="B8" s="7"/>
      <c r="C8" s="915"/>
      <c r="D8" s="97"/>
      <c r="E8" s="72" t="s">
        <v>612</v>
      </c>
      <c r="F8" s="1447" t="str">
        <f ca="1">IFERROR(OFFSET('4.2民生電力需要量'!$L$1,MATCH($D7,'4.2民生電力需要量'!$E:$E,0)-1,0),"")</f>
        <v/>
      </c>
      <c r="G8" s="1448"/>
      <c r="H8" s="1449"/>
      <c r="I8" s="8"/>
      <c r="R8" s="255" t="str">
        <f ca="1">IFERROR(OFFSET('4.2民生電力需要量'!$L$1,MATCH($D7,'4.2民生電力需要量'!$E:$E,0)-1,0),"")</f>
        <v/>
      </c>
      <c r="S8" s="515"/>
      <c r="T8" s="515"/>
      <c r="U8" s="515"/>
      <c r="V8" s="515"/>
      <c r="W8" s="175">
        <f ca="1">(F8=R8)*1</f>
        <v>1</v>
      </c>
    </row>
    <row r="9" spans="1:23" customFormat="1">
      <c r="B9" s="7"/>
      <c r="C9" s="915"/>
      <c r="D9" s="97"/>
      <c r="E9" s="72" t="s">
        <v>613</v>
      </c>
      <c r="F9" s="1456"/>
      <c r="G9" s="1457"/>
      <c r="H9" s="1458"/>
      <c r="I9" s="8"/>
      <c r="R9" s="320"/>
      <c r="S9" s="515"/>
      <c r="T9" s="515"/>
      <c r="U9" s="515"/>
      <c r="V9" s="515"/>
      <c r="W9" s="515"/>
    </row>
    <row r="10" spans="1:23" customFormat="1">
      <c r="B10" s="7"/>
      <c r="C10" s="74"/>
      <c r="D10" s="66"/>
      <c r="E10" s="72" t="s">
        <v>220</v>
      </c>
      <c r="F10" s="1450" t="str">
        <f ca="1">IFERROR(OFFSET('4.2民生電力需要量'!$I$1,MATCH($D7,'4.2民生電力需要量'!$E:$E,0)-1,0),"")</f>
        <v/>
      </c>
      <c r="G10" s="1450"/>
      <c r="H10" s="1450"/>
      <c r="I10" s="8"/>
      <c r="R10" s="175" t="str">
        <f ca="1">IFERROR(OFFSET('4.2民生電力需要量'!$I$1,MATCH($D7,'4.2民生電力需要量'!$E:$E,0)-1,0),"")</f>
        <v/>
      </c>
      <c r="S10" s="515"/>
      <c r="T10" s="515"/>
      <c r="U10" s="515"/>
      <c r="V10" s="515"/>
      <c r="W10" s="175">
        <f t="shared" ref="W10:W11" ca="1" si="0">(F10=R10)*1</f>
        <v>1</v>
      </c>
    </row>
    <row r="11" spans="1:23" customFormat="1">
      <c r="B11" s="7"/>
      <c r="C11" s="74"/>
      <c r="D11" s="66"/>
      <c r="E11" s="72" t="s">
        <v>175</v>
      </c>
      <c r="F11" s="1453" t="str">
        <f>_xlfn.IFNA(R11,"")</f>
        <v/>
      </c>
      <c r="G11" s="1454"/>
      <c r="H11" s="1455"/>
      <c r="I11" s="8"/>
      <c r="R11" s="129" t="str">
        <f>IF(OR(COUNTIF($E13:$E18,"&lt;&gt;〇〇(合意形成対象者名に書き換え)")=3,COUNTIF($E13:$E18,"")&gt;3),"",IF(PRODUCT($U13:$U18)=1,V13,""))</f>
        <v/>
      </c>
      <c r="S11" s="515"/>
      <c r="T11" s="515"/>
      <c r="U11" s="515"/>
      <c r="V11" s="515"/>
      <c r="W11" s="175">
        <f t="shared" si="0"/>
        <v>1</v>
      </c>
    </row>
    <row r="12" spans="1:23" ht="63.75" customHeight="1">
      <c r="B12" s="95"/>
      <c r="C12" s="96"/>
      <c r="D12" s="97"/>
      <c r="E12" s="372"/>
      <c r="F12" s="313" t="s">
        <v>281</v>
      </c>
      <c r="G12" s="313" t="s">
        <v>282</v>
      </c>
      <c r="H12" s="313" t="s">
        <v>279</v>
      </c>
      <c r="I12" s="98"/>
      <c r="J12" s="11"/>
      <c r="R12" s="126" t="s">
        <v>270</v>
      </c>
      <c r="S12" s="126" t="s">
        <v>426</v>
      </c>
      <c r="T12" s="129" t="s">
        <v>402</v>
      </c>
      <c r="U12" s="129" t="s">
        <v>430</v>
      </c>
      <c r="V12" s="126" t="s">
        <v>425</v>
      </c>
      <c r="W12" s="255"/>
    </row>
    <row r="13" spans="1:23" hidden="1">
      <c r="B13" s="95"/>
      <c r="C13" s="96"/>
      <c r="D13" s="97"/>
      <c r="E13" s="442"/>
      <c r="F13" s="443"/>
      <c r="G13" s="439"/>
      <c r="H13" s="439"/>
      <c r="I13" s="98"/>
      <c r="J13" s="11"/>
      <c r="R13" s="129">
        <f>IF(AND(F13="実施済",G13="実施済",H13="完了"),3,0)</f>
        <v>0</v>
      </c>
      <c r="S13" s="129" t="str">
        <f>IF(OR(E13="〇〇(合意形成対象者名に書き換え)",E13=""),"",R13)</f>
        <v/>
      </c>
      <c r="T13" s="129">
        <f t="shared" ref="T13:T18" si="1">MIN($S$13:$S$18)+1</f>
        <v>1</v>
      </c>
      <c r="U13" s="129">
        <f>IF(E13="",1,IF(AND(E13="〇〇(合意形成対象者名に書き換え)",COUNTA($F13:$H13)=0),1,IF(AND(E13&lt;&gt;"〇〇(合意形成対象者名に書き換え)",COUNTA($F13:$H13)=3),1,0)))</f>
        <v>1</v>
      </c>
      <c r="V13" s="129" t="str" cm="1">
        <f t="array" ref="V13">_xlfn.IFS(T13=4,"A",T13=3,"B",T13=2,"C",T13=1,"D")</f>
        <v>D</v>
      </c>
      <c r="W13" s="255"/>
    </row>
    <row r="14" spans="1:23">
      <c r="B14" s="95"/>
      <c r="C14" s="96"/>
      <c r="D14" s="97"/>
      <c r="E14" s="100" t="s">
        <v>129</v>
      </c>
      <c r="F14" s="446"/>
      <c r="G14" s="441"/>
      <c r="H14" s="441"/>
      <c r="I14" s="98"/>
      <c r="J14" s="11"/>
      <c r="R14" s="129">
        <f t="shared" ref="R14:R18" si="2">IF(AND(F14="実施済",G14="実施済",H14="完了"),3,0)</f>
        <v>0</v>
      </c>
      <c r="S14" s="129" t="str">
        <f t="shared" ref="S14:S18" si="3">IF(OR(E14="〇〇(合意形成対象者名に書き換え)",E14=""),"",R14)</f>
        <v/>
      </c>
      <c r="T14" s="129">
        <f t="shared" si="1"/>
        <v>1</v>
      </c>
      <c r="U14" s="129">
        <f>IF(E14="",1,IF(AND(E14="〇〇(合意形成対象者名に書き換え)",COUNTA($F14:$H14)=0),1,IF(AND(E14&lt;&gt;"〇〇(合意形成対象者名に書き換え)",COUNTA($F14:$H14)=3),1,0)))</f>
        <v>1</v>
      </c>
      <c r="V14" s="129" t="str" cm="1">
        <f t="array" ref="V14">_xlfn.IFS(T14=4,"A",T14=3,"B",T14=2,"C",T14=1,"D")</f>
        <v>D</v>
      </c>
      <c r="W14" s="255"/>
    </row>
    <row r="15" spans="1:23">
      <c r="B15" s="95"/>
      <c r="C15" s="96"/>
      <c r="D15" s="97"/>
      <c r="E15" s="100" t="s">
        <v>129</v>
      </c>
      <c r="F15" s="446"/>
      <c r="G15" s="441"/>
      <c r="H15" s="441"/>
      <c r="I15" s="98"/>
      <c r="J15" s="11"/>
      <c r="R15" s="129">
        <f t="shared" si="2"/>
        <v>0</v>
      </c>
      <c r="S15" s="129" t="str">
        <f t="shared" si="3"/>
        <v/>
      </c>
      <c r="T15" s="129">
        <f t="shared" si="1"/>
        <v>1</v>
      </c>
      <c r="U15" s="129">
        <f>IF(E15="",1,IF(AND(E15="〇〇(合意形成対象者名に書き換え)",COUNTA($F15:$H15)=0),1,IF(AND(E15&lt;&gt;"〇〇(合意形成対象者名に書き換え)",COUNTA($F15:$H15)=3),1,0)))</f>
        <v>1</v>
      </c>
      <c r="V15" s="129" t="str" cm="1">
        <f t="array" ref="V15">_xlfn.IFS(T15=4,"A",T15=3,"B",T15=2,"C",T15=1,"D")</f>
        <v>D</v>
      </c>
      <c r="W15" s="255"/>
    </row>
    <row r="16" spans="1:23" s="99" customFormat="1">
      <c r="A16" s="11"/>
      <c r="B16" s="95"/>
      <c r="C16" s="96"/>
      <c r="D16" s="97"/>
      <c r="E16" s="100" t="s">
        <v>129</v>
      </c>
      <c r="F16" s="446"/>
      <c r="G16" s="441"/>
      <c r="H16" s="441"/>
      <c r="I16" s="98"/>
      <c r="J16" s="11"/>
      <c r="M16" s="11"/>
      <c r="N16" s="11"/>
      <c r="O16" s="11"/>
      <c r="P16" s="11"/>
      <c r="Q16" s="11"/>
      <c r="R16" s="129">
        <f t="shared" si="2"/>
        <v>0</v>
      </c>
      <c r="S16" s="129" t="str">
        <f t="shared" si="3"/>
        <v/>
      </c>
      <c r="T16" s="129">
        <f t="shared" si="1"/>
        <v>1</v>
      </c>
      <c r="U16" s="129">
        <f>IF(E16="",1,IF(AND(E16="〇〇(合意形成対象者名に書き換え)",COUNTA($F16:$H16)=0),1,IF(AND(E16&lt;&gt;"〇〇(合意形成対象者名に書き換え)",COUNTA($F16:$H16)=3),1,0)))</f>
        <v>1</v>
      </c>
      <c r="V16" s="129" t="str" cm="1">
        <f t="array" ref="V16">_xlfn.IFS(T16=4,"A",T16=3,"B",T16=2,"C",T16=1,"D")</f>
        <v>D</v>
      </c>
      <c r="W16" s="129"/>
    </row>
    <row r="17" spans="1:23" customFormat="1" ht="7.5" customHeight="1">
      <c r="B17" s="65"/>
      <c r="C17" s="4"/>
      <c r="D17" s="4"/>
      <c r="E17" s="4"/>
      <c r="F17" s="4"/>
      <c r="G17" s="4"/>
      <c r="H17" s="4"/>
      <c r="I17" s="9"/>
      <c r="J17" s="2"/>
      <c r="K17" s="2"/>
      <c r="L17" s="2"/>
      <c r="R17" s="129">
        <f t="shared" si="2"/>
        <v>0</v>
      </c>
      <c r="S17" s="129" t="str">
        <f t="shared" si="3"/>
        <v/>
      </c>
      <c r="T17" s="129">
        <f t="shared" si="1"/>
        <v>1</v>
      </c>
      <c r="U17" s="129">
        <f t="shared" ref="U17:U18" si="4">IF(E17="",1,IF(AND(E17="〇〇(合意形成対象者名に書き換え)",COUNTA($F17:$H17)=0),1,IF(AND(E17&lt;&gt;"〇〇(合意形成対象者名に書き換え)",COUNTA($F17:$H17)=3),1,0)))</f>
        <v>1</v>
      </c>
      <c r="V17" s="129" t="str" cm="1">
        <f t="array" ref="V17">_xlfn.IFS(T17=4,"A",T17=3,"B",T17=2,"C",T17=1,"D")</f>
        <v>D</v>
      </c>
      <c r="W17" s="175"/>
    </row>
    <row r="18" spans="1:23" customFormat="1" ht="6" customHeight="1">
      <c r="J18" s="2"/>
      <c r="K18" s="2"/>
      <c r="L18" s="2"/>
      <c r="R18" s="129">
        <f t="shared" si="2"/>
        <v>0</v>
      </c>
      <c r="S18" s="129" t="str">
        <f t="shared" si="3"/>
        <v/>
      </c>
      <c r="T18" s="129">
        <f t="shared" si="1"/>
        <v>1</v>
      </c>
      <c r="U18" s="129">
        <f t="shared" si="4"/>
        <v>1</v>
      </c>
      <c r="V18" s="129" t="str" cm="1">
        <f t="array" ref="V18">_xlfn.IFS(T18=4,"A",T18=3,"B",T18=2,"C",T18=1,"D")</f>
        <v>D</v>
      </c>
      <c r="W18" s="175"/>
    </row>
    <row r="19" spans="1:23" customFormat="1" ht="103.5" customHeight="1">
      <c r="C19" s="78"/>
      <c r="D19" s="79"/>
      <c r="E19" s="71" t="s">
        <v>236</v>
      </c>
      <c r="F19" s="1452"/>
      <c r="G19" s="1452"/>
      <c r="H19" s="1452"/>
      <c r="I19" s="80" t="s">
        <v>132</v>
      </c>
      <c r="J19" s="80"/>
    </row>
    <row r="20" spans="1:23" customFormat="1" ht="146.25" customHeight="1">
      <c r="C20" s="75"/>
      <c r="D20" s="68"/>
      <c r="E20" s="71" t="s">
        <v>235</v>
      </c>
      <c r="F20" s="1452"/>
      <c r="G20" s="1452"/>
      <c r="H20" s="1452"/>
      <c r="J20" s="2"/>
      <c r="K20" s="2"/>
      <c r="L20" s="2"/>
    </row>
    <row r="21" spans="1:23" customFormat="1" ht="13.5" customHeight="1" thickBot="1">
      <c r="A21" s="81"/>
      <c r="B21" s="81"/>
      <c r="C21" s="81"/>
      <c r="D21" s="81"/>
      <c r="E21" s="81"/>
      <c r="F21" s="81"/>
      <c r="G21" s="81"/>
      <c r="H21" s="81"/>
      <c r="I21" s="81"/>
      <c r="J21" s="82"/>
      <c r="K21" s="2"/>
      <c r="L21" s="2"/>
    </row>
    <row r="22" spans="1:23" customFormat="1" ht="13.5" customHeight="1">
      <c r="J22" s="2"/>
      <c r="K22" s="2"/>
      <c r="L22" s="2"/>
    </row>
    <row r="23" spans="1:23" customFormat="1" ht="15" customHeight="1">
      <c r="B23" s="10"/>
      <c r="C23" s="5"/>
      <c r="D23" s="5"/>
      <c r="E23" s="5"/>
      <c r="F23" s="5"/>
      <c r="G23" s="5"/>
      <c r="H23" s="5"/>
      <c r="I23" s="6"/>
      <c r="R23" s="11" t="str">
        <f>D24</f>
        <v>(選択してください)</v>
      </c>
    </row>
    <row r="24" spans="1:23" customFormat="1">
      <c r="B24" s="7"/>
      <c r="C24" s="77" t="str">
        <f ca="1">IFERROR(OFFSET('4.2民生電力需要量'!$C$8,MATCH(D24,'4.2民生電力需要量'!$E$9:$E$49,0),0),"")</f>
        <v/>
      </c>
      <c r="D24" s="94" t="s">
        <v>130</v>
      </c>
      <c r="E24" s="72" t="s">
        <v>131</v>
      </c>
      <c r="F24" s="1451" t="str">
        <f ca="1">IFERROR(OFFSET('4.2民生電力需要量'!$G$1,MATCH($D24,'4.2民生電力需要量'!$E:$E,0)-1,0),"")</f>
        <v/>
      </c>
      <c r="G24" s="1451"/>
      <c r="H24" s="1451"/>
      <c r="I24" s="8"/>
      <c r="R24" s="255" t="str">
        <f ca="1">IFERROR(OFFSET('4.2民生電力需要量'!$G$1,MATCH($D24,'4.2民生電力需要量'!$E:$E,0)-1,0),"")</f>
        <v/>
      </c>
      <c r="S24" s="515"/>
      <c r="T24" s="515"/>
      <c r="U24" s="515"/>
      <c r="V24" s="515"/>
      <c r="W24" s="175">
        <f ca="1">(F24=R24)*1</f>
        <v>1</v>
      </c>
    </row>
    <row r="25" spans="1:23" customFormat="1">
      <c r="B25" s="7"/>
      <c r="C25" s="915"/>
      <c r="D25" s="97"/>
      <c r="E25" s="72" t="s">
        <v>612</v>
      </c>
      <c r="F25" s="1447" t="str">
        <f ca="1">IFERROR(OFFSET('4.2民生電力需要量'!$L$1,MATCH($D24,'4.2民生電力需要量'!$E:$E,0)-1,0),"")</f>
        <v/>
      </c>
      <c r="G25" s="1448"/>
      <c r="H25" s="1449"/>
      <c r="I25" s="8"/>
      <c r="R25" s="255" t="str">
        <f ca="1">IFERROR(OFFSET('4.2民生電力需要量'!$L$1,MATCH($D24,'4.2民生電力需要量'!$E:$E,0)-1,0),"")</f>
        <v/>
      </c>
      <c r="S25" s="515"/>
      <c r="T25" s="515"/>
      <c r="U25" s="515"/>
      <c r="V25" s="515"/>
      <c r="W25" s="175">
        <f ca="1">(F25=R25)*1</f>
        <v>1</v>
      </c>
    </row>
    <row r="26" spans="1:23" customFormat="1">
      <c r="B26" s="7"/>
      <c r="C26" s="915"/>
      <c r="D26" s="97"/>
      <c r="E26" s="72" t="s">
        <v>613</v>
      </c>
      <c r="F26" s="1456"/>
      <c r="G26" s="1457"/>
      <c r="H26" s="1458"/>
      <c r="I26" s="8"/>
      <c r="R26" s="320"/>
      <c r="S26" s="515"/>
      <c r="T26" s="515"/>
      <c r="U26" s="515"/>
      <c r="V26" s="515"/>
      <c r="W26" s="515"/>
    </row>
    <row r="27" spans="1:23" customFormat="1">
      <c r="B27" s="7"/>
      <c r="C27" s="74"/>
      <c r="D27" s="66"/>
      <c r="E27" s="72" t="s">
        <v>220</v>
      </c>
      <c r="F27" s="1450" t="str">
        <f ca="1">IFERROR(OFFSET('4.2民生電力需要量'!$I$1,MATCH($D24,'4.2民生電力需要量'!$E:$E,0)-1,0),"")</f>
        <v/>
      </c>
      <c r="G27" s="1450"/>
      <c r="H27" s="1450"/>
      <c r="I27" s="8"/>
      <c r="R27" s="175" t="str">
        <f ca="1">IFERROR(OFFSET('4.2民生電力需要量'!$I$1,MATCH($D24,'4.2民生電力需要量'!$E:$E,0)-1,0),"")</f>
        <v/>
      </c>
      <c r="S27" s="515"/>
      <c r="T27" s="515"/>
      <c r="U27" s="515"/>
      <c r="V27" s="515"/>
      <c r="W27" s="175">
        <f t="shared" ref="W27:W28" ca="1" si="5">(F27=R27)*1</f>
        <v>1</v>
      </c>
    </row>
    <row r="28" spans="1:23" customFormat="1">
      <c r="B28" s="7"/>
      <c r="C28" s="74"/>
      <c r="D28" s="66"/>
      <c r="E28" s="72" t="s">
        <v>175</v>
      </c>
      <c r="F28" s="1453" t="str">
        <f>_xlfn.IFNA(R28,"")</f>
        <v/>
      </c>
      <c r="G28" s="1454"/>
      <c r="H28" s="1455"/>
      <c r="I28" s="8"/>
      <c r="R28" s="129" t="str">
        <f>IF(OR(COUNTIF($E30:$E35,"&lt;&gt;〇〇(合意形成対象者名に書き換え)")=3,COUNTIF($E30:$E35,"")&gt;3),"",IF(PRODUCT($U30:$U35)=1,V30,""))</f>
        <v/>
      </c>
      <c r="S28" s="515"/>
      <c r="T28" s="515"/>
      <c r="U28" s="515"/>
      <c r="V28" s="515"/>
      <c r="W28" s="175">
        <f t="shared" si="5"/>
        <v>1</v>
      </c>
    </row>
    <row r="29" spans="1:23" ht="63.75" customHeight="1">
      <c r="B29" s="95"/>
      <c r="C29" s="96"/>
      <c r="D29" s="97"/>
      <c r="E29" s="372"/>
      <c r="F29" s="313" t="s">
        <v>281</v>
      </c>
      <c r="G29" s="313" t="s">
        <v>282</v>
      </c>
      <c r="H29" s="313" t="s">
        <v>279</v>
      </c>
      <c r="I29" s="98"/>
      <c r="J29" s="11"/>
      <c r="R29" s="126" t="s">
        <v>270</v>
      </c>
      <c r="S29" s="126" t="s">
        <v>426</v>
      </c>
      <c r="T29" s="129" t="s">
        <v>402</v>
      </c>
      <c r="U29" s="129" t="s">
        <v>430</v>
      </c>
      <c r="V29" s="126" t="s">
        <v>425</v>
      </c>
      <c r="W29" s="255"/>
    </row>
    <row r="30" spans="1:23" hidden="1">
      <c r="B30" s="95"/>
      <c r="C30" s="96"/>
      <c r="D30" s="97"/>
      <c r="E30" s="442"/>
      <c r="F30" s="443"/>
      <c r="G30" s="439"/>
      <c r="H30" s="439"/>
      <c r="I30" s="98"/>
      <c r="J30" s="11"/>
      <c r="R30" s="129">
        <f>IF(AND(F30="実施済",G30="実施済",H30="完了"),3,0)</f>
        <v>0</v>
      </c>
      <c r="S30" s="129" t="str">
        <f>IF(OR(E30="〇〇(合意形成対象者名に書き換え)",E30=""),"",R30)</f>
        <v/>
      </c>
      <c r="T30" s="129">
        <f t="shared" ref="T30:T35" si="6">MIN($S$30:$S$35)+1</f>
        <v>1</v>
      </c>
      <c r="U30" s="129">
        <f>IF(E30="",1,IF(AND(E30="〇〇(合意形成対象者名に書き換え)",COUNTA($F30:$H30)=0),1,IF(AND(E30&lt;&gt;"〇〇(合意形成対象者名に書き換え)",COUNTA($F30:$H30)=3),1,0)))</f>
        <v>1</v>
      </c>
      <c r="V30" s="129" t="str" cm="1">
        <f t="array" ref="V30">_xlfn.IFS(T30=4,"A",T30=3,"B",T30=2,"C",T30=1,"D")</f>
        <v>D</v>
      </c>
      <c r="W30" s="255"/>
    </row>
    <row r="31" spans="1:23">
      <c r="B31" s="95"/>
      <c r="C31" s="96"/>
      <c r="D31" s="97"/>
      <c r="E31" s="100" t="s">
        <v>129</v>
      </c>
      <c r="F31" s="446"/>
      <c r="G31" s="441"/>
      <c r="H31" s="441"/>
      <c r="I31" s="98"/>
      <c r="J31" s="11"/>
      <c r="R31" s="129">
        <f t="shared" ref="R31:R35" si="7">IF(AND(F31="実施済",G31="実施済",H31="完了"),3,0)</f>
        <v>0</v>
      </c>
      <c r="S31" s="129" t="str">
        <f t="shared" ref="S31:S35" si="8">IF(OR(E31="〇〇(合意形成対象者名に書き換え)",E31=""),"",R31)</f>
        <v/>
      </c>
      <c r="T31" s="129">
        <f t="shared" si="6"/>
        <v>1</v>
      </c>
      <c r="U31" s="129">
        <f>IF(E31="",1,IF(AND(E31="〇〇(合意形成対象者名に書き換え)",COUNTA($F31:$H31)=0),1,IF(AND(E31&lt;&gt;"〇〇(合意形成対象者名に書き換え)",COUNTA($F31:$H31)=3),1,0)))</f>
        <v>1</v>
      </c>
      <c r="V31" s="129" t="str" cm="1">
        <f t="array" ref="V31">_xlfn.IFS(T31=4,"A",T31=3,"B",T31=2,"C",T31=1,"D")</f>
        <v>D</v>
      </c>
      <c r="W31" s="255"/>
    </row>
    <row r="32" spans="1:23">
      <c r="B32" s="95"/>
      <c r="C32" s="96"/>
      <c r="D32" s="97"/>
      <c r="E32" s="100" t="s">
        <v>129</v>
      </c>
      <c r="F32" s="446"/>
      <c r="G32" s="441"/>
      <c r="H32" s="441"/>
      <c r="I32" s="98"/>
      <c r="J32" s="11"/>
      <c r="R32" s="129">
        <f t="shared" si="7"/>
        <v>0</v>
      </c>
      <c r="S32" s="129" t="str">
        <f t="shared" si="8"/>
        <v/>
      </c>
      <c r="T32" s="129">
        <f t="shared" si="6"/>
        <v>1</v>
      </c>
      <c r="U32" s="129">
        <f>IF(E32="",1,IF(AND(E32="〇〇(合意形成対象者名に書き換え)",COUNTA($F32:$H32)=0),1,IF(AND(E32&lt;&gt;"〇〇(合意形成対象者名に書き換え)",COUNTA($F32:$H32)=3),1,0)))</f>
        <v>1</v>
      </c>
      <c r="V32" s="129" t="str" cm="1">
        <f t="array" ref="V32">_xlfn.IFS(T32=4,"A",T32=3,"B",T32=2,"C",T32=1,"D")</f>
        <v>D</v>
      </c>
      <c r="W32" s="255"/>
    </row>
    <row r="33" spans="1:23" s="99" customFormat="1">
      <c r="A33" s="11"/>
      <c r="B33" s="95"/>
      <c r="C33" s="96"/>
      <c r="D33" s="97"/>
      <c r="E33" s="100" t="s">
        <v>129</v>
      </c>
      <c r="F33" s="446"/>
      <c r="G33" s="441"/>
      <c r="H33" s="441"/>
      <c r="I33" s="98"/>
      <c r="J33" s="11"/>
      <c r="M33" s="11"/>
      <c r="N33" s="11"/>
      <c r="O33" s="11"/>
      <c r="P33" s="11"/>
      <c r="Q33" s="11"/>
      <c r="R33" s="129">
        <f t="shared" si="7"/>
        <v>0</v>
      </c>
      <c r="S33" s="129" t="str">
        <f t="shared" si="8"/>
        <v/>
      </c>
      <c r="T33" s="129">
        <f t="shared" si="6"/>
        <v>1</v>
      </c>
      <c r="U33" s="129">
        <f>IF(E33="",1,IF(AND(E33="〇〇(合意形成対象者名に書き換え)",COUNTA($F33:$H33)=0),1,IF(AND(E33&lt;&gt;"〇〇(合意形成対象者名に書き換え)",COUNTA($F33:$H33)=3),1,0)))</f>
        <v>1</v>
      </c>
      <c r="V33" s="129" t="str" cm="1">
        <f t="array" ref="V33">_xlfn.IFS(T33=4,"A",T33=3,"B",T33=2,"C",T33=1,"D")</f>
        <v>D</v>
      </c>
      <c r="W33" s="129"/>
    </row>
    <row r="34" spans="1:23" customFormat="1" ht="7.5" customHeight="1">
      <c r="B34" s="65"/>
      <c r="C34" s="4"/>
      <c r="D34" s="4"/>
      <c r="E34" s="4"/>
      <c r="F34" s="4"/>
      <c r="G34" s="4"/>
      <c r="H34" s="4"/>
      <c r="I34" s="9"/>
      <c r="J34" s="2"/>
      <c r="K34" s="2"/>
      <c r="L34" s="2"/>
      <c r="R34" s="129">
        <f t="shared" si="7"/>
        <v>0</v>
      </c>
      <c r="S34" s="129" t="str">
        <f t="shared" si="8"/>
        <v/>
      </c>
      <c r="T34" s="129">
        <f t="shared" si="6"/>
        <v>1</v>
      </c>
      <c r="U34" s="129">
        <f t="shared" ref="U34:U35" si="9">IF(E34="",1,IF(AND(E34="〇〇(合意形成対象者名に書き換え)",COUNTA($F34:$H34)=0),1,IF(AND(E34&lt;&gt;"〇〇(合意形成対象者名に書き換え)",COUNTA($F34:$H34)=3),1,0)))</f>
        <v>1</v>
      </c>
      <c r="V34" s="129" t="str" cm="1">
        <f t="array" ref="V34">_xlfn.IFS(T34=4,"A",T34=3,"B",T34=2,"C",T34=1,"D")</f>
        <v>D</v>
      </c>
      <c r="W34" s="175"/>
    </row>
    <row r="35" spans="1:23" customFormat="1" ht="6" customHeight="1">
      <c r="J35" s="2"/>
      <c r="K35" s="2"/>
      <c r="L35" s="2"/>
      <c r="R35" s="129">
        <f t="shared" si="7"/>
        <v>0</v>
      </c>
      <c r="S35" s="129" t="str">
        <f t="shared" si="8"/>
        <v/>
      </c>
      <c r="T35" s="129">
        <f t="shared" si="6"/>
        <v>1</v>
      </c>
      <c r="U35" s="129">
        <f t="shared" si="9"/>
        <v>1</v>
      </c>
      <c r="V35" s="129" t="str" cm="1">
        <f t="array" ref="V35">_xlfn.IFS(T35=4,"A",T35=3,"B",T35=2,"C",T35=1,"D")</f>
        <v>D</v>
      </c>
      <c r="W35" s="175"/>
    </row>
    <row r="36" spans="1:23" customFormat="1" ht="103.5" customHeight="1">
      <c r="C36" s="78"/>
      <c r="D36" s="79"/>
      <c r="E36" s="71" t="s">
        <v>236</v>
      </c>
      <c r="F36" s="1452"/>
      <c r="G36" s="1452"/>
      <c r="H36" s="1452"/>
      <c r="I36" s="80" t="s">
        <v>132</v>
      </c>
      <c r="J36" s="80"/>
    </row>
    <row r="37" spans="1:23" customFormat="1" ht="146.25" customHeight="1">
      <c r="C37" s="75"/>
      <c r="D37" s="68"/>
      <c r="E37" s="71" t="s">
        <v>235</v>
      </c>
      <c r="F37" s="1452"/>
      <c r="G37" s="1452"/>
      <c r="H37" s="1452"/>
      <c r="J37" s="2"/>
      <c r="K37" s="2"/>
      <c r="L37" s="2"/>
    </row>
    <row r="38" spans="1:23" customFormat="1" ht="13.5" customHeight="1" thickBot="1">
      <c r="A38" s="81"/>
      <c r="B38" s="81"/>
      <c r="C38" s="81"/>
      <c r="D38" s="81"/>
      <c r="E38" s="81"/>
      <c r="F38" s="81"/>
      <c r="G38" s="81"/>
      <c r="H38" s="81"/>
      <c r="I38" s="81"/>
      <c r="J38" s="82"/>
      <c r="K38" s="2"/>
      <c r="L38" s="2"/>
    </row>
    <row r="39" spans="1:23" customFormat="1" ht="13.5" customHeight="1">
      <c r="J39" s="2"/>
      <c r="K39" s="2"/>
      <c r="L39" s="2"/>
    </row>
    <row r="40" spans="1:23" customFormat="1" ht="15" customHeight="1">
      <c r="B40" s="10"/>
      <c r="C40" s="5"/>
      <c r="D40" s="5"/>
      <c r="E40" s="5"/>
      <c r="F40" s="5"/>
      <c r="G40" s="5"/>
      <c r="H40" s="5"/>
      <c r="I40" s="6"/>
      <c r="R40" s="11" t="str">
        <f>D41</f>
        <v>(選択してください)</v>
      </c>
    </row>
    <row r="41" spans="1:23" customFormat="1">
      <c r="B41" s="7"/>
      <c r="C41" s="77" t="str">
        <f ca="1">IFERROR(OFFSET('4.2民生電力需要量'!$C$8,MATCH(D41,'4.2民生電力需要量'!$E$9:$E$49,0),0),"")</f>
        <v/>
      </c>
      <c r="D41" s="94" t="s">
        <v>130</v>
      </c>
      <c r="E41" s="72" t="s">
        <v>131</v>
      </c>
      <c r="F41" s="1451" t="str">
        <f ca="1">IFERROR(OFFSET('4.2民生電力需要量'!$G$1,MATCH($D41,'4.2民生電力需要量'!$E:$E,0)-1,0),"")</f>
        <v/>
      </c>
      <c r="G41" s="1451"/>
      <c r="H41" s="1451"/>
      <c r="I41" s="8"/>
      <c r="R41" s="255" t="str">
        <f ca="1">IFERROR(OFFSET('4.2民生電力需要量'!$G$1,MATCH($D41,'4.2民生電力需要量'!$E:$E,0)-1,0),"")</f>
        <v/>
      </c>
      <c r="S41" s="515"/>
      <c r="T41" s="515"/>
      <c r="U41" s="515"/>
      <c r="V41" s="515"/>
      <c r="W41" s="175">
        <f ca="1">(F41=R41)*1</f>
        <v>1</v>
      </c>
    </row>
    <row r="42" spans="1:23" customFormat="1">
      <c r="B42" s="7"/>
      <c r="C42" s="915"/>
      <c r="D42" s="97"/>
      <c r="E42" s="72" t="s">
        <v>612</v>
      </c>
      <c r="F42" s="1447" t="str">
        <f ca="1">IFERROR(OFFSET('4.2民生電力需要量'!$L$1,MATCH($D41,'4.2民生電力需要量'!$E:$E,0)-1,0),"")</f>
        <v/>
      </c>
      <c r="G42" s="1448"/>
      <c r="H42" s="1449"/>
      <c r="I42" s="8"/>
      <c r="R42" s="255" t="str">
        <f ca="1">IFERROR(OFFSET('4.2民生電力需要量'!$L$1,MATCH($D41,'4.2民生電力需要量'!$E:$E,0)-1,0),"")</f>
        <v/>
      </c>
      <c r="S42" s="515"/>
      <c r="T42" s="515"/>
      <c r="U42" s="515"/>
      <c r="V42" s="515"/>
      <c r="W42" s="175">
        <f ca="1">(F42=R42)*1</f>
        <v>1</v>
      </c>
    </row>
    <row r="43" spans="1:23" customFormat="1">
      <c r="B43" s="7"/>
      <c r="C43" s="915"/>
      <c r="D43" s="97"/>
      <c r="E43" s="72" t="s">
        <v>613</v>
      </c>
      <c r="F43" s="1456"/>
      <c r="G43" s="1457"/>
      <c r="H43" s="1458"/>
      <c r="I43" s="8"/>
      <c r="R43" s="320"/>
      <c r="S43" s="515"/>
      <c r="T43" s="515"/>
      <c r="U43" s="515"/>
      <c r="V43" s="515"/>
      <c r="W43" s="515"/>
    </row>
    <row r="44" spans="1:23" customFormat="1">
      <c r="B44" s="7"/>
      <c r="C44" s="74"/>
      <c r="D44" s="66"/>
      <c r="E44" s="72" t="s">
        <v>220</v>
      </c>
      <c r="F44" s="1450" t="str">
        <f ca="1">IFERROR(OFFSET('4.2民生電力需要量'!$I$1,MATCH($D41,'4.2民生電力需要量'!$E:$E,0)-1,0),"")</f>
        <v/>
      </c>
      <c r="G44" s="1450"/>
      <c r="H44" s="1450"/>
      <c r="I44" s="8"/>
      <c r="R44" s="175" t="str">
        <f ca="1">IFERROR(OFFSET('4.2民生電力需要量'!$I$1,MATCH($D41,'4.2民生電力需要量'!$E:$E,0)-1,0),"")</f>
        <v/>
      </c>
      <c r="S44" s="515"/>
      <c r="T44" s="515"/>
      <c r="U44" s="515"/>
      <c r="V44" s="515"/>
      <c r="W44" s="175">
        <f t="shared" ref="W44:W45" ca="1" si="10">(F44=R44)*1</f>
        <v>1</v>
      </c>
    </row>
    <row r="45" spans="1:23" customFormat="1">
      <c r="B45" s="7"/>
      <c r="C45" s="74"/>
      <c r="D45" s="66"/>
      <c r="E45" s="72" t="s">
        <v>175</v>
      </c>
      <c r="F45" s="1453" t="str">
        <f>_xlfn.IFNA(R45,"")</f>
        <v/>
      </c>
      <c r="G45" s="1454"/>
      <c r="H45" s="1455"/>
      <c r="I45" s="8"/>
      <c r="R45" s="129" t="str">
        <f>IF(OR(COUNTIF($E47:$E52,"&lt;&gt;〇〇(合意形成対象者名に書き換え)")=3,COUNTIF($E47:$E52,"")&gt;3),"",IF(PRODUCT($U47:$U52)=1,V47,""))</f>
        <v/>
      </c>
      <c r="S45" s="515"/>
      <c r="T45" s="515"/>
      <c r="U45" s="515"/>
      <c r="V45" s="515"/>
      <c r="W45" s="175">
        <f t="shared" si="10"/>
        <v>1</v>
      </c>
    </row>
    <row r="46" spans="1:23" ht="63.75" customHeight="1">
      <c r="B46" s="95"/>
      <c r="C46" s="96"/>
      <c r="D46" s="97"/>
      <c r="E46" s="372"/>
      <c r="F46" s="313" t="s">
        <v>281</v>
      </c>
      <c r="G46" s="313" t="s">
        <v>282</v>
      </c>
      <c r="H46" s="313" t="s">
        <v>279</v>
      </c>
      <c r="I46" s="98"/>
      <c r="J46" s="11"/>
      <c r="R46" s="126" t="s">
        <v>270</v>
      </c>
      <c r="S46" s="126" t="s">
        <v>426</v>
      </c>
      <c r="T46" s="129" t="s">
        <v>402</v>
      </c>
      <c r="U46" s="129" t="s">
        <v>430</v>
      </c>
      <c r="V46" s="126" t="s">
        <v>425</v>
      </c>
      <c r="W46" s="255"/>
    </row>
    <row r="47" spans="1:23" hidden="1">
      <c r="B47" s="95"/>
      <c r="C47" s="96"/>
      <c r="D47" s="97"/>
      <c r="E47" s="442"/>
      <c r="F47" s="443"/>
      <c r="G47" s="439"/>
      <c r="H47" s="439"/>
      <c r="I47" s="98"/>
      <c r="J47" s="11"/>
      <c r="R47" s="129">
        <f>IF(AND(F47="実施済",G47="実施済",H47="完了"),3,0)</f>
        <v>0</v>
      </c>
      <c r="S47" s="129" t="str">
        <f>IF(OR(E47="〇〇(合意形成対象者名に書き換え)",E47=""),"",R47)</f>
        <v/>
      </c>
      <c r="T47" s="129">
        <f t="shared" ref="T47:T52" si="11">MIN($S$47:$S$52)+1</f>
        <v>1</v>
      </c>
      <c r="U47" s="129">
        <f>IF(E47="",1,IF(AND(E47="〇〇(合意形成対象者名に書き換え)",COUNTA($F47:$H47)=0),1,IF(AND(E47&lt;&gt;"〇〇(合意形成対象者名に書き換え)",COUNTA($F47:$H47)=3),1,0)))</f>
        <v>1</v>
      </c>
      <c r="V47" s="129" t="str" cm="1">
        <f t="array" ref="V47">_xlfn.IFS(T47=4,"A",T47=3,"B",T47=2,"C",T47=1,"D")</f>
        <v>D</v>
      </c>
      <c r="W47" s="255"/>
    </row>
    <row r="48" spans="1:23">
      <c r="B48" s="95"/>
      <c r="C48" s="96"/>
      <c r="D48" s="97"/>
      <c r="E48" s="100" t="s">
        <v>129</v>
      </c>
      <c r="F48" s="446"/>
      <c r="G48" s="441"/>
      <c r="H48" s="441"/>
      <c r="I48" s="98"/>
      <c r="J48" s="11"/>
      <c r="R48" s="129">
        <f t="shared" ref="R48:R52" si="12">IF(AND(F48="実施済",G48="実施済",H48="完了"),3,0)</f>
        <v>0</v>
      </c>
      <c r="S48" s="129" t="str">
        <f t="shared" ref="S48:S52" si="13">IF(OR(E48="〇〇(合意形成対象者名に書き換え)",E48=""),"",R48)</f>
        <v/>
      </c>
      <c r="T48" s="129">
        <f t="shared" si="11"/>
        <v>1</v>
      </c>
      <c r="U48" s="129">
        <f>IF(E48="",1,IF(AND(E48="〇〇(合意形成対象者名に書き換え)",COUNTA($F48:$H48)=0),1,IF(AND(E48&lt;&gt;"〇〇(合意形成対象者名に書き換え)",COUNTA($F48:$H48)=3),1,0)))</f>
        <v>1</v>
      </c>
      <c r="V48" s="129" t="str" cm="1">
        <f t="array" ref="V48">_xlfn.IFS(T48=4,"A",T48=3,"B",T48=2,"C",T48=1,"D")</f>
        <v>D</v>
      </c>
      <c r="W48" s="255"/>
    </row>
    <row r="49" spans="1:23">
      <c r="B49" s="95"/>
      <c r="C49" s="96"/>
      <c r="D49" s="97"/>
      <c r="E49" s="100" t="s">
        <v>129</v>
      </c>
      <c r="F49" s="446"/>
      <c r="G49" s="441"/>
      <c r="H49" s="441"/>
      <c r="I49" s="98"/>
      <c r="J49" s="11"/>
      <c r="R49" s="129">
        <f t="shared" si="12"/>
        <v>0</v>
      </c>
      <c r="S49" s="129" t="str">
        <f t="shared" si="13"/>
        <v/>
      </c>
      <c r="T49" s="129">
        <f t="shared" si="11"/>
        <v>1</v>
      </c>
      <c r="U49" s="129">
        <f>IF(E49="",1,IF(AND(E49="〇〇(合意形成対象者名に書き換え)",COUNTA($F49:$H49)=0),1,IF(AND(E49&lt;&gt;"〇〇(合意形成対象者名に書き換え)",COUNTA($F49:$H49)=3),1,0)))</f>
        <v>1</v>
      </c>
      <c r="V49" s="129" t="str" cm="1">
        <f t="array" ref="V49">_xlfn.IFS(T49=4,"A",T49=3,"B",T49=2,"C",T49=1,"D")</f>
        <v>D</v>
      </c>
      <c r="W49" s="255"/>
    </row>
    <row r="50" spans="1:23" s="99" customFormat="1">
      <c r="A50" s="11"/>
      <c r="B50" s="95"/>
      <c r="C50" s="96"/>
      <c r="D50" s="97"/>
      <c r="E50" s="100" t="s">
        <v>129</v>
      </c>
      <c r="F50" s="446"/>
      <c r="G50" s="441"/>
      <c r="H50" s="441"/>
      <c r="I50" s="98"/>
      <c r="J50" s="11"/>
      <c r="M50" s="11"/>
      <c r="N50" s="11"/>
      <c r="O50" s="11"/>
      <c r="P50" s="11"/>
      <c r="Q50" s="11"/>
      <c r="R50" s="129">
        <f t="shared" si="12"/>
        <v>0</v>
      </c>
      <c r="S50" s="129" t="str">
        <f t="shared" si="13"/>
        <v/>
      </c>
      <c r="T50" s="129">
        <f t="shared" si="11"/>
        <v>1</v>
      </c>
      <c r="U50" s="129">
        <f>IF(E50="",1,IF(AND(E50="〇〇(合意形成対象者名に書き換え)",COUNTA($F50:$H50)=0),1,IF(AND(E50&lt;&gt;"〇〇(合意形成対象者名に書き換え)",COUNTA($F50:$H50)=3),1,0)))</f>
        <v>1</v>
      </c>
      <c r="V50" s="129" t="str" cm="1">
        <f t="array" ref="V50">_xlfn.IFS(T50=4,"A",T50=3,"B",T50=2,"C",T50=1,"D")</f>
        <v>D</v>
      </c>
      <c r="W50" s="129"/>
    </row>
    <row r="51" spans="1:23" customFormat="1" ht="7.5" customHeight="1">
      <c r="B51" s="65"/>
      <c r="C51" s="4"/>
      <c r="D51" s="4"/>
      <c r="E51" s="4"/>
      <c r="F51" s="4"/>
      <c r="G51" s="4"/>
      <c r="H51" s="4"/>
      <c r="I51" s="9"/>
      <c r="J51" s="2"/>
      <c r="K51" s="2"/>
      <c r="L51" s="2"/>
      <c r="R51" s="129">
        <f t="shared" si="12"/>
        <v>0</v>
      </c>
      <c r="S51" s="129" t="str">
        <f t="shared" si="13"/>
        <v/>
      </c>
      <c r="T51" s="129">
        <f t="shared" si="11"/>
        <v>1</v>
      </c>
      <c r="U51" s="129">
        <f t="shared" ref="U51:U52" si="14">IF(E51="",1,IF(AND(E51="〇〇(合意形成対象者名に書き換え)",COUNTA($F51:$H51)=0),1,IF(AND(E51&lt;&gt;"〇〇(合意形成対象者名に書き換え)",COUNTA($F51:$H51)=3),1,0)))</f>
        <v>1</v>
      </c>
      <c r="V51" s="129" t="str" cm="1">
        <f t="array" ref="V51">_xlfn.IFS(T51=4,"A",T51=3,"B",T51=2,"C",T51=1,"D")</f>
        <v>D</v>
      </c>
      <c r="W51" s="175"/>
    </row>
    <row r="52" spans="1:23" customFormat="1" ht="6" customHeight="1">
      <c r="J52" s="2"/>
      <c r="K52" s="2"/>
      <c r="L52" s="2"/>
      <c r="R52" s="129">
        <f t="shared" si="12"/>
        <v>0</v>
      </c>
      <c r="S52" s="129" t="str">
        <f t="shared" si="13"/>
        <v/>
      </c>
      <c r="T52" s="129">
        <f t="shared" si="11"/>
        <v>1</v>
      </c>
      <c r="U52" s="129">
        <f t="shared" si="14"/>
        <v>1</v>
      </c>
      <c r="V52" s="129" t="str" cm="1">
        <f t="array" ref="V52">_xlfn.IFS(T52=4,"A",T52=3,"B",T52=2,"C",T52=1,"D")</f>
        <v>D</v>
      </c>
      <c r="W52" s="175"/>
    </row>
    <row r="53" spans="1:23" customFormat="1" ht="103.5" customHeight="1">
      <c r="C53" s="78"/>
      <c r="D53" s="79"/>
      <c r="E53" s="71" t="s">
        <v>236</v>
      </c>
      <c r="F53" s="1452"/>
      <c r="G53" s="1452"/>
      <c r="H53" s="1452"/>
      <c r="I53" s="80" t="s">
        <v>132</v>
      </c>
      <c r="J53" s="80"/>
    </row>
    <row r="54" spans="1:23" customFormat="1" ht="146.25" customHeight="1">
      <c r="C54" s="75"/>
      <c r="D54" s="68"/>
      <c r="E54" s="71" t="s">
        <v>235</v>
      </c>
      <c r="F54" s="1452"/>
      <c r="G54" s="1452"/>
      <c r="H54" s="1452"/>
      <c r="J54" s="2"/>
      <c r="K54" s="2"/>
      <c r="L54" s="2"/>
    </row>
    <row r="55" spans="1:23" customFormat="1" ht="13.5" customHeight="1" thickBot="1">
      <c r="A55" s="81"/>
      <c r="B55" s="81"/>
      <c r="C55" s="81"/>
      <c r="D55" s="81"/>
      <c r="E55" s="81"/>
      <c r="F55" s="81"/>
      <c r="G55" s="81"/>
      <c r="H55" s="81"/>
      <c r="I55" s="81"/>
      <c r="J55" s="82"/>
      <c r="K55" s="2"/>
      <c r="L55" s="2"/>
    </row>
    <row r="56" spans="1:23" customFormat="1" ht="13.5" customHeight="1">
      <c r="J56" s="2"/>
      <c r="K56" s="2"/>
      <c r="L56" s="2"/>
    </row>
    <row r="57" spans="1:23" customFormat="1" ht="15" customHeight="1">
      <c r="B57" s="10"/>
      <c r="C57" s="5"/>
      <c r="D57" s="5"/>
      <c r="E57" s="5"/>
      <c r="F57" s="5"/>
      <c r="G57" s="5"/>
      <c r="H57" s="5"/>
      <c r="I57" s="6"/>
      <c r="R57" s="11" t="str">
        <f>D58</f>
        <v>(選択してください)</v>
      </c>
    </row>
    <row r="58" spans="1:23" customFormat="1">
      <c r="B58" s="7"/>
      <c r="C58" s="77" t="str">
        <f ca="1">IFERROR(OFFSET('4.2民生電力需要量'!$C$8,MATCH(D58,'4.2民生電力需要量'!$E$9:$E$49,0),0),"")</f>
        <v/>
      </c>
      <c r="D58" s="94" t="s">
        <v>130</v>
      </c>
      <c r="E58" s="72" t="s">
        <v>131</v>
      </c>
      <c r="F58" s="1451" t="str">
        <f ca="1">IFERROR(OFFSET('4.2民生電力需要量'!$G$1,MATCH($D58,'4.2民生電力需要量'!$E:$E,0)-1,0),"")</f>
        <v/>
      </c>
      <c r="G58" s="1451"/>
      <c r="H58" s="1451"/>
      <c r="I58" s="8"/>
      <c r="R58" s="255" t="str">
        <f ca="1">IFERROR(OFFSET('4.2民生電力需要量'!$G$1,MATCH($D58,'4.2民生電力需要量'!$E:$E,0)-1,0),"")</f>
        <v/>
      </c>
      <c r="S58" s="515"/>
      <c r="T58" s="515"/>
      <c r="U58" s="515"/>
      <c r="V58" s="515"/>
      <c r="W58" s="175">
        <f ca="1">(F58=R58)*1</f>
        <v>1</v>
      </c>
    </row>
    <row r="59" spans="1:23" customFormat="1">
      <c r="B59" s="7"/>
      <c r="C59" s="915"/>
      <c r="D59" s="97"/>
      <c r="E59" s="72" t="s">
        <v>612</v>
      </c>
      <c r="F59" s="1447" t="str">
        <f ca="1">IFERROR(OFFSET('4.2民生電力需要量'!$L$1,MATCH($D58,'4.2民生電力需要量'!$E:$E,0)-1,0),"")</f>
        <v/>
      </c>
      <c r="G59" s="1448"/>
      <c r="H59" s="1449"/>
      <c r="I59" s="8"/>
      <c r="R59" s="255" t="str">
        <f ca="1">IFERROR(OFFSET('4.2民生電力需要量'!$L$1,MATCH($D58,'4.2民生電力需要量'!$E:$E,0)-1,0),"")</f>
        <v/>
      </c>
      <c r="S59" s="515"/>
      <c r="T59" s="515"/>
      <c r="U59" s="515"/>
      <c r="V59" s="515"/>
      <c r="W59" s="175">
        <f ca="1">(F59=R59)*1</f>
        <v>1</v>
      </c>
    </row>
    <row r="60" spans="1:23" customFormat="1">
      <c r="B60" s="7"/>
      <c r="C60" s="915"/>
      <c r="D60" s="97"/>
      <c r="E60" s="72" t="s">
        <v>613</v>
      </c>
      <c r="F60" s="1456"/>
      <c r="G60" s="1457"/>
      <c r="H60" s="1458"/>
      <c r="I60" s="8"/>
      <c r="R60" s="320"/>
      <c r="S60" s="515"/>
      <c r="T60" s="515"/>
      <c r="U60" s="515"/>
      <c r="V60" s="515"/>
      <c r="W60" s="515"/>
    </row>
    <row r="61" spans="1:23" customFormat="1">
      <c r="B61" s="7"/>
      <c r="C61" s="74"/>
      <c r="D61" s="66"/>
      <c r="E61" s="72" t="s">
        <v>220</v>
      </c>
      <c r="F61" s="1450" t="str">
        <f ca="1">IFERROR(OFFSET('4.2民生電力需要量'!$I$1,MATCH($D58,'4.2民生電力需要量'!$E:$E,0)-1,0),"")</f>
        <v/>
      </c>
      <c r="G61" s="1450"/>
      <c r="H61" s="1450"/>
      <c r="I61" s="8"/>
      <c r="R61" s="175" t="str">
        <f ca="1">IFERROR(OFFSET('4.2民生電力需要量'!$I$1,MATCH($D58,'4.2民生電力需要量'!$E:$E,0)-1,0),"")</f>
        <v/>
      </c>
      <c r="S61" s="515"/>
      <c r="T61" s="515"/>
      <c r="U61" s="515"/>
      <c r="V61" s="515"/>
      <c r="W61" s="175">
        <f t="shared" ref="W61:W62" ca="1" si="15">(F61=R61)*1</f>
        <v>1</v>
      </c>
    </row>
    <row r="62" spans="1:23" customFormat="1">
      <c r="B62" s="7"/>
      <c r="C62" s="74"/>
      <c r="D62" s="66"/>
      <c r="E62" s="72" t="s">
        <v>175</v>
      </c>
      <c r="F62" s="1453" t="str">
        <f>_xlfn.IFNA(R62,"")</f>
        <v/>
      </c>
      <c r="G62" s="1454"/>
      <c r="H62" s="1455"/>
      <c r="I62" s="8"/>
      <c r="R62" s="129" t="str">
        <f>IF(OR(COUNTIF($E64:$E69,"&lt;&gt;〇〇(合意形成対象者名に書き換え)")=3,COUNTIF($E64:$E69,"")&gt;3),"",IF(PRODUCT($U64:$U69)=1,V64,""))</f>
        <v/>
      </c>
      <c r="S62" s="515"/>
      <c r="T62" s="515"/>
      <c r="U62" s="515"/>
      <c r="V62" s="515"/>
      <c r="W62" s="175">
        <f t="shared" si="15"/>
        <v>1</v>
      </c>
    </row>
    <row r="63" spans="1:23" ht="63.75" customHeight="1">
      <c r="B63" s="95"/>
      <c r="C63" s="96"/>
      <c r="D63" s="97"/>
      <c r="E63" s="372"/>
      <c r="F63" s="313" t="s">
        <v>281</v>
      </c>
      <c r="G63" s="313" t="s">
        <v>282</v>
      </c>
      <c r="H63" s="313" t="s">
        <v>279</v>
      </c>
      <c r="I63" s="98"/>
      <c r="J63" s="11"/>
      <c r="R63" s="126" t="s">
        <v>270</v>
      </c>
      <c r="S63" s="126" t="s">
        <v>426</v>
      </c>
      <c r="T63" s="129" t="s">
        <v>402</v>
      </c>
      <c r="U63" s="129" t="s">
        <v>430</v>
      </c>
      <c r="V63" s="126" t="s">
        <v>425</v>
      </c>
      <c r="W63" s="255"/>
    </row>
    <row r="64" spans="1:23" hidden="1">
      <c r="B64" s="95"/>
      <c r="C64" s="96"/>
      <c r="D64" s="97"/>
      <c r="E64" s="442"/>
      <c r="F64" s="443"/>
      <c r="G64" s="439"/>
      <c r="H64" s="439"/>
      <c r="I64" s="98"/>
      <c r="J64" s="11"/>
      <c r="R64" s="129">
        <f>IF(AND(F64="実施済",G64="実施済",H64="完了"),3,0)</f>
        <v>0</v>
      </c>
      <c r="S64" s="129" t="str">
        <f>IF(OR(E64="〇〇(合意形成対象者名に書き換え)",E64=""),"",R64)</f>
        <v/>
      </c>
      <c r="T64" s="129">
        <f t="shared" ref="T64:T69" si="16">MIN($S$64:$S$69)+1</f>
        <v>1</v>
      </c>
      <c r="U64" s="129">
        <f>IF(E64="",1,IF(AND(E64="〇〇(合意形成対象者名に書き換え)",COUNTA($F64:$H64)=0),1,IF(AND(E64&lt;&gt;"〇〇(合意形成対象者名に書き換え)",COUNTA($F64:$H64)=3),1,0)))</f>
        <v>1</v>
      </c>
      <c r="V64" s="129" t="str" cm="1">
        <f t="array" ref="V64">_xlfn.IFS(T64=4,"A",T64=3,"B",T64=2,"C",T64=1,"D")</f>
        <v>D</v>
      </c>
      <c r="W64" s="255"/>
    </row>
    <row r="65" spans="1:23">
      <c r="B65" s="95"/>
      <c r="C65" s="96"/>
      <c r="D65" s="97"/>
      <c r="E65" s="100" t="s">
        <v>129</v>
      </c>
      <c r="F65" s="446"/>
      <c r="G65" s="441"/>
      <c r="H65" s="441"/>
      <c r="I65" s="98"/>
      <c r="J65" s="11"/>
      <c r="R65" s="129">
        <f t="shared" ref="R65:R69" si="17">IF(AND(F65="実施済",G65="実施済",H65="完了"),3,0)</f>
        <v>0</v>
      </c>
      <c r="S65" s="129" t="str">
        <f t="shared" ref="S65:S69" si="18">IF(OR(E65="〇〇(合意形成対象者名に書き換え)",E65=""),"",R65)</f>
        <v/>
      </c>
      <c r="T65" s="129">
        <f t="shared" si="16"/>
        <v>1</v>
      </c>
      <c r="U65" s="129">
        <f>IF(E65="",1,IF(AND(E65="〇〇(合意形成対象者名に書き換え)",COUNTA($F65:$H65)=0),1,IF(AND(E65&lt;&gt;"〇〇(合意形成対象者名に書き換え)",COUNTA($F65:$H65)=3),1,0)))</f>
        <v>1</v>
      </c>
      <c r="V65" s="129" t="str" cm="1">
        <f t="array" ref="V65">_xlfn.IFS(T65=4,"A",T65=3,"B",T65=2,"C",T65=1,"D")</f>
        <v>D</v>
      </c>
      <c r="W65" s="255"/>
    </row>
    <row r="66" spans="1:23">
      <c r="B66" s="95"/>
      <c r="C66" s="96"/>
      <c r="D66" s="97"/>
      <c r="E66" s="100" t="s">
        <v>129</v>
      </c>
      <c r="F66" s="446"/>
      <c r="G66" s="441"/>
      <c r="H66" s="441"/>
      <c r="I66" s="98"/>
      <c r="J66" s="11"/>
      <c r="R66" s="129">
        <f t="shared" si="17"/>
        <v>0</v>
      </c>
      <c r="S66" s="129" t="str">
        <f t="shared" si="18"/>
        <v/>
      </c>
      <c r="T66" s="129">
        <f t="shared" si="16"/>
        <v>1</v>
      </c>
      <c r="U66" s="129">
        <f>IF(E66="",1,IF(AND(E66="〇〇(合意形成対象者名に書き換え)",COUNTA($F66:$H66)=0),1,IF(AND(E66&lt;&gt;"〇〇(合意形成対象者名に書き換え)",COUNTA($F66:$H66)=3),1,0)))</f>
        <v>1</v>
      </c>
      <c r="V66" s="129" t="str" cm="1">
        <f t="array" ref="V66">_xlfn.IFS(T66=4,"A",T66=3,"B",T66=2,"C",T66=1,"D")</f>
        <v>D</v>
      </c>
      <c r="W66" s="255"/>
    </row>
    <row r="67" spans="1:23" s="99" customFormat="1">
      <c r="A67" s="11"/>
      <c r="B67" s="95"/>
      <c r="C67" s="96"/>
      <c r="D67" s="97"/>
      <c r="E67" s="100" t="s">
        <v>129</v>
      </c>
      <c r="F67" s="446"/>
      <c r="G67" s="441"/>
      <c r="H67" s="441"/>
      <c r="I67" s="98"/>
      <c r="J67" s="11"/>
      <c r="M67" s="11"/>
      <c r="N67" s="11"/>
      <c r="O67" s="11"/>
      <c r="P67" s="11"/>
      <c r="Q67" s="11"/>
      <c r="R67" s="129">
        <f t="shared" si="17"/>
        <v>0</v>
      </c>
      <c r="S67" s="129" t="str">
        <f t="shared" si="18"/>
        <v/>
      </c>
      <c r="T67" s="129">
        <f t="shared" si="16"/>
        <v>1</v>
      </c>
      <c r="U67" s="129">
        <f>IF(E67="",1,IF(AND(E67="〇〇(合意形成対象者名に書き換え)",COUNTA($F67:$H67)=0),1,IF(AND(E67&lt;&gt;"〇〇(合意形成対象者名に書き換え)",COUNTA($F67:$H67)=3),1,0)))</f>
        <v>1</v>
      </c>
      <c r="V67" s="129" t="str" cm="1">
        <f t="array" ref="V67">_xlfn.IFS(T67=4,"A",T67=3,"B",T67=2,"C",T67=1,"D")</f>
        <v>D</v>
      </c>
      <c r="W67" s="129"/>
    </row>
    <row r="68" spans="1:23" customFormat="1" ht="7.5" customHeight="1">
      <c r="B68" s="65"/>
      <c r="C68" s="4"/>
      <c r="D68" s="4"/>
      <c r="E68" s="4"/>
      <c r="F68" s="4"/>
      <c r="G68" s="4"/>
      <c r="H68" s="4"/>
      <c r="I68" s="9"/>
      <c r="J68" s="2"/>
      <c r="K68" s="2"/>
      <c r="L68" s="2"/>
      <c r="R68" s="129">
        <f t="shared" si="17"/>
        <v>0</v>
      </c>
      <c r="S68" s="129" t="str">
        <f t="shared" si="18"/>
        <v/>
      </c>
      <c r="T68" s="129">
        <f t="shared" si="16"/>
        <v>1</v>
      </c>
      <c r="U68" s="129">
        <f t="shared" ref="U68:U69" si="19">IF(E68="",1,IF(AND(E68="〇〇(合意形成対象者名に書き換え)",COUNTA($F68:$H68)=0),1,IF(AND(E68&lt;&gt;"〇〇(合意形成対象者名に書き換え)",COUNTA($F68:$H68)=3),1,0)))</f>
        <v>1</v>
      </c>
      <c r="V68" s="129" t="str" cm="1">
        <f t="array" ref="V68">_xlfn.IFS(T68=4,"A",T68=3,"B",T68=2,"C",T68=1,"D")</f>
        <v>D</v>
      </c>
      <c r="W68" s="175"/>
    </row>
    <row r="69" spans="1:23" customFormat="1" ht="6" customHeight="1">
      <c r="J69" s="2"/>
      <c r="K69" s="2"/>
      <c r="L69" s="2"/>
      <c r="R69" s="129">
        <f t="shared" si="17"/>
        <v>0</v>
      </c>
      <c r="S69" s="129" t="str">
        <f t="shared" si="18"/>
        <v/>
      </c>
      <c r="T69" s="129">
        <f t="shared" si="16"/>
        <v>1</v>
      </c>
      <c r="U69" s="129">
        <f t="shared" si="19"/>
        <v>1</v>
      </c>
      <c r="V69" s="129" t="str" cm="1">
        <f t="array" ref="V69">_xlfn.IFS(T69=4,"A",T69=3,"B",T69=2,"C",T69=1,"D")</f>
        <v>D</v>
      </c>
      <c r="W69" s="175"/>
    </row>
    <row r="70" spans="1:23" customFormat="1" ht="103.5" customHeight="1">
      <c r="C70" s="78"/>
      <c r="D70" s="79"/>
      <c r="E70" s="71" t="s">
        <v>236</v>
      </c>
      <c r="F70" s="1452"/>
      <c r="G70" s="1452"/>
      <c r="H70" s="1452"/>
      <c r="I70" s="80" t="s">
        <v>132</v>
      </c>
      <c r="J70" s="80"/>
    </row>
    <row r="71" spans="1:23" customFormat="1" ht="146.25" customHeight="1">
      <c r="C71" s="75"/>
      <c r="D71" s="68"/>
      <c r="E71" s="71" t="s">
        <v>235</v>
      </c>
      <c r="F71" s="1452"/>
      <c r="G71" s="1452"/>
      <c r="H71" s="1452"/>
      <c r="J71" s="2"/>
      <c r="K71" s="2"/>
      <c r="L71" s="2"/>
    </row>
    <row r="72" spans="1:23" customFormat="1" ht="13.5" customHeight="1" thickBot="1">
      <c r="A72" s="81"/>
      <c r="B72" s="81"/>
      <c r="C72" s="81"/>
      <c r="D72" s="81"/>
      <c r="E72" s="81"/>
      <c r="F72" s="81"/>
      <c r="G72" s="81"/>
      <c r="H72" s="81"/>
      <c r="I72" s="81"/>
      <c r="J72" s="82"/>
      <c r="K72" s="2"/>
      <c r="L72" s="2"/>
    </row>
    <row r="73" spans="1:23" customFormat="1" ht="13.5" customHeight="1">
      <c r="J73" s="2"/>
      <c r="K73" s="2"/>
      <c r="L73" s="2"/>
    </row>
    <row r="74" spans="1:23" customFormat="1" ht="15" customHeight="1">
      <c r="B74" s="10"/>
      <c r="C74" s="5"/>
      <c r="D74" s="5"/>
      <c r="E74" s="5"/>
      <c r="F74" s="5"/>
      <c r="G74" s="5"/>
      <c r="H74" s="5"/>
      <c r="I74" s="6"/>
      <c r="R74" s="11" t="str">
        <f>D75</f>
        <v>(選択してください)</v>
      </c>
    </row>
    <row r="75" spans="1:23" customFormat="1">
      <c r="B75" s="7"/>
      <c r="C75" s="77" t="str">
        <f ca="1">IFERROR(OFFSET('4.2民生電力需要量'!$C$8,MATCH(D75,'4.2民生電力需要量'!$E$9:$E$49,0),0),"")</f>
        <v/>
      </c>
      <c r="D75" s="94" t="s">
        <v>130</v>
      </c>
      <c r="E75" s="72" t="s">
        <v>131</v>
      </c>
      <c r="F75" s="1451" t="str">
        <f ca="1">IFERROR(OFFSET('4.2民生電力需要量'!$G$1,MATCH($D75,'4.2民生電力需要量'!$E:$E,0)-1,0),"")</f>
        <v/>
      </c>
      <c r="G75" s="1451"/>
      <c r="H75" s="1451"/>
      <c r="I75" s="8"/>
      <c r="R75" s="255" t="str">
        <f ca="1">IFERROR(OFFSET('4.2民生電力需要量'!$G$1,MATCH($D75,'4.2民生電力需要量'!$E:$E,0)-1,0),"")</f>
        <v/>
      </c>
      <c r="S75" s="515"/>
      <c r="T75" s="515"/>
      <c r="U75" s="515"/>
      <c r="V75" s="515"/>
      <c r="W75" s="175">
        <f ca="1">(F75=R75)*1</f>
        <v>1</v>
      </c>
    </row>
    <row r="76" spans="1:23" customFormat="1">
      <c r="B76" s="7"/>
      <c r="C76" s="915"/>
      <c r="D76" s="97"/>
      <c r="E76" s="72" t="s">
        <v>612</v>
      </c>
      <c r="F76" s="1447" t="str">
        <f ca="1">IFERROR(OFFSET('4.2民生電力需要量'!$L$1,MATCH($D75,'4.2民生電力需要量'!$E:$E,0)-1,0),"")</f>
        <v/>
      </c>
      <c r="G76" s="1448"/>
      <c r="H76" s="1449"/>
      <c r="I76" s="8"/>
      <c r="R76" s="255" t="str">
        <f ca="1">IFERROR(OFFSET('4.2民生電力需要量'!$L$1,MATCH($D75,'4.2民生電力需要量'!$E:$E,0)-1,0),"")</f>
        <v/>
      </c>
      <c r="S76" s="515"/>
      <c r="T76" s="515"/>
      <c r="U76" s="515"/>
      <c r="V76" s="515"/>
      <c r="W76" s="175">
        <f ca="1">(F76=R76)*1</f>
        <v>1</v>
      </c>
    </row>
    <row r="77" spans="1:23" customFormat="1">
      <c r="B77" s="7"/>
      <c r="C77" s="915"/>
      <c r="D77" s="97"/>
      <c r="E77" s="72" t="s">
        <v>613</v>
      </c>
      <c r="F77" s="1456"/>
      <c r="G77" s="1457"/>
      <c r="H77" s="1458"/>
      <c r="I77" s="8"/>
      <c r="R77" s="320"/>
      <c r="S77" s="515"/>
      <c r="T77" s="515"/>
      <c r="U77" s="515"/>
      <c r="V77" s="515"/>
      <c r="W77" s="515"/>
    </row>
    <row r="78" spans="1:23" customFormat="1">
      <c r="B78" s="7"/>
      <c r="C78" s="74"/>
      <c r="D78" s="66"/>
      <c r="E78" s="72" t="s">
        <v>220</v>
      </c>
      <c r="F78" s="1450" t="str">
        <f ca="1">IFERROR(OFFSET('4.2民生電力需要量'!$I$1,MATCH($D75,'4.2民生電力需要量'!$E:$E,0)-1,0),"")</f>
        <v/>
      </c>
      <c r="G78" s="1450"/>
      <c r="H78" s="1450"/>
      <c r="I78" s="8"/>
      <c r="R78" s="175" t="str">
        <f ca="1">IFERROR(OFFSET('4.2民生電力需要量'!$I$1,MATCH($D75,'4.2民生電力需要量'!$E:$E,0)-1,0),"")</f>
        <v/>
      </c>
      <c r="S78" s="515"/>
      <c r="T78" s="515"/>
      <c r="U78" s="515"/>
      <c r="V78" s="515"/>
      <c r="W78" s="175">
        <f t="shared" ref="W78:W79" ca="1" si="20">(F78=R78)*1</f>
        <v>1</v>
      </c>
    </row>
    <row r="79" spans="1:23" customFormat="1">
      <c r="B79" s="7"/>
      <c r="C79" s="74"/>
      <c r="D79" s="66"/>
      <c r="E79" s="72" t="s">
        <v>175</v>
      </c>
      <c r="F79" s="1453" t="str">
        <f>_xlfn.IFNA(R79,"")</f>
        <v/>
      </c>
      <c r="G79" s="1454"/>
      <c r="H79" s="1455"/>
      <c r="I79" s="8"/>
      <c r="R79" s="129" t="str">
        <f>IF(OR(COUNTIF($E81:$E86,"&lt;&gt;〇〇(合意形成対象者名に書き換え)")=3,COUNTIF($E81:$E86,"")&gt;3),"",IF(PRODUCT($U81:$U86)=1,V81,""))</f>
        <v/>
      </c>
      <c r="S79" s="515"/>
      <c r="T79" s="515"/>
      <c r="U79" s="515"/>
      <c r="V79" s="515"/>
      <c r="W79" s="175">
        <f t="shared" si="20"/>
        <v>1</v>
      </c>
    </row>
    <row r="80" spans="1:23" ht="63.75" customHeight="1">
      <c r="B80" s="95"/>
      <c r="C80" s="96"/>
      <c r="D80" s="97"/>
      <c r="E80" s="372"/>
      <c r="F80" s="313" t="s">
        <v>281</v>
      </c>
      <c r="G80" s="313" t="s">
        <v>282</v>
      </c>
      <c r="H80" s="313" t="s">
        <v>279</v>
      </c>
      <c r="I80" s="98"/>
      <c r="J80" s="11"/>
      <c r="R80" s="126" t="s">
        <v>270</v>
      </c>
      <c r="S80" s="126" t="s">
        <v>426</v>
      </c>
      <c r="T80" s="129" t="s">
        <v>402</v>
      </c>
      <c r="U80" s="129" t="s">
        <v>430</v>
      </c>
      <c r="V80" s="126" t="s">
        <v>425</v>
      </c>
      <c r="W80" s="255"/>
    </row>
    <row r="81" spans="1:23" hidden="1">
      <c r="B81" s="95"/>
      <c r="C81" s="96"/>
      <c r="D81" s="97"/>
      <c r="E81" s="442"/>
      <c r="F81" s="443"/>
      <c r="G81" s="439"/>
      <c r="H81" s="439"/>
      <c r="I81" s="98"/>
      <c r="J81" s="11"/>
      <c r="R81" s="129">
        <f>IF(AND(F81="実施済",G81="実施済",H81="完了"),3,0)</f>
        <v>0</v>
      </c>
      <c r="S81" s="129" t="str">
        <f>IF(OR(E81="〇〇(合意形成対象者名に書き換え)",E81=""),"",R81)</f>
        <v/>
      </c>
      <c r="T81" s="129">
        <f t="shared" ref="T81:T86" si="21">MIN($S$81:$S$86)+1</f>
        <v>1</v>
      </c>
      <c r="U81" s="129">
        <f>IF(E81="",1,IF(AND(E81="〇〇(合意形成対象者名に書き換え)",COUNTA($F81:$H81)=0),1,IF(AND(E81&lt;&gt;"〇〇(合意形成対象者名に書き換え)",COUNTA($F81:$H81)=3),1,0)))</f>
        <v>1</v>
      </c>
      <c r="V81" s="129" t="str" cm="1">
        <f t="array" ref="V81">_xlfn.IFS(T81=4,"A",T81=3,"B",T81=2,"C",T81=1,"D")</f>
        <v>D</v>
      </c>
      <c r="W81" s="255"/>
    </row>
    <row r="82" spans="1:23">
      <c r="B82" s="95"/>
      <c r="C82" s="96"/>
      <c r="D82" s="97"/>
      <c r="E82" s="100" t="s">
        <v>129</v>
      </c>
      <c r="F82" s="446"/>
      <c r="G82" s="441"/>
      <c r="H82" s="441"/>
      <c r="I82" s="98"/>
      <c r="J82" s="11"/>
      <c r="R82" s="129">
        <f t="shared" ref="R82:R86" si="22">IF(AND(F82="実施済",G82="実施済",H82="完了"),3,0)</f>
        <v>0</v>
      </c>
      <c r="S82" s="129" t="str">
        <f t="shared" ref="S82:S86" si="23">IF(OR(E82="〇〇(合意形成対象者名に書き換え)",E82=""),"",R82)</f>
        <v/>
      </c>
      <c r="T82" s="129">
        <f t="shared" si="21"/>
        <v>1</v>
      </c>
      <c r="U82" s="129">
        <f>IF(E82="",1,IF(AND(E82="〇〇(合意形成対象者名に書き換え)",COUNTA($F82:$H82)=0),1,IF(AND(E82&lt;&gt;"〇〇(合意形成対象者名に書き換え)",COUNTA($F82:$H82)=3),1,0)))</f>
        <v>1</v>
      </c>
      <c r="V82" s="129" t="str" cm="1">
        <f t="array" ref="V82">_xlfn.IFS(T82=4,"A",T82=3,"B",T82=2,"C",T82=1,"D")</f>
        <v>D</v>
      </c>
      <c r="W82" s="255"/>
    </row>
    <row r="83" spans="1:23">
      <c r="B83" s="95"/>
      <c r="C83" s="96"/>
      <c r="D83" s="97"/>
      <c r="E83" s="100" t="s">
        <v>129</v>
      </c>
      <c r="F83" s="446"/>
      <c r="G83" s="441"/>
      <c r="H83" s="441"/>
      <c r="I83" s="98"/>
      <c r="J83" s="11"/>
      <c r="R83" s="129">
        <f t="shared" si="22"/>
        <v>0</v>
      </c>
      <c r="S83" s="129" t="str">
        <f t="shared" si="23"/>
        <v/>
      </c>
      <c r="T83" s="129">
        <f t="shared" si="21"/>
        <v>1</v>
      </c>
      <c r="U83" s="129">
        <f>IF(E83="",1,IF(AND(E83="〇〇(合意形成対象者名に書き換え)",COUNTA($F83:$H83)=0),1,IF(AND(E83&lt;&gt;"〇〇(合意形成対象者名に書き換え)",COUNTA($F83:$H83)=3),1,0)))</f>
        <v>1</v>
      </c>
      <c r="V83" s="129" t="str" cm="1">
        <f t="array" ref="V83">_xlfn.IFS(T83=4,"A",T83=3,"B",T83=2,"C",T83=1,"D")</f>
        <v>D</v>
      </c>
      <c r="W83" s="255"/>
    </row>
    <row r="84" spans="1:23" s="99" customFormat="1">
      <c r="A84" s="11"/>
      <c r="B84" s="95"/>
      <c r="C84" s="96"/>
      <c r="D84" s="97"/>
      <c r="E84" s="100" t="s">
        <v>129</v>
      </c>
      <c r="F84" s="446"/>
      <c r="G84" s="441"/>
      <c r="H84" s="441"/>
      <c r="I84" s="98"/>
      <c r="J84" s="11"/>
      <c r="M84" s="11"/>
      <c r="N84" s="11"/>
      <c r="O84" s="11"/>
      <c r="P84" s="11"/>
      <c r="Q84" s="11"/>
      <c r="R84" s="129">
        <f t="shared" si="22"/>
        <v>0</v>
      </c>
      <c r="S84" s="129" t="str">
        <f t="shared" si="23"/>
        <v/>
      </c>
      <c r="T84" s="129">
        <f t="shared" si="21"/>
        <v>1</v>
      </c>
      <c r="U84" s="129">
        <f>IF(E84="",1,IF(AND(E84="〇〇(合意形成対象者名に書き換え)",COUNTA($F84:$H84)=0),1,IF(AND(E84&lt;&gt;"〇〇(合意形成対象者名に書き換え)",COUNTA($F84:$H84)=3),1,0)))</f>
        <v>1</v>
      </c>
      <c r="V84" s="129" t="str" cm="1">
        <f t="array" ref="V84">_xlfn.IFS(T84=4,"A",T84=3,"B",T84=2,"C",T84=1,"D")</f>
        <v>D</v>
      </c>
      <c r="W84" s="129"/>
    </row>
    <row r="85" spans="1:23" customFormat="1" ht="7.5" customHeight="1">
      <c r="B85" s="65"/>
      <c r="C85" s="4"/>
      <c r="D85" s="4"/>
      <c r="E85" s="4"/>
      <c r="F85" s="4"/>
      <c r="G85" s="4"/>
      <c r="H85" s="4"/>
      <c r="I85" s="9"/>
      <c r="J85" s="2"/>
      <c r="K85" s="2"/>
      <c r="L85" s="2"/>
      <c r="R85" s="129">
        <f t="shared" si="22"/>
        <v>0</v>
      </c>
      <c r="S85" s="129" t="str">
        <f t="shared" si="23"/>
        <v/>
      </c>
      <c r="T85" s="129">
        <f t="shared" si="21"/>
        <v>1</v>
      </c>
      <c r="U85" s="129">
        <f t="shared" ref="U85:U86" si="24">IF(E85="",1,IF(AND(E85="〇〇(合意形成対象者名に書き換え)",COUNTA($F85:$H85)=0),1,IF(AND(E85&lt;&gt;"〇〇(合意形成対象者名に書き換え)",COUNTA($F85:$H85)=3),1,0)))</f>
        <v>1</v>
      </c>
      <c r="V85" s="129" t="str" cm="1">
        <f t="array" ref="V85">_xlfn.IFS(T85=4,"A",T85=3,"B",T85=2,"C",T85=1,"D")</f>
        <v>D</v>
      </c>
      <c r="W85" s="175"/>
    </row>
    <row r="86" spans="1:23" customFormat="1" ht="6" customHeight="1">
      <c r="J86" s="2"/>
      <c r="K86" s="2"/>
      <c r="L86" s="2"/>
      <c r="R86" s="129">
        <f t="shared" si="22"/>
        <v>0</v>
      </c>
      <c r="S86" s="129" t="str">
        <f t="shared" si="23"/>
        <v/>
      </c>
      <c r="T86" s="129">
        <f t="shared" si="21"/>
        <v>1</v>
      </c>
      <c r="U86" s="129">
        <f t="shared" si="24"/>
        <v>1</v>
      </c>
      <c r="V86" s="129" t="str" cm="1">
        <f t="array" ref="V86">_xlfn.IFS(T86=4,"A",T86=3,"B",T86=2,"C",T86=1,"D")</f>
        <v>D</v>
      </c>
      <c r="W86" s="175"/>
    </row>
    <row r="87" spans="1:23" customFormat="1" ht="103.5" customHeight="1">
      <c r="C87" s="78"/>
      <c r="D87" s="79"/>
      <c r="E87" s="71" t="s">
        <v>236</v>
      </c>
      <c r="F87" s="1452"/>
      <c r="G87" s="1452"/>
      <c r="H87" s="1452"/>
      <c r="I87" s="80" t="s">
        <v>132</v>
      </c>
      <c r="J87" s="80"/>
    </row>
    <row r="88" spans="1:23" customFormat="1" ht="146.25" customHeight="1">
      <c r="C88" s="75"/>
      <c r="D88" s="68"/>
      <c r="E88" s="71" t="s">
        <v>235</v>
      </c>
      <c r="F88" s="1452"/>
      <c r="G88" s="1452"/>
      <c r="H88" s="1452"/>
      <c r="J88" s="2"/>
      <c r="K88" s="2"/>
      <c r="L88" s="2"/>
    </row>
    <row r="89" spans="1:23" customFormat="1" ht="13.5" customHeight="1" thickBot="1">
      <c r="A89" s="81"/>
      <c r="B89" s="81"/>
      <c r="C89" s="81"/>
      <c r="D89" s="81"/>
      <c r="E89" s="81"/>
      <c r="F89" s="81"/>
      <c r="G89" s="81"/>
      <c r="H89" s="81"/>
      <c r="I89" s="81"/>
      <c r="J89" s="82"/>
      <c r="K89" s="2"/>
      <c r="L89" s="2"/>
    </row>
    <row r="90" spans="1:23" customFormat="1" ht="13.5" customHeight="1">
      <c r="J90" s="2"/>
      <c r="K90" s="2"/>
      <c r="L90" s="2"/>
    </row>
    <row r="91" spans="1:23" customFormat="1" ht="15" customHeight="1">
      <c r="B91" s="10"/>
      <c r="C91" s="5"/>
      <c r="D91" s="5"/>
      <c r="E91" s="5"/>
      <c r="F91" s="5"/>
      <c r="G91" s="5"/>
      <c r="H91" s="5"/>
      <c r="I91" s="6"/>
      <c r="R91" s="11" t="str">
        <f>D92</f>
        <v>(選択してください)</v>
      </c>
    </row>
    <row r="92" spans="1:23" customFormat="1">
      <c r="B92" s="7"/>
      <c r="C92" s="77" t="str">
        <f ca="1">IFERROR(OFFSET('4.2民生電力需要量'!$C$8,MATCH(D92,'4.2民生電力需要量'!$E$9:$E$49,0),0),"")</f>
        <v/>
      </c>
      <c r="D92" s="94" t="s">
        <v>130</v>
      </c>
      <c r="E92" s="72" t="s">
        <v>131</v>
      </c>
      <c r="F92" s="1451" t="str">
        <f ca="1">IFERROR(OFFSET('4.2民生電力需要量'!$G$1,MATCH($D92,'4.2民生電力需要量'!$E:$E,0)-1,0),"")</f>
        <v/>
      </c>
      <c r="G92" s="1451"/>
      <c r="H92" s="1451"/>
      <c r="I92" s="8"/>
      <c r="R92" s="255" t="str">
        <f ca="1">IFERROR(OFFSET('4.2民生電力需要量'!$G$1,MATCH($D92,'4.2民生電力需要量'!$E:$E,0)-1,0),"")</f>
        <v/>
      </c>
      <c r="S92" s="515"/>
      <c r="T92" s="515"/>
      <c r="U92" s="515"/>
      <c r="V92" s="515"/>
      <c r="W92" s="175">
        <f ca="1">(F92=R92)*1</f>
        <v>1</v>
      </c>
    </row>
    <row r="93" spans="1:23" customFormat="1">
      <c r="B93" s="7"/>
      <c r="C93" s="915"/>
      <c r="D93" s="97"/>
      <c r="E93" s="72" t="s">
        <v>612</v>
      </c>
      <c r="F93" s="1447" t="str">
        <f ca="1">IFERROR(OFFSET('4.2民生電力需要量'!$L$1,MATCH($D92,'4.2民生電力需要量'!$E:$E,0)-1,0),"")</f>
        <v/>
      </c>
      <c r="G93" s="1448"/>
      <c r="H93" s="1449"/>
      <c r="I93" s="8"/>
      <c r="R93" s="255" t="str">
        <f ca="1">IFERROR(OFFSET('4.2民生電力需要量'!$L$1,MATCH($D92,'4.2民生電力需要量'!$E:$E,0)-1,0),"")</f>
        <v/>
      </c>
      <c r="S93" s="515"/>
      <c r="T93" s="515"/>
      <c r="U93" s="515"/>
      <c r="V93" s="515"/>
      <c r="W93" s="175">
        <f ca="1">(F93=R93)*1</f>
        <v>1</v>
      </c>
    </row>
    <row r="94" spans="1:23" customFormat="1">
      <c r="B94" s="7"/>
      <c r="C94" s="915"/>
      <c r="D94" s="97"/>
      <c r="E94" s="72" t="s">
        <v>613</v>
      </c>
      <c r="F94" s="1456"/>
      <c r="G94" s="1457"/>
      <c r="H94" s="1458"/>
      <c r="I94" s="8"/>
      <c r="R94" s="320"/>
      <c r="S94" s="515"/>
      <c r="T94" s="515"/>
      <c r="U94" s="515"/>
      <c r="V94" s="515"/>
      <c r="W94" s="515"/>
    </row>
    <row r="95" spans="1:23" customFormat="1">
      <c r="B95" s="7"/>
      <c r="C95" s="74"/>
      <c r="D95" s="66"/>
      <c r="E95" s="72" t="s">
        <v>220</v>
      </c>
      <c r="F95" s="1450" t="str">
        <f ca="1">IFERROR(OFFSET('4.2民生電力需要量'!$I$1,MATCH($D92,'4.2民生電力需要量'!$E:$E,0)-1,0),"")</f>
        <v/>
      </c>
      <c r="G95" s="1450"/>
      <c r="H95" s="1450"/>
      <c r="I95" s="8"/>
      <c r="R95" s="175" t="str">
        <f ca="1">IFERROR(OFFSET('4.2民生電力需要量'!$I$1,MATCH($D92,'4.2民生電力需要量'!$E:$E,0)-1,0),"")</f>
        <v/>
      </c>
      <c r="S95" s="515"/>
      <c r="T95" s="515"/>
      <c r="U95" s="515"/>
      <c r="V95" s="515"/>
      <c r="W95" s="175">
        <f t="shared" ref="W95:W96" ca="1" si="25">(F95=R95)*1</f>
        <v>1</v>
      </c>
    </row>
    <row r="96" spans="1:23" customFormat="1">
      <c r="B96" s="7"/>
      <c r="C96" s="74"/>
      <c r="D96" s="66"/>
      <c r="E96" s="72" t="s">
        <v>175</v>
      </c>
      <c r="F96" s="1453" t="str">
        <f>_xlfn.IFNA(R96,"")</f>
        <v/>
      </c>
      <c r="G96" s="1454"/>
      <c r="H96" s="1455"/>
      <c r="I96" s="8"/>
      <c r="R96" s="129" t="str">
        <f>IF(OR(COUNTIF($E98:$E103,"&lt;&gt;〇〇(合意形成対象者名に書き換え)")=3,COUNTIF($E98:$E103,"")&gt;3),"",IF(PRODUCT($U98:$U103)=1,V98,""))</f>
        <v/>
      </c>
      <c r="S96" s="515"/>
      <c r="T96" s="515"/>
      <c r="U96" s="515"/>
      <c r="V96" s="515"/>
      <c r="W96" s="175">
        <f t="shared" si="25"/>
        <v>1</v>
      </c>
    </row>
    <row r="97" spans="1:23" ht="63.75" customHeight="1">
      <c r="B97" s="95"/>
      <c r="C97" s="96"/>
      <c r="D97" s="97"/>
      <c r="E97" s="372"/>
      <c r="F97" s="313" t="s">
        <v>281</v>
      </c>
      <c r="G97" s="313" t="s">
        <v>282</v>
      </c>
      <c r="H97" s="313" t="s">
        <v>279</v>
      </c>
      <c r="I97" s="98"/>
      <c r="J97" s="11"/>
      <c r="R97" s="126" t="s">
        <v>270</v>
      </c>
      <c r="S97" s="126" t="s">
        <v>426</v>
      </c>
      <c r="T97" s="129" t="s">
        <v>402</v>
      </c>
      <c r="U97" s="129" t="s">
        <v>430</v>
      </c>
      <c r="V97" s="126" t="s">
        <v>425</v>
      </c>
      <c r="W97" s="255"/>
    </row>
    <row r="98" spans="1:23" hidden="1">
      <c r="B98" s="95"/>
      <c r="C98" s="96"/>
      <c r="D98" s="97"/>
      <c r="E98" s="442"/>
      <c r="F98" s="443"/>
      <c r="G98" s="439"/>
      <c r="H98" s="439"/>
      <c r="I98" s="98"/>
      <c r="J98" s="11"/>
      <c r="R98" s="129">
        <f>IF(AND(F98="実施済",G98="実施済",H98="完了"),3,0)</f>
        <v>0</v>
      </c>
      <c r="S98" s="129" t="str">
        <f>IF(OR(E98="〇〇(合意形成対象者名に書き換え)",E98=""),"",R98)</f>
        <v/>
      </c>
      <c r="T98" s="129">
        <f t="shared" ref="T98:T103" si="26">MIN($S$98:$S$103)+1</f>
        <v>1</v>
      </c>
      <c r="U98" s="129">
        <f>IF(E98="",1,IF(AND(E98="〇〇(合意形成対象者名に書き換え)",COUNTA($F98:$H98)=0),1,IF(AND(E98&lt;&gt;"〇〇(合意形成対象者名に書き換え)",COUNTA($F98:$H98)=3),1,0)))</f>
        <v>1</v>
      </c>
      <c r="V98" s="129" t="str" cm="1">
        <f t="array" ref="V98">_xlfn.IFS(T98=4,"A",T98=3,"B",T98=2,"C",T98=1,"D")</f>
        <v>D</v>
      </c>
      <c r="W98" s="255"/>
    </row>
    <row r="99" spans="1:23">
      <c r="B99" s="95"/>
      <c r="C99" s="96"/>
      <c r="D99" s="97"/>
      <c r="E99" s="100" t="s">
        <v>129</v>
      </c>
      <c r="F99" s="446"/>
      <c r="G99" s="441"/>
      <c r="H99" s="441"/>
      <c r="I99" s="98"/>
      <c r="J99" s="11"/>
      <c r="R99" s="129">
        <f t="shared" ref="R99:R103" si="27">IF(AND(F99="実施済",G99="実施済",H99="完了"),3,0)</f>
        <v>0</v>
      </c>
      <c r="S99" s="129" t="str">
        <f t="shared" ref="S99:S103" si="28">IF(OR(E99="〇〇(合意形成対象者名に書き換え)",E99=""),"",R99)</f>
        <v/>
      </c>
      <c r="T99" s="129">
        <f t="shared" si="26"/>
        <v>1</v>
      </c>
      <c r="U99" s="129">
        <f>IF(E99="",1,IF(AND(E99="〇〇(合意形成対象者名に書き換え)",COUNTA($F99:$H99)=0),1,IF(AND(E99&lt;&gt;"〇〇(合意形成対象者名に書き換え)",COUNTA($F99:$H99)=3),1,0)))</f>
        <v>1</v>
      </c>
      <c r="V99" s="129" t="str" cm="1">
        <f t="array" ref="V99">_xlfn.IFS(T99=4,"A",T99=3,"B",T99=2,"C",T99=1,"D")</f>
        <v>D</v>
      </c>
      <c r="W99" s="255"/>
    </row>
    <row r="100" spans="1:23">
      <c r="B100" s="95"/>
      <c r="C100" s="96"/>
      <c r="D100" s="97"/>
      <c r="E100" s="100" t="s">
        <v>129</v>
      </c>
      <c r="F100" s="446"/>
      <c r="G100" s="441"/>
      <c r="H100" s="441"/>
      <c r="I100" s="98"/>
      <c r="J100" s="11"/>
      <c r="R100" s="129">
        <f t="shared" si="27"/>
        <v>0</v>
      </c>
      <c r="S100" s="129" t="str">
        <f t="shared" si="28"/>
        <v/>
      </c>
      <c r="T100" s="129">
        <f t="shared" si="26"/>
        <v>1</v>
      </c>
      <c r="U100" s="129">
        <f>IF(E100="",1,IF(AND(E100="〇〇(合意形成対象者名に書き換え)",COUNTA($F100:$H100)=0),1,IF(AND(E100&lt;&gt;"〇〇(合意形成対象者名に書き換え)",COUNTA($F100:$H100)=3),1,0)))</f>
        <v>1</v>
      </c>
      <c r="V100" s="129" t="str" cm="1">
        <f t="array" ref="V100">_xlfn.IFS(T100=4,"A",T100=3,"B",T100=2,"C",T100=1,"D")</f>
        <v>D</v>
      </c>
      <c r="W100" s="255"/>
    </row>
    <row r="101" spans="1:23" s="99" customFormat="1">
      <c r="A101" s="11"/>
      <c r="B101" s="95"/>
      <c r="C101" s="96"/>
      <c r="D101" s="97"/>
      <c r="E101" s="100" t="s">
        <v>129</v>
      </c>
      <c r="F101" s="446"/>
      <c r="G101" s="441"/>
      <c r="H101" s="441"/>
      <c r="I101" s="98"/>
      <c r="J101" s="11"/>
      <c r="M101" s="11"/>
      <c r="N101" s="11"/>
      <c r="O101" s="11"/>
      <c r="P101" s="11"/>
      <c r="Q101" s="11"/>
      <c r="R101" s="129">
        <f t="shared" si="27"/>
        <v>0</v>
      </c>
      <c r="S101" s="129" t="str">
        <f t="shared" si="28"/>
        <v/>
      </c>
      <c r="T101" s="129">
        <f t="shared" si="26"/>
        <v>1</v>
      </c>
      <c r="U101" s="129">
        <f>IF(E101="",1,IF(AND(E101="〇〇(合意形成対象者名に書き換え)",COUNTA($F101:$H101)=0),1,IF(AND(E101&lt;&gt;"〇〇(合意形成対象者名に書き換え)",COUNTA($F101:$H101)=3),1,0)))</f>
        <v>1</v>
      </c>
      <c r="V101" s="129" t="str" cm="1">
        <f t="array" ref="V101">_xlfn.IFS(T101=4,"A",T101=3,"B",T101=2,"C",T101=1,"D")</f>
        <v>D</v>
      </c>
      <c r="W101" s="129"/>
    </row>
    <row r="102" spans="1:23" customFormat="1" ht="7.5" customHeight="1">
      <c r="B102" s="65"/>
      <c r="C102" s="4"/>
      <c r="D102" s="4"/>
      <c r="E102" s="4"/>
      <c r="F102" s="4"/>
      <c r="G102" s="4"/>
      <c r="H102" s="4"/>
      <c r="I102" s="9"/>
      <c r="J102" s="2"/>
      <c r="K102" s="2"/>
      <c r="L102" s="2"/>
      <c r="R102" s="129">
        <f t="shared" si="27"/>
        <v>0</v>
      </c>
      <c r="S102" s="129" t="str">
        <f t="shared" si="28"/>
        <v/>
      </c>
      <c r="T102" s="129">
        <f t="shared" si="26"/>
        <v>1</v>
      </c>
      <c r="U102" s="129">
        <f t="shared" ref="U102:U103" si="29">IF(E102="",1,IF(AND(E102="〇〇(合意形成対象者名に書き換え)",COUNTA($F102:$H102)=0),1,IF(AND(E102&lt;&gt;"〇〇(合意形成対象者名に書き換え)",COUNTA($F102:$H102)=3),1,0)))</f>
        <v>1</v>
      </c>
      <c r="V102" s="129" t="str" cm="1">
        <f t="array" ref="V102">_xlfn.IFS(T102=4,"A",T102=3,"B",T102=2,"C",T102=1,"D")</f>
        <v>D</v>
      </c>
      <c r="W102" s="175"/>
    </row>
    <row r="103" spans="1:23" customFormat="1" ht="6" customHeight="1">
      <c r="J103" s="2"/>
      <c r="K103" s="2"/>
      <c r="L103" s="2"/>
      <c r="R103" s="129">
        <f t="shared" si="27"/>
        <v>0</v>
      </c>
      <c r="S103" s="129" t="str">
        <f t="shared" si="28"/>
        <v/>
      </c>
      <c r="T103" s="129">
        <f t="shared" si="26"/>
        <v>1</v>
      </c>
      <c r="U103" s="129">
        <f t="shared" si="29"/>
        <v>1</v>
      </c>
      <c r="V103" s="129" t="str" cm="1">
        <f t="array" ref="V103">_xlfn.IFS(T103=4,"A",T103=3,"B",T103=2,"C",T103=1,"D")</f>
        <v>D</v>
      </c>
      <c r="W103" s="175"/>
    </row>
    <row r="104" spans="1:23" customFormat="1" ht="103.5" customHeight="1">
      <c r="C104" s="78"/>
      <c r="D104" s="79"/>
      <c r="E104" s="71" t="s">
        <v>236</v>
      </c>
      <c r="F104" s="1452"/>
      <c r="G104" s="1452"/>
      <c r="H104" s="1452"/>
      <c r="I104" s="80" t="s">
        <v>132</v>
      </c>
      <c r="J104" s="80"/>
    </row>
    <row r="105" spans="1:23" customFormat="1" ht="146.25" customHeight="1">
      <c r="C105" s="75"/>
      <c r="D105" s="68"/>
      <c r="E105" s="71" t="s">
        <v>235</v>
      </c>
      <c r="F105" s="1452"/>
      <c r="G105" s="1452"/>
      <c r="H105" s="1452"/>
      <c r="J105" s="2"/>
      <c r="K105" s="2"/>
      <c r="L105" s="2"/>
    </row>
    <row r="106" spans="1:23" customFormat="1" ht="13.5" customHeight="1" thickBot="1">
      <c r="A106" s="81"/>
      <c r="B106" s="81"/>
      <c r="C106" s="81"/>
      <c r="D106" s="81"/>
      <c r="E106" s="81"/>
      <c r="F106" s="81"/>
      <c r="G106" s="81"/>
      <c r="H106" s="81"/>
      <c r="I106" s="81"/>
      <c r="J106" s="82"/>
      <c r="K106" s="2"/>
      <c r="L106" s="2"/>
    </row>
    <row r="107" spans="1:23" customFormat="1" ht="13.5" customHeight="1">
      <c r="J107" s="2"/>
      <c r="K107" s="2"/>
      <c r="L107" s="2"/>
    </row>
    <row r="108" spans="1:23" customFormat="1" ht="15" customHeight="1">
      <c r="B108" s="10"/>
      <c r="C108" s="5"/>
      <c r="D108" s="5"/>
      <c r="E108" s="5"/>
      <c r="F108" s="5"/>
      <c r="G108" s="5"/>
      <c r="H108" s="5"/>
      <c r="I108" s="6"/>
      <c r="R108" s="11" t="str">
        <f>D109</f>
        <v>(選択してください)</v>
      </c>
    </row>
    <row r="109" spans="1:23" customFormat="1">
      <c r="B109" s="7"/>
      <c r="C109" s="77" t="str">
        <f ca="1">IFERROR(OFFSET('4.2民生電力需要量'!$C$8,MATCH(D109,'4.2民生電力需要量'!$E$9:$E$49,0),0),"")</f>
        <v/>
      </c>
      <c r="D109" s="94" t="s">
        <v>130</v>
      </c>
      <c r="E109" s="72" t="s">
        <v>131</v>
      </c>
      <c r="F109" s="1451" t="str">
        <f ca="1">IFERROR(OFFSET('4.2民生電力需要量'!$G$1,MATCH($D109,'4.2民生電力需要量'!$E:$E,0)-1,0),"")</f>
        <v/>
      </c>
      <c r="G109" s="1451"/>
      <c r="H109" s="1451"/>
      <c r="I109" s="8"/>
      <c r="R109" s="255" t="str">
        <f ca="1">IFERROR(OFFSET('4.2民生電力需要量'!$G$1,MATCH($D109,'4.2民生電力需要量'!$E:$E,0)-1,0),"")</f>
        <v/>
      </c>
      <c r="S109" s="515"/>
      <c r="T109" s="515"/>
      <c r="U109" s="515"/>
      <c r="V109" s="515"/>
      <c r="W109" s="175">
        <f ca="1">(F109=R109)*1</f>
        <v>1</v>
      </c>
    </row>
    <row r="110" spans="1:23" customFormat="1">
      <c r="B110" s="7"/>
      <c r="C110" s="915"/>
      <c r="D110" s="97"/>
      <c r="E110" s="72" t="s">
        <v>612</v>
      </c>
      <c r="F110" s="1447" t="str">
        <f ca="1">IFERROR(OFFSET('4.2民生電力需要量'!$L$1,MATCH($D109,'4.2民生電力需要量'!$E:$E,0)-1,0),"")</f>
        <v/>
      </c>
      <c r="G110" s="1448"/>
      <c r="H110" s="1449"/>
      <c r="I110" s="8"/>
      <c r="R110" s="255" t="str">
        <f ca="1">IFERROR(OFFSET('4.2民生電力需要量'!$L$1,MATCH($D109,'4.2民生電力需要量'!$E:$E,0)-1,0),"")</f>
        <v/>
      </c>
      <c r="S110" s="515"/>
      <c r="T110" s="515"/>
      <c r="U110" s="515"/>
      <c r="V110" s="515"/>
      <c r="W110" s="175">
        <f ca="1">(F110=R110)*1</f>
        <v>1</v>
      </c>
    </row>
    <row r="111" spans="1:23" customFormat="1">
      <c r="B111" s="7"/>
      <c r="C111" s="915"/>
      <c r="D111" s="97"/>
      <c r="E111" s="72" t="s">
        <v>613</v>
      </c>
      <c r="F111" s="1456"/>
      <c r="G111" s="1457"/>
      <c r="H111" s="1458"/>
      <c r="I111" s="8"/>
      <c r="R111" s="320"/>
      <c r="S111" s="515"/>
      <c r="T111" s="515"/>
      <c r="U111" s="515"/>
      <c r="V111" s="515"/>
      <c r="W111" s="515"/>
    </row>
    <row r="112" spans="1:23" customFormat="1">
      <c r="B112" s="7"/>
      <c r="C112" s="74"/>
      <c r="D112" s="66"/>
      <c r="E112" s="72" t="s">
        <v>220</v>
      </c>
      <c r="F112" s="1450" t="str">
        <f ca="1">IFERROR(OFFSET('4.2民生電力需要量'!$I$1,MATCH($D109,'4.2民生電力需要量'!$E:$E,0)-1,0),"")</f>
        <v/>
      </c>
      <c r="G112" s="1450"/>
      <c r="H112" s="1450"/>
      <c r="I112" s="8"/>
      <c r="R112" s="175" t="str">
        <f ca="1">IFERROR(OFFSET('4.2民生電力需要量'!$I$1,MATCH($D109,'4.2民生電力需要量'!$E:$E,0)-1,0),"")</f>
        <v/>
      </c>
      <c r="S112" s="515"/>
      <c r="T112" s="515"/>
      <c r="U112" s="515"/>
      <c r="V112" s="515"/>
      <c r="W112" s="175">
        <f t="shared" ref="W112:W113" ca="1" si="30">(F112=R112)*1</f>
        <v>1</v>
      </c>
    </row>
    <row r="113" spans="1:23" customFormat="1">
      <c r="B113" s="7"/>
      <c r="C113" s="74"/>
      <c r="D113" s="66"/>
      <c r="E113" s="72" t="s">
        <v>175</v>
      </c>
      <c r="F113" s="1453" t="str">
        <f>_xlfn.IFNA(R113,"")</f>
        <v/>
      </c>
      <c r="G113" s="1454"/>
      <c r="H113" s="1455"/>
      <c r="I113" s="8"/>
      <c r="R113" s="129" t="str">
        <f>IF(OR(COUNTIF($E115:$E120,"&lt;&gt;〇〇(合意形成対象者名に書き換え)")=3,COUNTIF($E115:$E120,"")&gt;3),"",IF(PRODUCT($U115:$U120)=1,V115,""))</f>
        <v/>
      </c>
      <c r="S113" s="515"/>
      <c r="T113" s="515"/>
      <c r="U113" s="515"/>
      <c r="V113" s="515"/>
      <c r="W113" s="175">
        <f t="shared" si="30"/>
        <v>1</v>
      </c>
    </row>
    <row r="114" spans="1:23" ht="63.75" customHeight="1">
      <c r="B114" s="95"/>
      <c r="C114" s="96"/>
      <c r="D114" s="97"/>
      <c r="E114" s="372"/>
      <c r="F114" s="313" t="s">
        <v>281</v>
      </c>
      <c r="G114" s="313" t="s">
        <v>282</v>
      </c>
      <c r="H114" s="313" t="s">
        <v>279</v>
      </c>
      <c r="I114" s="98"/>
      <c r="J114" s="11"/>
      <c r="R114" s="126" t="s">
        <v>270</v>
      </c>
      <c r="S114" s="126" t="s">
        <v>426</v>
      </c>
      <c r="T114" s="129" t="s">
        <v>402</v>
      </c>
      <c r="U114" s="129" t="s">
        <v>430</v>
      </c>
      <c r="V114" s="126" t="s">
        <v>425</v>
      </c>
      <c r="W114" s="255"/>
    </row>
    <row r="115" spans="1:23" hidden="1">
      <c r="B115" s="95"/>
      <c r="C115" s="96"/>
      <c r="D115" s="97"/>
      <c r="E115" s="442"/>
      <c r="F115" s="443"/>
      <c r="G115" s="439"/>
      <c r="H115" s="439"/>
      <c r="I115" s="98"/>
      <c r="J115" s="11"/>
      <c r="R115" s="129">
        <f>IF(AND(F115="実施済",G115="実施済",H115="完了"),3,0)</f>
        <v>0</v>
      </c>
      <c r="S115" s="129" t="str">
        <f>IF(OR(E115="〇〇(合意形成対象者名に書き換え)",E115=""),"",R115)</f>
        <v/>
      </c>
      <c r="T115" s="129">
        <f t="shared" ref="T115:T120" si="31">MIN($S$115:$S$120)+1</f>
        <v>1</v>
      </c>
      <c r="U115" s="129">
        <f>IF(E115="",1,IF(AND(E115="〇〇(合意形成対象者名に書き換え)",COUNTA($F115:$H115)=0),1,IF(AND(E115&lt;&gt;"〇〇(合意形成対象者名に書き換え)",COUNTA($F115:$H115)=3),1,0)))</f>
        <v>1</v>
      </c>
      <c r="V115" s="129" t="str" cm="1">
        <f t="array" ref="V115">_xlfn.IFS(T115=4,"A",T115=3,"B",T115=2,"C",T115=1,"D")</f>
        <v>D</v>
      </c>
      <c r="W115" s="255"/>
    </row>
    <row r="116" spans="1:23">
      <c r="B116" s="95"/>
      <c r="C116" s="96"/>
      <c r="D116" s="97"/>
      <c r="E116" s="100" t="s">
        <v>129</v>
      </c>
      <c r="F116" s="446"/>
      <c r="G116" s="441"/>
      <c r="H116" s="441"/>
      <c r="I116" s="98"/>
      <c r="J116" s="11"/>
      <c r="R116" s="129">
        <f t="shared" ref="R116:R120" si="32">IF(AND(F116="実施済",G116="実施済",H116="完了"),3,0)</f>
        <v>0</v>
      </c>
      <c r="S116" s="129" t="str">
        <f t="shared" ref="S116:S120" si="33">IF(OR(E116="〇〇(合意形成対象者名に書き換え)",E116=""),"",R116)</f>
        <v/>
      </c>
      <c r="T116" s="129">
        <f t="shared" si="31"/>
        <v>1</v>
      </c>
      <c r="U116" s="129">
        <f>IF(E116="",1,IF(AND(E116="〇〇(合意形成対象者名に書き換え)",COUNTA($F116:$H116)=0),1,IF(AND(E116&lt;&gt;"〇〇(合意形成対象者名に書き換え)",COUNTA($F116:$H116)=3),1,0)))</f>
        <v>1</v>
      </c>
      <c r="V116" s="129" t="str" cm="1">
        <f t="array" ref="V116">_xlfn.IFS(T116=4,"A",T116=3,"B",T116=2,"C",T116=1,"D")</f>
        <v>D</v>
      </c>
      <c r="W116" s="255"/>
    </row>
    <row r="117" spans="1:23">
      <c r="B117" s="95"/>
      <c r="C117" s="96"/>
      <c r="D117" s="97"/>
      <c r="E117" s="100" t="s">
        <v>129</v>
      </c>
      <c r="F117" s="446"/>
      <c r="G117" s="441"/>
      <c r="H117" s="441"/>
      <c r="I117" s="98"/>
      <c r="J117" s="11"/>
      <c r="R117" s="129">
        <f t="shared" si="32"/>
        <v>0</v>
      </c>
      <c r="S117" s="129" t="str">
        <f t="shared" si="33"/>
        <v/>
      </c>
      <c r="T117" s="129">
        <f t="shared" si="31"/>
        <v>1</v>
      </c>
      <c r="U117" s="129">
        <f>IF(E117="",1,IF(AND(E117="〇〇(合意形成対象者名に書き換え)",COUNTA($F117:$H117)=0),1,IF(AND(E117&lt;&gt;"〇〇(合意形成対象者名に書き換え)",COUNTA($F117:$H117)=3),1,0)))</f>
        <v>1</v>
      </c>
      <c r="V117" s="129" t="str" cm="1">
        <f t="array" ref="V117">_xlfn.IFS(T117=4,"A",T117=3,"B",T117=2,"C",T117=1,"D")</f>
        <v>D</v>
      </c>
      <c r="W117" s="255"/>
    </row>
    <row r="118" spans="1:23" s="99" customFormat="1">
      <c r="A118" s="11"/>
      <c r="B118" s="95"/>
      <c r="C118" s="96"/>
      <c r="D118" s="97"/>
      <c r="E118" s="100" t="s">
        <v>129</v>
      </c>
      <c r="F118" s="446"/>
      <c r="G118" s="441"/>
      <c r="H118" s="441"/>
      <c r="I118" s="98"/>
      <c r="J118" s="11"/>
      <c r="M118" s="11"/>
      <c r="N118" s="11"/>
      <c r="O118" s="11"/>
      <c r="P118" s="11"/>
      <c r="Q118" s="11"/>
      <c r="R118" s="129">
        <f t="shared" si="32"/>
        <v>0</v>
      </c>
      <c r="S118" s="129" t="str">
        <f t="shared" si="33"/>
        <v/>
      </c>
      <c r="T118" s="129">
        <f t="shared" si="31"/>
        <v>1</v>
      </c>
      <c r="U118" s="129">
        <f>IF(E118="",1,IF(AND(E118="〇〇(合意形成対象者名に書き換え)",COUNTA($F118:$H118)=0),1,IF(AND(E118&lt;&gt;"〇〇(合意形成対象者名に書き換え)",COUNTA($F118:$H118)=3),1,0)))</f>
        <v>1</v>
      </c>
      <c r="V118" s="129" t="str" cm="1">
        <f t="array" ref="V118">_xlfn.IFS(T118=4,"A",T118=3,"B",T118=2,"C",T118=1,"D")</f>
        <v>D</v>
      </c>
      <c r="W118" s="129"/>
    </row>
    <row r="119" spans="1:23" customFormat="1" ht="7.5" customHeight="1">
      <c r="B119" s="65"/>
      <c r="C119" s="4"/>
      <c r="D119" s="4"/>
      <c r="E119" s="4"/>
      <c r="F119" s="4"/>
      <c r="G119" s="4"/>
      <c r="H119" s="4"/>
      <c r="I119" s="9"/>
      <c r="J119" s="2"/>
      <c r="K119" s="2"/>
      <c r="L119" s="2"/>
      <c r="R119" s="129">
        <f t="shared" si="32"/>
        <v>0</v>
      </c>
      <c r="S119" s="129" t="str">
        <f t="shared" si="33"/>
        <v/>
      </c>
      <c r="T119" s="129">
        <f t="shared" si="31"/>
        <v>1</v>
      </c>
      <c r="U119" s="129">
        <f t="shared" ref="U119:U120" si="34">IF(E119="",1,IF(AND(E119="〇〇(合意形成対象者名に書き換え)",COUNTA($F119:$H119)=0),1,IF(AND(E119&lt;&gt;"〇〇(合意形成対象者名に書き換え)",COUNTA($F119:$H119)=3),1,0)))</f>
        <v>1</v>
      </c>
      <c r="V119" s="129" t="str" cm="1">
        <f t="array" ref="V119">_xlfn.IFS(T119=4,"A",T119=3,"B",T119=2,"C",T119=1,"D")</f>
        <v>D</v>
      </c>
      <c r="W119" s="175"/>
    </row>
    <row r="120" spans="1:23" customFormat="1" ht="6" customHeight="1">
      <c r="J120" s="2"/>
      <c r="K120" s="2"/>
      <c r="L120" s="2"/>
      <c r="R120" s="129">
        <f t="shared" si="32"/>
        <v>0</v>
      </c>
      <c r="S120" s="129" t="str">
        <f t="shared" si="33"/>
        <v/>
      </c>
      <c r="T120" s="129">
        <f t="shared" si="31"/>
        <v>1</v>
      </c>
      <c r="U120" s="129">
        <f t="shared" si="34"/>
        <v>1</v>
      </c>
      <c r="V120" s="129" t="str" cm="1">
        <f t="array" ref="V120">_xlfn.IFS(T120=4,"A",T120=3,"B",T120=2,"C",T120=1,"D")</f>
        <v>D</v>
      </c>
      <c r="W120" s="175"/>
    </row>
    <row r="121" spans="1:23" customFormat="1" ht="103.5" customHeight="1">
      <c r="C121" s="78"/>
      <c r="D121" s="79"/>
      <c r="E121" s="71" t="s">
        <v>236</v>
      </c>
      <c r="F121" s="1452"/>
      <c r="G121" s="1452"/>
      <c r="H121" s="1452"/>
      <c r="I121" s="80" t="s">
        <v>132</v>
      </c>
      <c r="J121" s="80"/>
    </row>
    <row r="122" spans="1:23" customFormat="1" ht="146.25" customHeight="1">
      <c r="C122" s="75"/>
      <c r="D122" s="68"/>
      <c r="E122" s="71" t="s">
        <v>235</v>
      </c>
      <c r="F122" s="1452"/>
      <c r="G122" s="1452"/>
      <c r="H122" s="1452"/>
      <c r="J122" s="2"/>
      <c r="K122" s="2"/>
      <c r="L122" s="2"/>
    </row>
    <row r="123" spans="1:23" customFormat="1" ht="13.5" customHeight="1" thickBot="1">
      <c r="A123" s="81"/>
      <c r="B123" s="81"/>
      <c r="C123" s="81"/>
      <c r="D123" s="81"/>
      <c r="E123" s="81"/>
      <c r="F123" s="81"/>
      <c r="G123" s="81"/>
      <c r="H123" s="81"/>
      <c r="I123" s="81"/>
      <c r="J123" s="82"/>
      <c r="K123" s="2"/>
      <c r="L123" s="2"/>
    </row>
    <row r="124" spans="1:23" customFormat="1" ht="13.5" customHeight="1">
      <c r="J124" s="2"/>
      <c r="K124" s="2"/>
      <c r="L124" s="2"/>
    </row>
    <row r="125" spans="1:23" customFormat="1" ht="15" customHeight="1">
      <c r="B125" s="10"/>
      <c r="C125" s="5"/>
      <c r="D125" s="5"/>
      <c r="E125" s="5"/>
      <c r="F125" s="5"/>
      <c r="G125" s="5"/>
      <c r="H125" s="5"/>
      <c r="I125" s="6"/>
      <c r="R125" s="11" t="str">
        <f>D126</f>
        <v>(選択してください)</v>
      </c>
    </row>
    <row r="126" spans="1:23" customFormat="1">
      <c r="B126" s="7"/>
      <c r="C126" s="77" t="str">
        <f ca="1">IFERROR(OFFSET('4.2民生電力需要量'!$C$8,MATCH(D126,'4.2民生電力需要量'!$E$9:$E$49,0),0),"")</f>
        <v/>
      </c>
      <c r="D126" s="94" t="s">
        <v>130</v>
      </c>
      <c r="E126" s="72" t="s">
        <v>131</v>
      </c>
      <c r="F126" s="1451" t="str">
        <f ca="1">IFERROR(OFFSET('4.2民生電力需要量'!$G$1,MATCH($D126,'4.2民生電力需要量'!$E:$E,0)-1,0),"")</f>
        <v/>
      </c>
      <c r="G126" s="1451"/>
      <c r="H126" s="1451"/>
      <c r="I126" s="8"/>
      <c r="R126" s="255" t="str">
        <f ca="1">IFERROR(OFFSET('4.2民生電力需要量'!$G$1,MATCH($D126,'4.2民生電力需要量'!$E:$E,0)-1,0),"")</f>
        <v/>
      </c>
      <c r="S126" s="515"/>
      <c r="T126" s="515"/>
      <c r="U126" s="515"/>
      <c r="V126" s="515"/>
      <c r="W126" s="175">
        <f ca="1">(F126=R126)*1</f>
        <v>1</v>
      </c>
    </row>
    <row r="127" spans="1:23" customFormat="1">
      <c r="B127" s="7"/>
      <c r="C127" s="915"/>
      <c r="D127" s="97"/>
      <c r="E127" s="72" t="s">
        <v>612</v>
      </c>
      <c r="F127" s="1447" t="str">
        <f ca="1">IFERROR(OFFSET('4.2民生電力需要量'!$L$1,MATCH($D126,'4.2民生電力需要量'!$E:$E,0)-1,0),"")</f>
        <v/>
      </c>
      <c r="G127" s="1448"/>
      <c r="H127" s="1449"/>
      <c r="I127" s="8"/>
      <c r="R127" s="255" t="str">
        <f ca="1">IFERROR(OFFSET('4.2民生電力需要量'!$L$1,MATCH($D126,'4.2民生電力需要量'!$E:$E,0)-1,0),"")</f>
        <v/>
      </c>
      <c r="S127" s="515"/>
      <c r="T127" s="515"/>
      <c r="U127" s="515"/>
      <c r="V127" s="515"/>
      <c r="W127" s="175">
        <f ca="1">(F127=R127)*1</f>
        <v>1</v>
      </c>
    </row>
    <row r="128" spans="1:23" customFormat="1">
      <c r="B128" s="7"/>
      <c r="C128" s="915"/>
      <c r="D128" s="97"/>
      <c r="E128" s="72" t="s">
        <v>613</v>
      </c>
      <c r="F128" s="1456"/>
      <c r="G128" s="1457"/>
      <c r="H128" s="1458"/>
      <c r="I128" s="8"/>
      <c r="R128" s="320"/>
      <c r="S128" s="515"/>
      <c r="T128" s="515"/>
      <c r="U128" s="515"/>
      <c r="V128" s="515"/>
      <c r="W128" s="515"/>
    </row>
    <row r="129" spans="1:23" customFormat="1">
      <c r="B129" s="7"/>
      <c r="C129" s="74"/>
      <c r="D129" s="66"/>
      <c r="E129" s="72" t="s">
        <v>220</v>
      </c>
      <c r="F129" s="1450" t="str">
        <f ca="1">IFERROR(OFFSET('4.2民生電力需要量'!$I$1,MATCH($D126,'4.2民生電力需要量'!$E:$E,0)-1,0),"")</f>
        <v/>
      </c>
      <c r="G129" s="1450"/>
      <c r="H129" s="1450"/>
      <c r="I129" s="8"/>
      <c r="R129" s="175" t="str">
        <f ca="1">IFERROR(OFFSET('4.2民生電力需要量'!$I$1,MATCH($D126,'4.2民生電力需要量'!$E:$E,0)-1,0),"")</f>
        <v/>
      </c>
      <c r="S129" s="515"/>
      <c r="T129" s="515"/>
      <c r="U129" s="515"/>
      <c r="V129" s="515"/>
      <c r="W129" s="175">
        <f t="shared" ref="W129:W130" ca="1" si="35">(F129=R129)*1</f>
        <v>1</v>
      </c>
    </row>
    <row r="130" spans="1:23" customFormat="1">
      <c r="B130" s="7"/>
      <c r="C130" s="74"/>
      <c r="D130" s="66"/>
      <c r="E130" s="72" t="s">
        <v>175</v>
      </c>
      <c r="F130" s="1453" t="str">
        <f>_xlfn.IFNA(R130,"")</f>
        <v/>
      </c>
      <c r="G130" s="1454"/>
      <c r="H130" s="1455"/>
      <c r="I130" s="8"/>
      <c r="R130" s="129" t="str">
        <f>IF(OR(COUNTIF($E132:$E137,"&lt;&gt;〇〇(合意形成対象者名に書き換え)")=3,COUNTIF($E132:$E137,"")&gt;3),"",IF(PRODUCT($U132:$U137)=1,V132,""))</f>
        <v/>
      </c>
      <c r="S130" s="515"/>
      <c r="T130" s="515"/>
      <c r="U130" s="515"/>
      <c r="V130" s="515"/>
      <c r="W130" s="175">
        <f t="shared" si="35"/>
        <v>1</v>
      </c>
    </row>
    <row r="131" spans="1:23" ht="63.75" customHeight="1">
      <c r="B131" s="95"/>
      <c r="C131" s="96"/>
      <c r="D131" s="97"/>
      <c r="E131" s="372"/>
      <c r="F131" s="313" t="s">
        <v>281</v>
      </c>
      <c r="G131" s="313" t="s">
        <v>282</v>
      </c>
      <c r="H131" s="313" t="s">
        <v>279</v>
      </c>
      <c r="I131" s="98"/>
      <c r="J131" s="11"/>
      <c r="R131" s="126" t="s">
        <v>270</v>
      </c>
      <c r="S131" s="126" t="s">
        <v>426</v>
      </c>
      <c r="T131" s="129" t="s">
        <v>402</v>
      </c>
      <c r="U131" s="129" t="s">
        <v>430</v>
      </c>
      <c r="V131" s="126" t="s">
        <v>425</v>
      </c>
      <c r="W131" s="255"/>
    </row>
    <row r="132" spans="1:23" hidden="1">
      <c r="B132" s="95"/>
      <c r="C132" s="96"/>
      <c r="D132" s="97"/>
      <c r="E132" s="442"/>
      <c r="F132" s="443"/>
      <c r="G132" s="439"/>
      <c r="H132" s="439"/>
      <c r="I132" s="98"/>
      <c r="J132" s="11"/>
      <c r="R132" s="129">
        <f>IF(AND(F132="実施済",G132="実施済",H132="完了"),3,0)</f>
        <v>0</v>
      </c>
      <c r="S132" s="129" t="str">
        <f>IF(OR(E132="〇〇(合意形成対象者名に書き換え)",E132=""),"",R132)</f>
        <v/>
      </c>
      <c r="T132" s="129">
        <f t="shared" ref="T132:T137" si="36">MIN($S$132:$S$137)+1</f>
        <v>1</v>
      </c>
      <c r="U132" s="129">
        <f>IF(E132="",1,IF(AND(E132="〇〇(合意形成対象者名に書き換え)",COUNTA($F132:$H132)=0),1,IF(AND(E132&lt;&gt;"〇〇(合意形成対象者名に書き換え)",COUNTA($F132:$H132)=3),1,0)))</f>
        <v>1</v>
      </c>
      <c r="V132" s="129" t="str" cm="1">
        <f t="array" ref="V132">_xlfn.IFS(T132=4,"A",T132=3,"B",T132=2,"C",T132=1,"D")</f>
        <v>D</v>
      </c>
      <c r="W132" s="255"/>
    </row>
    <row r="133" spans="1:23">
      <c r="B133" s="95"/>
      <c r="C133" s="96"/>
      <c r="D133" s="97"/>
      <c r="E133" s="100" t="s">
        <v>129</v>
      </c>
      <c r="F133" s="446"/>
      <c r="G133" s="441"/>
      <c r="H133" s="441"/>
      <c r="I133" s="98"/>
      <c r="J133" s="11"/>
      <c r="R133" s="129">
        <f t="shared" ref="R133:R137" si="37">IF(AND(F133="実施済",G133="実施済",H133="完了"),3,0)</f>
        <v>0</v>
      </c>
      <c r="S133" s="129" t="str">
        <f t="shared" ref="S133:S137" si="38">IF(OR(E133="〇〇(合意形成対象者名に書き換え)",E133=""),"",R133)</f>
        <v/>
      </c>
      <c r="T133" s="129">
        <f t="shared" si="36"/>
        <v>1</v>
      </c>
      <c r="U133" s="129">
        <f>IF(E133="",1,IF(AND(E133="〇〇(合意形成対象者名に書き換え)",COUNTA($F133:$H133)=0),1,IF(AND(E133&lt;&gt;"〇〇(合意形成対象者名に書き換え)",COUNTA($F133:$H133)=3),1,0)))</f>
        <v>1</v>
      </c>
      <c r="V133" s="129" t="str" cm="1">
        <f t="array" ref="V133">_xlfn.IFS(T133=4,"A",T133=3,"B",T133=2,"C",T133=1,"D")</f>
        <v>D</v>
      </c>
      <c r="W133" s="255"/>
    </row>
    <row r="134" spans="1:23">
      <c r="B134" s="95"/>
      <c r="C134" s="96"/>
      <c r="D134" s="97"/>
      <c r="E134" s="100" t="s">
        <v>129</v>
      </c>
      <c r="F134" s="446"/>
      <c r="G134" s="441"/>
      <c r="H134" s="441"/>
      <c r="I134" s="98"/>
      <c r="J134" s="11"/>
      <c r="R134" s="129">
        <f t="shared" si="37"/>
        <v>0</v>
      </c>
      <c r="S134" s="129" t="str">
        <f t="shared" si="38"/>
        <v/>
      </c>
      <c r="T134" s="129">
        <f t="shared" si="36"/>
        <v>1</v>
      </c>
      <c r="U134" s="129">
        <f>IF(E134="",1,IF(AND(E134="〇〇(合意形成対象者名に書き換え)",COUNTA($F134:$H134)=0),1,IF(AND(E134&lt;&gt;"〇〇(合意形成対象者名に書き換え)",COUNTA($F134:$H134)=3),1,0)))</f>
        <v>1</v>
      </c>
      <c r="V134" s="129" t="str" cm="1">
        <f t="array" ref="V134">_xlfn.IFS(T134=4,"A",T134=3,"B",T134=2,"C",T134=1,"D")</f>
        <v>D</v>
      </c>
      <c r="W134" s="255"/>
    </row>
    <row r="135" spans="1:23" s="99" customFormat="1">
      <c r="A135" s="11"/>
      <c r="B135" s="95"/>
      <c r="C135" s="96"/>
      <c r="D135" s="97"/>
      <c r="E135" s="100" t="s">
        <v>129</v>
      </c>
      <c r="F135" s="446"/>
      <c r="G135" s="441"/>
      <c r="H135" s="441"/>
      <c r="I135" s="98"/>
      <c r="J135" s="11"/>
      <c r="M135" s="11"/>
      <c r="N135" s="11"/>
      <c r="O135" s="11"/>
      <c r="P135" s="11"/>
      <c r="Q135" s="11"/>
      <c r="R135" s="129">
        <f t="shared" si="37"/>
        <v>0</v>
      </c>
      <c r="S135" s="129" t="str">
        <f t="shared" si="38"/>
        <v/>
      </c>
      <c r="T135" s="129">
        <f t="shared" si="36"/>
        <v>1</v>
      </c>
      <c r="U135" s="129">
        <f>IF(E135="",1,IF(AND(E135="〇〇(合意形成対象者名に書き換え)",COUNTA($F135:$H135)=0),1,IF(AND(E135&lt;&gt;"〇〇(合意形成対象者名に書き換え)",COUNTA($F135:$H135)=3),1,0)))</f>
        <v>1</v>
      </c>
      <c r="V135" s="129" t="str" cm="1">
        <f t="array" ref="V135">_xlfn.IFS(T135=4,"A",T135=3,"B",T135=2,"C",T135=1,"D")</f>
        <v>D</v>
      </c>
      <c r="W135" s="129"/>
    </row>
    <row r="136" spans="1:23" customFormat="1" ht="7.5" customHeight="1">
      <c r="B136" s="65"/>
      <c r="C136" s="4"/>
      <c r="D136" s="4"/>
      <c r="E136" s="4"/>
      <c r="F136" s="4"/>
      <c r="G136" s="4"/>
      <c r="H136" s="4"/>
      <c r="I136" s="9"/>
      <c r="J136" s="2"/>
      <c r="K136" s="2"/>
      <c r="L136" s="2"/>
      <c r="R136" s="129">
        <f t="shared" si="37"/>
        <v>0</v>
      </c>
      <c r="S136" s="129" t="str">
        <f t="shared" si="38"/>
        <v/>
      </c>
      <c r="T136" s="129">
        <f t="shared" si="36"/>
        <v>1</v>
      </c>
      <c r="U136" s="129">
        <f t="shared" ref="U136:U137" si="39">IF(E136="",1,IF(AND(E136="〇〇(合意形成対象者名に書き換え)",COUNTA($F136:$H136)=0),1,IF(AND(E136&lt;&gt;"〇〇(合意形成対象者名に書き換え)",COUNTA($F136:$H136)=3),1,0)))</f>
        <v>1</v>
      </c>
      <c r="V136" s="129" t="str" cm="1">
        <f t="array" ref="V136">_xlfn.IFS(T136=4,"A",T136=3,"B",T136=2,"C",T136=1,"D")</f>
        <v>D</v>
      </c>
      <c r="W136" s="175"/>
    </row>
    <row r="137" spans="1:23" customFormat="1" ht="6" customHeight="1">
      <c r="J137" s="2"/>
      <c r="K137" s="2"/>
      <c r="L137" s="2"/>
      <c r="R137" s="129">
        <f t="shared" si="37"/>
        <v>0</v>
      </c>
      <c r="S137" s="129" t="str">
        <f t="shared" si="38"/>
        <v/>
      </c>
      <c r="T137" s="129">
        <f t="shared" si="36"/>
        <v>1</v>
      </c>
      <c r="U137" s="129">
        <f t="shared" si="39"/>
        <v>1</v>
      </c>
      <c r="V137" s="129" t="str" cm="1">
        <f t="array" ref="V137">_xlfn.IFS(T137=4,"A",T137=3,"B",T137=2,"C",T137=1,"D")</f>
        <v>D</v>
      </c>
      <c r="W137" s="175"/>
    </row>
    <row r="138" spans="1:23" customFormat="1" ht="103.5" customHeight="1">
      <c r="C138" s="78"/>
      <c r="D138" s="79"/>
      <c r="E138" s="71" t="s">
        <v>236</v>
      </c>
      <c r="F138" s="1452"/>
      <c r="G138" s="1452"/>
      <c r="H138" s="1452"/>
      <c r="I138" s="80" t="s">
        <v>132</v>
      </c>
      <c r="J138" s="80"/>
    </row>
    <row r="139" spans="1:23" customFormat="1" ht="146.25" customHeight="1">
      <c r="C139" s="75"/>
      <c r="D139" s="68"/>
      <c r="E139" s="71" t="s">
        <v>235</v>
      </c>
      <c r="F139" s="1452"/>
      <c r="G139" s="1452"/>
      <c r="H139" s="1452"/>
      <c r="J139" s="2"/>
      <c r="K139" s="2"/>
      <c r="L139" s="2"/>
    </row>
    <row r="140" spans="1:23" customFormat="1" ht="13.5" customHeight="1" thickBot="1">
      <c r="A140" s="81"/>
      <c r="B140" s="81"/>
      <c r="C140" s="81"/>
      <c r="D140" s="81"/>
      <c r="E140" s="81"/>
      <c r="F140" s="81"/>
      <c r="G140" s="81"/>
      <c r="H140" s="81"/>
      <c r="I140" s="81"/>
      <c r="J140" s="82"/>
      <c r="K140" s="2"/>
      <c r="L140" s="2"/>
    </row>
    <row r="141" spans="1:23" customFormat="1" ht="13.5" customHeight="1">
      <c r="J141" s="2"/>
      <c r="K141" s="2"/>
      <c r="L141" s="2"/>
    </row>
    <row r="142" spans="1:23" customFormat="1" ht="15" customHeight="1">
      <c r="B142" s="10"/>
      <c r="C142" s="5"/>
      <c r="D142" s="5"/>
      <c r="E142" s="5"/>
      <c r="F142" s="5"/>
      <c r="G142" s="5"/>
      <c r="H142" s="5"/>
      <c r="I142" s="6"/>
      <c r="R142" s="11" t="str">
        <f>D143</f>
        <v>(選択してください)</v>
      </c>
    </row>
    <row r="143" spans="1:23" customFormat="1">
      <c r="B143" s="7"/>
      <c r="C143" s="77" t="str">
        <f ca="1">IFERROR(OFFSET('4.2民生電力需要量'!$C$8,MATCH(D143,'4.2民生電力需要量'!$E$9:$E$49,0),0),"")</f>
        <v/>
      </c>
      <c r="D143" s="94" t="s">
        <v>130</v>
      </c>
      <c r="E143" s="72" t="s">
        <v>131</v>
      </c>
      <c r="F143" s="1451" t="str">
        <f ca="1">IFERROR(OFFSET('4.2民生電力需要量'!$G$1,MATCH($D143,'4.2民生電力需要量'!$E:$E,0)-1,0),"")</f>
        <v/>
      </c>
      <c r="G143" s="1451"/>
      <c r="H143" s="1451"/>
      <c r="I143" s="8"/>
      <c r="R143" s="255" t="str">
        <f ca="1">IFERROR(OFFSET('4.2民生電力需要量'!$G$1,MATCH($D143,'4.2民生電力需要量'!$E:$E,0)-1,0),"")</f>
        <v/>
      </c>
      <c r="S143" s="515"/>
      <c r="T143" s="515"/>
      <c r="U143" s="515"/>
      <c r="V143" s="515"/>
      <c r="W143" s="175">
        <f ca="1">(F143=R143)*1</f>
        <v>1</v>
      </c>
    </row>
    <row r="144" spans="1:23" customFormat="1">
      <c r="B144" s="7"/>
      <c r="C144" s="915"/>
      <c r="D144" s="97"/>
      <c r="E144" s="72" t="s">
        <v>612</v>
      </c>
      <c r="F144" s="1447" t="str">
        <f ca="1">IFERROR(OFFSET('4.2民生電力需要量'!$L$1,MATCH($D143,'4.2民生電力需要量'!$E:$E,0)-1,0),"")</f>
        <v/>
      </c>
      <c r="G144" s="1448"/>
      <c r="H144" s="1449"/>
      <c r="I144" s="8"/>
      <c r="R144" s="255" t="str">
        <f ca="1">IFERROR(OFFSET('4.2民生電力需要量'!$L$1,MATCH($D143,'4.2民生電力需要量'!$E:$E,0)-1,0),"")</f>
        <v/>
      </c>
      <c r="S144" s="515"/>
      <c r="T144" s="515"/>
      <c r="U144" s="515"/>
      <c r="V144" s="515"/>
      <c r="W144" s="175">
        <f ca="1">(F144=R144)*1</f>
        <v>1</v>
      </c>
    </row>
    <row r="145" spans="1:23" customFormat="1">
      <c r="B145" s="7"/>
      <c r="C145" s="915"/>
      <c r="D145" s="97"/>
      <c r="E145" s="72" t="s">
        <v>613</v>
      </c>
      <c r="F145" s="1456"/>
      <c r="G145" s="1457"/>
      <c r="H145" s="1458"/>
      <c r="I145" s="8"/>
      <c r="R145" s="320"/>
      <c r="S145" s="515"/>
      <c r="T145" s="515"/>
      <c r="U145" s="515"/>
      <c r="V145" s="515"/>
      <c r="W145" s="515"/>
    </row>
    <row r="146" spans="1:23" customFormat="1">
      <c r="B146" s="7"/>
      <c r="C146" s="74"/>
      <c r="D146" s="66"/>
      <c r="E146" s="72" t="s">
        <v>220</v>
      </c>
      <c r="F146" s="1450" t="str">
        <f ca="1">IFERROR(OFFSET('4.2民生電力需要量'!$I$1,MATCH($D143,'4.2民生電力需要量'!$E:$E,0)-1,0),"")</f>
        <v/>
      </c>
      <c r="G146" s="1450"/>
      <c r="H146" s="1450"/>
      <c r="I146" s="8"/>
      <c r="R146" s="175" t="str">
        <f ca="1">IFERROR(OFFSET('4.2民生電力需要量'!$I$1,MATCH($D143,'4.2民生電力需要量'!$E:$E,0)-1,0),"")</f>
        <v/>
      </c>
      <c r="S146" s="515"/>
      <c r="T146" s="515"/>
      <c r="U146" s="515"/>
      <c r="V146" s="515"/>
      <c r="W146" s="175">
        <f t="shared" ref="W146:W147" ca="1" si="40">(F146=R146)*1</f>
        <v>1</v>
      </c>
    </row>
    <row r="147" spans="1:23" customFormat="1">
      <c r="B147" s="7"/>
      <c r="C147" s="74"/>
      <c r="D147" s="66"/>
      <c r="E147" s="72" t="s">
        <v>175</v>
      </c>
      <c r="F147" s="1453" t="str">
        <f>_xlfn.IFNA(R147,"")</f>
        <v/>
      </c>
      <c r="G147" s="1454"/>
      <c r="H147" s="1455"/>
      <c r="I147" s="8"/>
      <c r="R147" s="129" t="str">
        <f>IF(OR(COUNTIF($E149:$E154,"&lt;&gt;〇〇(合意形成対象者名に書き換え)")=3,COUNTIF($E149:$E154,"")&gt;3),"",IF(PRODUCT($U149:$U154)=1,V149,""))</f>
        <v/>
      </c>
      <c r="S147" s="515"/>
      <c r="T147" s="515"/>
      <c r="U147" s="515"/>
      <c r="V147" s="515"/>
      <c r="W147" s="175">
        <f t="shared" si="40"/>
        <v>1</v>
      </c>
    </row>
    <row r="148" spans="1:23" ht="63.75" customHeight="1">
      <c r="B148" s="95"/>
      <c r="C148" s="96"/>
      <c r="D148" s="97"/>
      <c r="E148" s="372"/>
      <c r="F148" s="313" t="s">
        <v>281</v>
      </c>
      <c r="G148" s="313" t="s">
        <v>282</v>
      </c>
      <c r="H148" s="313" t="s">
        <v>279</v>
      </c>
      <c r="I148" s="98"/>
      <c r="J148" s="11"/>
      <c r="R148" s="126" t="s">
        <v>270</v>
      </c>
      <c r="S148" s="126" t="s">
        <v>426</v>
      </c>
      <c r="T148" s="129" t="s">
        <v>402</v>
      </c>
      <c r="U148" s="129" t="s">
        <v>430</v>
      </c>
      <c r="V148" s="126" t="s">
        <v>425</v>
      </c>
      <c r="W148" s="255"/>
    </row>
    <row r="149" spans="1:23" hidden="1">
      <c r="B149" s="95"/>
      <c r="C149" s="96"/>
      <c r="D149" s="97"/>
      <c r="E149" s="442"/>
      <c r="F149" s="443"/>
      <c r="G149" s="439"/>
      <c r="H149" s="439"/>
      <c r="I149" s="98"/>
      <c r="J149" s="11"/>
      <c r="R149" s="129">
        <f>IF(AND(F149="実施済",G149="実施済",H149="完了"),3,0)</f>
        <v>0</v>
      </c>
      <c r="S149" s="129" t="str">
        <f>IF(OR(E149="〇〇(合意形成対象者名に書き換え)",E149=""),"",R149)</f>
        <v/>
      </c>
      <c r="T149" s="129">
        <f t="shared" ref="T149:T154" si="41">MIN($S$149:$S$154)+1</f>
        <v>1</v>
      </c>
      <c r="U149" s="129">
        <f>IF(E149="",1,IF(AND(E149="〇〇(合意形成対象者名に書き換え)",COUNTA($F149:$H149)=0),1,IF(AND(E149&lt;&gt;"〇〇(合意形成対象者名に書き換え)",COUNTA($F149:$H149)=3),1,0)))</f>
        <v>1</v>
      </c>
      <c r="V149" s="129" t="str" cm="1">
        <f t="array" ref="V149">_xlfn.IFS(T149=4,"A",T149=3,"B",T149=2,"C",T149=1,"D")</f>
        <v>D</v>
      </c>
      <c r="W149" s="255"/>
    </row>
    <row r="150" spans="1:23">
      <c r="B150" s="95"/>
      <c r="C150" s="96"/>
      <c r="D150" s="97"/>
      <c r="E150" s="100" t="s">
        <v>129</v>
      </c>
      <c r="F150" s="446"/>
      <c r="G150" s="441"/>
      <c r="H150" s="441"/>
      <c r="I150" s="98"/>
      <c r="J150" s="11"/>
      <c r="R150" s="129">
        <f t="shared" ref="R150:R154" si="42">IF(AND(F150="実施済",G150="実施済",H150="完了"),3,0)</f>
        <v>0</v>
      </c>
      <c r="S150" s="129" t="str">
        <f t="shared" ref="S150:S154" si="43">IF(OR(E150="〇〇(合意形成対象者名に書き換え)",E150=""),"",R150)</f>
        <v/>
      </c>
      <c r="T150" s="129">
        <f t="shared" si="41"/>
        <v>1</v>
      </c>
      <c r="U150" s="129">
        <f>IF(E150="",1,IF(AND(E150="〇〇(合意形成対象者名に書き換え)",COUNTA($F150:$H150)=0),1,IF(AND(E150&lt;&gt;"〇〇(合意形成対象者名に書き換え)",COUNTA($F150:$H150)=3),1,0)))</f>
        <v>1</v>
      </c>
      <c r="V150" s="129" t="str" cm="1">
        <f t="array" ref="V150">_xlfn.IFS(T150=4,"A",T150=3,"B",T150=2,"C",T150=1,"D")</f>
        <v>D</v>
      </c>
      <c r="W150" s="255"/>
    </row>
    <row r="151" spans="1:23">
      <c r="B151" s="95"/>
      <c r="C151" s="96"/>
      <c r="D151" s="97"/>
      <c r="E151" s="100" t="s">
        <v>129</v>
      </c>
      <c r="F151" s="446"/>
      <c r="G151" s="441"/>
      <c r="H151" s="441"/>
      <c r="I151" s="98"/>
      <c r="J151" s="11"/>
      <c r="R151" s="129">
        <f t="shared" si="42"/>
        <v>0</v>
      </c>
      <c r="S151" s="129" t="str">
        <f t="shared" si="43"/>
        <v/>
      </c>
      <c r="T151" s="129">
        <f t="shared" si="41"/>
        <v>1</v>
      </c>
      <c r="U151" s="129">
        <f>IF(E151="",1,IF(AND(E151="〇〇(合意形成対象者名に書き換え)",COUNTA($F151:$H151)=0),1,IF(AND(E151&lt;&gt;"〇〇(合意形成対象者名に書き換え)",COUNTA($F151:$H151)=3),1,0)))</f>
        <v>1</v>
      </c>
      <c r="V151" s="129" t="str" cm="1">
        <f t="array" ref="V151">_xlfn.IFS(T151=4,"A",T151=3,"B",T151=2,"C",T151=1,"D")</f>
        <v>D</v>
      </c>
      <c r="W151" s="255"/>
    </row>
    <row r="152" spans="1:23" s="99" customFormat="1">
      <c r="A152" s="11"/>
      <c r="B152" s="95"/>
      <c r="C152" s="96"/>
      <c r="D152" s="97"/>
      <c r="E152" s="100" t="s">
        <v>129</v>
      </c>
      <c r="F152" s="446"/>
      <c r="G152" s="441"/>
      <c r="H152" s="441"/>
      <c r="I152" s="98"/>
      <c r="J152" s="11"/>
      <c r="M152" s="11"/>
      <c r="N152" s="11"/>
      <c r="O152" s="11"/>
      <c r="P152" s="11"/>
      <c r="Q152" s="11"/>
      <c r="R152" s="129">
        <f t="shared" si="42"/>
        <v>0</v>
      </c>
      <c r="S152" s="129" t="str">
        <f t="shared" si="43"/>
        <v/>
      </c>
      <c r="T152" s="129">
        <f t="shared" si="41"/>
        <v>1</v>
      </c>
      <c r="U152" s="129">
        <f>IF(E152="",1,IF(AND(E152="〇〇(合意形成対象者名に書き換え)",COUNTA($F152:$H152)=0),1,IF(AND(E152&lt;&gt;"〇〇(合意形成対象者名に書き換え)",COUNTA($F152:$H152)=3),1,0)))</f>
        <v>1</v>
      </c>
      <c r="V152" s="129" t="str" cm="1">
        <f t="array" ref="V152">_xlfn.IFS(T152=4,"A",T152=3,"B",T152=2,"C",T152=1,"D")</f>
        <v>D</v>
      </c>
      <c r="W152" s="129"/>
    </row>
    <row r="153" spans="1:23" customFormat="1" ht="7.5" customHeight="1">
      <c r="B153" s="65"/>
      <c r="C153" s="4"/>
      <c r="D153" s="4"/>
      <c r="E153" s="4"/>
      <c r="F153" s="4"/>
      <c r="G153" s="4"/>
      <c r="H153" s="4"/>
      <c r="I153" s="9"/>
      <c r="J153" s="2"/>
      <c r="K153" s="2"/>
      <c r="L153" s="2"/>
      <c r="R153" s="129">
        <f t="shared" si="42"/>
        <v>0</v>
      </c>
      <c r="S153" s="129" t="str">
        <f t="shared" si="43"/>
        <v/>
      </c>
      <c r="T153" s="129">
        <f t="shared" si="41"/>
        <v>1</v>
      </c>
      <c r="U153" s="129">
        <f t="shared" ref="U153:U154" si="44">IF(E153="",1,IF(AND(E153="〇〇(合意形成対象者名に書き換え)",COUNTA($F153:$H153)=0),1,IF(AND(E153&lt;&gt;"〇〇(合意形成対象者名に書き換え)",COUNTA($F153:$H153)=3),1,0)))</f>
        <v>1</v>
      </c>
      <c r="V153" s="129" t="str" cm="1">
        <f t="array" ref="V153">_xlfn.IFS(T153=4,"A",T153=3,"B",T153=2,"C",T153=1,"D")</f>
        <v>D</v>
      </c>
      <c r="W153" s="175"/>
    </row>
    <row r="154" spans="1:23" customFormat="1" ht="6" customHeight="1">
      <c r="J154" s="2"/>
      <c r="K154" s="2"/>
      <c r="L154" s="2"/>
      <c r="R154" s="129">
        <f t="shared" si="42"/>
        <v>0</v>
      </c>
      <c r="S154" s="129" t="str">
        <f t="shared" si="43"/>
        <v/>
      </c>
      <c r="T154" s="129">
        <f t="shared" si="41"/>
        <v>1</v>
      </c>
      <c r="U154" s="129">
        <f t="shared" si="44"/>
        <v>1</v>
      </c>
      <c r="V154" s="129" t="str" cm="1">
        <f t="array" ref="V154">_xlfn.IFS(T154=4,"A",T154=3,"B",T154=2,"C",T154=1,"D")</f>
        <v>D</v>
      </c>
      <c r="W154" s="175"/>
    </row>
    <row r="155" spans="1:23" customFormat="1" ht="103.5" customHeight="1">
      <c r="C155" s="78"/>
      <c r="D155" s="79"/>
      <c r="E155" s="71" t="s">
        <v>236</v>
      </c>
      <c r="F155" s="1452"/>
      <c r="G155" s="1452"/>
      <c r="H155" s="1452"/>
      <c r="I155" s="80" t="s">
        <v>132</v>
      </c>
      <c r="J155" s="80"/>
    </row>
    <row r="156" spans="1:23" customFormat="1" ht="146.25" customHeight="1">
      <c r="C156" s="75"/>
      <c r="D156" s="68"/>
      <c r="E156" s="71" t="s">
        <v>235</v>
      </c>
      <c r="F156" s="1452"/>
      <c r="G156" s="1452"/>
      <c r="H156" s="1452"/>
      <c r="J156" s="2"/>
      <c r="K156" s="2"/>
      <c r="L156" s="2"/>
    </row>
    <row r="157" spans="1:23" customFormat="1" ht="13.5" customHeight="1" thickBot="1">
      <c r="A157" s="81"/>
      <c r="B157" s="81"/>
      <c r="C157" s="81"/>
      <c r="D157" s="81"/>
      <c r="E157" s="81"/>
      <c r="F157" s="81"/>
      <c r="G157" s="81"/>
      <c r="H157" s="81"/>
      <c r="I157" s="81"/>
      <c r="J157" s="82"/>
      <c r="K157" s="2"/>
      <c r="L157" s="2"/>
    </row>
    <row r="158" spans="1:23" customFormat="1" ht="13.5" customHeight="1">
      <c r="J158" s="2"/>
      <c r="K158" s="2"/>
      <c r="L158" s="2"/>
    </row>
    <row r="159" spans="1:23" customFormat="1" ht="15" customHeight="1">
      <c r="B159" s="10"/>
      <c r="C159" s="5"/>
      <c r="D159" s="5"/>
      <c r="E159" s="5"/>
      <c r="F159" s="5"/>
      <c r="G159" s="5"/>
      <c r="H159" s="5"/>
      <c r="I159" s="6"/>
      <c r="R159" s="11" t="str">
        <f>D160</f>
        <v>(選択してください)</v>
      </c>
    </row>
    <row r="160" spans="1:23" customFormat="1">
      <c r="B160" s="7"/>
      <c r="C160" s="77" t="str">
        <f ca="1">IFERROR(OFFSET('4.2民生電力需要量'!$C$8,MATCH(D160,'4.2民生電力需要量'!$E$9:$E$49,0),0),"")</f>
        <v/>
      </c>
      <c r="D160" s="94" t="s">
        <v>130</v>
      </c>
      <c r="E160" s="72" t="s">
        <v>131</v>
      </c>
      <c r="F160" s="1451" t="str">
        <f ca="1">IFERROR(OFFSET('4.2民生電力需要量'!$G$1,MATCH($D160,'4.2民生電力需要量'!$E:$E,0)-1,0),"")</f>
        <v/>
      </c>
      <c r="G160" s="1451"/>
      <c r="H160" s="1451"/>
      <c r="I160" s="8"/>
      <c r="R160" s="255" t="str">
        <f ca="1">IFERROR(OFFSET('4.2民生電力需要量'!$G$1,MATCH($D160,'4.2民生電力需要量'!$E:$E,0)-1,0),"")</f>
        <v/>
      </c>
      <c r="S160" s="515"/>
      <c r="T160" s="515"/>
      <c r="U160" s="515"/>
      <c r="V160" s="515"/>
      <c r="W160" s="175">
        <f ca="1">(F160=R160)*1</f>
        <v>1</v>
      </c>
    </row>
    <row r="161" spans="1:23" customFormat="1">
      <c r="B161" s="7"/>
      <c r="C161" s="915"/>
      <c r="D161" s="97"/>
      <c r="E161" s="72" t="s">
        <v>612</v>
      </c>
      <c r="F161" s="1447" t="str">
        <f ca="1">IFERROR(OFFSET('4.2民生電力需要量'!$L$1,MATCH($D160,'4.2民生電力需要量'!$E:$E,0)-1,0),"")</f>
        <v/>
      </c>
      <c r="G161" s="1448"/>
      <c r="H161" s="1449"/>
      <c r="I161" s="8"/>
      <c r="R161" s="255" t="str">
        <f ca="1">IFERROR(OFFSET('4.2民生電力需要量'!$L$1,MATCH($D160,'4.2民生電力需要量'!$E:$E,0)-1,0),"")</f>
        <v/>
      </c>
      <c r="S161" s="515"/>
      <c r="T161" s="515"/>
      <c r="U161" s="515"/>
      <c r="V161" s="515"/>
      <c r="W161" s="175">
        <f ca="1">(F161=R161)*1</f>
        <v>1</v>
      </c>
    </row>
    <row r="162" spans="1:23" customFormat="1">
      <c r="B162" s="7"/>
      <c r="C162" s="915"/>
      <c r="D162" s="97"/>
      <c r="E162" s="72" t="s">
        <v>613</v>
      </c>
      <c r="F162" s="1456"/>
      <c r="G162" s="1457"/>
      <c r="H162" s="1458"/>
      <c r="I162" s="8"/>
      <c r="R162" s="320"/>
      <c r="S162" s="515"/>
      <c r="T162" s="515"/>
      <c r="U162" s="515"/>
      <c r="V162" s="515"/>
      <c r="W162" s="515"/>
    </row>
    <row r="163" spans="1:23" customFormat="1">
      <c r="B163" s="7"/>
      <c r="C163" s="74"/>
      <c r="D163" s="66"/>
      <c r="E163" s="72" t="s">
        <v>220</v>
      </c>
      <c r="F163" s="1450" t="str">
        <f ca="1">IFERROR(OFFSET('4.2民生電力需要量'!$I$1,MATCH($D160,'4.2民生電力需要量'!$E:$E,0)-1,0),"")</f>
        <v/>
      </c>
      <c r="G163" s="1450"/>
      <c r="H163" s="1450"/>
      <c r="I163" s="8"/>
      <c r="R163" s="175" t="str">
        <f ca="1">IFERROR(OFFSET('4.2民生電力需要量'!$I$1,MATCH($D160,'4.2民生電力需要量'!$E:$E,0)-1,0),"")</f>
        <v/>
      </c>
      <c r="S163" s="515"/>
      <c r="T163" s="515"/>
      <c r="U163" s="515"/>
      <c r="V163" s="515"/>
      <c r="W163" s="175">
        <f t="shared" ref="W163:W164" ca="1" si="45">(F163=R163)*1</f>
        <v>1</v>
      </c>
    </row>
    <row r="164" spans="1:23" customFormat="1">
      <c r="B164" s="7"/>
      <c r="C164" s="74"/>
      <c r="D164" s="66"/>
      <c r="E164" s="72" t="s">
        <v>175</v>
      </c>
      <c r="F164" s="1453" t="str">
        <f>_xlfn.IFNA(R164,"")</f>
        <v/>
      </c>
      <c r="G164" s="1454"/>
      <c r="H164" s="1455"/>
      <c r="I164" s="8"/>
      <c r="R164" s="129" t="str">
        <f>IF(OR(COUNTIF($E166:$E171,"&lt;&gt;〇〇(合意形成対象者名に書き換え)")=3,COUNTIF($E166:$E171,"")&gt;3),"",IF(PRODUCT($U166:$U171)=1,V166,""))</f>
        <v/>
      </c>
      <c r="S164" s="515"/>
      <c r="T164" s="515"/>
      <c r="U164" s="515"/>
      <c r="V164" s="515"/>
      <c r="W164" s="175">
        <f t="shared" si="45"/>
        <v>1</v>
      </c>
    </row>
    <row r="165" spans="1:23" ht="63.75" customHeight="1">
      <c r="B165" s="95"/>
      <c r="C165" s="96"/>
      <c r="D165" s="97"/>
      <c r="E165" s="372"/>
      <c r="F165" s="313" t="s">
        <v>281</v>
      </c>
      <c r="G165" s="313" t="s">
        <v>282</v>
      </c>
      <c r="H165" s="313" t="s">
        <v>279</v>
      </c>
      <c r="I165" s="98"/>
      <c r="J165" s="11"/>
      <c r="R165" s="126" t="s">
        <v>270</v>
      </c>
      <c r="S165" s="126" t="s">
        <v>426</v>
      </c>
      <c r="T165" s="129" t="s">
        <v>402</v>
      </c>
      <c r="U165" s="129" t="s">
        <v>430</v>
      </c>
      <c r="V165" s="126" t="s">
        <v>425</v>
      </c>
      <c r="W165" s="255"/>
    </row>
    <row r="166" spans="1:23" hidden="1">
      <c r="B166" s="95"/>
      <c r="C166" s="96"/>
      <c r="D166" s="97"/>
      <c r="E166" s="442"/>
      <c r="F166" s="443"/>
      <c r="G166" s="439"/>
      <c r="H166" s="439"/>
      <c r="I166" s="98"/>
      <c r="J166" s="11"/>
      <c r="R166" s="129">
        <f>IF(AND(F166="実施済",G166="実施済",H166="完了"),3,0)</f>
        <v>0</v>
      </c>
      <c r="S166" s="129" t="str">
        <f>IF(OR(E166="〇〇(合意形成対象者名に書き換え)",E166=""),"",R166)</f>
        <v/>
      </c>
      <c r="T166" s="129">
        <f t="shared" ref="T166:T171" si="46">MIN($S$166:$S$171)+1</f>
        <v>1</v>
      </c>
      <c r="U166" s="129">
        <f>IF(E166="",1,IF(AND(E166="〇〇(合意形成対象者名に書き換え)",COUNTA($F166:$H166)=0),1,IF(AND(E166&lt;&gt;"〇〇(合意形成対象者名に書き換え)",COUNTA($F166:$H166)=3),1,0)))</f>
        <v>1</v>
      </c>
      <c r="V166" s="129" t="str" cm="1">
        <f t="array" ref="V166">_xlfn.IFS(T166=4,"A",T166=3,"B",T166=2,"C",T166=1,"D")</f>
        <v>D</v>
      </c>
      <c r="W166" s="255"/>
    </row>
    <row r="167" spans="1:23">
      <c r="B167" s="95"/>
      <c r="C167" s="96"/>
      <c r="D167" s="97"/>
      <c r="E167" s="100" t="s">
        <v>129</v>
      </c>
      <c r="F167" s="446"/>
      <c r="G167" s="441"/>
      <c r="H167" s="441"/>
      <c r="I167" s="98"/>
      <c r="J167" s="11"/>
      <c r="R167" s="129">
        <f t="shared" ref="R167:R171" si="47">IF(AND(F167="実施済",G167="実施済",H167="完了"),3,0)</f>
        <v>0</v>
      </c>
      <c r="S167" s="129" t="str">
        <f t="shared" ref="S167:S171" si="48">IF(OR(E167="〇〇(合意形成対象者名に書き換え)",E167=""),"",R167)</f>
        <v/>
      </c>
      <c r="T167" s="129">
        <f t="shared" si="46"/>
        <v>1</v>
      </c>
      <c r="U167" s="129">
        <f>IF(E167="",1,IF(AND(E167="〇〇(合意形成対象者名に書き換え)",COUNTA($F167:$H167)=0),1,IF(AND(E167&lt;&gt;"〇〇(合意形成対象者名に書き換え)",COUNTA($F167:$H167)=3),1,0)))</f>
        <v>1</v>
      </c>
      <c r="V167" s="129" t="str" cm="1">
        <f t="array" ref="V167">_xlfn.IFS(T167=4,"A",T167=3,"B",T167=2,"C",T167=1,"D")</f>
        <v>D</v>
      </c>
      <c r="W167" s="255"/>
    </row>
    <row r="168" spans="1:23">
      <c r="B168" s="95"/>
      <c r="C168" s="96"/>
      <c r="D168" s="97"/>
      <c r="E168" s="100" t="s">
        <v>129</v>
      </c>
      <c r="F168" s="446"/>
      <c r="G168" s="441"/>
      <c r="H168" s="441"/>
      <c r="I168" s="98"/>
      <c r="J168" s="11"/>
      <c r="R168" s="129">
        <f t="shared" si="47"/>
        <v>0</v>
      </c>
      <c r="S168" s="129" t="str">
        <f t="shared" si="48"/>
        <v/>
      </c>
      <c r="T168" s="129">
        <f t="shared" si="46"/>
        <v>1</v>
      </c>
      <c r="U168" s="129">
        <f>IF(E168="",1,IF(AND(E168="〇〇(合意形成対象者名に書き換え)",COUNTA($F168:$H168)=0),1,IF(AND(E168&lt;&gt;"〇〇(合意形成対象者名に書き換え)",COUNTA($F168:$H168)=3),1,0)))</f>
        <v>1</v>
      </c>
      <c r="V168" s="129" t="str" cm="1">
        <f t="array" ref="V168">_xlfn.IFS(T168=4,"A",T168=3,"B",T168=2,"C",T168=1,"D")</f>
        <v>D</v>
      </c>
      <c r="W168" s="255"/>
    </row>
    <row r="169" spans="1:23" s="99" customFormat="1">
      <c r="A169" s="11"/>
      <c r="B169" s="95"/>
      <c r="C169" s="96"/>
      <c r="D169" s="97"/>
      <c r="E169" s="100" t="s">
        <v>129</v>
      </c>
      <c r="F169" s="446"/>
      <c r="G169" s="441"/>
      <c r="H169" s="441"/>
      <c r="I169" s="98"/>
      <c r="J169" s="11"/>
      <c r="M169" s="11"/>
      <c r="N169" s="11"/>
      <c r="O169" s="11"/>
      <c r="P169" s="11"/>
      <c r="Q169" s="11"/>
      <c r="R169" s="129">
        <f t="shared" si="47"/>
        <v>0</v>
      </c>
      <c r="S169" s="129" t="str">
        <f t="shared" si="48"/>
        <v/>
      </c>
      <c r="T169" s="129">
        <f t="shared" si="46"/>
        <v>1</v>
      </c>
      <c r="U169" s="129">
        <f>IF(E169="",1,IF(AND(E169="〇〇(合意形成対象者名に書き換え)",COUNTA($F169:$H169)=0),1,IF(AND(E169&lt;&gt;"〇〇(合意形成対象者名に書き換え)",COUNTA($F169:$H169)=3),1,0)))</f>
        <v>1</v>
      </c>
      <c r="V169" s="129" t="str" cm="1">
        <f t="array" ref="V169">_xlfn.IFS(T169=4,"A",T169=3,"B",T169=2,"C",T169=1,"D")</f>
        <v>D</v>
      </c>
      <c r="W169" s="129"/>
    </row>
    <row r="170" spans="1:23" customFormat="1" ht="7.5" customHeight="1">
      <c r="B170" s="65"/>
      <c r="C170" s="4"/>
      <c r="D170" s="4"/>
      <c r="E170" s="4"/>
      <c r="F170" s="4"/>
      <c r="G170" s="4"/>
      <c r="H170" s="4"/>
      <c r="I170" s="9"/>
      <c r="J170" s="2"/>
      <c r="K170" s="2"/>
      <c r="L170" s="2"/>
      <c r="R170" s="129">
        <f t="shared" si="47"/>
        <v>0</v>
      </c>
      <c r="S170" s="129" t="str">
        <f t="shared" si="48"/>
        <v/>
      </c>
      <c r="T170" s="129">
        <f t="shared" si="46"/>
        <v>1</v>
      </c>
      <c r="U170" s="129">
        <f t="shared" ref="U170:U171" si="49">IF(E170="",1,IF(AND(E170="〇〇(合意形成対象者名に書き換え)",COUNTA($F170:$H170)=0),1,IF(AND(E170&lt;&gt;"〇〇(合意形成対象者名に書き換え)",COUNTA($F170:$H170)=3),1,0)))</f>
        <v>1</v>
      </c>
      <c r="V170" s="129" t="str" cm="1">
        <f t="array" ref="V170">_xlfn.IFS(T170=4,"A",T170=3,"B",T170=2,"C",T170=1,"D")</f>
        <v>D</v>
      </c>
      <c r="W170" s="175"/>
    </row>
    <row r="171" spans="1:23" customFormat="1" ht="6" customHeight="1">
      <c r="J171" s="2"/>
      <c r="K171" s="2"/>
      <c r="L171" s="2"/>
      <c r="R171" s="129">
        <f t="shared" si="47"/>
        <v>0</v>
      </c>
      <c r="S171" s="129" t="str">
        <f t="shared" si="48"/>
        <v/>
      </c>
      <c r="T171" s="129">
        <f t="shared" si="46"/>
        <v>1</v>
      </c>
      <c r="U171" s="129">
        <f t="shared" si="49"/>
        <v>1</v>
      </c>
      <c r="V171" s="129" t="str" cm="1">
        <f t="array" ref="V171">_xlfn.IFS(T171=4,"A",T171=3,"B",T171=2,"C",T171=1,"D")</f>
        <v>D</v>
      </c>
      <c r="W171" s="175"/>
    </row>
    <row r="172" spans="1:23" customFormat="1" ht="103.5" customHeight="1">
      <c r="C172" s="78"/>
      <c r="D172" s="79"/>
      <c r="E172" s="71" t="s">
        <v>236</v>
      </c>
      <c r="F172" s="1452"/>
      <c r="G172" s="1452"/>
      <c r="H172" s="1452"/>
      <c r="I172" s="80" t="s">
        <v>132</v>
      </c>
      <c r="J172" s="80"/>
    </row>
    <row r="173" spans="1:23" customFormat="1" ht="146.25" customHeight="1">
      <c r="C173" s="75"/>
      <c r="D173" s="68"/>
      <c r="E173" s="71" t="s">
        <v>235</v>
      </c>
      <c r="F173" s="1452"/>
      <c r="G173" s="1452"/>
      <c r="H173" s="1452"/>
      <c r="J173" s="2"/>
      <c r="K173" s="2"/>
      <c r="L173" s="2"/>
    </row>
    <row r="174" spans="1:23" customFormat="1" ht="13.5" customHeight="1" thickBot="1">
      <c r="A174" s="81"/>
      <c r="B174" s="81"/>
      <c r="C174" s="81"/>
      <c r="D174" s="81"/>
      <c r="E174" s="81"/>
      <c r="F174" s="81"/>
      <c r="G174" s="81"/>
      <c r="H174" s="81"/>
      <c r="I174" s="81"/>
      <c r="J174" s="82"/>
      <c r="K174" s="2"/>
      <c r="L174" s="2"/>
    </row>
    <row r="175" spans="1:23" customFormat="1" ht="13.5" customHeight="1">
      <c r="J175" s="2"/>
      <c r="K175" s="2"/>
      <c r="L175" s="2"/>
    </row>
    <row r="176" spans="1:23" customFormat="1" ht="15" customHeight="1">
      <c r="B176" s="10"/>
      <c r="C176" s="5"/>
      <c r="D176" s="5"/>
      <c r="E176" s="5"/>
      <c r="F176" s="5"/>
      <c r="G176" s="5"/>
      <c r="H176" s="5"/>
      <c r="I176" s="6"/>
      <c r="R176" s="11" t="str">
        <f>D177</f>
        <v>(選択してください)</v>
      </c>
    </row>
    <row r="177" spans="1:23" customFormat="1">
      <c r="B177" s="7"/>
      <c r="C177" s="77" t="str">
        <f ca="1">IFERROR(OFFSET('4.2民生電力需要量'!$C$8,MATCH(D177,'4.2民生電力需要量'!$E$9:$E$49,0),0),"")</f>
        <v/>
      </c>
      <c r="D177" s="94" t="s">
        <v>130</v>
      </c>
      <c r="E177" s="72" t="s">
        <v>131</v>
      </c>
      <c r="F177" s="1451" t="str">
        <f ca="1">IFERROR(OFFSET('4.2民生電力需要量'!$G$1,MATCH($D177,'4.2民生電力需要量'!$E:$E,0)-1,0),"")</f>
        <v/>
      </c>
      <c r="G177" s="1451"/>
      <c r="H177" s="1451"/>
      <c r="I177" s="8"/>
      <c r="R177" s="255" t="str">
        <f ca="1">IFERROR(OFFSET('4.2民生電力需要量'!$G$1,MATCH($D177,'4.2民生電力需要量'!$E:$E,0)-1,0),"")</f>
        <v/>
      </c>
      <c r="S177" s="515"/>
      <c r="T177" s="515"/>
      <c r="U177" s="515"/>
      <c r="V177" s="515"/>
      <c r="W177" s="175">
        <f ca="1">(F177=R177)*1</f>
        <v>1</v>
      </c>
    </row>
    <row r="178" spans="1:23" customFormat="1">
      <c r="B178" s="7"/>
      <c r="C178" s="915"/>
      <c r="D178" s="97"/>
      <c r="E178" s="72" t="s">
        <v>612</v>
      </c>
      <c r="F178" s="1447" t="str">
        <f ca="1">IFERROR(OFFSET('4.2民生電力需要量'!$L$1,MATCH($D177,'4.2民生電力需要量'!$E:$E,0)-1,0),"")</f>
        <v/>
      </c>
      <c r="G178" s="1448"/>
      <c r="H178" s="1449"/>
      <c r="I178" s="8"/>
      <c r="R178" s="255" t="str">
        <f ca="1">IFERROR(OFFSET('4.2民生電力需要量'!$L$1,MATCH($D177,'4.2民生電力需要量'!$E:$E,0)-1,0),"")</f>
        <v/>
      </c>
      <c r="S178" s="515"/>
      <c r="T178" s="515"/>
      <c r="U178" s="515"/>
      <c r="V178" s="515"/>
      <c r="W178" s="175">
        <f ca="1">(F178=R178)*1</f>
        <v>1</v>
      </c>
    </row>
    <row r="179" spans="1:23" customFormat="1">
      <c r="B179" s="7"/>
      <c r="C179" s="915"/>
      <c r="D179" s="97"/>
      <c r="E179" s="72" t="s">
        <v>613</v>
      </c>
      <c r="F179" s="1456"/>
      <c r="G179" s="1457"/>
      <c r="H179" s="1458"/>
      <c r="I179" s="8"/>
      <c r="R179" s="320"/>
      <c r="S179" s="515"/>
      <c r="T179" s="515"/>
      <c r="U179" s="515"/>
      <c r="V179" s="515"/>
      <c r="W179" s="515"/>
    </row>
    <row r="180" spans="1:23" customFormat="1">
      <c r="B180" s="7"/>
      <c r="C180" s="74"/>
      <c r="D180" s="66"/>
      <c r="E180" s="72" t="s">
        <v>220</v>
      </c>
      <c r="F180" s="1450" t="str">
        <f ca="1">IFERROR(OFFSET('4.2民生電力需要量'!$I$1,MATCH($D177,'4.2民生電力需要量'!$E:$E,0)-1,0),"")</f>
        <v/>
      </c>
      <c r="G180" s="1450"/>
      <c r="H180" s="1450"/>
      <c r="I180" s="8"/>
      <c r="R180" s="175" t="str">
        <f ca="1">IFERROR(OFFSET('4.2民生電力需要量'!$I$1,MATCH($D177,'4.2民生電力需要量'!$E:$E,0)-1,0),"")</f>
        <v/>
      </c>
      <c r="S180" s="515"/>
      <c r="T180" s="515"/>
      <c r="U180" s="515"/>
      <c r="V180" s="515"/>
      <c r="W180" s="175">
        <f t="shared" ref="W180:W181" ca="1" si="50">(F180=R180)*1</f>
        <v>1</v>
      </c>
    </row>
    <row r="181" spans="1:23" customFormat="1">
      <c r="B181" s="7"/>
      <c r="C181" s="74"/>
      <c r="D181" s="66"/>
      <c r="E181" s="72" t="s">
        <v>175</v>
      </c>
      <c r="F181" s="1453" t="str">
        <f>_xlfn.IFNA(R181,"")</f>
        <v/>
      </c>
      <c r="G181" s="1454"/>
      <c r="H181" s="1455"/>
      <c r="I181" s="8"/>
      <c r="R181" s="129" t="str">
        <f>IF(OR(COUNTIF($E183:$E188,"&lt;&gt;〇〇(合意形成対象者名に書き換え)")=3,COUNTIF($E183:$E188,"")&gt;3),"",IF(PRODUCT($U183:$U188)=1,V183,""))</f>
        <v/>
      </c>
      <c r="S181" s="515"/>
      <c r="T181" s="515"/>
      <c r="U181" s="515"/>
      <c r="V181" s="515"/>
      <c r="W181" s="175">
        <f t="shared" si="50"/>
        <v>1</v>
      </c>
    </row>
    <row r="182" spans="1:23" ht="63.75" customHeight="1">
      <c r="B182" s="95"/>
      <c r="C182" s="96"/>
      <c r="D182" s="97"/>
      <c r="E182" s="372"/>
      <c r="F182" s="313" t="s">
        <v>281</v>
      </c>
      <c r="G182" s="313" t="s">
        <v>282</v>
      </c>
      <c r="H182" s="313" t="s">
        <v>279</v>
      </c>
      <c r="I182" s="98"/>
      <c r="J182" s="11"/>
      <c r="R182" s="126" t="s">
        <v>270</v>
      </c>
      <c r="S182" s="126" t="s">
        <v>426</v>
      </c>
      <c r="T182" s="129" t="s">
        <v>402</v>
      </c>
      <c r="U182" s="129" t="s">
        <v>430</v>
      </c>
      <c r="V182" s="126" t="s">
        <v>425</v>
      </c>
      <c r="W182" s="255"/>
    </row>
    <row r="183" spans="1:23" hidden="1">
      <c r="B183" s="95"/>
      <c r="C183" s="96"/>
      <c r="D183" s="97"/>
      <c r="E183" s="442"/>
      <c r="F183" s="443"/>
      <c r="G183" s="439"/>
      <c r="H183" s="439"/>
      <c r="I183" s="98"/>
      <c r="J183" s="11"/>
      <c r="R183" s="129">
        <f>IF(AND(F183="実施済",G183="実施済",H183="完了"),3,0)</f>
        <v>0</v>
      </c>
      <c r="S183" s="129" t="str">
        <f>IF(OR(E183="〇〇(合意形成対象者名に書き換え)",E183=""),"",R183)</f>
        <v/>
      </c>
      <c r="T183" s="129">
        <f t="shared" ref="T183:T188" si="51">MIN($S$183:$S$188)+1</f>
        <v>1</v>
      </c>
      <c r="U183" s="129">
        <f>IF(E183="",1,IF(AND(E183="〇〇(合意形成対象者名に書き換え)",COUNTA($F183:$H183)=0),1,IF(AND(E183&lt;&gt;"〇〇(合意形成対象者名に書き換え)",COUNTA($F183:$H183)=3),1,0)))</f>
        <v>1</v>
      </c>
      <c r="V183" s="129" t="str" cm="1">
        <f t="array" ref="V183">_xlfn.IFS(T183=4,"A",T183=3,"B",T183=2,"C",T183=1,"D")</f>
        <v>D</v>
      </c>
      <c r="W183" s="255"/>
    </row>
    <row r="184" spans="1:23">
      <c r="B184" s="95"/>
      <c r="C184" s="96"/>
      <c r="D184" s="97"/>
      <c r="E184" s="100" t="s">
        <v>129</v>
      </c>
      <c r="F184" s="446"/>
      <c r="G184" s="441"/>
      <c r="H184" s="441"/>
      <c r="I184" s="98"/>
      <c r="J184" s="11"/>
      <c r="R184" s="129">
        <f t="shared" ref="R184:R188" si="52">IF(AND(F184="実施済",G184="実施済",H184="完了"),3,0)</f>
        <v>0</v>
      </c>
      <c r="S184" s="129" t="str">
        <f t="shared" ref="S184:S188" si="53">IF(OR(E184="〇〇(合意形成対象者名に書き換え)",E184=""),"",R184)</f>
        <v/>
      </c>
      <c r="T184" s="129">
        <f t="shared" si="51"/>
        <v>1</v>
      </c>
      <c r="U184" s="129">
        <f>IF(E184="",1,IF(AND(E184="〇〇(合意形成対象者名に書き換え)",COUNTA($F184:$H184)=0),1,IF(AND(E184&lt;&gt;"〇〇(合意形成対象者名に書き換え)",COUNTA($F184:$H184)=3),1,0)))</f>
        <v>1</v>
      </c>
      <c r="V184" s="129" t="str" cm="1">
        <f t="array" ref="V184">_xlfn.IFS(T184=4,"A",T184=3,"B",T184=2,"C",T184=1,"D")</f>
        <v>D</v>
      </c>
      <c r="W184" s="255"/>
    </row>
    <row r="185" spans="1:23">
      <c r="B185" s="95"/>
      <c r="C185" s="96"/>
      <c r="D185" s="97"/>
      <c r="E185" s="100" t="s">
        <v>129</v>
      </c>
      <c r="F185" s="446"/>
      <c r="G185" s="441"/>
      <c r="H185" s="441"/>
      <c r="I185" s="98"/>
      <c r="J185" s="11"/>
      <c r="R185" s="129">
        <f t="shared" si="52"/>
        <v>0</v>
      </c>
      <c r="S185" s="129" t="str">
        <f t="shared" si="53"/>
        <v/>
      </c>
      <c r="T185" s="129">
        <f t="shared" si="51"/>
        <v>1</v>
      </c>
      <c r="U185" s="129">
        <f>IF(E185="",1,IF(AND(E185="〇〇(合意形成対象者名に書き換え)",COUNTA($F185:$H185)=0),1,IF(AND(E185&lt;&gt;"〇〇(合意形成対象者名に書き換え)",COUNTA($F185:$H185)=3),1,0)))</f>
        <v>1</v>
      </c>
      <c r="V185" s="129" t="str" cm="1">
        <f t="array" ref="V185">_xlfn.IFS(T185=4,"A",T185=3,"B",T185=2,"C",T185=1,"D")</f>
        <v>D</v>
      </c>
      <c r="W185" s="255"/>
    </row>
    <row r="186" spans="1:23" s="99" customFormat="1">
      <c r="A186" s="11"/>
      <c r="B186" s="95"/>
      <c r="C186" s="96"/>
      <c r="D186" s="97"/>
      <c r="E186" s="100" t="s">
        <v>129</v>
      </c>
      <c r="F186" s="446"/>
      <c r="G186" s="441"/>
      <c r="H186" s="441"/>
      <c r="I186" s="98"/>
      <c r="J186" s="11"/>
      <c r="M186" s="11"/>
      <c r="N186" s="11"/>
      <c r="O186" s="11"/>
      <c r="P186" s="11"/>
      <c r="Q186" s="11"/>
      <c r="R186" s="129">
        <f t="shared" si="52"/>
        <v>0</v>
      </c>
      <c r="S186" s="129" t="str">
        <f t="shared" si="53"/>
        <v/>
      </c>
      <c r="T186" s="129">
        <f t="shared" si="51"/>
        <v>1</v>
      </c>
      <c r="U186" s="129">
        <f>IF(E186="",1,IF(AND(E186="〇〇(合意形成対象者名に書き換え)",COUNTA($F186:$H186)=0),1,IF(AND(E186&lt;&gt;"〇〇(合意形成対象者名に書き換え)",COUNTA($F186:$H186)=3),1,0)))</f>
        <v>1</v>
      </c>
      <c r="V186" s="129" t="str" cm="1">
        <f t="array" ref="V186">_xlfn.IFS(T186=4,"A",T186=3,"B",T186=2,"C",T186=1,"D")</f>
        <v>D</v>
      </c>
      <c r="W186" s="129"/>
    </row>
    <row r="187" spans="1:23" customFormat="1" ht="7.5" customHeight="1">
      <c r="B187" s="65"/>
      <c r="C187" s="4"/>
      <c r="D187" s="4"/>
      <c r="E187" s="4"/>
      <c r="F187" s="4"/>
      <c r="G187" s="4"/>
      <c r="H187" s="4"/>
      <c r="I187" s="9"/>
      <c r="J187" s="2"/>
      <c r="K187" s="2"/>
      <c r="L187" s="2"/>
      <c r="R187" s="129">
        <f t="shared" si="52"/>
        <v>0</v>
      </c>
      <c r="S187" s="129" t="str">
        <f t="shared" si="53"/>
        <v/>
      </c>
      <c r="T187" s="129">
        <f t="shared" si="51"/>
        <v>1</v>
      </c>
      <c r="U187" s="129">
        <f t="shared" ref="U187:U188" si="54">IF(E187="",1,IF(AND(E187="〇〇(合意形成対象者名に書き換え)",COUNTA($F187:$H187)=0),1,IF(AND(E187&lt;&gt;"〇〇(合意形成対象者名に書き換え)",COUNTA($F187:$H187)=3),1,0)))</f>
        <v>1</v>
      </c>
      <c r="V187" s="129" t="str" cm="1">
        <f t="array" ref="V187">_xlfn.IFS(T187=4,"A",T187=3,"B",T187=2,"C",T187=1,"D")</f>
        <v>D</v>
      </c>
      <c r="W187" s="175"/>
    </row>
    <row r="188" spans="1:23" customFormat="1" ht="6" customHeight="1">
      <c r="J188" s="2"/>
      <c r="K188" s="2"/>
      <c r="L188" s="2"/>
      <c r="R188" s="129">
        <f t="shared" si="52"/>
        <v>0</v>
      </c>
      <c r="S188" s="129" t="str">
        <f t="shared" si="53"/>
        <v/>
      </c>
      <c r="T188" s="129">
        <f t="shared" si="51"/>
        <v>1</v>
      </c>
      <c r="U188" s="129">
        <f t="shared" si="54"/>
        <v>1</v>
      </c>
      <c r="V188" s="129" t="str" cm="1">
        <f t="array" ref="V188">_xlfn.IFS(T188=4,"A",T188=3,"B",T188=2,"C",T188=1,"D")</f>
        <v>D</v>
      </c>
      <c r="W188" s="175"/>
    </row>
    <row r="189" spans="1:23" customFormat="1" ht="103.5" customHeight="1">
      <c r="C189" s="78"/>
      <c r="D189" s="79"/>
      <c r="E189" s="71" t="s">
        <v>236</v>
      </c>
      <c r="F189" s="1452"/>
      <c r="G189" s="1452"/>
      <c r="H189" s="1452"/>
      <c r="I189" s="80" t="s">
        <v>132</v>
      </c>
      <c r="J189" s="80"/>
    </row>
    <row r="190" spans="1:23" customFormat="1" ht="146.25" customHeight="1">
      <c r="C190" s="75"/>
      <c r="D190" s="68"/>
      <c r="E190" s="71" t="s">
        <v>235</v>
      </c>
      <c r="F190" s="1452"/>
      <c r="G190" s="1452"/>
      <c r="H190" s="1452"/>
      <c r="J190" s="2"/>
      <c r="K190" s="2"/>
      <c r="L190" s="2"/>
    </row>
    <row r="191" spans="1:23" customFormat="1" ht="13.5" customHeight="1" thickBot="1">
      <c r="A191" s="81"/>
      <c r="B191" s="81"/>
      <c r="C191" s="81"/>
      <c r="D191" s="81"/>
      <c r="E191" s="81"/>
      <c r="F191" s="81"/>
      <c r="G191" s="81"/>
      <c r="H191" s="81"/>
      <c r="I191" s="81"/>
      <c r="J191" s="82"/>
      <c r="K191" s="2"/>
      <c r="L191" s="2"/>
    </row>
    <row r="192" spans="1:23" customFormat="1" ht="13.5" customHeight="1">
      <c r="J192" s="2"/>
      <c r="K192" s="2"/>
      <c r="L192" s="2"/>
    </row>
    <row r="193" spans="1:23" customFormat="1" ht="15" customHeight="1">
      <c r="B193" s="10"/>
      <c r="C193" s="5"/>
      <c r="D193" s="5"/>
      <c r="E193" s="5"/>
      <c r="F193" s="5"/>
      <c r="G193" s="5"/>
      <c r="H193" s="5"/>
      <c r="I193" s="6"/>
      <c r="R193" s="11" t="str">
        <f>D194</f>
        <v>(選択してください)</v>
      </c>
    </row>
    <row r="194" spans="1:23" customFormat="1">
      <c r="B194" s="7"/>
      <c r="C194" s="77" t="str">
        <f ca="1">IFERROR(OFFSET('4.2民生電力需要量'!$C$8,MATCH(D194,'4.2民生電力需要量'!$E$9:$E$49,0),0),"")</f>
        <v/>
      </c>
      <c r="D194" s="94" t="s">
        <v>130</v>
      </c>
      <c r="E194" s="72" t="s">
        <v>131</v>
      </c>
      <c r="F194" s="1451" t="str">
        <f ca="1">IFERROR(OFFSET('4.2民生電力需要量'!$G$1,MATCH($D194,'4.2民生電力需要量'!$E:$E,0)-1,0),"")</f>
        <v/>
      </c>
      <c r="G194" s="1451"/>
      <c r="H194" s="1451"/>
      <c r="I194" s="8"/>
      <c r="R194" s="255" t="str">
        <f ca="1">IFERROR(OFFSET('4.2民生電力需要量'!$G$1,MATCH($D194,'4.2民生電力需要量'!$E:$E,0)-1,0),"")</f>
        <v/>
      </c>
      <c r="S194" s="515"/>
      <c r="T194" s="515"/>
      <c r="U194" s="515"/>
      <c r="V194" s="515"/>
      <c r="W194" s="175">
        <f ca="1">(F194=R194)*1</f>
        <v>1</v>
      </c>
    </row>
    <row r="195" spans="1:23" customFormat="1">
      <c r="B195" s="7"/>
      <c r="C195" s="915"/>
      <c r="D195" s="97"/>
      <c r="E195" s="72" t="s">
        <v>612</v>
      </c>
      <c r="F195" s="1447" t="str">
        <f ca="1">IFERROR(OFFSET('4.2民生電力需要量'!$L$1,MATCH($D194,'4.2民生電力需要量'!$E:$E,0)-1,0),"")</f>
        <v/>
      </c>
      <c r="G195" s="1448"/>
      <c r="H195" s="1449"/>
      <c r="I195" s="8"/>
      <c r="R195" s="255" t="str">
        <f ca="1">IFERROR(OFFSET('4.2民生電力需要量'!$L$1,MATCH($D194,'4.2民生電力需要量'!$E:$E,0)-1,0),"")</f>
        <v/>
      </c>
      <c r="S195" s="515"/>
      <c r="T195" s="515"/>
      <c r="U195" s="515"/>
      <c r="V195" s="515"/>
      <c r="W195" s="175">
        <f ca="1">(F195=R195)*1</f>
        <v>1</v>
      </c>
    </row>
    <row r="196" spans="1:23" customFormat="1">
      <c r="B196" s="7"/>
      <c r="C196" s="915"/>
      <c r="D196" s="97"/>
      <c r="E196" s="72" t="s">
        <v>613</v>
      </c>
      <c r="F196" s="1456"/>
      <c r="G196" s="1457"/>
      <c r="H196" s="1458"/>
      <c r="I196" s="8"/>
      <c r="R196" s="320"/>
      <c r="S196" s="515"/>
      <c r="T196" s="515"/>
      <c r="U196" s="515"/>
      <c r="V196" s="515"/>
      <c r="W196" s="515"/>
    </row>
    <row r="197" spans="1:23" customFormat="1">
      <c r="B197" s="7"/>
      <c r="C197" s="74"/>
      <c r="D197" s="66"/>
      <c r="E197" s="72" t="s">
        <v>220</v>
      </c>
      <c r="F197" s="1450" t="str">
        <f ca="1">IFERROR(OFFSET('4.2民生電力需要量'!$I$1,MATCH($D194,'4.2民生電力需要量'!$E:$E,0)-1,0),"")</f>
        <v/>
      </c>
      <c r="G197" s="1450"/>
      <c r="H197" s="1450"/>
      <c r="I197" s="8"/>
      <c r="R197" s="175" t="str">
        <f ca="1">IFERROR(OFFSET('4.2民生電力需要量'!$I$1,MATCH($D194,'4.2民生電力需要量'!$E:$E,0)-1,0),"")</f>
        <v/>
      </c>
      <c r="S197" s="515"/>
      <c r="T197" s="515"/>
      <c r="U197" s="515"/>
      <c r="V197" s="515"/>
      <c r="W197" s="175">
        <f t="shared" ref="W197:W198" ca="1" si="55">(F197=R197)*1</f>
        <v>1</v>
      </c>
    </row>
    <row r="198" spans="1:23" customFormat="1">
      <c r="B198" s="7"/>
      <c r="C198" s="74"/>
      <c r="D198" s="66"/>
      <c r="E198" s="72" t="s">
        <v>175</v>
      </c>
      <c r="F198" s="1453" t="str">
        <f>_xlfn.IFNA(R198,"")</f>
        <v/>
      </c>
      <c r="G198" s="1454"/>
      <c r="H198" s="1455"/>
      <c r="I198" s="8"/>
      <c r="R198" s="129" t="str">
        <f>IF(OR(COUNTIF($E200:$E205,"&lt;&gt;〇〇(合意形成対象者名に書き換え)")=3,COUNTIF($E200:$E205,"")&gt;3),"",IF(PRODUCT($U200:$U205)=1,V200,""))</f>
        <v/>
      </c>
      <c r="S198" s="515"/>
      <c r="T198" s="515"/>
      <c r="U198" s="515"/>
      <c r="V198" s="515"/>
      <c r="W198" s="175">
        <f t="shared" si="55"/>
        <v>1</v>
      </c>
    </row>
    <row r="199" spans="1:23" ht="63.75" customHeight="1">
      <c r="B199" s="95"/>
      <c r="C199" s="96"/>
      <c r="D199" s="97"/>
      <c r="E199" s="372"/>
      <c r="F199" s="313" t="s">
        <v>281</v>
      </c>
      <c r="G199" s="313" t="s">
        <v>282</v>
      </c>
      <c r="H199" s="313" t="s">
        <v>279</v>
      </c>
      <c r="I199" s="98"/>
      <c r="J199" s="11"/>
      <c r="R199" s="126" t="s">
        <v>270</v>
      </c>
      <c r="S199" s="126" t="s">
        <v>426</v>
      </c>
      <c r="T199" s="129" t="s">
        <v>402</v>
      </c>
      <c r="U199" s="129" t="s">
        <v>430</v>
      </c>
      <c r="V199" s="126" t="s">
        <v>425</v>
      </c>
      <c r="W199" s="255"/>
    </row>
    <row r="200" spans="1:23" hidden="1">
      <c r="B200" s="95"/>
      <c r="C200" s="96"/>
      <c r="D200" s="97"/>
      <c r="E200" s="442"/>
      <c r="F200" s="443"/>
      <c r="G200" s="439"/>
      <c r="H200" s="439"/>
      <c r="I200" s="98"/>
      <c r="J200" s="11"/>
      <c r="R200" s="129">
        <f>IF(AND(F200="実施済",G200="実施済",H200="完了"),3,0)</f>
        <v>0</v>
      </c>
      <c r="S200" s="129" t="str">
        <f>IF(OR(E200="〇〇(合意形成対象者名に書き換え)",E200=""),"",R200)</f>
        <v/>
      </c>
      <c r="T200" s="129">
        <f t="shared" ref="T200:T205" si="56">MIN($S$200:$S$205)+1</f>
        <v>1</v>
      </c>
      <c r="U200" s="129">
        <f>IF(E200="",1,IF(AND(E200="〇〇(合意形成対象者名に書き換え)",COUNTA($F200:$H200)=0),1,IF(AND(E200&lt;&gt;"〇〇(合意形成対象者名に書き換え)",COUNTA($F200:$H200)=3),1,0)))</f>
        <v>1</v>
      </c>
      <c r="V200" s="129" t="str" cm="1">
        <f t="array" ref="V200">_xlfn.IFS(T200=4,"A",T200=3,"B",T200=2,"C",T200=1,"D")</f>
        <v>D</v>
      </c>
      <c r="W200" s="255"/>
    </row>
    <row r="201" spans="1:23">
      <c r="B201" s="95"/>
      <c r="C201" s="96"/>
      <c r="D201" s="97"/>
      <c r="E201" s="100" t="s">
        <v>129</v>
      </c>
      <c r="F201" s="446"/>
      <c r="G201" s="441"/>
      <c r="H201" s="441"/>
      <c r="I201" s="98"/>
      <c r="J201" s="11"/>
      <c r="R201" s="129">
        <f t="shared" ref="R201:R205" si="57">IF(AND(F201="実施済",G201="実施済",H201="完了"),3,0)</f>
        <v>0</v>
      </c>
      <c r="S201" s="129" t="str">
        <f t="shared" ref="S201:S205" si="58">IF(OR(E201="〇〇(合意形成対象者名に書き換え)",E201=""),"",R201)</f>
        <v/>
      </c>
      <c r="T201" s="129">
        <f t="shared" si="56"/>
        <v>1</v>
      </c>
      <c r="U201" s="129">
        <f>IF(E201="",1,IF(AND(E201="〇〇(合意形成対象者名に書き換え)",COUNTA($F201:$H201)=0),1,IF(AND(E201&lt;&gt;"〇〇(合意形成対象者名に書き換え)",COUNTA($F201:$H201)=3),1,0)))</f>
        <v>1</v>
      </c>
      <c r="V201" s="129" t="str" cm="1">
        <f t="array" ref="V201">_xlfn.IFS(T201=4,"A",T201=3,"B",T201=2,"C",T201=1,"D")</f>
        <v>D</v>
      </c>
      <c r="W201" s="255"/>
    </row>
    <row r="202" spans="1:23">
      <c r="B202" s="95"/>
      <c r="C202" s="96"/>
      <c r="D202" s="97"/>
      <c r="E202" s="100" t="s">
        <v>129</v>
      </c>
      <c r="F202" s="446"/>
      <c r="G202" s="441"/>
      <c r="H202" s="441"/>
      <c r="I202" s="98"/>
      <c r="J202" s="11"/>
      <c r="R202" s="129">
        <f t="shared" si="57"/>
        <v>0</v>
      </c>
      <c r="S202" s="129" t="str">
        <f t="shared" si="58"/>
        <v/>
      </c>
      <c r="T202" s="129">
        <f t="shared" si="56"/>
        <v>1</v>
      </c>
      <c r="U202" s="129">
        <f>IF(E202="",1,IF(AND(E202="〇〇(合意形成対象者名に書き換え)",COUNTA($F202:$H202)=0),1,IF(AND(E202&lt;&gt;"〇〇(合意形成対象者名に書き換え)",COUNTA($F202:$H202)=3),1,0)))</f>
        <v>1</v>
      </c>
      <c r="V202" s="129" t="str" cm="1">
        <f t="array" ref="V202">_xlfn.IFS(T202=4,"A",T202=3,"B",T202=2,"C",T202=1,"D")</f>
        <v>D</v>
      </c>
      <c r="W202" s="255"/>
    </row>
    <row r="203" spans="1:23" s="99" customFormat="1">
      <c r="A203" s="11"/>
      <c r="B203" s="95"/>
      <c r="C203" s="96"/>
      <c r="D203" s="97"/>
      <c r="E203" s="100" t="s">
        <v>129</v>
      </c>
      <c r="F203" s="446"/>
      <c r="G203" s="441"/>
      <c r="H203" s="441"/>
      <c r="I203" s="98"/>
      <c r="J203" s="11"/>
      <c r="M203" s="11"/>
      <c r="N203" s="11"/>
      <c r="O203" s="11"/>
      <c r="P203" s="11"/>
      <c r="Q203" s="11"/>
      <c r="R203" s="129">
        <f t="shared" si="57"/>
        <v>0</v>
      </c>
      <c r="S203" s="129" t="str">
        <f t="shared" si="58"/>
        <v/>
      </c>
      <c r="T203" s="129">
        <f t="shared" si="56"/>
        <v>1</v>
      </c>
      <c r="U203" s="129">
        <f>IF(E203="",1,IF(AND(E203="〇〇(合意形成対象者名に書き換え)",COUNTA($F203:$H203)=0),1,IF(AND(E203&lt;&gt;"〇〇(合意形成対象者名に書き換え)",COUNTA($F203:$H203)=3),1,0)))</f>
        <v>1</v>
      </c>
      <c r="V203" s="129" t="str" cm="1">
        <f t="array" ref="V203">_xlfn.IFS(T203=4,"A",T203=3,"B",T203=2,"C",T203=1,"D")</f>
        <v>D</v>
      </c>
      <c r="W203" s="129"/>
    </row>
    <row r="204" spans="1:23" customFormat="1" ht="7.5" customHeight="1">
      <c r="B204" s="65"/>
      <c r="C204" s="4"/>
      <c r="D204" s="4"/>
      <c r="E204" s="4"/>
      <c r="F204" s="4"/>
      <c r="G204" s="4"/>
      <c r="H204" s="4"/>
      <c r="I204" s="9"/>
      <c r="J204" s="2"/>
      <c r="K204" s="2"/>
      <c r="L204" s="2"/>
      <c r="R204" s="129">
        <f t="shared" si="57"/>
        <v>0</v>
      </c>
      <c r="S204" s="129" t="str">
        <f t="shared" si="58"/>
        <v/>
      </c>
      <c r="T204" s="129">
        <f t="shared" si="56"/>
        <v>1</v>
      </c>
      <c r="U204" s="129">
        <f t="shared" ref="U204:U205" si="59">IF(E204="",1,IF(AND(E204="〇〇(合意形成対象者名に書き換え)",COUNTA($F204:$H204)=0),1,IF(AND(E204&lt;&gt;"〇〇(合意形成対象者名に書き換え)",COUNTA($F204:$H204)=3),1,0)))</f>
        <v>1</v>
      </c>
      <c r="V204" s="129" t="str" cm="1">
        <f t="array" ref="V204">_xlfn.IFS(T204=4,"A",T204=3,"B",T204=2,"C",T204=1,"D")</f>
        <v>D</v>
      </c>
      <c r="W204" s="175"/>
    </row>
    <row r="205" spans="1:23" customFormat="1" ht="6" customHeight="1">
      <c r="J205" s="2"/>
      <c r="K205" s="2"/>
      <c r="L205" s="2"/>
      <c r="R205" s="129">
        <f t="shared" si="57"/>
        <v>0</v>
      </c>
      <c r="S205" s="129" t="str">
        <f t="shared" si="58"/>
        <v/>
      </c>
      <c r="T205" s="129">
        <f t="shared" si="56"/>
        <v>1</v>
      </c>
      <c r="U205" s="129">
        <f t="shared" si="59"/>
        <v>1</v>
      </c>
      <c r="V205" s="129" t="str" cm="1">
        <f t="array" ref="V205">_xlfn.IFS(T205=4,"A",T205=3,"B",T205=2,"C",T205=1,"D")</f>
        <v>D</v>
      </c>
      <c r="W205" s="175"/>
    </row>
    <row r="206" spans="1:23" customFormat="1" ht="103.5" customHeight="1">
      <c r="C206" s="78"/>
      <c r="D206" s="79"/>
      <c r="E206" s="71" t="s">
        <v>236</v>
      </c>
      <c r="F206" s="1452"/>
      <c r="G206" s="1452"/>
      <c r="H206" s="1452"/>
      <c r="I206" s="80" t="s">
        <v>132</v>
      </c>
      <c r="J206" s="80"/>
    </row>
    <row r="207" spans="1:23" customFormat="1" ht="146.25" customHeight="1">
      <c r="C207" s="75"/>
      <c r="D207" s="68"/>
      <c r="E207" s="71" t="s">
        <v>235</v>
      </c>
      <c r="F207" s="1452"/>
      <c r="G207" s="1452"/>
      <c r="H207" s="1452"/>
      <c r="J207" s="2"/>
      <c r="K207" s="2"/>
      <c r="L207" s="2"/>
    </row>
    <row r="208" spans="1:23" customFormat="1" ht="13.5" customHeight="1" thickBot="1">
      <c r="A208" s="81"/>
      <c r="B208" s="81"/>
      <c r="C208" s="81"/>
      <c r="D208" s="81"/>
      <c r="E208" s="81"/>
      <c r="F208" s="81"/>
      <c r="G208" s="81"/>
      <c r="H208" s="81"/>
      <c r="I208" s="81"/>
      <c r="J208" s="82"/>
      <c r="K208" s="2"/>
      <c r="L208" s="2"/>
    </row>
    <row r="209" spans="1:23" customFormat="1" ht="13.5" customHeight="1">
      <c r="J209" s="2"/>
      <c r="K209" s="2"/>
      <c r="L209" s="2"/>
    </row>
    <row r="210" spans="1:23" customFormat="1" ht="15" customHeight="1">
      <c r="B210" s="10"/>
      <c r="C210" s="5"/>
      <c r="D210" s="5"/>
      <c r="E210" s="5"/>
      <c r="F210" s="5"/>
      <c r="G210" s="5"/>
      <c r="H210" s="5"/>
      <c r="I210" s="6"/>
      <c r="R210" s="11" t="str">
        <f>D211</f>
        <v>(選択してください)</v>
      </c>
    </row>
    <row r="211" spans="1:23" customFormat="1">
      <c r="B211" s="7"/>
      <c r="C211" s="77" t="str">
        <f ca="1">IFERROR(OFFSET('4.2民生電力需要量'!$C$8,MATCH(D211,'4.2民生電力需要量'!$E$9:$E$49,0),0),"")</f>
        <v/>
      </c>
      <c r="D211" s="94" t="s">
        <v>130</v>
      </c>
      <c r="E211" s="72" t="s">
        <v>131</v>
      </c>
      <c r="F211" s="1451" t="str">
        <f ca="1">IFERROR(OFFSET('4.2民生電力需要量'!$G$1,MATCH($D211,'4.2民生電力需要量'!$E:$E,0)-1,0),"")</f>
        <v/>
      </c>
      <c r="G211" s="1451"/>
      <c r="H211" s="1451"/>
      <c r="I211" s="8"/>
      <c r="R211" s="255" t="str">
        <f ca="1">IFERROR(OFFSET('4.2民生電力需要量'!$G$1,MATCH($D211,'4.2民生電力需要量'!$E:$E,0)-1,0),"")</f>
        <v/>
      </c>
      <c r="S211" s="515"/>
      <c r="T211" s="515"/>
      <c r="U211" s="515"/>
      <c r="V211" s="515"/>
      <c r="W211" s="175">
        <f ca="1">(F211=R211)*1</f>
        <v>1</v>
      </c>
    </row>
    <row r="212" spans="1:23" customFormat="1">
      <c r="B212" s="7"/>
      <c r="C212" s="915"/>
      <c r="D212" s="97"/>
      <c r="E212" s="72" t="s">
        <v>612</v>
      </c>
      <c r="F212" s="1447" t="str">
        <f ca="1">IFERROR(OFFSET('4.2民生電力需要量'!$L$1,MATCH($D211,'4.2民生電力需要量'!$E:$E,0)-1,0),"")</f>
        <v/>
      </c>
      <c r="G212" s="1448"/>
      <c r="H212" s="1449"/>
      <c r="I212" s="8"/>
      <c r="R212" s="255" t="str">
        <f ca="1">IFERROR(OFFSET('4.2民生電力需要量'!$L$1,MATCH($D211,'4.2民生電力需要量'!$E:$E,0)-1,0),"")</f>
        <v/>
      </c>
      <c r="S212" s="515"/>
      <c r="T212" s="515"/>
      <c r="U212" s="515"/>
      <c r="V212" s="515"/>
      <c r="W212" s="175">
        <f ca="1">(F212=R212)*1</f>
        <v>1</v>
      </c>
    </row>
    <row r="213" spans="1:23" customFormat="1">
      <c r="B213" s="7"/>
      <c r="C213" s="915"/>
      <c r="D213" s="97"/>
      <c r="E213" s="72" t="s">
        <v>613</v>
      </c>
      <c r="F213" s="1456"/>
      <c r="G213" s="1457"/>
      <c r="H213" s="1458"/>
      <c r="I213" s="8"/>
      <c r="R213" s="320"/>
      <c r="S213" s="515"/>
      <c r="T213" s="515"/>
      <c r="U213" s="515"/>
      <c r="V213" s="515"/>
      <c r="W213" s="515"/>
    </row>
    <row r="214" spans="1:23" customFormat="1">
      <c r="B214" s="7"/>
      <c r="C214" s="74"/>
      <c r="D214" s="66"/>
      <c r="E214" s="72" t="s">
        <v>220</v>
      </c>
      <c r="F214" s="1450" t="str">
        <f ca="1">IFERROR(OFFSET('4.2民生電力需要量'!$I$1,MATCH($D211,'4.2民生電力需要量'!$E:$E,0)-1,0),"")</f>
        <v/>
      </c>
      <c r="G214" s="1450"/>
      <c r="H214" s="1450"/>
      <c r="I214" s="8"/>
      <c r="R214" s="175" t="str">
        <f ca="1">IFERROR(OFFSET('4.2民生電力需要量'!$I$1,MATCH($D211,'4.2民生電力需要量'!$E:$E,0)-1,0),"")</f>
        <v/>
      </c>
      <c r="S214" s="515"/>
      <c r="T214" s="515"/>
      <c r="U214" s="515"/>
      <c r="V214" s="515"/>
      <c r="W214" s="175">
        <f t="shared" ref="W214:W215" ca="1" si="60">(F214=R214)*1</f>
        <v>1</v>
      </c>
    </row>
    <row r="215" spans="1:23" customFormat="1">
      <c r="B215" s="7"/>
      <c r="C215" s="74"/>
      <c r="D215" s="66"/>
      <c r="E215" s="72" t="s">
        <v>175</v>
      </c>
      <c r="F215" s="1453" t="str">
        <f>_xlfn.IFNA(R215,"")</f>
        <v/>
      </c>
      <c r="G215" s="1454"/>
      <c r="H215" s="1455"/>
      <c r="I215" s="8"/>
      <c r="R215" s="129" t="str">
        <f>IF(OR(COUNTIF($E217:$E222,"&lt;&gt;〇〇(合意形成対象者名に書き換え)")=3,COUNTIF($E217:$E222,"")&gt;3),"",IF(PRODUCT($U217:$U222)=1,V217,""))</f>
        <v/>
      </c>
      <c r="S215" s="515"/>
      <c r="T215" s="515"/>
      <c r="U215" s="515"/>
      <c r="V215" s="515"/>
      <c r="W215" s="175">
        <f t="shared" si="60"/>
        <v>1</v>
      </c>
    </row>
    <row r="216" spans="1:23" ht="63.75" customHeight="1">
      <c r="B216" s="95"/>
      <c r="C216" s="96"/>
      <c r="D216" s="97"/>
      <c r="E216" s="372"/>
      <c r="F216" s="313" t="s">
        <v>281</v>
      </c>
      <c r="G216" s="313" t="s">
        <v>282</v>
      </c>
      <c r="H216" s="313" t="s">
        <v>279</v>
      </c>
      <c r="I216" s="98"/>
      <c r="J216" s="11"/>
      <c r="R216" s="126" t="s">
        <v>270</v>
      </c>
      <c r="S216" s="126" t="s">
        <v>426</v>
      </c>
      <c r="T216" s="129" t="s">
        <v>402</v>
      </c>
      <c r="U216" s="129" t="s">
        <v>430</v>
      </c>
      <c r="V216" s="126" t="s">
        <v>425</v>
      </c>
      <c r="W216" s="255"/>
    </row>
    <row r="217" spans="1:23" hidden="1">
      <c r="B217" s="95"/>
      <c r="C217" s="96"/>
      <c r="D217" s="97"/>
      <c r="E217" s="442"/>
      <c r="F217" s="443"/>
      <c r="G217" s="439"/>
      <c r="H217" s="439"/>
      <c r="I217" s="98"/>
      <c r="J217" s="11"/>
      <c r="R217" s="129">
        <f>IF(AND(F217="実施済",G217="実施済",H217="完了"),3,0)</f>
        <v>0</v>
      </c>
      <c r="S217" s="129" t="str">
        <f>IF(OR(E217="〇〇(合意形成対象者名に書き換え)",E217=""),"",R217)</f>
        <v/>
      </c>
      <c r="T217" s="129">
        <f t="shared" ref="T217:T222" si="61">MIN($S$217:$S$222)+1</f>
        <v>1</v>
      </c>
      <c r="U217" s="129">
        <f>IF(E217="",1,IF(AND(E217="〇〇(合意形成対象者名に書き換え)",COUNTA($F217:$H217)=0),1,IF(AND(E217&lt;&gt;"〇〇(合意形成対象者名に書き換え)",COUNTA($F217:$H217)=3),1,0)))</f>
        <v>1</v>
      </c>
      <c r="V217" s="129" t="str" cm="1">
        <f t="array" ref="V217">_xlfn.IFS(T217=4,"A",T217=3,"B",T217=2,"C",T217=1,"D")</f>
        <v>D</v>
      </c>
      <c r="W217" s="255"/>
    </row>
    <row r="218" spans="1:23">
      <c r="B218" s="95"/>
      <c r="C218" s="96"/>
      <c r="D218" s="97"/>
      <c r="E218" s="100" t="s">
        <v>129</v>
      </c>
      <c r="F218" s="446"/>
      <c r="G218" s="441"/>
      <c r="H218" s="441"/>
      <c r="I218" s="98"/>
      <c r="J218" s="11"/>
      <c r="R218" s="129">
        <f t="shared" ref="R218:R222" si="62">IF(AND(F218="実施済",G218="実施済",H218="完了"),3,0)</f>
        <v>0</v>
      </c>
      <c r="S218" s="129" t="str">
        <f t="shared" ref="S218:S222" si="63">IF(OR(E218="〇〇(合意形成対象者名に書き換え)",E218=""),"",R218)</f>
        <v/>
      </c>
      <c r="T218" s="129">
        <f t="shared" si="61"/>
        <v>1</v>
      </c>
      <c r="U218" s="129">
        <f>IF(E218="",1,IF(AND(E218="〇〇(合意形成対象者名に書き換え)",COUNTA($F218:$H218)=0),1,IF(AND(E218&lt;&gt;"〇〇(合意形成対象者名に書き換え)",COUNTA($F218:$H218)=3),1,0)))</f>
        <v>1</v>
      </c>
      <c r="V218" s="129" t="str" cm="1">
        <f t="array" ref="V218">_xlfn.IFS(T218=4,"A",T218=3,"B",T218=2,"C",T218=1,"D")</f>
        <v>D</v>
      </c>
      <c r="W218" s="255"/>
    </row>
    <row r="219" spans="1:23">
      <c r="B219" s="95"/>
      <c r="C219" s="96"/>
      <c r="D219" s="97"/>
      <c r="E219" s="100" t="s">
        <v>129</v>
      </c>
      <c r="F219" s="446"/>
      <c r="G219" s="441"/>
      <c r="H219" s="441"/>
      <c r="I219" s="98"/>
      <c r="J219" s="11"/>
      <c r="R219" s="129">
        <f t="shared" si="62"/>
        <v>0</v>
      </c>
      <c r="S219" s="129" t="str">
        <f t="shared" si="63"/>
        <v/>
      </c>
      <c r="T219" s="129">
        <f t="shared" si="61"/>
        <v>1</v>
      </c>
      <c r="U219" s="129">
        <f>IF(E219="",1,IF(AND(E219="〇〇(合意形成対象者名に書き換え)",COUNTA($F219:$H219)=0),1,IF(AND(E219&lt;&gt;"〇〇(合意形成対象者名に書き換え)",COUNTA($F219:$H219)=3),1,0)))</f>
        <v>1</v>
      </c>
      <c r="V219" s="129" t="str" cm="1">
        <f t="array" ref="V219">_xlfn.IFS(T219=4,"A",T219=3,"B",T219=2,"C",T219=1,"D")</f>
        <v>D</v>
      </c>
      <c r="W219" s="255"/>
    </row>
    <row r="220" spans="1:23" s="99" customFormat="1">
      <c r="A220" s="11"/>
      <c r="B220" s="95"/>
      <c r="C220" s="96"/>
      <c r="D220" s="97"/>
      <c r="E220" s="100" t="s">
        <v>129</v>
      </c>
      <c r="F220" s="446"/>
      <c r="G220" s="441"/>
      <c r="H220" s="441"/>
      <c r="I220" s="98"/>
      <c r="J220" s="11"/>
      <c r="M220" s="11"/>
      <c r="N220" s="11"/>
      <c r="O220" s="11"/>
      <c r="P220" s="11"/>
      <c r="Q220" s="11"/>
      <c r="R220" s="129">
        <f t="shared" si="62"/>
        <v>0</v>
      </c>
      <c r="S220" s="129" t="str">
        <f t="shared" si="63"/>
        <v/>
      </c>
      <c r="T220" s="129">
        <f t="shared" si="61"/>
        <v>1</v>
      </c>
      <c r="U220" s="129">
        <f>IF(E220="",1,IF(AND(E220="〇〇(合意形成対象者名に書き換え)",COUNTA($F220:$H220)=0),1,IF(AND(E220&lt;&gt;"〇〇(合意形成対象者名に書き換え)",COUNTA($F220:$H220)=3),1,0)))</f>
        <v>1</v>
      </c>
      <c r="V220" s="129" t="str" cm="1">
        <f t="array" ref="V220">_xlfn.IFS(T220=4,"A",T220=3,"B",T220=2,"C",T220=1,"D")</f>
        <v>D</v>
      </c>
      <c r="W220" s="129"/>
    </row>
    <row r="221" spans="1:23" customFormat="1" ht="7.5" customHeight="1">
      <c r="B221" s="65"/>
      <c r="C221" s="4"/>
      <c r="D221" s="4"/>
      <c r="E221" s="4"/>
      <c r="F221" s="4"/>
      <c r="G221" s="4"/>
      <c r="H221" s="4"/>
      <c r="I221" s="9"/>
      <c r="J221" s="2"/>
      <c r="K221" s="2"/>
      <c r="L221" s="2"/>
      <c r="R221" s="129">
        <f t="shared" si="62"/>
        <v>0</v>
      </c>
      <c r="S221" s="129" t="str">
        <f t="shared" si="63"/>
        <v/>
      </c>
      <c r="T221" s="129">
        <f t="shared" si="61"/>
        <v>1</v>
      </c>
      <c r="U221" s="129">
        <f t="shared" ref="U221:U222" si="64">IF(E221="",1,IF(AND(E221="〇〇(合意形成対象者名に書き換え)",COUNTA($F221:$H221)=0),1,IF(AND(E221&lt;&gt;"〇〇(合意形成対象者名に書き換え)",COUNTA($F221:$H221)=3),1,0)))</f>
        <v>1</v>
      </c>
      <c r="V221" s="129" t="str" cm="1">
        <f t="array" ref="V221">_xlfn.IFS(T221=4,"A",T221=3,"B",T221=2,"C",T221=1,"D")</f>
        <v>D</v>
      </c>
      <c r="W221" s="175"/>
    </row>
    <row r="222" spans="1:23" customFormat="1" ht="6" customHeight="1">
      <c r="J222" s="2"/>
      <c r="K222" s="2"/>
      <c r="L222" s="2"/>
      <c r="R222" s="129">
        <f t="shared" si="62"/>
        <v>0</v>
      </c>
      <c r="S222" s="129" t="str">
        <f t="shared" si="63"/>
        <v/>
      </c>
      <c r="T222" s="129">
        <f t="shared" si="61"/>
        <v>1</v>
      </c>
      <c r="U222" s="129">
        <f t="shared" si="64"/>
        <v>1</v>
      </c>
      <c r="V222" s="129" t="str" cm="1">
        <f t="array" ref="V222">_xlfn.IFS(T222=4,"A",T222=3,"B",T222=2,"C",T222=1,"D")</f>
        <v>D</v>
      </c>
      <c r="W222" s="175"/>
    </row>
    <row r="223" spans="1:23" customFormat="1" ht="103.5" customHeight="1">
      <c r="C223" s="78"/>
      <c r="D223" s="79"/>
      <c r="E223" s="71" t="s">
        <v>236</v>
      </c>
      <c r="F223" s="1452"/>
      <c r="G223" s="1452"/>
      <c r="H223" s="1452"/>
      <c r="I223" s="80" t="s">
        <v>132</v>
      </c>
      <c r="J223" s="80"/>
    </row>
    <row r="224" spans="1:23" customFormat="1" ht="146.25" customHeight="1">
      <c r="C224" s="75"/>
      <c r="D224" s="68"/>
      <c r="E224" s="71" t="s">
        <v>235</v>
      </c>
      <c r="F224" s="1452"/>
      <c r="G224" s="1452"/>
      <c r="H224" s="1452"/>
      <c r="J224" s="2"/>
      <c r="K224" s="2"/>
      <c r="L224" s="2"/>
    </row>
    <row r="225" spans="1:23" customFormat="1" ht="13.5" customHeight="1" thickBot="1">
      <c r="A225" s="81"/>
      <c r="B225" s="81"/>
      <c r="C225" s="81"/>
      <c r="D225" s="81"/>
      <c r="E225" s="81"/>
      <c r="F225" s="81"/>
      <c r="G225" s="81"/>
      <c r="H225" s="81"/>
      <c r="I225" s="81"/>
      <c r="J225" s="82"/>
      <c r="K225" s="2"/>
      <c r="L225" s="2"/>
    </row>
    <row r="226" spans="1:23" customFormat="1" ht="13.5" customHeight="1">
      <c r="J226" s="2"/>
      <c r="K226" s="2"/>
      <c r="L226" s="2"/>
    </row>
    <row r="227" spans="1:23" customFormat="1" ht="15" customHeight="1">
      <c r="B227" s="10"/>
      <c r="C227" s="5"/>
      <c r="D227" s="5"/>
      <c r="E227" s="5"/>
      <c r="F227" s="5"/>
      <c r="G227" s="5"/>
      <c r="H227" s="5"/>
      <c r="I227" s="6"/>
      <c r="R227" s="11" t="str">
        <f>D228</f>
        <v>(選択してください)</v>
      </c>
    </row>
    <row r="228" spans="1:23" customFormat="1">
      <c r="B228" s="7"/>
      <c r="C228" s="77" t="str">
        <f ca="1">IFERROR(OFFSET('4.2民生電力需要量'!$C$8,MATCH(D228,'4.2民生電力需要量'!$E$9:$E$49,0),0),"")</f>
        <v/>
      </c>
      <c r="D228" s="94" t="s">
        <v>130</v>
      </c>
      <c r="E228" s="72" t="s">
        <v>131</v>
      </c>
      <c r="F228" s="1451" t="str">
        <f ca="1">IFERROR(OFFSET('4.2民生電力需要量'!$G$1,MATCH($D228,'4.2民生電力需要量'!$E:$E,0)-1,0),"")</f>
        <v/>
      </c>
      <c r="G228" s="1451"/>
      <c r="H228" s="1451"/>
      <c r="I228" s="8"/>
      <c r="R228" s="255" t="str">
        <f ca="1">IFERROR(OFFSET('4.2民生電力需要量'!$G$1,MATCH($D228,'4.2民生電力需要量'!$E:$E,0)-1,0),"")</f>
        <v/>
      </c>
      <c r="S228" s="515"/>
      <c r="T228" s="515"/>
      <c r="U228" s="515"/>
      <c r="V228" s="515"/>
      <c r="W228" s="175">
        <f ca="1">(F228=R228)*1</f>
        <v>1</v>
      </c>
    </row>
    <row r="229" spans="1:23" customFormat="1">
      <c r="B229" s="7"/>
      <c r="C229" s="915"/>
      <c r="D229" s="97"/>
      <c r="E229" s="72" t="s">
        <v>612</v>
      </c>
      <c r="F229" s="1447" t="str">
        <f ca="1">IFERROR(OFFSET('4.2民生電力需要量'!$L$1,MATCH($D228,'4.2民生電力需要量'!$E:$E,0)-1,0),"")</f>
        <v/>
      </c>
      <c r="G229" s="1448"/>
      <c r="H229" s="1449"/>
      <c r="I229" s="8"/>
      <c r="R229" s="255" t="str">
        <f ca="1">IFERROR(OFFSET('4.2民生電力需要量'!$L$1,MATCH($D228,'4.2民生電力需要量'!$E:$E,0)-1,0),"")</f>
        <v/>
      </c>
      <c r="S229" s="515"/>
      <c r="T229" s="515"/>
      <c r="U229" s="515"/>
      <c r="V229" s="515"/>
      <c r="W229" s="175">
        <f ca="1">(F229=R229)*1</f>
        <v>1</v>
      </c>
    </row>
    <row r="230" spans="1:23" customFormat="1">
      <c r="B230" s="7"/>
      <c r="C230" s="915"/>
      <c r="D230" s="97"/>
      <c r="E230" s="72" t="s">
        <v>613</v>
      </c>
      <c r="F230" s="1456"/>
      <c r="G230" s="1457"/>
      <c r="H230" s="1458"/>
      <c r="I230" s="8"/>
      <c r="R230" s="320"/>
      <c r="S230" s="515"/>
      <c r="T230" s="515"/>
      <c r="U230" s="515"/>
      <c r="V230" s="515"/>
      <c r="W230" s="515"/>
    </row>
    <row r="231" spans="1:23" customFormat="1">
      <c r="B231" s="7"/>
      <c r="C231" s="74"/>
      <c r="D231" s="66"/>
      <c r="E231" s="72" t="s">
        <v>220</v>
      </c>
      <c r="F231" s="1450" t="str">
        <f ca="1">IFERROR(OFFSET('4.2民生電力需要量'!$I$1,MATCH($D228,'4.2民生電力需要量'!$E:$E,0)-1,0),"")</f>
        <v/>
      </c>
      <c r="G231" s="1450"/>
      <c r="H231" s="1450"/>
      <c r="I231" s="8"/>
      <c r="R231" s="175" t="str">
        <f ca="1">IFERROR(OFFSET('4.2民生電力需要量'!$I$1,MATCH($D228,'4.2民生電力需要量'!$E:$E,0)-1,0),"")</f>
        <v/>
      </c>
      <c r="S231" s="515"/>
      <c r="T231" s="515"/>
      <c r="U231" s="515"/>
      <c r="V231" s="515"/>
      <c r="W231" s="175">
        <f t="shared" ref="W231:W232" ca="1" si="65">(F231=R231)*1</f>
        <v>1</v>
      </c>
    </row>
    <row r="232" spans="1:23" customFormat="1">
      <c r="B232" s="7"/>
      <c r="C232" s="74"/>
      <c r="D232" s="66"/>
      <c r="E232" s="72" t="s">
        <v>175</v>
      </c>
      <c r="F232" s="1453" t="str">
        <f>_xlfn.IFNA(R232,"")</f>
        <v/>
      </c>
      <c r="G232" s="1454"/>
      <c r="H232" s="1455"/>
      <c r="I232" s="8"/>
      <c r="R232" s="129" t="str">
        <f>IF(OR(COUNTIF($E234:$E239,"&lt;&gt;〇〇(合意形成対象者名に書き換え)")=3,COUNTIF($E234:$E239,"")&gt;3),"",IF(PRODUCT($U234:$U239)=1,V234,""))</f>
        <v/>
      </c>
      <c r="S232" s="515"/>
      <c r="T232" s="515"/>
      <c r="U232" s="515"/>
      <c r="V232" s="515"/>
      <c r="W232" s="175">
        <f t="shared" si="65"/>
        <v>1</v>
      </c>
    </row>
    <row r="233" spans="1:23" ht="63.75" customHeight="1">
      <c r="B233" s="95"/>
      <c r="C233" s="96"/>
      <c r="D233" s="97"/>
      <c r="E233" s="372"/>
      <c r="F233" s="313" t="s">
        <v>281</v>
      </c>
      <c r="G233" s="313" t="s">
        <v>282</v>
      </c>
      <c r="H233" s="313" t="s">
        <v>279</v>
      </c>
      <c r="I233" s="98"/>
      <c r="J233" s="11"/>
      <c r="R233" s="126" t="s">
        <v>270</v>
      </c>
      <c r="S233" s="126" t="s">
        <v>426</v>
      </c>
      <c r="T233" s="129" t="s">
        <v>402</v>
      </c>
      <c r="U233" s="129" t="s">
        <v>430</v>
      </c>
      <c r="V233" s="126" t="s">
        <v>425</v>
      </c>
      <c r="W233" s="255"/>
    </row>
    <row r="234" spans="1:23" hidden="1">
      <c r="B234" s="95"/>
      <c r="C234" s="96"/>
      <c r="D234" s="97"/>
      <c r="E234" s="442"/>
      <c r="F234" s="443"/>
      <c r="G234" s="439"/>
      <c r="H234" s="439"/>
      <c r="I234" s="98"/>
      <c r="J234" s="11"/>
      <c r="R234" s="129">
        <f>IF(AND(F234="実施済",G234="実施済",H234="完了"),3,0)</f>
        <v>0</v>
      </c>
      <c r="S234" s="129" t="str">
        <f>IF(OR(E234="〇〇(合意形成対象者名に書き換え)",E234=""),"",R234)</f>
        <v/>
      </c>
      <c r="T234" s="129">
        <f t="shared" ref="T234:T239" si="66">MIN($S$234:$S$239)+1</f>
        <v>1</v>
      </c>
      <c r="U234" s="129">
        <f>IF(E234="",1,IF(AND(E234="〇〇(合意形成対象者名に書き換え)",COUNTA($F234:$H234)=0),1,IF(AND(E234&lt;&gt;"〇〇(合意形成対象者名に書き換え)",COUNTA($F234:$H234)=3),1,0)))</f>
        <v>1</v>
      </c>
      <c r="V234" s="129" t="str" cm="1">
        <f t="array" ref="V234">_xlfn.IFS(T234=4,"A",T234=3,"B",T234=2,"C",T234=1,"D")</f>
        <v>D</v>
      </c>
      <c r="W234" s="255"/>
    </row>
    <row r="235" spans="1:23">
      <c r="B235" s="95"/>
      <c r="C235" s="96"/>
      <c r="D235" s="97"/>
      <c r="E235" s="100" t="s">
        <v>129</v>
      </c>
      <c r="F235" s="446"/>
      <c r="G235" s="441"/>
      <c r="H235" s="441"/>
      <c r="I235" s="98"/>
      <c r="J235" s="11"/>
      <c r="R235" s="129">
        <f t="shared" ref="R235:R239" si="67">IF(AND(F235="実施済",G235="実施済",H235="完了"),3,0)</f>
        <v>0</v>
      </c>
      <c r="S235" s="129" t="str">
        <f t="shared" ref="S235:S239" si="68">IF(OR(E235="〇〇(合意形成対象者名に書き換え)",E235=""),"",R235)</f>
        <v/>
      </c>
      <c r="T235" s="129">
        <f t="shared" si="66"/>
        <v>1</v>
      </c>
      <c r="U235" s="129">
        <f>IF(E235="",1,IF(AND(E235="〇〇(合意形成対象者名に書き換え)",COUNTA($F235:$H235)=0),1,IF(AND(E235&lt;&gt;"〇〇(合意形成対象者名に書き換え)",COUNTA($F235:$H235)=3),1,0)))</f>
        <v>1</v>
      </c>
      <c r="V235" s="129" t="str" cm="1">
        <f t="array" ref="V235">_xlfn.IFS(T235=4,"A",T235=3,"B",T235=2,"C",T235=1,"D")</f>
        <v>D</v>
      </c>
      <c r="W235" s="255"/>
    </row>
    <row r="236" spans="1:23">
      <c r="B236" s="95"/>
      <c r="C236" s="96"/>
      <c r="D236" s="97"/>
      <c r="E236" s="100" t="s">
        <v>129</v>
      </c>
      <c r="F236" s="446"/>
      <c r="G236" s="441"/>
      <c r="H236" s="441"/>
      <c r="I236" s="98"/>
      <c r="J236" s="11"/>
      <c r="R236" s="129">
        <f t="shared" si="67"/>
        <v>0</v>
      </c>
      <c r="S236" s="129" t="str">
        <f t="shared" si="68"/>
        <v/>
      </c>
      <c r="T236" s="129">
        <f t="shared" si="66"/>
        <v>1</v>
      </c>
      <c r="U236" s="129">
        <f>IF(E236="",1,IF(AND(E236="〇〇(合意形成対象者名に書き換え)",COUNTA($F236:$H236)=0),1,IF(AND(E236&lt;&gt;"〇〇(合意形成対象者名に書き換え)",COUNTA($F236:$H236)=3),1,0)))</f>
        <v>1</v>
      </c>
      <c r="V236" s="129" t="str" cm="1">
        <f t="array" ref="V236">_xlfn.IFS(T236=4,"A",T236=3,"B",T236=2,"C",T236=1,"D")</f>
        <v>D</v>
      </c>
      <c r="W236" s="255"/>
    </row>
    <row r="237" spans="1:23" s="99" customFormat="1">
      <c r="A237" s="11"/>
      <c r="B237" s="95"/>
      <c r="C237" s="96"/>
      <c r="D237" s="97"/>
      <c r="E237" s="100" t="s">
        <v>129</v>
      </c>
      <c r="F237" s="446"/>
      <c r="G237" s="441"/>
      <c r="H237" s="441"/>
      <c r="I237" s="98"/>
      <c r="J237" s="11"/>
      <c r="M237" s="11"/>
      <c r="N237" s="11"/>
      <c r="O237" s="11"/>
      <c r="P237" s="11"/>
      <c r="Q237" s="11"/>
      <c r="R237" s="129">
        <f t="shared" si="67"/>
        <v>0</v>
      </c>
      <c r="S237" s="129" t="str">
        <f t="shared" si="68"/>
        <v/>
      </c>
      <c r="T237" s="129">
        <f t="shared" si="66"/>
        <v>1</v>
      </c>
      <c r="U237" s="129">
        <f>IF(E237="",1,IF(AND(E237="〇〇(合意形成対象者名に書き換え)",COUNTA($F237:$H237)=0),1,IF(AND(E237&lt;&gt;"〇〇(合意形成対象者名に書き換え)",COUNTA($F237:$H237)=3),1,0)))</f>
        <v>1</v>
      </c>
      <c r="V237" s="129" t="str" cm="1">
        <f t="array" ref="V237">_xlfn.IFS(T237=4,"A",T237=3,"B",T237=2,"C",T237=1,"D")</f>
        <v>D</v>
      </c>
      <c r="W237" s="129"/>
    </row>
    <row r="238" spans="1:23" customFormat="1" ht="7.5" customHeight="1">
      <c r="B238" s="65"/>
      <c r="C238" s="4"/>
      <c r="D238" s="4"/>
      <c r="E238" s="4"/>
      <c r="F238" s="4"/>
      <c r="G238" s="4"/>
      <c r="H238" s="4"/>
      <c r="I238" s="9"/>
      <c r="J238" s="2"/>
      <c r="K238" s="2"/>
      <c r="L238" s="2"/>
      <c r="R238" s="129">
        <f t="shared" si="67"/>
        <v>0</v>
      </c>
      <c r="S238" s="129" t="str">
        <f t="shared" si="68"/>
        <v/>
      </c>
      <c r="T238" s="129">
        <f t="shared" si="66"/>
        <v>1</v>
      </c>
      <c r="U238" s="129">
        <f t="shared" ref="U238:U239" si="69">IF(E238="",1,IF(AND(E238="〇〇(合意形成対象者名に書き換え)",COUNTA($F238:$H238)=0),1,IF(AND(E238&lt;&gt;"〇〇(合意形成対象者名に書き換え)",COUNTA($F238:$H238)=3),1,0)))</f>
        <v>1</v>
      </c>
      <c r="V238" s="129" t="str" cm="1">
        <f t="array" ref="V238">_xlfn.IFS(T238=4,"A",T238=3,"B",T238=2,"C",T238=1,"D")</f>
        <v>D</v>
      </c>
      <c r="W238" s="175"/>
    </row>
    <row r="239" spans="1:23" customFormat="1" ht="6" customHeight="1">
      <c r="J239" s="2"/>
      <c r="K239" s="2"/>
      <c r="L239" s="2"/>
      <c r="R239" s="129">
        <f t="shared" si="67"/>
        <v>0</v>
      </c>
      <c r="S239" s="129" t="str">
        <f t="shared" si="68"/>
        <v/>
      </c>
      <c r="T239" s="129">
        <f t="shared" si="66"/>
        <v>1</v>
      </c>
      <c r="U239" s="129">
        <f t="shared" si="69"/>
        <v>1</v>
      </c>
      <c r="V239" s="129" t="str" cm="1">
        <f t="array" ref="V239">_xlfn.IFS(T239=4,"A",T239=3,"B",T239=2,"C",T239=1,"D")</f>
        <v>D</v>
      </c>
      <c r="W239" s="175"/>
    </row>
    <row r="240" spans="1:23" customFormat="1" ht="103.5" customHeight="1">
      <c r="C240" s="78"/>
      <c r="D240" s="79"/>
      <c r="E240" s="71" t="s">
        <v>236</v>
      </c>
      <c r="F240" s="1452"/>
      <c r="G240" s="1452"/>
      <c r="H240" s="1452"/>
      <c r="I240" s="80" t="s">
        <v>132</v>
      </c>
      <c r="J240" s="80"/>
    </row>
    <row r="241" spans="1:23" customFormat="1" ht="146.25" customHeight="1">
      <c r="C241" s="75"/>
      <c r="D241" s="68"/>
      <c r="E241" s="71" t="s">
        <v>235</v>
      </c>
      <c r="F241" s="1452"/>
      <c r="G241" s="1452"/>
      <c r="H241" s="1452"/>
      <c r="J241" s="2"/>
      <c r="K241" s="2"/>
      <c r="L241" s="2"/>
    </row>
    <row r="242" spans="1:23" customFormat="1" ht="13.5" customHeight="1" thickBot="1">
      <c r="A242" s="81"/>
      <c r="B242" s="81"/>
      <c r="C242" s="81"/>
      <c r="D242" s="81"/>
      <c r="E242" s="81"/>
      <c r="F242" s="81"/>
      <c r="G242" s="81"/>
      <c r="H242" s="81"/>
      <c r="I242" s="81"/>
      <c r="J242" s="82"/>
      <c r="K242" s="2"/>
      <c r="L242" s="2"/>
    </row>
    <row r="243" spans="1:23" customFormat="1" ht="13.5" customHeight="1">
      <c r="J243" s="2"/>
      <c r="K243" s="2"/>
      <c r="L243" s="2"/>
    </row>
    <row r="244" spans="1:23" customFormat="1" ht="15" customHeight="1">
      <c r="B244" s="10"/>
      <c r="C244" s="5"/>
      <c r="D244" s="5"/>
      <c r="E244" s="5"/>
      <c r="F244" s="5"/>
      <c r="G244" s="5"/>
      <c r="H244" s="5"/>
      <c r="I244" s="6"/>
      <c r="R244" s="11" t="str">
        <f>D245</f>
        <v>(選択してください)</v>
      </c>
    </row>
    <row r="245" spans="1:23" customFormat="1">
      <c r="B245" s="7"/>
      <c r="C245" s="77" t="str">
        <f ca="1">IFERROR(OFFSET('4.2民生電力需要量'!$C$8,MATCH(D245,'4.2民生電力需要量'!$E$9:$E$49,0),0),"")</f>
        <v/>
      </c>
      <c r="D245" s="94" t="s">
        <v>130</v>
      </c>
      <c r="E245" s="72" t="s">
        <v>131</v>
      </c>
      <c r="F245" s="1451" t="str">
        <f ca="1">IFERROR(OFFSET('4.2民生電力需要量'!$G$1,MATCH($D245,'4.2民生電力需要量'!$E:$E,0)-1,0),"")</f>
        <v/>
      </c>
      <c r="G245" s="1451"/>
      <c r="H245" s="1451"/>
      <c r="I245" s="8"/>
      <c r="R245" s="255" t="str">
        <f ca="1">IFERROR(OFFSET('4.2民生電力需要量'!$G$1,MATCH($D245,'4.2民生電力需要量'!$E:$E,0)-1,0),"")</f>
        <v/>
      </c>
      <c r="S245" s="515"/>
      <c r="T245" s="515"/>
      <c r="U245" s="515"/>
      <c r="V245" s="515"/>
      <c r="W245" s="175">
        <f ca="1">(F245=R245)*1</f>
        <v>1</v>
      </c>
    </row>
    <row r="246" spans="1:23" customFormat="1">
      <c r="B246" s="7"/>
      <c r="C246" s="915"/>
      <c r="D246" s="97"/>
      <c r="E246" s="72" t="s">
        <v>612</v>
      </c>
      <c r="F246" s="1447" t="str">
        <f ca="1">IFERROR(OFFSET('4.2民生電力需要量'!$L$1,MATCH($D245,'4.2民生電力需要量'!$E:$E,0)-1,0),"")</f>
        <v/>
      </c>
      <c r="G246" s="1448"/>
      <c r="H246" s="1449"/>
      <c r="I246" s="8"/>
      <c r="R246" s="255" t="str">
        <f ca="1">IFERROR(OFFSET('4.2民生電力需要量'!$L$1,MATCH($D245,'4.2民生電力需要量'!$E:$E,0)-1,0),"")</f>
        <v/>
      </c>
      <c r="S246" s="515"/>
      <c r="T246" s="515"/>
      <c r="U246" s="515"/>
      <c r="V246" s="515"/>
      <c r="W246" s="175">
        <f ca="1">(F246=R246)*1</f>
        <v>1</v>
      </c>
    </row>
    <row r="247" spans="1:23" customFormat="1">
      <c r="B247" s="7"/>
      <c r="C247" s="915"/>
      <c r="D247" s="97"/>
      <c r="E247" s="72" t="s">
        <v>613</v>
      </c>
      <c r="F247" s="1456"/>
      <c r="G247" s="1457"/>
      <c r="H247" s="1458"/>
      <c r="I247" s="8"/>
      <c r="R247" s="320"/>
      <c r="S247" s="515"/>
      <c r="T247" s="515"/>
      <c r="U247" s="515"/>
      <c r="V247" s="515"/>
      <c r="W247" s="515"/>
    </row>
    <row r="248" spans="1:23" customFormat="1">
      <c r="B248" s="7"/>
      <c r="C248" s="74"/>
      <c r="D248" s="66"/>
      <c r="E248" s="72" t="s">
        <v>220</v>
      </c>
      <c r="F248" s="1450" t="str">
        <f ca="1">IFERROR(OFFSET('4.2民生電力需要量'!$I$1,MATCH($D245,'4.2民生電力需要量'!$E:$E,0)-1,0),"")</f>
        <v/>
      </c>
      <c r="G248" s="1450"/>
      <c r="H248" s="1450"/>
      <c r="I248" s="8"/>
      <c r="R248" s="175" t="str">
        <f ca="1">IFERROR(OFFSET('4.2民生電力需要量'!$I$1,MATCH($D245,'4.2民生電力需要量'!$E:$E,0)-1,0),"")</f>
        <v/>
      </c>
      <c r="S248" s="515"/>
      <c r="T248" s="515"/>
      <c r="U248" s="515"/>
      <c r="V248" s="515"/>
      <c r="W248" s="175">
        <f t="shared" ref="W248:W249" ca="1" si="70">(F248=R248)*1</f>
        <v>1</v>
      </c>
    </row>
    <row r="249" spans="1:23" customFormat="1">
      <c r="B249" s="7"/>
      <c r="C249" s="74"/>
      <c r="D249" s="66"/>
      <c r="E249" s="72" t="s">
        <v>175</v>
      </c>
      <c r="F249" s="1453" t="str">
        <f>_xlfn.IFNA(R249,"")</f>
        <v/>
      </c>
      <c r="G249" s="1454"/>
      <c r="H249" s="1455"/>
      <c r="I249" s="8"/>
      <c r="R249" s="129" t="str">
        <f>IF(OR(COUNTIF($E251:$E256,"&lt;&gt;〇〇(合意形成対象者名に書き換え)")=3,COUNTIF($E251:$E256,"")&gt;3),"",IF(PRODUCT($U251:$U256)=1,V251,""))</f>
        <v/>
      </c>
      <c r="S249" s="515"/>
      <c r="T249" s="515"/>
      <c r="U249" s="515"/>
      <c r="V249" s="515"/>
      <c r="W249" s="175">
        <f t="shared" si="70"/>
        <v>1</v>
      </c>
    </row>
    <row r="250" spans="1:23" ht="63.75" customHeight="1">
      <c r="B250" s="95"/>
      <c r="C250" s="96"/>
      <c r="D250" s="97"/>
      <c r="E250" s="372"/>
      <c r="F250" s="313" t="s">
        <v>281</v>
      </c>
      <c r="G250" s="313" t="s">
        <v>282</v>
      </c>
      <c r="H250" s="313" t="s">
        <v>279</v>
      </c>
      <c r="I250" s="98"/>
      <c r="J250" s="11"/>
      <c r="R250" s="126" t="s">
        <v>270</v>
      </c>
      <c r="S250" s="126" t="s">
        <v>426</v>
      </c>
      <c r="T250" s="129" t="s">
        <v>402</v>
      </c>
      <c r="U250" s="129" t="s">
        <v>430</v>
      </c>
      <c r="V250" s="126" t="s">
        <v>425</v>
      </c>
      <c r="W250" s="255"/>
    </row>
    <row r="251" spans="1:23" hidden="1">
      <c r="B251" s="95"/>
      <c r="C251" s="96"/>
      <c r="D251" s="97"/>
      <c r="E251" s="442"/>
      <c r="F251" s="443"/>
      <c r="G251" s="439"/>
      <c r="H251" s="439"/>
      <c r="I251" s="98"/>
      <c r="J251" s="11"/>
      <c r="R251" s="129">
        <f>IF(AND(F251="実施済",G251="実施済",H251="完了"),3,0)</f>
        <v>0</v>
      </c>
      <c r="S251" s="129" t="str">
        <f>IF(OR(E251="〇〇(合意形成対象者名に書き換え)",E251=""),"",R251)</f>
        <v/>
      </c>
      <c r="T251" s="129">
        <f t="shared" ref="T251:T256" si="71">MIN($S$251:$S$256)+1</f>
        <v>1</v>
      </c>
      <c r="U251" s="129">
        <f>IF(E251="",1,IF(AND(E251="〇〇(合意形成対象者名に書き換え)",COUNTA($F251:$H251)=0),1,IF(AND(E251&lt;&gt;"〇〇(合意形成対象者名に書き換え)",COUNTA($F251:$H251)=3),1,0)))</f>
        <v>1</v>
      </c>
      <c r="V251" s="129" t="str" cm="1">
        <f t="array" ref="V251">_xlfn.IFS(T251=4,"A",T251=3,"B",T251=2,"C",T251=1,"D")</f>
        <v>D</v>
      </c>
      <c r="W251" s="255"/>
    </row>
    <row r="252" spans="1:23">
      <c r="B252" s="95"/>
      <c r="C252" s="96"/>
      <c r="D252" s="97"/>
      <c r="E252" s="100" t="s">
        <v>129</v>
      </c>
      <c r="F252" s="446"/>
      <c r="G252" s="441"/>
      <c r="H252" s="441"/>
      <c r="I252" s="98"/>
      <c r="J252" s="11"/>
      <c r="R252" s="129">
        <f t="shared" ref="R252:R256" si="72">IF(AND(F252="実施済",G252="実施済",H252="完了"),3,0)</f>
        <v>0</v>
      </c>
      <c r="S252" s="129" t="str">
        <f t="shared" ref="S252:S256" si="73">IF(OR(E252="〇〇(合意形成対象者名に書き換え)",E252=""),"",R252)</f>
        <v/>
      </c>
      <c r="T252" s="129">
        <f t="shared" si="71"/>
        <v>1</v>
      </c>
      <c r="U252" s="129">
        <f>IF(E252="",1,IF(AND(E252="〇〇(合意形成対象者名に書き換え)",COUNTA($F252:$H252)=0),1,IF(AND(E252&lt;&gt;"〇〇(合意形成対象者名に書き換え)",COUNTA($F252:$H252)=3),1,0)))</f>
        <v>1</v>
      </c>
      <c r="V252" s="129" t="str" cm="1">
        <f t="array" ref="V252">_xlfn.IFS(T252=4,"A",T252=3,"B",T252=2,"C",T252=1,"D")</f>
        <v>D</v>
      </c>
      <c r="W252" s="255"/>
    </row>
    <row r="253" spans="1:23">
      <c r="B253" s="95"/>
      <c r="C253" s="96"/>
      <c r="D253" s="97"/>
      <c r="E253" s="100" t="s">
        <v>129</v>
      </c>
      <c r="F253" s="446"/>
      <c r="G253" s="441"/>
      <c r="H253" s="441"/>
      <c r="I253" s="98"/>
      <c r="J253" s="11"/>
      <c r="R253" s="129">
        <f t="shared" si="72"/>
        <v>0</v>
      </c>
      <c r="S253" s="129" t="str">
        <f t="shared" si="73"/>
        <v/>
      </c>
      <c r="T253" s="129">
        <f t="shared" si="71"/>
        <v>1</v>
      </c>
      <c r="U253" s="129">
        <f>IF(E253="",1,IF(AND(E253="〇〇(合意形成対象者名に書き換え)",COUNTA($F253:$H253)=0),1,IF(AND(E253&lt;&gt;"〇〇(合意形成対象者名に書き換え)",COUNTA($F253:$H253)=3),1,0)))</f>
        <v>1</v>
      </c>
      <c r="V253" s="129" t="str" cm="1">
        <f t="array" ref="V253">_xlfn.IFS(T253=4,"A",T253=3,"B",T253=2,"C",T253=1,"D")</f>
        <v>D</v>
      </c>
      <c r="W253" s="255"/>
    </row>
    <row r="254" spans="1:23" s="99" customFormat="1">
      <c r="A254" s="11"/>
      <c r="B254" s="95"/>
      <c r="C254" s="96"/>
      <c r="D254" s="97"/>
      <c r="E254" s="100" t="s">
        <v>129</v>
      </c>
      <c r="F254" s="446"/>
      <c r="G254" s="441"/>
      <c r="H254" s="441"/>
      <c r="I254" s="98"/>
      <c r="J254" s="11"/>
      <c r="M254" s="11"/>
      <c r="N254" s="11"/>
      <c r="O254" s="11"/>
      <c r="P254" s="11"/>
      <c r="Q254" s="11"/>
      <c r="R254" s="129">
        <f t="shared" si="72"/>
        <v>0</v>
      </c>
      <c r="S254" s="129" t="str">
        <f t="shared" si="73"/>
        <v/>
      </c>
      <c r="T254" s="129">
        <f t="shared" si="71"/>
        <v>1</v>
      </c>
      <c r="U254" s="129">
        <f>IF(E254="",1,IF(AND(E254="〇〇(合意形成対象者名に書き換え)",COUNTA($F254:$H254)=0),1,IF(AND(E254&lt;&gt;"〇〇(合意形成対象者名に書き換え)",COUNTA($F254:$H254)=3),1,0)))</f>
        <v>1</v>
      </c>
      <c r="V254" s="129" t="str" cm="1">
        <f t="array" ref="V254">_xlfn.IFS(T254=4,"A",T254=3,"B",T254=2,"C",T254=1,"D")</f>
        <v>D</v>
      </c>
      <c r="W254" s="129"/>
    </row>
    <row r="255" spans="1:23" customFormat="1" ht="7.5" customHeight="1">
      <c r="B255" s="65"/>
      <c r="C255" s="4"/>
      <c r="D255" s="4"/>
      <c r="E255" s="4"/>
      <c r="F255" s="4"/>
      <c r="G255" s="4"/>
      <c r="H255" s="4"/>
      <c r="I255" s="9"/>
      <c r="J255" s="2"/>
      <c r="K255" s="2"/>
      <c r="L255" s="2"/>
      <c r="R255" s="129">
        <f t="shared" si="72"/>
        <v>0</v>
      </c>
      <c r="S255" s="129" t="str">
        <f t="shared" si="73"/>
        <v/>
      </c>
      <c r="T255" s="129">
        <f t="shared" si="71"/>
        <v>1</v>
      </c>
      <c r="U255" s="129">
        <f t="shared" ref="U255:U256" si="74">IF(E255="",1,IF(AND(E255="〇〇(合意形成対象者名に書き換え)",COUNTA($F255:$H255)=0),1,IF(AND(E255&lt;&gt;"〇〇(合意形成対象者名に書き換え)",COUNTA($F255:$H255)=3),1,0)))</f>
        <v>1</v>
      </c>
      <c r="V255" s="129" t="str" cm="1">
        <f t="array" ref="V255">_xlfn.IFS(T255=4,"A",T255=3,"B",T255=2,"C",T255=1,"D")</f>
        <v>D</v>
      </c>
      <c r="W255" s="175"/>
    </row>
    <row r="256" spans="1:23" customFormat="1" ht="6" customHeight="1">
      <c r="J256" s="2"/>
      <c r="K256" s="2"/>
      <c r="L256" s="2"/>
      <c r="R256" s="129">
        <f t="shared" si="72"/>
        <v>0</v>
      </c>
      <c r="S256" s="129" t="str">
        <f t="shared" si="73"/>
        <v/>
      </c>
      <c r="T256" s="129">
        <f t="shared" si="71"/>
        <v>1</v>
      </c>
      <c r="U256" s="129">
        <f t="shared" si="74"/>
        <v>1</v>
      </c>
      <c r="V256" s="129" t="str" cm="1">
        <f t="array" ref="V256">_xlfn.IFS(T256=4,"A",T256=3,"B",T256=2,"C",T256=1,"D")</f>
        <v>D</v>
      </c>
      <c r="W256" s="175"/>
    </row>
    <row r="257" spans="1:23" customFormat="1" ht="103.5" customHeight="1">
      <c r="C257" s="78"/>
      <c r="D257" s="79"/>
      <c r="E257" s="71" t="s">
        <v>236</v>
      </c>
      <c r="F257" s="1452"/>
      <c r="G257" s="1452"/>
      <c r="H257" s="1452"/>
      <c r="I257" s="80" t="s">
        <v>132</v>
      </c>
      <c r="J257" s="80"/>
    </row>
    <row r="258" spans="1:23" customFormat="1" ht="146.25" customHeight="1">
      <c r="C258" s="75"/>
      <c r="D258" s="68"/>
      <c r="E258" s="71" t="s">
        <v>235</v>
      </c>
      <c r="F258" s="1452"/>
      <c r="G258" s="1452"/>
      <c r="H258" s="1452"/>
      <c r="J258" s="2"/>
      <c r="K258" s="2"/>
      <c r="L258" s="2"/>
    </row>
    <row r="259" spans="1:23" customFormat="1" ht="13.5" customHeight="1" thickBot="1">
      <c r="A259" s="81"/>
      <c r="B259" s="81"/>
      <c r="C259" s="81"/>
      <c r="D259" s="81"/>
      <c r="E259" s="81"/>
      <c r="F259" s="81"/>
      <c r="G259" s="81"/>
      <c r="H259" s="81"/>
      <c r="I259" s="81"/>
      <c r="J259" s="82"/>
      <c r="K259" s="2"/>
      <c r="L259" s="2"/>
    </row>
    <row r="260" spans="1:23" customFormat="1" ht="13.5" customHeight="1">
      <c r="J260" s="2"/>
      <c r="K260" s="2"/>
      <c r="L260" s="2"/>
    </row>
    <row r="261" spans="1:23" customFormat="1" ht="15" customHeight="1">
      <c r="B261" s="10"/>
      <c r="C261" s="5"/>
      <c r="D261" s="5"/>
      <c r="E261" s="5"/>
      <c r="F261" s="5"/>
      <c r="G261" s="5"/>
      <c r="H261" s="5"/>
      <c r="I261" s="6"/>
      <c r="R261" s="11" t="str">
        <f>D262</f>
        <v>(選択してください)</v>
      </c>
    </row>
    <row r="262" spans="1:23" customFormat="1">
      <c r="B262" s="7"/>
      <c r="C262" s="77" t="str">
        <f ca="1">IFERROR(OFFSET('4.2民生電力需要量'!$C$8,MATCH(D262,'4.2民生電力需要量'!$E$9:$E$49,0),0),"")</f>
        <v/>
      </c>
      <c r="D262" s="94" t="s">
        <v>130</v>
      </c>
      <c r="E262" s="72" t="s">
        <v>131</v>
      </c>
      <c r="F262" s="1451" t="str">
        <f ca="1">IFERROR(OFFSET('4.2民生電力需要量'!$G$1,MATCH($D262,'4.2民生電力需要量'!$E:$E,0)-1,0),"")</f>
        <v/>
      </c>
      <c r="G262" s="1451"/>
      <c r="H262" s="1451"/>
      <c r="I262" s="8"/>
      <c r="R262" s="255" t="str">
        <f ca="1">IFERROR(OFFSET('4.2民生電力需要量'!$G$1,MATCH($D262,'4.2民生電力需要量'!$E:$E,0)-1,0),"")</f>
        <v/>
      </c>
      <c r="S262" s="515"/>
      <c r="T262" s="515"/>
      <c r="U262" s="515"/>
      <c r="V262" s="515"/>
      <c r="W262" s="175">
        <f ca="1">(F262=R262)*1</f>
        <v>1</v>
      </c>
    </row>
    <row r="263" spans="1:23" customFormat="1">
      <c r="B263" s="7"/>
      <c r="C263" s="915"/>
      <c r="D263" s="97"/>
      <c r="E263" s="72" t="s">
        <v>612</v>
      </c>
      <c r="F263" s="1447" t="str">
        <f ca="1">IFERROR(OFFSET('4.2民生電力需要量'!$L$1,MATCH($D262,'4.2民生電力需要量'!$E:$E,0)-1,0),"")</f>
        <v/>
      </c>
      <c r="G263" s="1448"/>
      <c r="H263" s="1449"/>
      <c r="I263" s="8"/>
      <c r="R263" s="255" t="str">
        <f ca="1">IFERROR(OFFSET('4.2民生電力需要量'!$L$1,MATCH($D262,'4.2民生電力需要量'!$E:$E,0)-1,0),"")</f>
        <v/>
      </c>
      <c r="S263" s="515"/>
      <c r="T263" s="515"/>
      <c r="U263" s="515"/>
      <c r="V263" s="515"/>
      <c r="W263" s="175">
        <f ca="1">(F263=R263)*1</f>
        <v>1</v>
      </c>
    </row>
    <row r="264" spans="1:23" customFormat="1">
      <c r="B264" s="7"/>
      <c r="C264" s="915"/>
      <c r="D264" s="97"/>
      <c r="E264" s="72" t="s">
        <v>613</v>
      </c>
      <c r="F264" s="1456"/>
      <c r="G264" s="1457"/>
      <c r="H264" s="1458"/>
      <c r="I264" s="8"/>
      <c r="R264" s="320"/>
      <c r="S264" s="515"/>
      <c r="T264" s="515"/>
      <c r="U264" s="515"/>
      <c r="V264" s="515"/>
      <c r="W264" s="515"/>
    </row>
    <row r="265" spans="1:23" customFormat="1">
      <c r="B265" s="7"/>
      <c r="C265" s="74"/>
      <c r="D265" s="66"/>
      <c r="E265" s="72" t="s">
        <v>220</v>
      </c>
      <c r="F265" s="1450" t="str">
        <f ca="1">IFERROR(OFFSET('4.2民生電力需要量'!$I$1,MATCH($D262,'4.2民生電力需要量'!$E:$E,0)-1,0),"")</f>
        <v/>
      </c>
      <c r="G265" s="1450"/>
      <c r="H265" s="1450"/>
      <c r="I265" s="8"/>
      <c r="R265" s="175" t="str">
        <f ca="1">IFERROR(OFFSET('4.2民生電力需要量'!$I$1,MATCH($D262,'4.2民生電力需要量'!$E:$E,0)-1,0),"")</f>
        <v/>
      </c>
      <c r="S265" s="515"/>
      <c r="T265" s="515"/>
      <c r="U265" s="515"/>
      <c r="V265" s="515"/>
      <c r="W265" s="175">
        <f t="shared" ref="W265:W266" ca="1" si="75">(F265=R265)*1</f>
        <v>1</v>
      </c>
    </row>
    <row r="266" spans="1:23" customFormat="1">
      <c r="B266" s="7"/>
      <c r="C266" s="74"/>
      <c r="D266" s="66"/>
      <c r="E266" s="72" t="s">
        <v>175</v>
      </c>
      <c r="F266" s="1453" t="str">
        <f>_xlfn.IFNA(R266,"")</f>
        <v/>
      </c>
      <c r="G266" s="1454"/>
      <c r="H266" s="1455"/>
      <c r="I266" s="8"/>
      <c r="R266" s="129" t="str">
        <f>IF(OR(COUNTIF($E268:$E273,"&lt;&gt;〇〇(合意形成対象者名に書き換え)")=3,COUNTIF($E268:$E273,"")&gt;3),"",IF(PRODUCT($U268:$U273)=1,V268,""))</f>
        <v/>
      </c>
      <c r="S266" s="515"/>
      <c r="T266" s="515"/>
      <c r="U266" s="515"/>
      <c r="V266" s="515"/>
      <c r="W266" s="175">
        <f t="shared" si="75"/>
        <v>1</v>
      </c>
    </row>
    <row r="267" spans="1:23" ht="63.75" customHeight="1">
      <c r="B267" s="95"/>
      <c r="C267" s="96"/>
      <c r="D267" s="97"/>
      <c r="E267" s="372"/>
      <c r="F267" s="313" t="s">
        <v>281</v>
      </c>
      <c r="G267" s="313" t="s">
        <v>282</v>
      </c>
      <c r="H267" s="313" t="s">
        <v>279</v>
      </c>
      <c r="I267" s="98"/>
      <c r="J267" s="11"/>
      <c r="R267" s="126" t="s">
        <v>270</v>
      </c>
      <c r="S267" s="126" t="s">
        <v>426</v>
      </c>
      <c r="T267" s="129" t="s">
        <v>402</v>
      </c>
      <c r="U267" s="129" t="s">
        <v>430</v>
      </c>
      <c r="V267" s="126" t="s">
        <v>425</v>
      </c>
      <c r="W267" s="255"/>
    </row>
    <row r="268" spans="1:23" hidden="1">
      <c r="B268" s="95"/>
      <c r="C268" s="96"/>
      <c r="D268" s="97"/>
      <c r="E268" s="442"/>
      <c r="F268" s="443"/>
      <c r="G268" s="439"/>
      <c r="H268" s="439"/>
      <c r="I268" s="98"/>
      <c r="J268" s="11"/>
      <c r="R268" s="129">
        <f>IF(AND(F268="実施済",G268="実施済",H268="完了"),3,0)</f>
        <v>0</v>
      </c>
      <c r="S268" s="129" t="str">
        <f>IF(OR(E268="〇〇(合意形成対象者名に書き換え)",E268=""),"",R268)</f>
        <v/>
      </c>
      <c r="T268" s="129">
        <f t="shared" ref="T268:T273" si="76">MIN($S$268:$S$273)+1</f>
        <v>1</v>
      </c>
      <c r="U268" s="129">
        <f>IF(E268="",1,IF(AND(E268="〇〇(合意形成対象者名に書き換え)",COUNTA($F268:$H268)=0),1,IF(AND(E268&lt;&gt;"〇〇(合意形成対象者名に書き換え)",COUNTA($F268:$H268)=3),1,0)))</f>
        <v>1</v>
      </c>
      <c r="V268" s="129" t="str" cm="1">
        <f t="array" ref="V268">_xlfn.IFS(T268=4,"A",T268=3,"B",T268=2,"C",T268=1,"D")</f>
        <v>D</v>
      </c>
      <c r="W268" s="255"/>
    </row>
    <row r="269" spans="1:23">
      <c r="B269" s="95"/>
      <c r="C269" s="96"/>
      <c r="D269" s="97"/>
      <c r="E269" s="100" t="s">
        <v>129</v>
      </c>
      <c r="F269" s="446"/>
      <c r="G269" s="441"/>
      <c r="H269" s="441"/>
      <c r="I269" s="98"/>
      <c r="J269" s="11"/>
      <c r="R269" s="129">
        <f t="shared" ref="R269:R273" si="77">IF(AND(F269="実施済",G269="実施済",H269="完了"),3,0)</f>
        <v>0</v>
      </c>
      <c r="S269" s="129" t="str">
        <f t="shared" ref="S269:S273" si="78">IF(OR(E269="〇〇(合意形成対象者名に書き換え)",E269=""),"",R269)</f>
        <v/>
      </c>
      <c r="T269" s="129">
        <f t="shared" si="76"/>
        <v>1</v>
      </c>
      <c r="U269" s="129">
        <f>IF(E269="",1,IF(AND(E269="〇〇(合意形成対象者名に書き換え)",COUNTA($F269:$H269)=0),1,IF(AND(E269&lt;&gt;"〇〇(合意形成対象者名に書き換え)",COUNTA($F269:$H269)=3),1,0)))</f>
        <v>1</v>
      </c>
      <c r="V269" s="129" t="str" cm="1">
        <f t="array" ref="V269">_xlfn.IFS(T269=4,"A",T269=3,"B",T269=2,"C",T269=1,"D")</f>
        <v>D</v>
      </c>
      <c r="W269" s="255"/>
    </row>
    <row r="270" spans="1:23">
      <c r="B270" s="95"/>
      <c r="C270" s="96"/>
      <c r="D270" s="97"/>
      <c r="E270" s="100" t="s">
        <v>129</v>
      </c>
      <c r="F270" s="446"/>
      <c r="G270" s="441"/>
      <c r="H270" s="441"/>
      <c r="I270" s="98"/>
      <c r="J270" s="11"/>
      <c r="R270" s="129">
        <f t="shared" si="77"/>
        <v>0</v>
      </c>
      <c r="S270" s="129" t="str">
        <f t="shared" si="78"/>
        <v/>
      </c>
      <c r="T270" s="129">
        <f t="shared" si="76"/>
        <v>1</v>
      </c>
      <c r="U270" s="129">
        <f>IF(E270="",1,IF(AND(E270="〇〇(合意形成対象者名に書き換え)",COUNTA($F270:$H270)=0),1,IF(AND(E270&lt;&gt;"〇〇(合意形成対象者名に書き換え)",COUNTA($F270:$H270)=3),1,0)))</f>
        <v>1</v>
      </c>
      <c r="V270" s="129" t="str" cm="1">
        <f t="array" ref="V270">_xlfn.IFS(T270=4,"A",T270=3,"B",T270=2,"C",T270=1,"D")</f>
        <v>D</v>
      </c>
      <c r="W270" s="255"/>
    </row>
    <row r="271" spans="1:23" s="99" customFormat="1">
      <c r="A271" s="11"/>
      <c r="B271" s="95"/>
      <c r="C271" s="96"/>
      <c r="D271" s="97"/>
      <c r="E271" s="100" t="s">
        <v>129</v>
      </c>
      <c r="F271" s="446"/>
      <c r="G271" s="441"/>
      <c r="H271" s="441"/>
      <c r="I271" s="98"/>
      <c r="J271" s="11"/>
      <c r="M271" s="11"/>
      <c r="N271" s="11"/>
      <c r="O271" s="11"/>
      <c r="P271" s="11"/>
      <c r="Q271" s="11"/>
      <c r="R271" s="129">
        <f t="shared" si="77"/>
        <v>0</v>
      </c>
      <c r="S271" s="129" t="str">
        <f t="shared" si="78"/>
        <v/>
      </c>
      <c r="T271" s="129">
        <f t="shared" si="76"/>
        <v>1</v>
      </c>
      <c r="U271" s="129">
        <f>IF(E271="",1,IF(AND(E271="〇〇(合意形成対象者名に書き換え)",COUNTA($F271:$H271)=0),1,IF(AND(E271&lt;&gt;"〇〇(合意形成対象者名に書き換え)",COUNTA($F271:$H271)=3),1,0)))</f>
        <v>1</v>
      </c>
      <c r="V271" s="129" t="str" cm="1">
        <f t="array" ref="V271">_xlfn.IFS(T271=4,"A",T271=3,"B",T271=2,"C",T271=1,"D")</f>
        <v>D</v>
      </c>
      <c r="W271" s="129"/>
    </row>
    <row r="272" spans="1:23" customFormat="1" ht="7.5" customHeight="1">
      <c r="B272" s="65"/>
      <c r="C272" s="4"/>
      <c r="D272" s="4"/>
      <c r="E272" s="4"/>
      <c r="F272" s="4"/>
      <c r="G272" s="4"/>
      <c r="H272" s="4"/>
      <c r="I272" s="9"/>
      <c r="J272" s="2"/>
      <c r="K272" s="2"/>
      <c r="L272" s="2"/>
      <c r="R272" s="129">
        <f t="shared" si="77"/>
        <v>0</v>
      </c>
      <c r="S272" s="129" t="str">
        <f t="shared" si="78"/>
        <v/>
      </c>
      <c r="T272" s="129">
        <f t="shared" si="76"/>
        <v>1</v>
      </c>
      <c r="U272" s="129">
        <f t="shared" ref="U272:U273" si="79">IF(E272="",1,IF(AND(E272="〇〇(合意形成対象者名に書き換え)",COUNTA($F272:$H272)=0),1,IF(AND(E272&lt;&gt;"〇〇(合意形成対象者名に書き換え)",COUNTA($F272:$H272)=3),1,0)))</f>
        <v>1</v>
      </c>
      <c r="V272" s="129" t="str" cm="1">
        <f t="array" ref="V272">_xlfn.IFS(T272=4,"A",T272=3,"B",T272=2,"C",T272=1,"D")</f>
        <v>D</v>
      </c>
      <c r="W272" s="175"/>
    </row>
    <row r="273" spans="1:23" customFormat="1" ht="6" customHeight="1">
      <c r="J273" s="2"/>
      <c r="K273" s="2"/>
      <c r="L273" s="2"/>
      <c r="R273" s="129">
        <f t="shared" si="77"/>
        <v>0</v>
      </c>
      <c r="S273" s="129" t="str">
        <f t="shared" si="78"/>
        <v/>
      </c>
      <c r="T273" s="129">
        <f t="shared" si="76"/>
        <v>1</v>
      </c>
      <c r="U273" s="129">
        <f t="shared" si="79"/>
        <v>1</v>
      </c>
      <c r="V273" s="129" t="str" cm="1">
        <f t="array" ref="V273">_xlfn.IFS(T273=4,"A",T273=3,"B",T273=2,"C",T273=1,"D")</f>
        <v>D</v>
      </c>
      <c r="W273" s="175"/>
    </row>
    <row r="274" spans="1:23" customFormat="1" ht="103.5" customHeight="1">
      <c r="C274" s="78"/>
      <c r="D274" s="79"/>
      <c r="E274" s="71" t="s">
        <v>236</v>
      </c>
      <c r="F274" s="1452"/>
      <c r="G274" s="1452"/>
      <c r="H274" s="1452"/>
      <c r="I274" s="80" t="s">
        <v>132</v>
      </c>
      <c r="J274" s="80"/>
    </row>
    <row r="275" spans="1:23" customFormat="1" ht="146.25" customHeight="1">
      <c r="C275" s="75"/>
      <c r="D275" s="68"/>
      <c r="E275" s="71" t="s">
        <v>235</v>
      </c>
      <c r="F275" s="1452"/>
      <c r="G275" s="1452"/>
      <c r="H275" s="1452"/>
      <c r="J275" s="2"/>
      <c r="K275" s="2"/>
      <c r="L275" s="2"/>
    </row>
    <row r="276" spans="1:23" customFormat="1" ht="13.5" customHeight="1" thickBot="1">
      <c r="A276" s="81"/>
      <c r="B276" s="81"/>
      <c r="C276" s="81"/>
      <c r="D276" s="81"/>
      <c r="E276" s="81"/>
      <c r="F276" s="81"/>
      <c r="G276" s="81"/>
      <c r="H276" s="81"/>
      <c r="I276" s="81"/>
      <c r="J276" s="82"/>
      <c r="K276" s="2"/>
      <c r="L276" s="2"/>
    </row>
    <row r="277" spans="1:23" customFormat="1" ht="13.5" customHeight="1">
      <c r="J277" s="2"/>
      <c r="K277" s="2"/>
      <c r="L277" s="2"/>
    </row>
    <row r="278" spans="1:23" customFormat="1" ht="15" customHeight="1">
      <c r="B278" s="10"/>
      <c r="C278" s="5"/>
      <c r="D278" s="5"/>
      <c r="E278" s="5"/>
      <c r="F278" s="5"/>
      <c r="G278" s="5"/>
      <c r="H278" s="5"/>
      <c r="I278" s="6"/>
      <c r="R278" s="11" t="str">
        <f>D279</f>
        <v>(選択してください)</v>
      </c>
    </row>
    <row r="279" spans="1:23" customFormat="1">
      <c r="B279" s="7"/>
      <c r="C279" s="77" t="str">
        <f ca="1">IFERROR(OFFSET('4.2民生電力需要量'!$C$8,MATCH(D279,'4.2民生電力需要量'!$E$9:$E$49,0),0),"")</f>
        <v/>
      </c>
      <c r="D279" s="94" t="s">
        <v>130</v>
      </c>
      <c r="E279" s="72" t="s">
        <v>131</v>
      </c>
      <c r="F279" s="1451" t="str">
        <f ca="1">IFERROR(OFFSET('4.2民生電力需要量'!$G$1,MATCH($D279,'4.2民生電力需要量'!$E:$E,0)-1,0),"")</f>
        <v/>
      </c>
      <c r="G279" s="1451"/>
      <c r="H279" s="1451"/>
      <c r="I279" s="8"/>
      <c r="R279" s="255" t="str">
        <f ca="1">IFERROR(OFFSET('4.2民生電力需要量'!$G$1,MATCH($D279,'4.2民生電力需要量'!$E:$E,0)-1,0),"")</f>
        <v/>
      </c>
      <c r="S279" s="515"/>
      <c r="T279" s="515"/>
      <c r="U279" s="515"/>
      <c r="V279" s="515"/>
      <c r="W279" s="175">
        <f ca="1">(F279=R279)*1</f>
        <v>1</v>
      </c>
    </row>
    <row r="280" spans="1:23" customFormat="1">
      <c r="B280" s="7"/>
      <c r="C280" s="915"/>
      <c r="D280" s="97"/>
      <c r="E280" s="72" t="s">
        <v>612</v>
      </c>
      <c r="F280" s="1447" t="str">
        <f ca="1">IFERROR(OFFSET('4.2民生電力需要量'!$L$1,MATCH($D279,'4.2民生電力需要量'!$E:$E,0)-1,0),"")</f>
        <v/>
      </c>
      <c r="G280" s="1448"/>
      <c r="H280" s="1449"/>
      <c r="I280" s="8"/>
      <c r="R280" s="255" t="str">
        <f ca="1">IFERROR(OFFSET('4.2民生電力需要量'!$L$1,MATCH($D279,'4.2民生電力需要量'!$E:$E,0)-1,0),"")</f>
        <v/>
      </c>
      <c r="S280" s="515"/>
      <c r="T280" s="515"/>
      <c r="U280" s="515"/>
      <c r="V280" s="515"/>
      <c r="W280" s="175">
        <f ca="1">(F280=R280)*1</f>
        <v>1</v>
      </c>
    </row>
    <row r="281" spans="1:23" customFormat="1">
      <c r="B281" s="7"/>
      <c r="C281" s="915"/>
      <c r="D281" s="97"/>
      <c r="E281" s="72" t="s">
        <v>613</v>
      </c>
      <c r="F281" s="1456"/>
      <c r="G281" s="1457"/>
      <c r="H281" s="1458"/>
      <c r="I281" s="8"/>
      <c r="R281" s="320"/>
      <c r="S281" s="515"/>
      <c r="T281" s="515"/>
      <c r="U281" s="515"/>
      <c r="V281" s="515"/>
      <c r="W281" s="515"/>
    </row>
    <row r="282" spans="1:23" customFormat="1">
      <c r="B282" s="7"/>
      <c r="C282" s="74"/>
      <c r="D282" s="66"/>
      <c r="E282" s="72" t="s">
        <v>220</v>
      </c>
      <c r="F282" s="1450" t="str">
        <f ca="1">IFERROR(OFFSET('4.2民生電力需要量'!$I$1,MATCH($D279,'4.2民生電力需要量'!$E:$E,0)-1,0),"")</f>
        <v/>
      </c>
      <c r="G282" s="1450"/>
      <c r="H282" s="1450"/>
      <c r="I282" s="8"/>
      <c r="R282" s="175" t="str">
        <f ca="1">IFERROR(OFFSET('4.2民生電力需要量'!$I$1,MATCH($D279,'4.2民生電力需要量'!$E:$E,0)-1,0),"")</f>
        <v/>
      </c>
      <c r="S282" s="515"/>
      <c r="T282" s="515"/>
      <c r="U282" s="515"/>
      <c r="V282" s="515"/>
      <c r="W282" s="175">
        <f t="shared" ref="W282:W283" ca="1" si="80">(F282=R282)*1</f>
        <v>1</v>
      </c>
    </row>
    <row r="283" spans="1:23" customFormat="1">
      <c r="B283" s="7"/>
      <c r="C283" s="74"/>
      <c r="D283" s="66"/>
      <c r="E283" s="72" t="s">
        <v>175</v>
      </c>
      <c r="F283" s="1453" t="str">
        <f>_xlfn.IFNA(R283,"")</f>
        <v/>
      </c>
      <c r="G283" s="1454"/>
      <c r="H283" s="1455"/>
      <c r="I283" s="8"/>
      <c r="R283" s="129" t="str">
        <f>IF(OR(COUNTIF($E285:$E290,"&lt;&gt;〇〇(合意形成対象者名に書き換え)")=3,COUNTIF($E285:$E290,"")&gt;3),"",IF(PRODUCT($U285:$U290)=1,V285,""))</f>
        <v/>
      </c>
      <c r="S283" s="515"/>
      <c r="T283" s="515"/>
      <c r="U283" s="515"/>
      <c r="V283" s="515"/>
      <c r="W283" s="175">
        <f t="shared" si="80"/>
        <v>1</v>
      </c>
    </row>
    <row r="284" spans="1:23" ht="63.75" customHeight="1">
      <c r="B284" s="95"/>
      <c r="C284" s="96"/>
      <c r="D284" s="97"/>
      <c r="E284" s="372"/>
      <c r="F284" s="313" t="s">
        <v>281</v>
      </c>
      <c r="G284" s="313" t="s">
        <v>282</v>
      </c>
      <c r="H284" s="313" t="s">
        <v>279</v>
      </c>
      <c r="I284" s="98"/>
      <c r="J284" s="11"/>
      <c r="R284" s="126" t="s">
        <v>270</v>
      </c>
      <c r="S284" s="126" t="s">
        <v>426</v>
      </c>
      <c r="T284" s="129" t="s">
        <v>402</v>
      </c>
      <c r="U284" s="129" t="s">
        <v>430</v>
      </c>
      <c r="V284" s="126" t="s">
        <v>425</v>
      </c>
      <c r="W284" s="255"/>
    </row>
    <row r="285" spans="1:23" hidden="1">
      <c r="B285" s="95"/>
      <c r="C285" s="96"/>
      <c r="D285" s="97"/>
      <c r="E285" s="442"/>
      <c r="F285" s="443"/>
      <c r="G285" s="439"/>
      <c r="H285" s="439"/>
      <c r="I285" s="98"/>
      <c r="J285" s="11"/>
      <c r="R285" s="129">
        <f>IF(AND(F285="実施済",G285="実施済",H285="完了"),3,0)</f>
        <v>0</v>
      </c>
      <c r="S285" s="129" t="str">
        <f>IF(OR(E285="〇〇(合意形成対象者名に書き換え)",E285=""),"",R285)</f>
        <v/>
      </c>
      <c r="T285" s="129">
        <f t="shared" ref="T285:T290" si="81">MIN($S$285:$S$290)+1</f>
        <v>1</v>
      </c>
      <c r="U285" s="129">
        <f>IF(E285="",1,IF(AND(E285="〇〇(合意形成対象者名に書き換え)",COUNTA($F285:$H285)=0),1,IF(AND(E285&lt;&gt;"〇〇(合意形成対象者名に書き換え)",COUNTA($F285:$H285)=3),1,0)))</f>
        <v>1</v>
      </c>
      <c r="V285" s="129" t="str" cm="1">
        <f t="array" ref="V285">_xlfn.IFS(T285=4,"A",T285=3,"B",T285=2,"C",T285=1,"D")</f>
        <v>D</v>
      </c>
      <c r="W285" s="255"/>
    </row>
    <row r="286" spans="1:23">
      <c r="B286" s="95"/>
      <c r="C286" s="96"/>
      <c r="D286" s="97"/>
      <c r="E286" s="100" t="s">
        <v>129</v>
      </c>
      <c r="F286" s="446"/>
      <c r="G286" s="441"/>
      <c r="H286" s="441"/>
      <c r="I286" s="98"/>
      <c r="J286" s="11"/>
      <c r="R286" s="129">
        <f t="shared" ref="R286:R290" si="82">IF(AND(F286="実施済",G286="実施済",H286="完了"),3,0)</f>
        <v>0</v>
      </c>
      <c r="S286" s="129" t="str">
        <f t="shared" ref="S286:S290" si="83">IF(OR(E286="〇〇(合意形成対象者名に書き換え)",E286=""),"",R286)</f>
        <v/>
      </c>
      <c r="T286" s="129">
        <f t="shared" si="81"/>
        <v>1</v>
      </c>
      <c r="U286" s="129">
        <f>IF(E286="",1,IF(AND(E286="〇〇(合意形成対象者名に書き換え)",COUNTA($F286:$H286)=0),1,IF(AND(E286&lt;&gt;"〇〇(合意形成対象者名に書き換え)",COUNTA($F286:$H286)=3),1,0)))</f>
        <v>1</v>
      </c>
      <c r="V286" s="129" t="str" cm="1">
        <f t="array" ref="V286">_xlfn.IFS(T286=4,"A",T286=3,"B",T286=2,"C",T286=1,"D")</f>
        <v>D</v>
      </c>
      <c r="W286" s="255"/>
    </row>
    <row r="287" spans="1:23">
      <c r="B287" s="95"/>
      <c r="C287" s="96"/>
      <c r="D287" s="97"/>
      <c r="E287" s="100" t="s">
        <v>129</v>
      </c>
      <c r="F287" s="446"/>
      <c r="G287" s="441"/>
      <c r="H287" s="441"/>
      <c r="I287" s="98"/>
      <c r="J287" s="11"/>
      <c r="R287" s="129">
        <f t="shared" si="82"/>
        <v>0</v>
      </c>
      <c r="S287" s="129" t="str">
        <f t="shared" si="83"/>
        <v/>
      </c>
      <c r="T287" s="129">
        <f t="shared" si="81"/>
        <v>1</v>
      </c>
      <c r="U287" s="129">
        <f>IF(E287="",1,IF(AND(E287="〇〇(合意形成対象者名に書き換え)",COUNTA($F287:$H287)=0),1,IF(AND(E287&lt;&gt;"〇〇(合意形成対象者名に書き換え)",COUNTA($F287:$H287)=3),1,0)))</f>
        <v>1</v>
      </c>
      <c r="V287" s="129" t="str" cm="1">
        <f t="array" ref="V287">_xlfn.IFS(T287=4,"A",T287=3,"B",T287=2,"C",T287=1,"D")</f>
        <v>D</v>
      </c>
      <c r="W287" s="255"/>
    </row>
    <row r="288" spans="1:23" s="99" customFormat="1">
      <c r="A288" s="11"/>
      <c r="B288" s="95"/>
      <c r="C288" s="96"/>
      <c r="D288" s="97"/>
      <c r="E288" s="100" t="s">
        <v>129</v>
      </c>
      <c r="F288" s="446"/>
      <c r="G288" s="441"/>
      <c r="H288" s="441"/>
      <c r="I288" s="98"/>
      <c r="J288" s="11"/>
      <c r="M288" s="11"/>
      <c r="N288" s="11"/>
      <c r="O288" s="11"/>
      <c r="P288" s="11"/>
      <c r="Q288" s="11"/>
      <c r="R288" s="129">
        <f t="shared" si="82"/>
        <v>0</v>
      </c>
      <c r="S288" s="129" t="str">
        <f t="shared" si="83"/>
        <v/>
      </c>
      <c r="T288" s="129">
        <f t="shared" si="81"/>
        <v>1</v>
      </c>
      <c r="U288" s="129">
        <f>IF(E288="",1,IF(AND(E288="〇〇(合意形成対象者名に書き換え)",COUNTA($F288:$H288)=0),1,IF(AND(E288&lt;&gt;"〇〇(合意形成対象者名に書き換え)",COUNTA($F288:$H288)=3),1,0)))</f>
        <v>1</v>
      </c>
      <c r="V288" s="129" t="str" cm="1">
        <f t="array" ref="V288">_xlfn.IFS(T288=4,"A",T288=3,"B",T288=2,"C",T288=1,"D")</f>
        <v>D</v>
      </c>
      <c r="W288" s="129"/>
    </row>
    <row r="289" spans="1:23" customFormat="1" ht="7.5" customHeight="1">
      <c r="B289" s="65"/>
      <c r="C289" s="4"/>
      <c r="D289" s="4"/>
      <c r="E289" s="4"/>
      <c r="F289" s="4"/>
      <c r="G289" s="4"/>
      <c r="H289" s="4"/>
      <c r="I289" s="9"/>
      <c r="J289" s="2"/>
      <c r="K289" s="2"/>
      <c r="L289" s="2"/>
      <c r="R289" s="129">
        <f t="shared" si="82"/>
        <v>0</v>
      </c>
      <c r="S289" s="129" t="str">
        <f t="shared" si="83"/>
        <v/>
      </c>
      <c r="T289" s="129">
        <f t="shared" si="81"/>
        <v>1</v>
      </c>
      <c r="U289" s="129">
        <f t="shared" ref="U289:U290" si="84">IF(E289="",1,IF(AND(E289="〇〇(合意形成対象者名に書き換え)",COUNTA($F289:$H289)=0),1,IF(AND(E289&lt;&gt;"〇〇(合意形成対象者名に書き換え)",COUNTA($F289:$H289)=3),1,0)))</f>
        <v>1</v>
      </c>
      <c r="V289" s="129" t="str" cm="1">
        <f t="array" ref="V289">_xlfn.IFS(T289=4,"A",T289=3,"B",T289=2,"C",T289=1,"D")</f>
        <v>D</v>
      </c>
      <c r="W289" s="175"/>
    </row>
    <row r="290" spans="1:23" customFormat="1" ht="6" customHeight="1">
      <c r="J290" s="2"/>
      <c r="K290" s="2"/>
      <c r="L290" s="2"/>
      <c r="R290" s="129">
        <f t="shared" si="82"/>
        <v>0</v>
      </c>
      <c r="S290" s="129" t="str">
        <f t="shared" si="83"/>
        <v/>
      </c>
      <c r="T290" s="129">
        <f t="shared" si="81"/>
        <v>1</v>
      </c>
      <c r="U290" s="129">
        <f t="shared" si="84"/>
        <v>1</v>
      </c>
      <c r="V290" s="129" t="str" cm="1">
        <f t="array" ref="V290">_xlfn.IFS(T290=4,"A",T290=3,"B",T290=2,"C",T290=1,"D")</f>
        <v>D</v>
      </c>
      <c r="W290" s="175"/>
    </row>
    <row r="291" spans="1:23" customFormat="1" ht="103.5" customHeight="1">
      <c r="C291" s="78"/>
      <c r="D291" s="79"/>
      <c r="E291" s="71" t="s">
        <v>236</v>
      </c>
      <c r="F291" s="1452"/>
      <c r="G291" s="1452"/>
      <c r="H291" s="1452"/>
      <c r="I291" s="80" t="s">
        <v>132</v>
      </c>
      <c r="J291" s="80"/>
    </row>
    <row r="292" spans="1:23" customFormat="1" ht="146.25" customHeight="1">
      <c r="C292" s="75"/>
      <c r="D292" s="68"/>
      <c r="E292" s="71" t="s">
        <v>235</v>
      </c>
      <c r="F292" s="1452"/>
      <c r="G292" s="1452"/>
      <c r="H292" s="1452"/>
      <c r="J292" s="2"/>
      <c r="K292" s="2"/>
      <c r="L292" s="2"/>
    </row>
    <row r="293" spans="1:23" customFormat="1" ht="13.5" customHeight="1" thickBot="1">
      <c r="A293" s="81"/>
      <c r="B293" s="81"/>
      <c r="C293" s="81"/>
      <c r="D293" s="81"/>
      <c r="E293" s="81"/>
      <c r="F293" s="81"/>
      <c r="G293" s="81"/>
      <c r="H293" s="81"/>
      <c r="I293" s="81"/>
      <c r="J293" s="82"/>
      <c r="K293" s="2"/>
      <c r="L293" s="2"/>
    </row>
    <row r="294" spans="1:23" customFormat="1" ht="13.5" customHeight="1">
      <c r="J294" s="2"/>
      <c r="K294" s="2"/>
      <c r="L294" s="2"/>
    </row>
    <row r="295" spans="1:23" customFormat="1" ht="15" customHeight="1">
      <c r="B295" s="10"/>
      <c r="C295" s="5"/>
      <c r="D295" s="5"/>
      <c r="E295" s="5"/>
      <c r="F295" s="5"/>
      <c r="G295" s="5"/>
      <c r="H295" s="5"/>
      <c r="I295" s="6"/>
      <c r="R295" s="11" t="str">
        <f>D296</f>
        <v>(選択してください)</v>
      </c>
    </row>
    <row r="296" spans="1:23" customFormat="1">
      <c r="B296" s="7"/>
      <c r="C296" s="77" t="str">
        <f ca="1">IFERROR(OFFSET('4.2民生電力需要量'!$C$8,MATCH(D296,'4.2民生電力需要量'!$E$9:$E$49,0),0),"")</f>
        <v/>
      </c>
      <c r="D296" s="94" t="s">
        <v>130</v>
      </c>
      <c r="E296" s="72" t="s">
        <v>131</v>
      </c>
      <c r="F296" s="1451" t="str">
        <f ca="1">IFERROR(OFFSET('4.2民生電力需要量'!$G$1,MATCH($D296,'4.2民生電力需要量'!$E:$E,0)-1,0),"")</f>
        <v/>
      </c>
      <c r="G296" s="1451"/>
      <c r="H296" s="1451"/>
      <c r="I296" s="8"/>
      <c r="R296" s="255" t="str">
        <f ca="1">IFERROR(OFFSET('4.2民生電力需要量'!$G$1,MATCH($D296,'4.2民生電力需要量'!$E:$E,0)-1,0),"")</f>
        <v/>
      </c>
      <c r="S296" s="515"/>
      <c r="T296" s="515"/>
      <c r="U296" s="515"/>
      <c r="V296" s="515"/>
      <c r="W296" s="175">
        <f ca="1">(F296=R296)*1</f>
        <v>1</v>
      </c>
    </row>
    <row r="297" spans="1:23" customFormat="1">
      <c r="B297" s="7"/>
      <c r="C297" s="915"/>
      <c r="D297" s="97"/>
      <c r="E297" s="72" t="s">
        <v>612</v>
      </c>
      <c r="F297" s="1447" t="str">
        <f ca="1">IFERROR(OFFSET('4.2民生電力需要量'!$L$1,MATCH($D296,'4.2民生電力需要量'!$E:$E,0)-1,0),"")</f>
        <v/>
      </c>
      <c r="G297" s="1448"/>
      <c r="H297" s="1449"/>
      <c r="I297" s="8"/>
      <c r="R297" s="255" t="str">
        <f ca="1">IFERROR(OFFSET('4.2民生電力需要量'!$L$1,MATCH($D296,'4.2民生電力需要量'!$E:$E,0)-1,0),"")</f>
        <v/>
      </c>
      <c r="S297" s="515"/>
      <c r="T297" s="515"/>
      <c r="U297" s="515"/>
      <c r="V297" s="515"/>
      <c r="W297" s="175">
        <f ca="1">(F297=R297)*1</f>
        <v>1</v>
      </c>
    </row>
    <row r="298" spans="1:23" customFormat="1">
      <c r="B298" s="7"/>
      <c r="C298" s="915"/>
      <c r="D298" s="97"/>
      <c r="E298" s="72" t="s">
        <v>613</v>
      </c>
      <c r="F298" s="1456"/>
      <c r="G298" s="1457"/>
      <c r="H298" s="1458"/>
      <c r="I298" s="8"/>
      <c r="R298" s="320"/>
      <c r="S298" s="515"/>
      <c r="T298" s="515"/>
      <c r="U298" s="515"/>
      <c r="V298" s="515"/>
      <c r="W298" s="515"/>
    </row>
    <row r="299" spans="1:23" customFormat="1">
      <c r="B299" s="7"/>
      <c r="C299" s="74"/>
      <c r="D299" s="66"/>
      <c r="E299" s="72" t="s">
        <v>220</v>
      </c>
      <c r="F299" s="1450" t="str">
        <f ca="1">IFERROR(OFFSET('4.2民生電力需要量'!$I$1,MATCH($D296,'4.2民生電力需要量'!$E:$E,0)-1,0),"")</f>
        <v/>
      </c>
      <c r="G299" s="1450"/>
      <c r="H299" s="1450"/>
      <c r="I299" s="8"/>
      <c r="R299" s="175" t="str">
        <f ca="1">IFERROR(OFFSET('4.2民生電力需要量'!$I$1,MATCH($D296,'4.2民生電力需要量'!$E:$E,0)-1,0),"")</f>
        <v/>
      </c>
      <c r="S299" s="515"/>
      <c r="T299" s="515"/>
      <c r="U299" s="515"/>
      <c r="V299" s="515"/>
      <c r="W299" s="175">
        <f t="shared" ref="W299:W300" ca="1" si="85">(F299=R299)*1</f>
        <v>1</v>
      </c>
    </row>
    <row r="300" spans="1:23" customFormat="1">
      <c r="B300" s="7"/>
      <c r="C300" s="74"/>
      <c r="D300" s="66"/>
      <c r="E300" s="72" t="s">
        <v>175</v>
      </c>
      <c r="F300" s="1453" t="str">
        <f>_xlfn.IFNA(R300,"")</f>
        <v/>
      </c>
      <c r="G300" s="1454"/>
      <c r="H300" s="1455"/>
      <c r="I300" s="8"/>
      <c r="R300" s="129" t="str">
        <f>IF(OR(COUNTIF($E302:$E307,"&lt;&gt;〇〇(合意形成対象者名に書き換え)")=3,COUNTIF($E302:$E307,"")&gt;3),"",IF(PRODUCT($U302:$U307)=1,V302,""))</f>
        <v/>
      </c>
      <c r="S300" s="515"/>
      <c r="T300" s="515"/>
      <c r="U300" s="515"/>
      <c r="V300" s="515"/>
      <c r="W300" s="175">
        <f t="shared" si="85"/>
        <v>1</v>
      </c>
    </row>
    <row r="301" spans="1:23" ht="63.75" customHeight="1">
      <c r="B301" s="95"/>
      <c r="C301" s="96"/>
      <c r="D301" s="97"/>
      <c r="E301" s="372"/>
      <c r="F301" s="313" t="s">
        <v>281</v>
      </c>
      <c r="G301" s="313" t="s">
        <v>282</v>
      </c>
      <c r="H301" s="313" t="s">
        <v>279</v>
      </c>
      <c r="I301" s="98"/>
      <c r="J301" s="11"/>
      <c r="R301" s="126" t="s">
        <v>270</v>
      </c>
      <c r="S301" s="126" t="s">
        <v>426</v>
      </c>
      <c r="T301" s="129" t="s">
        <v>402</v>
      </c>
      <c r="U301" s="129" t="s">
        <v>430</v>
      </c>
      <c r="V301" s="126" t="s">
        <v>425</v>
      </c>
      <c r="W301" s="255"/>
    </row>
    <row r="302" spans="1:23" hidden="1">
      <c r="B302" s="95"/>
      <c r="C302" s="96"/>
      <c r="D302" s="97"/>
      <c r="E302" s="442"/>
      <c r="F302" s="443"/>
      <c r="G302" s="439"/>
      <c r="H302" s="439"/>
      <c r="I302" s="98"/>
      <c r="J302" s="11"/>
      <c r="R302" s="129">
        <f>IF(AND(F302="実施済",G302="実施済",H302="完了"),3,0)</f>
        <v>0</v>
      </c>
      <c r="S302" s="129" t="str">
        <f>IF(OR(E302="〇〇(合意形成対象者名に書き換え)",E302=""),"",R302)</f>
        <v/>
      </c>
      <c r="T302" s="129">
        <f t="shared" ref="T302:T307" si="86">MIN($S$302:$S$307)+1</f>
        <v>1</v>
      </c>
      <c r="U302" s="129">
        <f>IF(E302="",1,IF(AND(E302="〇〇(合意形成対象者名に書き換え)",COUNTA($F302:$H302)=0),1,IF(AND(E302&lt;&gt;"〇〇(合意形成対象者名に書き換え)",COUNTA($F302:$H302)=3),1,0)))</f>
        <v>1</v>
      </c>
      <c r="V302" s="129" t="str" cm="1">
        <f t="array" ref="V302">_xlfn.IFS(T302=4,"A",T302=3,"B",T302=2,"C",T302=1,"D")</f>
        <v>D</v>
      </c>
      <c r="W302" s="255"/>
    </row>
    <row r="303" spans="1:23">
      <c r="B303" s="95"/>
      <c r="C303" s="96"/>
      <c r="D303" s="97"/>
      <c r="E303" s="100" t="s">
        <v>129</v>
      </c>
      <c r="F303" s="446"/>
      <c r="G303" s="441"/>
      <c r="H303" s="441"/>
      <c r="I303" s="98"/>
      <c r="J303" s="11"/>
      <c r="R303" s="129">
        <f t="shared" ref="R303:R307" si="87">IF(AND(F303="実施済",G303="実施済",H303="完了"),3,0)</f>
        <v>0</v>
      </c>
      <c r="S303" s="129" t="str">
        <f t="shared" ref="S303:S307" si="88">IF(OR(E303="〇〇(合意形成対象者名に書き換え)",E303=""),"",R303)</f>
        <v/>
      </c>
      <c r="T303" s="129">
        <f t="shared" si="86"/>
        <v>1</v>
      </c>
      <c r="U303" s="129">
        <f>IF(E303="",1,IF(AND(E303="〇〇(合意形成対象者名に書き換え)",COUNTA($F303:$H303)=0),1,IF(AND(E303&lt;&gt;"〇〇(合意形成対象者名に書き換え)",COUNTA($F303:$H303)=3),1,0)))</f>
        <v>1</v>
      </c>
      <c r="V303" s="129" t="str" cm="1">
        <f t="array" ref="V303">_xlfn.IFS(T303=4,"A",T303=3,"B",T303=2,"C",T303=1,"D")</f>
        <v>D</v>
      </c>
      <c r="W303" s="255"/>
    </row>
    <row r="304" spans="1:23">
      <c r="B304" s="95"/>
      <c r="C304" s="96"/>
      <c r="D304" s="97"/>
      <c r="E304" s="100" t="s">
        <v>129</v>
      </c>
      <c r="F304" s="446"/>
      <c r="G304" s="441"/>
      <c r="H304" s="441"/>
      <c r="I304" s="98"/>
      <c r="J304" s="11"/>
      <c r="R304" s="129">
        <f t="shared" si="87"/>
        <v>0</v>
      </c>
      <c r="S304" s="129" t="str">
        <f t="shared" si="88"/>
        <v/>
      </c>
      <c r="T304" s="129">
        <f t="shared" si="86"/>
        <v>1</v>
      </c>
      <c r="U304" s="129">
        <f>IF(E304="",1,IF(AND(E304="〇〇(合意形成対象者名に書き換え)",COUNTA($F304:$H304)=0),1,IF(AND(E304&lt;&gt;"〇〇(合意形成対象者名に書き換え)",COUNTA($F304:$H304)=3),1,0)))</f>
        <v>1</v>
      </c>
      <c r="V304" s="129" t="str" cm="1">
        <f t="array" ref="V304">_xlfn.IFS(T304=4,"A",T304=3,"B",T304=2,"C",T304=1,"D")</f>
        <v>D</v>
      </c>
      <c r="W304" s="255"/>
    </row>
    <row r="305" spans="1:23" s="99" customFormat="1">
      <c r="A305" s="11"/>
      <c r="B305" s="95"/>
      <c r="C305" s="96"/>
      <c r="D305" s="97"/>
      <c r="E305" s="100" t="s">
        <v>129</v>
      </c>
      <c r="F305" s="446"/>
      <c r="G305" s="441"/>
      <c r="H305" s="441"/>
      <c r="I305" s="98"/>
      <c r="J305" s="11"/>
      <c r="M305" s="11"/>
      <c r="N305" s="11"/>
      <c r="O305" s="11"/>
      <c r="P305" s="11"/>
      <c r="Q305" s="11"/>
      <c r="R305" s="129">
        <f t="shared" si="87"/>
        <v>0</v>
      </c>
      <c r="S305" s="129" t="str">
        <f t="shared" si="88"/>
        <v/>
      </c>
      <c r="T305" s="129">
        <f t="shared" si="86"/>
        <v>1</v>
      </c>
      <c r="U305" s="129">
        <f>IF(E305="",1,IF(AND(E305="〇〇(合意形成対象者名に書き換え)",COUNTA($F305:$H305)=0),1,IF(AND(E305&lt;&gt;"〇〇(合意形成対象者名に書き換え)",COUNTA($F305:$H305)=3),1,0)))</f>
        <v>1</v>
      </c>
      <c r="V305" s="129" t="str" cm="1">
        <f t="array" ref="V305">_xlfn.IFS(T305=4,"A",T305=3,"B",T305=2,"C",T305=1,"D")</f>
        <v>D</v>
      </c>
      <c r="W305" s="129"/>
    </row>
    <row r="306" spans="1:23" customFormat="1" ht="7.5" customHeight="1">
      <c r="B306" s="65"/>
      <c r="C306" s="4"/>
      <c r="D306" s="4"/>
      <c r="E306" s="4"/>
      <c r="F306" s="4"/>
      <c r="G306" s="4"/>
      <c r="H306" s="4"/>
      <c r="I306" s="9"/>
      <c r="J306" s="2"/>
      <c r="K306" s="2"/>
      <c r="L306" s="2"/>
      <c r="R306" s="129">
        <f t="shared" si="87"/>
        <v>0</v>
      </c>
      <c r="S306" s="129" t="str">
        <f t="shared" si="88"/>
        <v/>
      </c>
      <c r="T306" s="129">
        <f t="shared" si="86"/>
        <v>1</v>
      </c>
      <c r="U306" s="129">
        <f t="shared" ref="U306:U307" si="89">IF(E306="",1,IF(AND(E306="〇〇(合意形成対象者名に書き換え)",COUNTA($F306:$H306)=0),1,IF(AND(E306&lt;&gt;"〇〇(合意形成対象者名に書き換え)",COUNTA($F306:$H306)=3),1,0)))</f>
        <v>1</v>
      </c>
      <c r="V306" s="129" t="str" cm="1">
        <f t="array" ref="V306">_xlfn.IFS(T306=4,"A",T306=3,"B",T306=2,"C",T306=1,"D")</f>
        <v>D</v>
      </c>
      <c r="W306" s="175"/>
    </row>
    <row r="307" spans="1:23" customFormat="1" ht="6" customHeight="1">
      <c r="J307" s="2"/>
      <c r="K307" s="2"/>
      <c r="L307" s="2"/>
      <c r="R307" s="129">
        <f t="shared" si="87"/>
        <v>0</v>
      </c>
      <c r="S307" s="129" t="str">
        <f t="shared" si="88"/>
        <v/>
      </c>
      <c r="T307" s="129">
        <f t="shared" si="86"/>
        <v>1</v>
      </c>
      <c r="U307" s="129">
        <f t="shared" si="89"/>
        <v>1</v>
      </c>
      <c r="V307" s="129" t="str" cm="1">
        <f t="array" ref="V307">_xlfn.IFS(T307=4,"A",T307=3,"B",T307=2,"C",T307=1,"D")</f>
        <v>D</v>
      </c>
      <c r="W307" s="175"/>
    </row>
    <row r="308" spans="1:23" customFormat="1" ht="103.5" customHeight="1">
      <c r="C308" s="78"/>
      <c r="D308" s="79"/>
      <c r="E308" s="71" t="s">
        <v>236</v>
      </c>
      <c r="F308" s="1452"/>
      <c r="G308" s="1452"/>
      <c r="H308" s="1452"/>
      <c r="I308" s="80" t="s">
        <v>132</v>
      </c>
      <c r="J308" s="80"/>
    </row>
    <row r="309" spans="1:23" customFormat="1" ht="146.25" customHeight="1">
      <c r="C309" s="75"/>
      <c r="D309" s="68"/>
      <c r="E309" s="71" t="s">
        <v>235</v>
      </c>
      <c r="F309" s="1452"/>
      <c r="G309" s="1452"/>
      <c r="H309" s="1452"/>
      <c r="J309" s="2"/>
      <c r="K309" s="2"/>
      <c r="L309" s="2"/>
    </row>
    <row r="310" spans="1:23" customFormat="1" ht="13.5" customHeight="1" thickBot="1">
      <c r="A310" s="81"/>
      <c r="B310" s="81"/>
      <c r="C310" s="81"/>
      <c r="D310" s="81"/>
      <c r="E310" s="81"/>
      <c r="F310" s="81"/>
      <c r="G310" s="81"/>
      <c r="H310" s="81"/>
      <c r="I310" s="81"/>
      <c r="J310" s="82"/>
      <c r="K310" s="2"/>
      <c r="L310" s="2"/>
    </row>
    <row r="311" spans="1:23" customFormat="1" ht="13.5" customHeight="1">
      <c r="J311" s="2"/>
      <c r="K311" s="2"/>
      <c r="L311" s="2"/>
    </row>
    <row r="312" spans="1:23" customFormat="1" ht="15" customHeight="1">
      <c r="B312" s="10"/>
      <c r="C312" s="5"/>
      <c r="D312" s="5"/>
      <c r="E312" s="5"/>
      <c r="F312" s="5"/>
      <c r="G312" s="5"/>
      <c r="H312" s="5"/>
      <c r="I312" s="6"/>
      <c r="R312" s="11" t="str">
        <f>D313</f>
        <v>(選択してください)</v>
      </c>
    </row>
    <row r="313" spans="1:23" customFormat="1">
      <c r="B313" s="7"/>
      <c r="C313" s="77" t="str">
        <f ca="1">IFERROR(OFFSET('4.2民生電力需要量'!$C$8,MATCH(D313,'4.2民生電力需要量'!$E$9:$E$49,0),0),"")</f>
        <v/>
      </c>
      <c r="D313" s="94" t="s">
        <v>130</v>
      </c>
      <c r="E313" s="72" t="s">
        <v>131</v>
      </c>
      <c r="F313" s="1451" t="str">
        <f ca="1">IFERROR(OFFSET('4.2民生電力需要量'!$G$1,MATCH($D313,'4.2民生電力需要量'!$E:$E,0)-1,0),"")</f>
        <v/>
      </c>
      <c r="G313" s="1451"/>
      <c r="H313" s="1451"/>
      <c r="I313" s="8"/>
      <c r="R313" s="255" t="str">
        <f ca="1">IFERROR(OFFSET('4.2民生電力需要量'!$G$1,MATCH($D313,'4.2民生電力需要量'!$E:$E,0)-1,0),"")</f>
        <v/>
      </c>
      <c r="S313" s="515"/>
      <c r="T313" s="515"/>
      <c r="U313" s="515"/>
      <c r="V313" s="515"/>
      <c r="W313" s="175">
        <f ca="1">(F313=R313)*1</f>
        <v>1</v>
      </c>
    </row>
    <row r="314" spans="1:23" customFormat="1">
      <c r="B314" s="7"/>
      <c r="C314" s="915"/>
      <c r="D314" s="97"/>
      <c r="E314" s="72" t="s">
        <v>612</v>
      </c>
      <c r="F314" s="1447" t="str">
        <f ca="1">IFERROR(OFFSET('4.2民生電力需要量'!$L$1,MATCH($D313,'4.2民生電力需要量'!$E:$E,0)-1,0),"")</f>
        <v/>
      </c>
      <c r="G314" s="1448"/>
      <c r="H314" s="1449"/>
      <c r="I314" s="8"/>
      <c r="R314" s="255" t="str">
        <f ca="1">IFERROR(OFFSET('4.2民生電力需要量'!$L$1,MATCH($D313,'4.2民生電力需要量'!$E:$E,0)-1,0),"")</f>
        <v/>
      </c>
      <c r="S314" s="515"/>
      <c r="T314" s="515"/>
      <c r="U314" s="515"/>
      <c r="V314" s="515"/>
      <c r="W314" s="175">
        <f ca="1">(F314=R314)*1</f>
        <v>1</v>
      </c>
    </row>
    <row r="315" spans="1:23" customFormat="1">
      <c r="B315" s="7"/>
      <c r="C315" s="915"/>
      <c r="D315" s="97"/>
      <c r="E315" s="72" t="s">
        <v>613</v>
      </c>
      <c r="F315" s="1456"/>
      <c r="G315" s="1457"/>
      <c r="H315" s="1458"/>
      <c r="I315" s="8"/>
      <c r="R315" s="320"/>
      <c r="S315" s="515"/>
      <c r="T315" s="515"/>
      <c r="U315" s="515"/>
      <c r="V315" s="515"/>
      <c r="W315" s="515"/>
    </row>
    <row r="316" spans="1:23" customFormat="1">
      <c r="B316" s="7"/>
      <c r="C316" s="74"/>
      <c r="D316" s="66"/>
      <c r="E316" s="72" t="s">
        <v>220</v>
      </c>
      <c r="F316" s="1450" t="str">
        <f ca="1">IFERROR(OFFSET('4.2民生電力需要量'!$I$1,MATCH($D313,'4.2民生電力需要量'!$E:$E,0)-1,0),"")</f>
        <v/>
      </c>
      <c r="G316" s="1450"/>
      <c r="H316" s="1450"/>
      <c r="I316" s="8"/>
      <c r="R316" s="175" t="str">
        <f ca="1">IFERROR(OFFSET('4.2民生電力需要量'!$I$1,MATCH($D313,'4.2民生電力需要量'!$E:$E,0)-1,0),"")</f>
        <v/>
      </c>
      <c r="S316" s="515"/>
      <c r="T316" s="515"/>
      <c r="U316" s="515"/>
      <c r="V316" s="515"/>
      <c r="W316" s="175">
        <f t="shared" ref="W316:W317" ca="1" si="90">(F316=R316)*1</f>
        <v>1</v>
      </c>
    </row>
    <row r="317" spans="1:23" customFormat="1">
      <c r="B317" s="7"/>
      <c r="C317" s="74"/>
      <c r="D317" s="66"/>
      <c r="E317" s="72" t="s">
        <v>175</v>
      </c>
      <c r="F317" s="1453" t="str">
        <f>_xlfn.IFNA(R317,"")</f>
        <v/>
      </c>
      <c r="G317" s="1454"/>
      <c r="H317" s="1455"/>
      <c r="I317" s="8"/>
      <c r="R317" s="129" t="str">
        <f>IF(OR(COUNTIF($E319:$E324,"&lt;&gt;〇〇(合意形成対象者名に書き換え)")=3,COUNTIF($E319:$E324,"")&gt;3),"",IF(PRODUCT($U319:$U324)=1,V319,""))</f>
        <v/>
      </c>
      <c r="S317" s="515"/>
      <c r="T317" s="515"/>
      <c r="U317" s="515"/>
      <c r="V317" s="515"/>
      <c r="W317" s="175">
        <f t="shared" si="90"/>
        <v>1</v>
      </c>
    </row>
    <row r="318" spans="1:23" ht="63.75" customHeight="1">
      <c r="B318" s="95"/>
      <c r="C318" s="96"/>
      <c r="D318" s="97"/>
      <c r="E318" s="372"/>
      <c r="F318" s="313" t="s">
        <v>281</v>
      </c>
      <c r="G318" s="313" t="s">
        <v>282</v>
      </c>
      <c r="H318" s="313" t="s">
        <v>279</v>
      </c>
      <c r="I318" s="98"/>
      <c r="J318" s="11"/>
      <c r="R318" s="126" t="s">
        <v>270</v>
      </c>
      <c r="S318" s="126" t="s">
        <v>426</v>
      </c>
      <c r="T318" s="129" t="s">
        <v>402</v>
      </c>
      <c r="U318" s="129" t="s">
        <v>430</v>
      </c>
      <c r="V318" s="126" t="s">
        <v>425</v>
      </c>
      <c r="W318" s="255"/>
    </row>
    <row r="319" spans="1:23" hidden="1">
      <c r="B319" s="95"/>
      <c r="C319" s="96"/>
      <c r="D319" s="97"/>
      <c r="E319" s="442"/>
      <c r="F319" s="443"/>
      <c r="G319" s="439"/>
      <c r="H319" s="439"/>
      <c r="I319" s="98"/>
      <c r="J319" s="11"/>
      <c r="R319" s="129">
        <f>IF(AND(F319="実施済",G319="実施済",H319="完了"),3,0)</f>
        <v>0</v>
      </c>
      <c r="S319" s="129" t="str">
        <f>IF(OR(E319="〇〇(合意形成対象者名に書き換え)",E319=""),"",R319)</f>
        <v/>
      </c>
      <c r="T319" s="129">
        <f t="shared" ref="T319:T324" si="91">MIN($S$319:$S$324)+1</f>
        <v>1</v>
      </c>
      <c r="U319" s="129">
        <f>IF(E319="",1,IF(AND(E319="〇〇(合意形成対象者名に書き換え)",COUNTA($F319:$H319)=0),1,IF(AND(E319&lt;&gt;"〇〇(合意形成対象者名に書き換え)",COUNTA($F319:$H319)=3),1,0)))</f>
        <v>1</v>
      </c>
      <c r="V319" s="129" t="str" cm="1">
        <f t="array" ref="V319">_xlfn.IFS(T319=4,"A",T319=3,"B",T319=2,"C",T319=1,"D")</f>
        <v>D</v>
      </c>
      <c r="W319" s="255"/>
    </row>
    <row r="320" spans="1:23">
      <c r="B320" s="95"/>
      <c r="C320" s="96"/>
      <c r="D320" s="97"/>
      <c r="E320" s="100" t="s">
        <v>129</v>
      </c>
      <c r="F320" s="446"/>
      <c r="G320" s="441"/>
      <c r="H320" s="441"/>
      <c r="I320" s="98"/>
      <c r="J320" s="11"/>
      <c r="R320" s="129">
        <f t="shared" ref="R320:R324" si="92">IF(AND(F320="実施済",G320="実施済",H320="完了"),3,0)</f>
        <v>0</v>
      </c>
      <c r="S320" s="129" t="str">
        <f t="shared" ref="S320:S324" si="93">IF(OR(E320="〇〇(合意形成対象者名に書き換え)",E320=""),"",R320)</f>
        <v/>
      </c>
      <c r="T320" s="129">
        <f t="shared" si="91"/>
        <v>1</v>
      </c>
      <c r="U320" s="129">
        <f>IF(E320="",1,IF(AND(E320="〇〇(合意形成対象者名に書き換え)",COUNTA($F320:$H320)=0),1,IF(AND(E320&lt;&gt;"〇〇(合意形成対象者名に書き換え)",COUNTA($F320:$H320)=3),1,0)))</f>
        <v>1</v>
      </c>
      <c r="V320" s="129" t="str" cm="1">
        <f t="array" ref="V320">_xlfn.IFS(T320=4,"A",T320=3,"B",T320=2,"C",T320=1,"D")</f>
        <v>D</v>
      </c>
      <c r="W320" s="255"/>
    </row>
    <row r="321" spans="1:23">
      <c r="B321" s="95"/>
      <c r="C321" s="96"/>
      <c r="D321" s="97"/>
      <c r="E321" s="100" t="s">
        <v>129</v>
      </c>
      <c r="F321" s="446"/>
      <c r="G321" s="441"/>
      <c r="H321" s="441"/>
      <c r="I321" s="98"/>
      <c r="J321" s="11"/>
      <c r="R321" s="129">
        <f t="shared" si="92"/>
        <v>0</v>
      </c>
      <c r="S321" s="129" t="str">
        <f t="shared" si="93"/>
        <v/>
      </c>
      <c r="T321" s="129">
        <f t="shared" si="91"/>
        <v>1</v>
      </c>
      <c r="U321" s="129">
        <f>IF(E321="",1,IF(AND(E321="〇〇(合意形成対象者名に書き換え)",COUNTA($F321:$H321)=0),1,IF(AND(E321&lt;&gt;"〇〇(合意形成対象者名に書き換え)",COUNTA($F321:$H321)=3),1,0)))</f>
        <v>1</v>
      </c>
      <c r="V321" s="129" t="str" cm="1">
        <f t="array" ref="V321">_xlfn.IFS(T321=4,"A",T321=3,"B",T321=2,"C",T321=1,"D")</f>
        <v>D</v>
      </c>
      <c r="W321" s="255"/>
    </row>
    <row r="322" spans="1:23" s="99" customFormat="1">
      <c r="A322" s="11"/>
      <c r="B322" s="95"/>
      <c r="C322" s="96"/>
      <c r="D322" s="97"/>
      <c r="E322" s="100" t="s">
        <v>129</v>
      </c>
      <c r="F322" s="446"/>
      <c r="G322" s="441"/>
      <c r="H322" s="441"/>
      <c r="I322" s="98"/>
      <c r="J322" s="11"/>
      <c r="M322" s="11"/>
      <c r="N322" s="11"/>
      <c r="O322" s="11"/>
      <c r="P322" s="11"/>
      <c r="Q322" s="11"/>
      <c r="R322" s="129">
        <f t="shared" si="92"/>
        <v>0</v>
      </c>
      <c r="S322" s="129" t="str">
        <f t="shared" si="93"/>
        <v/>
      </c>
      <c r="T322" s="129">
        <f t="shared" si="91"/>
        <v>1</v>
      </c>
      <c r="U322" s="129">
        <f>IF(E322="",1,IF(AND(E322="〇〇(合意形成対象者名に書き換え)",COUNTA($F322:$H322)=0),1,IF(AND(E322&lt;&gt;"〇〇(合意形成対象者名に書き換え)",COUNTA($F322:$H322)=3),1,0)))</f>
        <v>1</v>
      </c>
      <c r="V322" s="129" t="str" cm="1">
        <f t="array" ref="V322">_xlfn.IFS(T322=4,"A",T322=3,"B",T322=2,"C",T322=1,"D")</f>
        <v>D</v>
      </c>
      <c r="W322" s="129"/>
    </row>
    <row r="323" spans="1:23" customFormat="1" ht="7.5" customHeight="1">
      <c r="B323" s="65"/>
      <c r="C323" s="4"/>
      <c r="D323" s="4"/>
      <c r="E323" s="4"/>
      <c r="F323" s="4"/>
      <c r="G323" s="4"/>
      <c r="H323" s="4"/>
      <c r="I323" s="9"/>
      <c r="J323" s="2"/>
      <c r="K323" s="2"/>
      <c r="L323" s="2"/>
      <c r="R323" s="129">
        <f t="shared" si="92"/>
        <v>0</v>
      </c>
      <c r="S323" s="129" t="str">
        <f t="shared" si="93"/>
        <v/>
      </c>
      <c r="T323" s="129">
        <f t="shared" si="91"/>
        <v>1</v>
      </c>
      <c r="U323" s="129">
        <f t="shared" ref="U323:U324" si="94">IF(E323="",1,IF(AND(E323="〇〇(合意形成対象者名に書き換え)",COUNTA($F323:$H323)=0),1,IF(AND(E323&lt;&gt;"〇〇(合意形成対象者名に書き換え)",COUNTA($F323:$H323)=3),1,0)))</f>
        <v>1</v>
      </c>
      <c r="V323" s="129" t="str" cm="1">
        <f t="array" ref="V323">_xlfn.IFS(T323=4,"A",T323=3,"B",T323=2,"C",T323=1,"D")</f>
        <v>D</v>
      </c>
      <c r="W323" s="175"/>
    </row>
    <row r="324" spans="1:23" customFormat="1" ht="6" customHeight="1">
      <c r="J324" s="2"/>
      <c r="K324" s="2"/>
      <c r="L324" s="2"/>
      <c r="R324" s="129">
        <f t="shared" si="92"/>
        <v>0</v>
      </c>
      <c r="S324" s="129" t="str">
        <f t="shared" si="93"/>
        <v/>
      </c>
      <c r="T324" s="129">
        <f t="shared" si="91"/>
        <v>1</v>
      </c>
      <c r="U324" s="129">
        <f t="shared" si="94"/>
        <v>1</v>
      </c>
      <c r="V324" s="129" t="str" cm="1">
        <f t="array" ref="V324">_xlfn.IFS(T324=4,"A",T324=3,"B",T324=2,"C",T324=1,"D")</f>
        <v>D</v>
      </c>
      <c r="W324" s="175"/>
    </row>
    <row r="325" spans="1:23" customFormat="1" ht="103.5" customHeight="1">
      <c r="C325" s="78"/>
      <c r="D325" s="79"/>
      <c r="E325" s="71" t="s">
        <v>236</v>
      </c>
      <c r="F325" s="1452"/>
      <c r="G325" s="1452"/>
      <c r="H325" s="1452"/>
      <c r="I325" s="80" t="s">
        <v>132</v>
      </c>
      <c r="J325" s="80"/>
    </row>
    <row r="326" spans="1:23" customFormat="1" ht="146.25" customHeight="1">
      <c r="C326" s="75"/>
      <c r="D326" s="68"/>
      <c r="E326" s="71" t="s">
        <v>235</v>
      </c>
      <c r="F326" s="1452"/>
      <c r="G326" s="1452"/>
      <c r="H326" s="1452"/>
      <c r="J326" s="2"/>
      <c r="K326" s="2"/>
      <c r="L326" s="2"/>
    </row>
    <row r="327" spans="1:23" customFormat="1" ht="13.5" customHeight="1" thickBot="1">
      <c r="A327" s="81"/>
      <c r="B327" s="81"/>
      <c r="C327" s="81"/>
      <c r="D327" s="81"/>
      <c r="E327" s="81"/>
      <c r="F327" s="81"/>
      <c r="G327" s="81"/>
      <c r="H327" s="81"/>
      <c r="I327" s="81"/>
      <c r="J327" s="82"/>
      <c r="K327" s="2"/>
      <c r="L327" s="2"/>
    </row>
    <row r="328" spans="1:23" customFormat="1" ht="13.5" customHeight="1">
      <c r="J328" s="2"/>
      <c r="K328" s="2"/>
      <c r="L328" s="2"/>
    </row>
    <row r="329" spans="1:23" customFormat="1" ht="15" customHeight="1">
      <c r="B329" s="10"/>
      <c r="C329" s="5"/>
      <c r="D329" s="5"/>
      <c r="E329" s="5"/>
      <c r="F329" s="5"/>
      <c r="G329" s="5"/>
      <c r="H329" s="5"/>
      <c r="I329" s="6"/>
      <c r="R329" s="11" t="str">
        <f>D330</f>
        <v>(選択してください)</v>
      </c>
    </row>
    <row r="330" spans="1:23" customFormat="1">
      <c r="B330" s="7"/>
      <c r="C330" s="77" t="str">
        <f ca="1">IFERROR(OFFSET('4.2民生電力需要量'!$C$8,MATCH(D330,'4.2民生電力需要量'!$E$9:$E$49,0),0),"")</f>
        <v/>
      </c>
      <c r="D330" s="94" t="s">
        <v>130</v>
      </c>
      <c r="E330" s="72" t="s">
        <v>131</v>
      </c>
      <c r="F330" s="1451" t="str">
        <f ca="1">IFERROR(OFFSET('4.2民生電力需要量'!$G$1,MATCH($D330,'4.2民生電力需要量'!$E:$E,0)-1,0),"")</f>
        <v/>
      </c>
      <c r="G330" s="1451"/>
      <c r="H330" s="1451"/>
      <c r="I330" s="8"/>
      <c r="R330" s="255" t="str">
        <f ca="1">IFERROR(OFFSET('4.2民生電力需要量'!$G$1,MATCH($D330,'4.2民生電力需要量'!$E:$E,0)-1,0),"")</f>
        <v/>
      </c>
      <c r="S330" s="515"/>
      <c r="T330" s="515"/>
      <c r="U330" s="515"/>
      <c r="V330" s="515"/>
      <c r="W330" s="175">
        <f ca="1">(F330=R330)*1</f>
        <v>1</v>
      </c>
    </row>
    <row r="331" spans="1:23" customFormat="1">
      <c r="B331" s="7"/>
      <c r="C331" s="915"/>
      <c r="D331" s="97"/>
      <c r="E331" s="72" t="s">
        <v>612</v>
      </c>
      <c r="F331" s="1447" t="str">
        <f ca="1">IFERROR(OFFSET('4.2民生電力需要量'!$L$1,MATCH($D330,'4.2民生電力需要量'!$E:$E,0)-1,0),"")</f>
        <v/>
      </c>
      <c r="G331" s="1448"/>
      <c r="H331" s="1449"/>
      <c r="I331" s="8"/>
      <c r="R331" s="255" t="str">
        <f ca="1">IFERROR(OFFSET('4.2民生電力需要量'!$L$1,MATCH($D330,'4.2民生電力需要量'!$E:$E,0)-1,0),"")</f>
        <v/>
      </c>
      <c r="S331" s="515"/>
      <c r="T331" s="515"/>
      <c r="U331" s="515"/>
      <c r="V331" s="515"/>
      <c r="W331" s="175">
        <f ca="1">(F331=R331)*1</f>
        <v>1</v>
      </c>
    </row>
    <row r="332" spans="1:23" customFormat="1">
      <c r="B332" s="7"/>
      <c r="C332" s="915"/>
      <c r="D332" s="97"/>
      <c r="E332" s="72" t="s">
        <v>613</v>
      </c>
      <c r="F332" s="1456"/>
      <c r="G332" s="1457"/>
      <c r="H332" s="1458"/>
      <c r="I332" s="8"/>
      <c r="R332" s="320"/>
      <c r="S332" s="515"/>
      <c r="T332" s="515"/>
      <c r="U332" s="515"/>
      <c r="V332" s="515"/>
      <c r="W332" s="515"/>
    </row>
    <row r="333" spans="1:23" customFormat="1">
      <c r="B333" s="7"/>
      <c r="C333" s="74"/>
      <c r="D333" s="66"/>
      <c r="E333" s="72" t="s">
        <v>220</v>
      </c>
      <c r="F333" s="1450" t="str">
        <f ca="1">IFERROR(OFFSET('4.2民生電力需要量'!$I$1,MATCH($D330,'4.2民生電力需要量'!$E:$E,0)-1,0),"")</f>
        <v/>
      </c>
      <c r="G333" s="1450"/>
      <c r="H333" s="1450"/>
      <c r="I333" s="8"/>
      <c r="R333" s="175" t="str">
        <f ca="1">IFERROR(OFFSET('4.2民生電力需要量'!$I$1,MATCH($D330,'4.2民生電力需要量'!$E:$E,0)-1,0),"")</f>
        <v/>
      </c>
      <c r="S333" s="515"/>
      <c r="T333" s="515"/>
      <c r="U333" s="515"/>
      <c r="V333" s="515"/>
      <c r="W333" s="175">
        <f t="shared" ref="W333:W334" ca="1" si="95">(F333=R333)*1</f>
        <v>1</v>
      </c>
    </row>
    <row r="334" spans="1:23" customFormat="1">
      <c r="B334" s="7"/>
      <c r="C334" s="74"/>
      <c r="D334" s="66"/>
      <c r="E334" s="72" t="s">
        <v>175</v>
      </c>
      <c r="F334" s="1453" t="str">
        <f>_xlfn.IFNA(R334,"")</f>
        <v/>
      </c>
      <c r="G334" s="1454"/>
      <c r="H334" s="1455"/>
      <c r="I334" s="8"/>
      <c r="R334" s="129" t="str">
        <f>IF(OR(COUNTIF($E336:$E341,"&lt;&gt;〇〇(合意形成対象者名に書き換え)")=3,COUNTIF($E336:$E341,"")&gt;3),"",IF(PRODUCT($U336:$U341)=1,V336,""))</f>
        <v/>
      </c>
      <c r="S334" s="515"/>
      <c r="T334" s="515"/>
      <c r="U334" s="515"/>
      <c r="V334" s="515"/>
      <c r="W334" s="175">
        <f t="shared" si="95"/>
        <v>1</v>
      </c>
    </row>
    <row r="335" spans="1:23" ht="63.75" customHeight="1">
      <c r="B335" s="95"/>
      <c r="C335" s="96"/>
      <c r="D335" s="97"/>
      <c r="E335" s="372"/>
      <c r="F335" s="313" t="s">
        <v>281</v>
      </c>
      <c r="G335" s="313" t="s">
        <v>282</v>
      </c>
      <c r="H335" s="313" t="s">
        <v>279</v>
      </c>
      <c r="I335" s="98"/>
      <c r="J335" s="11"/>
      <c r="R335" s="126" t="s">
        <v>270</v>
      </c>
      <c r="S335" s="126" t="s">
        <v>426</v>
      </c>
      <c r="T335" s="129" t="s">
        <v>402</v>
      </c>
      <c r="U335" s="129" t="s">
        <v>430</v>
      </c>
      <c r="V335" s="126" t="s">
        <v>425</v>
      </c>
      <c r="W335" s="255"/>
    </row>
    <row r="336" spans="1:23" hidden="1">
      <c r="B336" s="95"/>
      <c r="C336" s="96"/>
      <c r="D336" s="97"/>
      <c r="E336" s="442"/>
      <c r="F336" s="443"/>
      <c r="G336" s="439"/>
      <c r="H336" s="439"/>
      <c r="I336" s="98"/>
      <c r="J336" s="11"/>
      <c r="R336" s="129">
        <f>IF(AND(F336="実施済",G336="実施済",H336="完了"),3,0)</f>
        <v>0</v>
      </c>
      <c r="S336" s="129" t="str">
        <f>IF(OR(E336="〇〇(合意形成対象者名に書き換え)",E336=""),"",R336)</f>
        <v/>
      </c>
      <c r="T336" s="129">
        <f t="shared" ref="T336:T341" si="96">MIN($S$336:$S$341)+1</f>
        <v>1</v>
      </c>
      <c r="U336" s="129">
        <f>IF(E336="",1,IF(AND(E336="〇〇(合意形成対象者名に書き換え)",COUNTA($F336:$H336)=0),1,IF(AND(E336&lt;&gt;"〇〇(合意形成対象者名に書き換え)",COUNTA($F336:$H336)=3),1,0)))</f>
        <v>1</v>
      </c>
      <c r="V336" s="129" t="str" cm="1">
        <f t="array" ref="V336">_xlfn.IFS(T336=4,"A",T336=3,"B",T336=2,"C",T336=1,"D")</f>
        <v>D</v>
      </c>
      <c r="W336" s="255"/>
    </row>
    <row r="337" spans="1:23">
      <c r="B337" s="95"/>
      <c r="C337" s="96"/>
      <c r="D337" s="97"/>
      <c r="E337" s="100" t="s">
        <v>129</v>
      </c>
      <c r="F337" s="446"/>
      <c r="G337" s="441"/>
      <c r="H337" s="441"/>
      <c r="I337" s="98"/>
      <c r="J337" s="11"/>
      <c r="R337" s="129">
        <f t="shared" ref="R337:R341" si="97">IF(AND(F337="実施済",G337="実施済",H337="完了"),3,0)</f>
        <v>0</v>
      </c>
      <c r="S337" s="129" t="str">
        <f t="shared" ref="S337:S341" si="98">IF(OR(E337="〇〇(合意形成対象者名に書き換え)",E337=""),"",R337)</f>
        <v/>
      </c>
      <c r="T337" s="129">
        <f t="shared" si="96"/>
        <v>1</v>
      </c>
      <c r="U337" s="129">
        <f>IF(E337="",1,IF(AND(E337="〇〇(合意形成対象者名に書き換え)",COUNTA($F337:$H337)=0),1,IF(AND(E337&lt;&gt;"〇〇(合意形成対象者名に書き換え)",COUNTA($F337:$H337)=3),1,0)))</f>
        <v>1</v>
      </c>
      <c r="V337" s="129" t="str" cm="1">
        <f t="array" ref="V337">_xlfn.IFS(T337=4,"A",T337=3,"B",T337=2,"C",T337=1,"D")</f>
        <v>D</v>
      </c>
      <c r="W337" s="255"/>
    </row>
    <row r="338" spans="1:23">
      <c r="B338" s="95"/>
      <c r="C338" s="96"/>
      <c r="D338" s="97"/>
      <c r="E338" s="100" t="s">
        <v>129</v>
      </c>
      <c r="F338" s="446"/>
      <c r="G338" s="441"/>
      <c r="H338" s="441"/>
      <c r="I338" s="98"/>
      <c r="J338" s="11"/>
      <c r="R338" s="129">
        <f t="shared" si="97"/>
        <v>0</v>
      </c>
      <c r="S338" s="129" t="str">
        <f t="shared" si="98"/>
        <v/>
      </c>
      <c r="T338" s="129">
        <f t="shared" si="96"/>
        <v>1</v>
      </c>
      <c r="U338" s="129">
        <f>IF(E338="",1,IF(AND(E338="〇〇(合意形成対象者名に書き換え)",COUNTA($F338:$H338)=0),1,IF(AND(E338&lt;&gt;"〇〇(合意形成対象者名に書き換え)",COUNTA($F338:$H338)=3),1,0)))</f>
        <v>1</v>
      </c>
      <c r="V338" s="129" t="str" cm="1">
        <f t="array" ref="V338">_xlfn.IFS(T338=4,"A",T338=3,"B",T338=2,"C",T338=1,"D")</f>
        <v>D</v>
      </c>
      <c r="W338" s="255"/>
    </row>
    <row r="339" spans="1:23" s="99" customFormat="1">
      <c r="A339" s="11"/>
      <c r="B339" s="95"/>
      <c r="C339" s="96"/>
      <c r="D339" s="97"/>
      <c r="E339" s="100" t="s">
        <v>129</v>
      </c>
      <c r="F339" s="446"/>
      <c r="G339" s="441"/>
      <c r="H339" s="441"/>
      <c r="I339" s="98"/>
      <c r="J339" s="11"/>
      <c r="M339" s="11"/>
      <c r="N339" s="11"/>
      <c r="O339" s="11"/>
      <c r="P339" s="11"/>
      <c r="Q339" s="11"/>
      <c r="R339" s="129">
        <f t="shared" si="97"/>
        <v>0</v>
      </c>
      <c r="S339" s="129" t="str">
        <f t="shared" si="98"/>
        <v/>
      </c>
      <c r="T339" s="129">
        <f t="shared" si="96"/>
        <v>1</v>
      </c>
      <c r="U339" s="129">
        <f>IF(E339="",1,IF(AND(E339="〇〇(合意形成対象者名に書き換え)",COUNTA($F339:$H339)=0),1,IF(AND(E339&lt;&gt;"〇〇(合意形成対象者名に書き換え)",COUNTA($F339:$H339)=3),1,0)))</f>
        <v>1</v>
      </c>
      <c r="V339" s="129" t="str" cm="1">
        <f t="array" ref="V339">_xlfn.IFS(T339=4,"A",T339=3,"B",T339=2,"C",T339=1,"D")</f>
        <v>D</v>
      </c>
      <c r="W339" s="129"/>
    </row>
    <row r="340" spans="1:23" customFormat="1" ht="7.5" customHeight="1">
      <c r="B340" s="65"/>
      <c r="C340" s="4"/>
      <c r="D340" s="4"/>
      <c r="E340" s="4"/>
      <c r="F340" s="4"/>
      <c r="G340" s="4"/>
      <c r="H340" s="4"/>
      <c r="I340" s="9"/>
      <c r="J340" s="2"/>
      <c r="K340" s="2"/>
      <c r="L340" s="2"/>
      <c r="R340" s="129">
        <f t="shared" si="97"/>
        <v>0</v>
      </c>
      <c r="S340" s="129" t="str">
        <f t="shared" si="98"/>
        <v/>
      </c>
      <c r="T340" s="129">
        <f t="shared" si="96"/>
        <v>1</v>
      </c>
      <c r="U340" s="129">
        <f t="shared" ref="U340:U341" si="99">IF(E340="",1,IF(AND(E340="〇〇(合意形成対象者名に書き換え)",COUNTA($F340:$H340)=0),1,IF(AND(E340&lt;&gt;"〇〇(合意形成対象者名に書き換え)",COUNTA($F340:$H340)=3),1,0)))</f>
        <v>1</v>
      </c>
      <c r="V340" s="129" t="str" cm="1">
        <f t="array" ref="V340">_xlfn.IFS(T340=4,"A",T340=3,"B",T340=2,"C",T340=1,"D")</f>
        <v>D</v>
      </c>
      <c r="W340" s="175"/>
    </row>
    <row r="341" spans="1:23" customFormat="1" ht="6" customHeight="1">
      <c r="J341" s="2"/>
      <c r="K341" s="2"/>
      <c r="L341" s="2"/>
      <c r="R341" s="129">
        <f t="shared" si="97"/>
        <v>0</v>
      </c>
      <c r="S341" s="129" t="str">
        <f t="shared" si="98"/>
        <v/>
      </c>
      <c r="T341" s="129">
        <f t="shared" si="96"/>
        <v>1</v>
      </c>
      <c r="U341" s="129">
        <f t="shared" si="99"/>
        <v>1</v>
      </c>
      <c r="V341" s="129" t="str" cm="1">
        <f t="array" ref="V341">_xlfn.IFS(T341=4,"A",T341=3,"B",T341=2,"C",T341=1,"D")</f>
        <v>D</v>
      </c>
      <c r="W341" s="175"/>
    </row>
    <row r="342" spans="1:23" customFormat="1" ht="103.5" customHeight="1">
      <c r="C342" s="78"/>
      <c r="D342" s="79"/>
      <c r="E342" s="71" t="s">
        <v>236</v>
      </c>
      <c r="F342" s="1452"/>
      <c r="G342" s="1452"/>
      <c r="H342" s="1452"/>
      <c r="I342" s="80" t="s">
        <v>132</v>
      </c>
      <c r="J342" s="80"/>
    </row>
    <row r="343" spans="1:23" customFormat="1" ht="146.25" customHeight="1">
      <c r="C343" s="75"/>
      <c r="D343" s="68"/>
      <c r="E343" s="71" t="s">
        <v>235</v>
      </c>
      <c r="F343" s="1452"/>
      <c r="G343" s="1452"/>
      <c r="H343" s="1452"/>
      <c r="J343" s="2"/>
      <c r="K343" s="2"/>
      <c r="L343" s="2"/>
    </row>
    <row r="344" spans="1:23" customFormat="1" ht="13.5" customHeight="1" thickBot="1">
      <c r="A344" s="81"/>
      <c r="B344" s="81"/>
      <c r="C344" s="81"/>
      <c r="D344" s="81"/>
      <c r="E344" s="81"/>
      <c r="F344" s="81"/>
      <c r="G344" s="81"/>
      <c r="H344" s="81"/>
      <c r="I344" s="81"/>
      <c r="J344" s="82"/>
      <c r="K344" s="2"/>
      <c r="L344" s="2"/>
    </row>
    <row r="345" spans="1:23" customFormat="1" ht="13.5" customHeight="1">
      <c r="J345" s="2"/>
      <c r="K345" s="2"/>
      <c r="L345" s="2"/>
    </row>
    <row r="346" spans="1:23" customFormat="1" ht="15" customHeight="1">
      <c r="B346" s="10"/>
      <c r="C346" s="5"/>
      <c r="D346" s="5"/>
      <c r="E346" s="5"/>
      <c r="F346" s="5"/>
      <c r="G346" s="5"/>
      <c r="H346" s="5"/>
      <c r="I346" s="6"/>
      <c r="R346" s="11" t="str">
        <f>D347</f>
        <v>(選択してください)</v>
      </c>
    </row>
    <row r="347" spans="1:23" customFormat="1">
      <c r="B347" s="7"/>
      <c r="C347" s="77" t="str">
        <f ca="1">IFERROR(OFFSET('4.2民生電力需要量'!$C$8,MATCH(D347,'4.2民生電力需要量'!$E$9:$E$49,0),0),"")</f>
        <v/>
      </c>
      <c r="D347" s="94" t="s">
        <v>130</v>
      </c>
      <c r="E347" s="72" t="s">
        <v>131</v>
      </c>
      <c r="F347" s="1451" t="str">
        <f ca="1">IFERROR(OFFSET('4.2民生電力需要量'!$G$1,MATCH($D347,'4.2民生電力需要量'!$E:$E,0)-1,0),"")</f>
        <v/>
      </c>
      <c r="G347" s="1451"/>
      <c r="H347" s="1451"/>
      <c r="I347" s="8"/>
      <c r="R347" s="255" t="str">
        <f ca="1">IFERROR(OFFSET('4.2民生電力需要量'!$G$1,MATCH($D347,'4.2民生電力需要量'!$E:$E,0)-1,0),"")</f>
        <v/>
      </c>
      <c r="S347" s="515"/>
      <c r="T347" s="515"/>
      <c r="U347" s="515"/>
      <c r="V347" s="515"/>
      <c r="W347" s="175">
        <f ca="1">(F347=R347)*1</f>
        <v>1</v>
      </c>
    </row>
    <row r="348" spans="1:23" customFormat="1">
      <c r="B348" s="7"/>
      <c r="C348" s="915"/>
      <c r="D348" s="97"/>
      <c r="E348" s="72" t="s">
        <v>612</v>
      </c>
      <c r="F348" s="1447" t="str">
        <f ca="1">IFERROR(OFFSET('4.2民生電力需要量'!$L$1,MATCH($D347,'4.2民生電力需要量'!$E:$E,0)-1,0),"")</f>
        <v/>
      </c>
      <c r="G348" s="1448"/>
      <c r="H348" s="1449"/>
      <c r="I348" s="8"/>
      <c r="R348" s="255" t="str">
        <f ca="1">IFERROR(OFFSET('4.2民生電力需要量'!$L$1,MATCH($D347,'4.2民生電力需要量'!$E:$E,0)-1,0),"")</f>
        <v/>
      </c>
      <c r="S348" s="515"/>
      <c r="T348" s="515"/>
      <c r="U348" s="515"/>
      <c r="V348" s="515"/>
      <c r="W348" s="175">
        <f ca="1">(F348=R348)*1</f>
        <v>1</v>
      </c>
    </row>
    <row r="349" spans="1:23" customFormat="1">
      <c r="B349" s="7"/>
      <c r="C349" s="915"/>
      <c r="D349" s="97"/>
      <c r="E349" s="72" t="s">
        <v>613</v>
      </c>
      <c r="F349" s="1456"/>
      <c r="G349" s="1457"/>
      <c r="H349" s="1458"/>
      <c r="I349" s="8"/>
      <c r="R349" s="320"/>
      <c r="S349" s="515"/>
      <c r="T349" s="515"/>
      <c r="U349" s="515"/>
      <c r="V349" s="515"/>
      <c r="W349" s="515"/>
    </row>
    <row r="350" spans="1:23" customFormat="1">
      <c r="B350" s="7"/>
      <c r="C350" s="74"/>
      <c r="D350" s="66"/>
      <c r="E350" s="72" t="s">
        <v>220</v>
      </c>
      <c r="F350" s="1450" t="str">
        <f ca="1">IFERROR(OFFSET('4.2民生電力需要量'!$I$1,MATCH($D347,'4.2民生電力需要量'!$E:$E,0)-1,0),"")</f>
        <v/>
      </c>
      <c r="G350" s="1450"/>
      <c r="H350" s="1450"/>
      <c r="I350" s="8"/>
      <c r="R350" s="175" t="str">
        <f ca="1">IFERROR(OFFSET('4.2民生電力需要量'!$I$1,MATCH($D347,'4.2民生電力需要量'!$E:$E,0)-1,0),"")</f>
        <v/>
      </c>
      <c r="S350" s="515"/>
      <c r="T350" s="515"/>
      <c r="U350" s="515"/>
      <c r="V350" s="515"/>
      <c r="W350" s="175">
        <f t="shared" ref="W350:W351" ca="1" si="100">(F350=R350)*1</f>
        <v>1</v>
      </c>
    </row>
    <row r="351" spans="1:23" customFormat="1">
      <c r="B351" s="7"/>
      <c r="C351" s="74"/>
      <c r="D351" s="66"/>
      <c r="E351" s="72" t="s">
        <v>175</v>
      </c>
      <c r="F351" s="1453" t="str">
        <f>_xlfn.IFNA(R351,"")</f>
        <v/>
      </c>
      <c r="G351" s="1454"/>
      <c r="H351" s="1455"/>
      <c r="I351" s="8"/>
      <c r="R351" s="129" t="str">
        <f>IF(OR(COUNTIF($E353:$E358,"&lt;&gt;〇〇(合意形成対象者名に書き換え)")=3,COUNTIF($E353:$E358,"")&gt;3),"",IF(PRODUCT($U353:$U358)=1,V353,""))</f>
        <v/>
      </c>
      <c r="S351" s="515"/>
      <c r="T351" s="515"/>
      <c r="U351" s="515"/>
      <c r="V351" s="515"/>
      <c r="W351" s="175">
        <f t="shared" si="100"/>
        <v>1</v>
      </c>
    </row>
    <row r="352" spans="1:23" ht="63.75" customHeight="1">
      <c r="B352" s="95"/>
      <c r="C352" s="96"/>
      <c r="D352" s="97"/>
      <c r="E352" s="372"/>
      <c r="F352" s="313" t="s">
        <v>281</v>
      </c>
      <c r="G352" s="313" t="s">
        <v>282</v>
      </c>
      <c r="H352" s="313" t="s">
        <v>279</v>
      </c>
      <c r="I352" s="98"/>
      <c r="J352" s="11"/>
      <c r="R352" s="126" t="s">
        <v>270</v>
      </c>
      <c r="S352" s="126" t="s">
        <v>426</v>
      </c>
      <c r="T352" s="129" t="s">
        <v>402</v>
      </c>
      <c r="U352" s="129" t="s">
        <v>430</v>
      </c>
      <c r="V352" s="126" t="s">
        <v>425</v>
      </c>
      <c r="W352" s="255"/>
    </row>
    <row r="353" spans="1:23" hidden="1">
      <c r="B353" s="95"/>
      <c r="C353" s="96"/>
      <c r="D353" s="97"/>
      <c r="E353" s="442"/>
      <c r="F353" s="443"/>
      <c r="G353" s="439"/>
      <c r="H353" s="439"/>
      <c r="I353" s="98"/>
      <c r="J353" s="11"/>
      <c r="R353" s="129">
        <f>IF(AND(F353="実施済",G353="実施済",H353="完了"),3,0)</f>
        <v>0</v>
      </c>
      <c r="S353" s="129" t="str">
        <f>IF(OR(E353="〇〇(合意形成対象者名に書き換え)",E353=""),"",R353)</f>
        <v/>
      </c>
      <c r="T353" s="129">
        <f t="shared" ref="T353:T358" si="101">MIN($S$353:$S$358)+1</f>
        <v>1</v>
      </c>
      <c r="U353" s="129">
        <f>IF(E353="",1,IF(AND(E353="〇〇(合意形成対象者名に書き換え)",COUNTA($F353:$H353)=0),1,IF(AND(E353&lt;&gt;"〇〇(合意形成対象者名に書き換え)",COUNTA($F353:$H353)=3),1,0)))</f>
        <v>1</v>
      </c>
      <c r="V353" s="129" t="str" cm="1">
        <f t="array" ref="V353">_xlfn.IFS(T353=4,"A",T353=3,"B",T353=2,"C",T353=1,"D")</f>
        <v>D</v>
      </c>
      <c r="W353" s="255"/>
    </row>
    <row r="354" spans="1:23">
      <c r="B354" s="95"/>
      <c r="C354" s="96"/>
      <c r="D354" s="97"/>
      <c r="E354" s="100" t="s">
        <v>129</v>
      </c>
      <c r="F354" s="446"/>
      <c r="G354" s="441"/>
      <c r="H354" s="441"/>
      <c r="I354" s="98"/>
      <c r="J354" s="11"/>
      <c r="R354" s="129">
        <f t="shared" ref="R354:R358" si="102">IF(AND(F354="実施済",G354="実施済",H354="完了"),3,0)</f>
        <v>0</v>
      </c>
      <c r="S354" s="129" t="str">
        <f t="shared" ref="S354:S358" si="103">IF(OR(E354="〇〇(合意形成対象者名に書き換え)",E354=""),"",R354)</f>
        <v/>
      </c>
      <c r="T354" s="129">
        <f t="shared" si="101"/>
        <v>1</v>
      </c>
      <c r="U354" s="129">
        <f>IF(E354="",1,IF(AND(E354="〇〇(合意形成対象者名に書き換え)",COUNTA($F354:$H354)=0),1,IF(AND(E354&lt;&gt;"〇〇(合意形成対象者名に書き換え)",COUNTA($F354:$H354)=3),1,0)))</f>
        <v>1</v>
      </c>
      <c r="V354" s="129" t="str" cm="1">
        <f t="array" ref="V354">_xlfn.IFS(T354=4,"A",T354=3,"B",T354=2,"C",T354=1,"D")</f>
        <v>D</v>
      </c>
      <c r="W354" s="255"/>
    </row>
    <row r="355" spans="1:23">
      <c r="B355" s="95"/>
      <c r="C355" s="96"/>
      <c r="D355" s="97"/>
      <c r="E355" s="100" t="s">
        <v>129</v>
      </c>
      <c r="F355" s="446"/>
      <c r="G355" s="441"/>
      <c r="H355" s="441"/>
      <c r="I355" s="98"/>
      <c r="J355" s="11"/>
      <c r="R355" s="129">
        <f t="shared" si="102"/>
        <v>0</v>
      </c>
      <c r="S355" s="129" t="str">
        <f t="shared" si="103"/>
        <v/>
      </c>
      <c r="T355" s="129">
        <f t="shared" si="101"/>
        <v>1</v>
      </c>
      <c r="U355" s="129">
        <f>IF(E355="",1,IF(AND(E355="〇〇(合意形成対象者名に書き換え)",COUNTA($F355:$H355)=0),1,IF(AND(E355&lt;&gt;"〇〇(合意形成対象者名に書き換え)",COUNTA($F355:$H355)=3),1,0)))</f>
        <v>1</v>
      </c>
      <c r="V355" s="129" t="str" cm="1">
        <f t="array" ref="V355">_xlfn.IFS(T355=4,"A",T355=3,"B",T355=2,"C",T355=1,"D")</f>
        <v>D</v>
      </c>
      <c r="W355" s="255"/>
    </row>
    <row r="356" spans="1:23" s="99" customFormat="1">
      <c r="A356" s="11"/>
      <c r="B356" s="95"/>
      <c r="C356" s="96"/>
      <c r="D356" s="97"/>
      <c r="E356" s="100" t="s">
        <v>129</v>
      </c>
      <c r="F356" s="446"/>
      <c r="G356" s="441"/>
      <c r="H356" s="441"/>
      <c r="I356" s="98"/>
      <c r="J356" s="11"/>
      <c r="M356" s="11"/>
      <c r="N356" s="11"/>
      <c r="O356" s="11"/>
      <c r="P356" s="11"/>
      <c r="Q356" s="11"/>
      <c r="R356" s="129">
        <f t="shared" si="102"/>
        <v>0</v>
      </c>
      <c r="S356" s="129" t="str">
        <f t="shared" si="103"/>
        <v/>
      </c>
      <c r="T356" s="129">
        <f t="shared" si="101"/>
        <v>1</v>
      </c>
      <c r="U356" s="129">
        <f>IF(E356="",1,IF(AND(E356="〇〇(合意形成対象者名に書き換え)",COUNTA($F356:$H356)=0),1,IF(AND(E356&lt;&gt;"〇〇(合意形成対象者名に書き換え)",COUNTA($F356:$H356)=3),1,0)))</f>
        <v>1</v>
      </c>
      <c r="V356" s="129" t="str" cm="1">
        <f t="array" ref="V356">_xlfn.IFS(T356=4,"A",T356=3,"B",T356=2,"C",T356=1,"D")</f>
        <v>D</v>
      </c>
      <c r="W356" s="129"/>
    </row>
    <row r="357" spans="1:23" customFormat="1" ht="7.5" customHeight="1">
      <c r="B357" s="65"/>
      <c r="C357" s="4"/>
      <c r="D357" s="4"/>
      <c r="E357" s="4"/>
      <c r="F357" s="4"/>
      <c r="G357" s="4"/>
      <c r="H357" s="4"/>
      <c r="I357" s="9"/>
      <c r="J357" s="2"/>
      <c r="K357" s="2"/>
      <c r="L357" s="2"/>
      <c r="R357" s="129">
        <f t="shared" si="102"/>
        <v>0</v>
      </c>
      <c r="S357" s="129" t="str">
        <f t="shared" si="103"/>
        <v/>
      </c>
      <c r="T357" s="129">
        <f t="shared" si="101"/>
        <v>1</v>
      </c>
      <c r="U357" s="129">
        <f t="shared" ref="U357:U358" si="104">IF(E357="",1,IF(AND(E357="〇〇(合意形成対象者名に書き換え)",COUNTA($F357:$H357)=0),1,IF(AND(E357&lt;&gt;"〇〇(合意形成対象者名に書き換え)",COUNTA($F357:$H357)=3),1,0)))</f>
        <v>1</v>
      </c>
      <c r="V357" s="129" t="str" cm="1">
        <f t="array" ref="V357">_xlfn.IFS(T357=4,"A",T357=3,"B",T357=2,"C",T357=1,"D")</f>
        <v>D</v>
      </c>
      <c r="W357" s="175"/>
    </row>
    <row r="358" spans="1:23" customFormat="1" ht="6" customHeight="1">
      <c r="J358" s="2"/>
      <c r="K358" s="2"/>
      <c r="L358" s="2"/>
      <c r="R358" s="129">
        <f t="shared" si="102"/>
        <v>0</v>
      </c>
      <c r="S358" s="129" t="str">
        <f t="shared" si="103"/>
        <v/>
      </c>
      <c r="T358" s="129">
        <f t="shared" si="101"/>
        <v>1</v>
      </c>
      <c r="U358" s="129">
        <f t="shared" si="104"/>
        <v>1</v>
      </c>
      <c r="V358" s="129" t="str" cm="1">
        <f t="array" ref="V358">_xlfn.IFS(T358=4,"A",T358=3,"B",T358=2,"C",T358=1,"D")</f>
        <v>D</v>
      </c>
      <c r="W358" s="175"/>
    </row>
    <row r="359" spans="1:23" customFormat="1" ht="103.5" customHeight="1">
      <c r="C359" s="78"/>
      <c r="D359" s="79"/>
      <c r="E359" s="71" t="s">
        <v>236</v>
      </c>
      <c r="F359" s="1452"/>
      <c r="G359" s="1452"/>
      <c r="H359" s="1452"/>
      <c r="I359" s="80" t="s">
        <v>132</v>
      </c>
      <c r="J359" s="80"/>
    </row>
    <row r="360" spans="1:23" customFormat="1" ht="146.25" customHeight="1">
      <c r="C360" s="75"/>
      <c r="D360" s="68"/>
      <c r="E360" s="71" t="s">
        <v>235</v>
      </c>
      <c r="F360" s="1452"/>
      <c r="G360" s="1452"/>
      <c r="H360" s="1452"/>
      <c r="J360" s="2"/>
      <c r="K360" s="2"/>
      <c r="L360" s="2"/>
    </row>
    <row r="361" spans="1:23" customFormat="1" ht="13.5" customHeight="1" thickBot="1">
      <c r="A361" s="81"/>
      <c r="B361" s="81"/>
      <c r="C361" s="81"/>
      <c r="D361" s="81"/>
      <c r="E361" s="81"/>
      <c r="F361" s="81"/>
      <c r="G361" s="81"/>
      <c r="H361" s="81"/>
      <c r="I361" s="81"/>
      <c r="J361" s="82"/>
      <c r="K361" s="2"/>
      <c r="L361" s="2"/>
    </row>
    <row r="362" spans="1:23" customFormat="1" ht="13.5" customHeight="1">
      <c r="J362" s="2"/>
      <c r="K362" s="2"/>
      <c r="L362" s="2"/>
    </row>
    <row r="363" spans="1:23" customFormat="1" ht="15" customHeight="1">
      <c r="B363" s="10"/>
      <c r="C363" s="5"/>
      <c r="D363" s="5"/>
      <c r="E363" s="5"/>
      <c r="F363" s="5"/>
      <c r="G363" s="5"/>
      <c r="H363" s="5"/>
      <c r="I363" s="6"/>
      <c r="R363" s="11" t="str">
        <f>D364</f>
        <v>(選択してください)</v>
      </c>
    </row>
    <row r="364" spans="1:23" customFormat="1">
      <c r="B364" s="7"/>
      <c r="C364" s="77" t="str">
        <f ca="1">IFERROR(OFFSET('4.2民生電力需要量'!$C$8,MATCH(D364,'4.2民生電力需要量'!$E$9:$E$49,0),0),"")</f>
        <v/>
      </c>
      <c r="D364" s="94" t="s">
        <v>130</v>
      </c>
      <c r="E364" s="72" t="s">
        <v>131</v>
      </c>
      <c r="F364" s="1451" t="str">
        <f ca="1">IFERROR(OFFSET('4.2民生電力需要量'!$G$1,MATCH($D364,'4.2民生電力需要量'!$E:$E,0)-1,0),"")</f>
        <v/>
      </c>
      <c r="G364" s="1451"/>
      <c r="H364" s="1451"/>
      <c r="I364" s="8"/>
      <c r="R364" s="255" t="str">
        <f ca="1">IFERROR(OFFSET('4.2民生電力需要量'!$G$1,MATCH($D364,'4.2民生電力需要量'!$E:$E,0)-1,0),"")</f>
        <v/>
      </c>
      <c r="S364" s="515"/>
      <c r="T364" s="515"/>
      <c r="U364" s="515"/>
      <c r="V364" s="515"/>
      <c r="W364" s="175">
        <f ca="1">(F364=R364)*1</f>
        <v>1</v>
      </c>
    </row>
    <row r="365" spans="1:23" customFormat="1">
      <c r="B365" s="7"/>
      <c r="C365" s="915"/>
      <c r="D365" s="97"/>
      <c r="E365" s="72" t="s">
        <v>612</v>
      </c>
      <c r="F365" s="1447" t="str">
        <f ca="1">IFERROR(OFFSET('4.2民生電力需要量'!$L$1,MATCH($D364,'4.2民生電力需要量'!$E:$E,0)-1,0),"")</f>
        <v/>
      </c>
      <c r="G365" s="1448"/>
      <c r="H365" s="1449"/>
      <c r="I365" s="8"/>
      <c r="R365" s="255" t="str">
        <f ca="1">IFERROR(OFFSET('4.2民生電力需要量'!$L$1,MATCH($D364,'4.2民生電力需要量'!$E:$E,0)-1,0),"")</f>
        <v/>
      </c>
      <c r="S365" s="515"/>
      <c r="T365" s="515"/>
      <c r="U365" s="515"/>
      <c r="V365" s="515"/>
      <c r="W365" s="175">
        <f ca="1">(F365=R365)*1</f>
        <v>1</v>
      </c>
    </row>
    <row r="366" spans="1:23" customFormat="1">
      <c r="B366" s="7"/>
      <c r="C366" s="915"/>
      <c r="D366" s="97"/>
      <c r="E366" s="72" t="s">
        <v>613</v>
      </c>
      <c r="F366" s="1456"/>
      <c r="G366" s="1457"/>
      <c r="H366" s="1458"/>
      <c r="I366" s="8"/>
      <c r="R366" s="320"/>
      <c r="S366" s="515"/>
      <c r="T366" s="515"/>
      <c r="U366" s="515"/>
      <c r="V366" s="515"/>
      <c r="W366" s="515"/>
    </row>
    <row r="367" spans="1:23" customFormat="1">
      <c r="B367" s="7"/>
      <c r="C367" s="74"/>
      <c r="D367" s="66"/>
      <c r="E367" s="72" t="s">
        <v>220</v>
      </c>
      <c r="F367" s="1450" t="str">
        <f ca="1">IFERROR(OFFSET('4.2民生電力需要量'!$I$1,MATCH($D364,'4.2民生電力需要量'!$E:$E,0)-1,0),"")</f>
        <v/>
      </c>
      <c r="G367" s="1450"/>
      <c r="H367" s="1450"/>
      <c r="I367" s="8"/>
      <c r="R367" s="175" t="str">
        <f ca="1">IFERROR(OFFSET('4.2民生電力需要量'!$I$1,MATCH($D364,'4.2民生電力需要量'!$E:$E,0)-1,0),"")</f>
        <v/>
      </c>
      <c r="S367" s="515"/>
      <c r="T367" s="515"/>
      <c r="U367" s="515"/>
      <c r="V367" s="515"/>
      <c r="W367" s="175">
        <f t="shared" ref="W367:W368" ca="1" si="105">(F367=R367)*1</f>
        <v>1</v>
      </c>
    </row>
    <row r="368" spans="1:23" customFormat="1">
      <c r="B368" s="7"/>
      <c r="C368" s="74"/>
      <c r="D368" s="66"/>
      <c r="E368" s="72" t="s">
        <v>175</v>
      </c>
      <c r="F368" s="1453" t="str">
        <f>_xlfn.IFNA(R368,"")</f>
        <v/>
      </c>
      <c r="G368" s="1454"/>
      <c r="H368" s="1455"/>
      <c r="I368" s="8"/>
      <c r="R368" s="129" t="str">
        <f>IF(OR(COUNTIF($E370:$E375,"&lt;&gt;〇〇(合意形成対象者名に書き換え)")=3,COUNTIF($E370:$E375,"")&gt;3),"",IF(PRODUCT($U370:$U375)=1,V370,""))</f>
        <v/>
      </c>
      <c r="S368" s="515"/>
      <c r="T368" s="515"/>
      <c r="U368" s="515"/>
      <c r="V368" s="515"/>
      <c r="W368" s="175">
        <f t="shared" si="105"/>
        <v>1</v>
      </c>
    </row>
    <row r="369" spans="1:23" ht="63.75" customHeight="1">
      <c r="B369" s="95"/>
      <c r="C369" s="96"/>
      <c r="D369" s="97"/>
      <c r="E369" s="372"/>
      <c r="F369" s="313" t="s">
        <v>281</v>
      </c>
      <c r="G369" s="313" t="s">
        <v>282</v>
      </c>
      <c r="H369" s="313" t="s">
        <v>279</v>
      </c>
      <c r="I369" s="98"/>
      <c r="J369" s="11"/>
      <c r="R369" s="126" t="s">
        <v>270</v>
      </c>
      <c r="S369" s="126" t="s">
        <v>426</v>
      </c>
      <c r="T369" s="129" t="s">
        <v>402</v>
      </c>
      <c r="U369" s="129" t="s">
        <v>430</v>
      </c>
      <c r="V369" s="126" t="s">
        <v>425</v>
      </c>
      <c r="W369" s="255"/>
    </row>
    <row r="370" spans="1:23" hidden="1">
      <c r="B370" s="95"/>
      <c r="C370" s="96"/>
      <c r="D370" s="97"/>
      <c r="E370" s="442"/>
      <c r="F370" s="443"/>
      <c r="G370" s="439"/>
      <c r="H370" s="439"/>
      <c r="I370" s="98"/>
      <c r="J370" s="11"/>
      <c r="R370" s="129">
        <f>IF(AND(F370="実施済",G370="実施済",H370="完了"),3,0)</f>
        <v>0</v>
      </c>
      <c r="S370" s="129" t="str">
        <f>IF(OR(E370="〇〇(合意形成対象者名に書き換え)",E370=""),"",R370)</f>
        <v/>
      </c>
      <c r="T370" s="129">
        <f t="shared" ref="T370:T375" si="106">MIN($S$370:$S$375)+1</f>
        <v>1</v>
      </c>
      <c r="U370" s="129">
        <f>IF(E370="",1,IF(AND(E370="〇〇(合意形成対象者名に書き換え)",COUNTA($F370:$H370)=0),1,IF(AND(E370&lt;&gt;"〇〇(合意形成対象者名に書き換え)",COUNTA($F370:$H370)=3),1,0)))</f>
        <v>1</v>
      </c>
      <c r="V370" s="129" t="str" cm="1">
        <f t="array" ref="V370">_xlfn.IFS(T370=4,"A",T370=3,"B",T370=2,"C",T370=1,"D")</f>
        <v>D</v>
      </c>
      <c r="W370" s="255"/>
    </row>
    <row r="371" spans="1:23">
      <c r="B371" s="95"/>
      <c r="C371" s="96"/>
      <c r="D371" s="97"/>
      <c r="E371" s="100" t="s">
        <v>129</v>
      </c>
      <c r="F371" s="446"/>
      <c r="G371" s="441"/>
      <c r="H371" s="441"/>
      <c r="I371" s="98"/>
      <c r="J371" s="11"/>
      <c r="R371" s="129">
        <f t="shared" ref="R371:R375" si="107">IF(AND(F371="実施済",G371="実施済",H371="完了"),3,0)</f>
        <v>0</v>
      </c>
      <c r="S371" s="129" t="str">
        <f t="shared" ref="S371:S375" si="108">IF(OR(E371="〇〇(合意形成対象者名に書き換え)",E371=""),"",R371)</f>
        <v/>
      </c>
      <c r="T371" s="129">
        <f t="shared" si="106"/>
        <v>1</v>
      </c>
      <c r="U371" s="129">
        <f>IF(E371="",1,IF(AND(E371="〇〇(合意形成対象者名に書き換え)",COUNTA($F371:$H371)=0),1,IF(AND(E371&lt;&gt;"〇〇(合意形成対象者名に書き換え)",COUNTA($F371:$H371)=3),1,0)))</f>
        <v>1</v>
      </c>
      <c r="V371" s="129" t="str" cm="1">
        <f t="array" ref="V371">_xlfn.IFS(T371=4,"A",T371=3,"B",T371=2,"C",T371=1,"D")</f>
        <v>D</v>
      </c>
      <c r="W371" s="255"/>
    </row>
    <row r="372" spans="1:23">
      <c r="B372" s="95"/>
      <c r="C372" s="96"/>
      <c r="D372" s="97"/>
      <c r="E372" s="100" t="s">
        <v>129</v>
      </c>
      <c r="F372" s="446"/>
      <c r="G372" s="441"/>
      <c r="H372" s="441"/>
      <c r="I372" s="98"/>
      <c r="J372" s="11"/>
      <c r="R372" s="129">
        <f t="shared" si="107"/>
        <v>0</v>
      </c>
      <c r="S372" s="129" t="str">
        <f t="shared" si="108"/>
        <v/>
      </c>
      <c r="T372" s="129">
        <f t="shared" si="106"/>
        <v>1</v>
      </c>
      <c r="U372" s="129">
        <f>IF(E372="",1,IF(AND(E372="〇〇(合意形成対象者名に書き換え)",COUNTA($F372:$H372)=0),1,IF(AND(E372&lt;&gt;"〇〇(合意形成対象者名に書き換え)",COUNTA($F372:$H372)=3),1,0)))</f>
        <v>1</v>
      </c>
      <c r="V372" s="129" t="str" cm="1">
        <f t="array" ref="V372">_xlfn.IFS(T372=4,"A",T372=3,"B",T372=2,"C",T372=1,"D")</f>
        <v>D</v>
      </c>
      <c r="W372" s="255"/>
    </row>
    <row r="373" spans="1:23" s="99" customFormat="1">
      <c r="A373" s="11"/>
      <c r="B373" s="95"/>
      <c r="C373" s="96"/>
      <c r="D373" s="97"/>
      <c r="E373" s="100" t="s">
        <v>129</v>
      </c>
      <c r="F373" s="446"/>
      <c r="G373" s="441"/>
      <c r="H373" s="441"/>
      <c r="I373" s="98"/>
      <c r="J373" s="11"/>
      <c r="M373" s="11"/>
      <c r="N373" s="11"/>
      <c r="O373" s="11"/>
      <c r="P373" s="11"/>
      <c r="Q373" s="11"/>
      <c r="R373" s="129">
        <f t="shared" si="107"/>
        <v>0</v>
      </c>
      <c r="S373" s="129" t="str">
        <f t="shared" si="108"/>
        <v/>
      </c>
      <c r="T373" s="129">
        <f t="shared" si="106"/>
        <v>1</v>
      </c>
      <c r="U373" s="129">
        <f>IF(E373="",1,IF(AND(E373="〇〇(合意形成対象者名に書き換え)",COUNTA($F373:$H373)=0),1,IF(AND(E373&lt;&gt;"〇〇(合意形成対象者名に書き換え)",COUNTA($F373:$H373)=3),1,0)))</f>
        <v>1</v>
      </c>
      <c r="V373" s="129" t="str" cm="1">
        <f t="array" ref="V373">_xlfn.IFS(T373=4,"A",T373=3,"B",T373=2,"C",T373=1,"D")</f>
        <v>D</v>
      </c>
      <c r="W373" s="129"/>
    </row>
    <row r="374" spans="1:23" customFormat="1" ht="7.5" customHeight="1">
      <c r="B374" s="65"/>
      <c r="C374" s="4"/>
      <c r="D374" s="4"/>
      <c r="E374" s="4"/>
      <c r="F374" s="4"/>
      <c r="G374" s="4"/>
      <c r="H374" s="4"/>
      <c r="I374" s="9"/>
      <c r="J374" s="2"/>
      <c r="K374" s="2"/>
      <c r="L374" s="2"/>
      <c r="R374" s="129">
        <f t="shared" si="107"/>
        <v>0</v>
      </c>
      <c r="S374" s="129" t="str">
        <f t="shared" si="108"/>
        <v/>
      </c>
      <c r="T374" s="129">
        <f t="shared" si="106"/>
        <v>1</v>
      </c>
      <c r="U374" s="129">
        <f t="shared" ref="U374:U375" si="109">IF(E374="",1,IF(AND(E374="〇〇(合意形成対象者名に書き換え)",COUNTA($F374:$H374)=0),1,IF(AND(E374&lt;&gt;"〇〇(合意形成対象者名に書き換え)",COUNTA($F374:$H374)=3),1,0)))</f>
        <v>1</v>
      </c>
      <c r="V374" s="129" t="str" cm="1">
        <f t="array" ref="V374">_xlfn.IFS(T374=4,"A",T374=3,"B",T374=2,"C",T374=1,"D")</f>
        <v>D</v>
      </c>
      <c r="W374" s="175"/>
    </row>
    <row r="375" spans="1:23" customFormat="1" ht="6" customHeight="1">
      <c r="J375" s="2"/>
      <c r="K375" s="2"/>
      <c r="L375" s="2"/>
      <c r="R375" s="129">
        <f t="shared" si="107"/>
        <v>0</v>
      </c>
      <c r="S375" s="129" t="str">
        <f t="shared" si="108"/>
        <v/>
      </c>
      <c r="T375" s="129">
        <f t="shared" si="106"/>
        <v>1</v>
      </c>
      <c r="U375" s="129">
        <f t="shared" si="109"/>
        <v>1</v>
      </c>
      <c r="V375" s="129" t="str" cm="1">
        <f t="array" ref="V375">_xlfn.IFS(T375=4,"A",T375=3,"B",T375=2,"C",T375=1,"D")</f>
        <v>D</v>
      </c>
      <c r="W375" s="175"/>
    </row>
    <row r="376" spans="1:23" customFormat="1" ht="103.5" customHeight="1">
      <c r="C376" s="78"/>
      <c r="D376" s="79"/>
      <c r="E376" s="71" t="s">
        <v>236</v>
      </c>
      <c r="F376" s="1452"/>
      <c r="G376" s="1452"/>
      <c r="H376" s="1452"/>
      <c r="I376" s="80" t="s">
        <v>132</v>
      </c>
      <c r="J376" s="80"/>
    </row>
    <row r="377" spans="1:23" customFormat="1" ht="146.25" customHeight="1">
      <c r="C377" s="75"/>
      <c r="D377" s="68"/>
      <c r="E377" s="71" t="s">
        <v>235</v>
      </c>
      <c r="F377" s="1452"/>
      <c r="G377" s="1452"/>
      <c r="H377" s="1452"/>
      <c r="J377" s="2"/>
      <c r="K377" s="2"/>
      <c r="L377" s="2"/>
    </row>
    <row r="378" spans="1:23" customFormat="1" ht="13.5" customHeight="1" thickBot="1">
      <c r="A378" s="81"/>
      <c r="B378" s="81"/>
      <c r="C378" s="81"/>
      <c r="D378" s="81"/>
      <c r="E378" s="81"/>
      <c r="F378" s="81"/>
      <c r="G378" s="81"/>
      <c r="H378" s="81"/>
      <c r="I378" s="81"/>
      <c r="J378" s="82"/>
      <c r="K378" s="2"/>
      <c r="L378" s="2"/>
    </row>
    <row r="379" spans="1:23" customFormat="1" ht="13.5" customHeight="1">
      <c r="J379" s="2"/>
      <c r="K379" s="2"/>
      <c r="L379" s="2"/>
    </row>
    <row r="380" spans="1:23" customFormat="1" ht="15" customHeight="1">
      <c r="B380" s="10"/>
      <c r="C380" s="5"/>
      <c r="D380" s="5"/>
      <c r="E380" s="5"/>
      <c r="F380" s="5"/>
      <c r="G380" s="5"/>
      <c r="H380" s="5"/>
      <c r="I380" s="6"/>
      <c r="R380" s="11" t="str">
        <f>D381</f>
        <v>(選択してください)</v>
      </c>
    </row>
    <row r="381" spans="1:23" customFormat="1">
      <c r="B381" s="7"/>
      <c r="C381" s="77" t="str">
        <f ca="1">IFERROR(OFFSET('4.2民生電力需要量'!$C$8,MATCH(D381,'4.2民生電力需要量'!$E$9:$E$49,0),0),"")</f>
        <v/>
      </c>
      <c r="D381" s="94" t="s">
        <v>130</v>
      </c>
      <c r="E381" s="72" t="s">
        <v>131</v>
      </c>
      <c r="F381" s="1451" t="str">
        <f ca="1">IFERROR(OFFSET('4.2民生電力需要量'!$G$1,MATCH($D381,'4.2民生電力需要量'!$E:$E,0)-1,0),"")</f>
        <v/>
      </c>
      <c r="G381" s="1451"/>
      <c r="H381" s="1451"/>
      <c r="I381" s="8"/>
      <c r="R381" s="255" t="str">
        <f ca="1">IFERROR(OFFSET('4.2民生電力需要量'!$G$1,MATCH($D381,'4.2民生電力需要量'!$E:$E,0)-1,0),"")</f>
        <v/>
      </c>
      <c r="S381" s="515"/>
      <c r="T381" s="515"/>
      <c r="U381" s="515"/>
      <c r="V381" s="515"/>
      <c r="W381" s="175">
        <f ca="1">(F381=R381)*1</f>
        <v>1</v>
      </c>
    </row>
    <row r="382" spans="1:23" customFormat="1">
      <c r="B382" s="7"/>
      <c r="C382" s="915"/>
      <c r="D382" s="97"/>
      <c r="E382" s="72" t="s">
        <v>612</v>
      </c>
      <c r="F382" s="1447" t="str">
        <f ca="1">IFERROR(OFFSET('4.2民生電力需要量'!$L$1,MATCH($D381,'4.2民生電力需要量'!$E:$E,0)-1,0),"")</f>
        <v/>
      </c>
      <c r="G382" s="1448"/>
      <c r="H382" s="1449"/>
      <c r="I382" s="8"/>
      <c r="R382" s="255" t="str">
        <f ca="1">IFERROR(OFFSET('4.2民生電力需要量'!$L$1,MATCH($D381,'4.2民生電力需要量'!$E:$E,0)-1,0),"")</f>
        <v/>
      </c>
      <c r="S382" s="515"/>
      <c r="T382" s="515"/>
      <c r="U382" s="515"/>
      <c r="V382" s="515"/>
      <c r="W382" s="175">
        <f ca="1">(F382=R382)*1</f>
        <v>1</v>
      </c>
    </row>
    <row r="383" spans="1:23" customFormat="1">
      <c r="B383" s="7"/>
      <c r="C383" s="915"/>
      <c r="D383" s="97"/>
      <c r="E383" s="72" t="s">
        <v>613</v>
      </c>
      <c r="F383" s="1456"/>
      <c r="G383" s="1457"/>
      <c r="H383" s="1458"/>
      <c r="I383" s="8"/>
      <c r="R383" s="320"/>
      <c r="S383" s="515"/>
      <c r="T383" s="515"/>
      <c r="U383" s="515"/>
      <c r="V383" s="515"/>
      <c r="W383" s="515"/>
    </row>
    <row r="384" spans="1:23" customFormat="1">
      <c r="B384" s="7"/>
      <c r="C384" s="74"/>
      <c r="D384" s="66"/>
      <c r="E384" s="72" t="s">
        <v>220</v>
      </c>
      <c r="F384" s="1450" t="str">
        <f ca="1">IFERROR(OFFSET('4.2民生電力需要量'!$I$1,MATCH($D381,'4.2民生電力需要量'!$E:$E,0)-1,0),"")</f>
        <v/>
      </c>
      <c r="G384" s="1450"/>
      <c r="H384" s="1450"/>
      <c r="I384" s="8"/>
      <c r="R384" s="175" t="str">
        <f ca="1">IFERROR(OFFSET('4.2民生電力需要量'!$I$1,MATCH($D381,'4.2民生電力需要量'!$E:$E,0)-1,0),"")</f>
        <v/>
      </c>
      <c r="S384" s="515"/>
      <c r="T384" s="515"/>
      <c r="U384" s="515"/>
      <c r="V384" s="515"/>
      <c r="W384" s="175">
        <f t="shared" ref="W384:W385" ca="1" si="110">(F384=R384)*1</f>
        <v>1</v>
      </c>
    </row>
    <row r="385" spans="1:23" customFormat="1">
      <c r="B385" s="7"/>
      <c r="C385" s="74"/>
      <c r="D385" s="66"/>
      <c r="E385" s="72" t="s">
        <v>175</v>
      </c>
      <c r="F385" s="1453" t="str">
        <f>_xlfn.IFNA(R385,"")</f>
        <v/>
      </c>
      <c r="G385" s="1454"/>
      <c r="H385" s="1455"/>
      <c r="I385" s="8"/>
      <c r="R385" s="129" t="str">
        <f>IF(OR(COUNTIF($E387:$E392,"&lt;&gt;〇〇(合意形成対象者名に書き換え)")=3,COUNTIF($E387:$E392,"")&gt;3),"",IF(PRODUCT($U387:$U392)=1,V387,""))</f>
        <v/>
      </c>
      <c r="S385" s="515"/>
      <c r="T385" s="515"/>
      <c r="U385" s="515"/>
      <c r="V385" s="515"/>
      <c r="W385" s="175">
        <f t="shared" si="110"/>
        <v>1</v>
      </c>
    </row>
    <row r="386" spans="1:23" ht="63.75" customHeight="1">
      <c r="B386" s="95"/>
      <c r="C386" s="96"/>
      <c r="D386" s="97"/>
      <c r="E386" s="372"/>
      <c r="F386" s="313" t="s">
        <v>281</v>
      </c>
      <c r="G386" s="313" t="s">
        <v>282</v>
      </c>
      <c r="H386" s="313" t="s">
        <v>279</v>
      </c>
      <c r="I386" s="98"/>
      <c r="J386" s="11"/>
      <c r="R386" s="126" t="s">
        <v>270</v>
      </c>
      <c r="S386" s="126" t="s">
        <v>426</v>
      </c>
      <c r="T386" s="129" t="s">
        <v>402</v>
      </c>
      <c r="U386" s="129" t="s">
        <v>430</v>
      </c>
      <c r="V386" s="126" t="s">
        <v>425</v>
      </c>
      <c r="W386" s="255"/>
    </row>
    <row r="387" spans="1:23" hidden="1">
      <c r="B387" s="95"/>
      <c r="C387" s="96"/>
      <c r="D387" s="97"/>
      <c r="E387" s="442"/>
      <c r="F387" s="443"/>
      <c r="G387" s="439"/>
      <c r="H387" s="439"/>
      <c r="I387" s="98"/>
      <c r="J387" s="11"/>
      <c r="R387" s="129">
        <f>IF(AND(F387="実施済",G387="実施済",H387="完了"),3,0)</f>
        <v>0</v>
      </c>
      <c r="S387" s="129" t="str">
        <f>IF(OR(E387="〇〇(合意形成対象者名に書き換え)",E387=""),"",R387)</f>
        <v/>
      </c>
      <c r="T387" s="129">
        <f t="shared" ref="T387:T392" si="111">MIN($S$387:$S$392)+1</f>
        <v>1</v>
      </c>
      <c r="U387" s="129">
        <f>IF(E387="",1,IF(AND(E387="〇〇(合意形成対象者名に書き換え)",COUNTA($F387:$H387)=0),1,IF(AND(E387&lt;&gt;"〇〇(合意形成対象者名に書き換え)",COUNTA($F387:$H387)=3),1,0)))</f>
        <v>1</v>
      </c>
      <c r="V387" s="129" t="str" cm="1">
        <f t="array" ref="V387">_xlfn.IFS(T387=4,"A",T387=3,"B",T387=2,"C",T387=1,"D")</f>
        <v>D</v>
      </c>
      <c r="W387" s="255"/>
    </row>
    <row r="388" spans="1:23">
      <c r="B388" s="95"/>
      <c r="C388" s="96"/>
      <c r="D388" s="97"/>
      <c r="E388" s="100" t="s">
        <v>129</v>
      </c>
      <c r="F388" s="446"/>
      <c r="G388" s="441"/>
      <c r="H388" s="441"/>
      <c r="I388" s="98"/>
      <c r="J388" s="11"/>
      <c r="R388" s="129">
        <f t="shared" ref="R388:R392" si="112">IF(AND(F388="実施済",G388="実施済",H388="完了"),3,0)</f>
        <v>0</v>
      </c>
      <c r="S388" s="129" t="str">
        <f t="shared" ref="S388:S392" si="113">IF(OR(E388="〇〇(合意形成対象者名に書き換え)",E388=""),"",R388)</f>
        <v/>
      </c>
      <c r="T388" s="129">
        <f t="shared" si="111"/>
        <v>1</v>
      </c>
      <c r="U388" s="129">
        <f>IF(E388="",1,IF(AND(E388="〇〇(合意形成対象者名に書き換え)",COUNTA($F388:$H388)=0),1,IF(AND(E388&lt;&gt;"〇〇(合意形成対象者名に書き換え)",COUNTA($F388:$H388)=3),1,0)))</f>
        <v>1</v>
      </c>
      <c r="V388" s="129" t="str" cm="1">
        <f t="array" ref="V388">_xlfn.IFS(T388=4,"A",T388=3,"B",T388=2,"C",T388=1,"D")</f>
        <v>D</v>
      </c>
      <c r="W388" s="255"/>
    </row>
    <row r="389" spans="1:23">
      <c r="B389" s="95"/>
      <c r="C389" s="96"/>
      <c r="D389" s="97"/>
      <c r="E389" s="100" t="s">
        <v>129</v>
      </c>
      <c r="F389" s="446"/>
      <c r="G389" s="441"/>
      <c r="H389" s="441"/>
      <c r="I389" s="98"/>
      <c r="J389" s="11"/>
      <c r="R389" s="129">
        <f t="shared" si="112"/>
        <v>0</v>
      </c>
      <c r="S389" s="129" t="str">
        <f t="shared" si="113"/>
        <v/>
      </c>
      <c r="T389" s="129">
        <f t="shared" si="111"/>
        <v>1</v>
      </c>
      <c r="U389" s="129">
        <f>IF(E389="",1,IF(AND(E389="〇〇(合意形成対象者名に書き換え)",COUNTA($F389:$H389)=0),1,IF(AND(E389&lt;&gt;"〇〇(合意形成対象者名に書き換え)",COUNTA($F389:$H389)=3),1,0)))</f>
        <v>1</v>
      </c>
      <c r="V389" s="129" t="str" cm="1">
        <f t="array" ref="V389">_xlfn.IFS(T389=4,"A",T389=3,"B",T389=2,"C",T389=1,"D")</f>
        <v>D</v>
      </c>
      <c r="W389" s="255"/>
    </row>
    <row r="390" spans="1:23" s="99" customFormat="1">
      <c r="A390" s="11"/>
      <c r="B390" s="95"/>
      <c r="C390" s="96"/>
      <c r="D390" s="97"/>
      <c r="E390" s="100" t="s">
        <v>129</v>
      </c>
      <c r="F390" s="446"/>
      <c r="G390" s="441"/>
      <c r="H390" s="441"/>
      <c r="I390" s="98"/>
      <c r="J390" s="11"/>
      <c r="M390" s="11"/>
      <c r="N390" s="11"/>
      <c r="O390" s="11"/>
      <c r="P390" s="11"/>
      <c r="Q390" s="11"/>
      <c r="R390" s="129">
        <f t="shared" si="112"/>
        <v>0</v>
      </c>
      <c r="S390" s="129" t="str">
        <f t="shared" si="113"/>
        <v/>
      </c>
      <c r="T390" s="129">
        <f t="shared" si="111"/>
        <v>1</v>
      </c>
      <c r="U390" s="129">
        <f>IF(E390="",1,IF(AND(E390="〇〇(合意形成対象者名に書き換え)",COUNTA($F390:$H390)=0),1,IF(AND(E390&lt;&gt;"〇〇(合意形成対象者名に書き換え)",COUNTA($F390:$H390)=3),1,0)))</f>
        <v>1</v>
      </c>
      <c r="V390" s="129" t="str" cm="1">
        <f t="array" ref="V390">_xlfn.IFS(T390=4,"A",T390=3,"B",T390=2,"C",T390=1,"D")</f>
        <v>D</v>
      </c>
      <c r="W390" s="129"/>
    </row>
    <row r="391" spans="1:23" customFormat="1" ht="7.5" customHeight="1">
      <c r="B391" s="65"/>
      <c r="C391" s="4"/>
      <c r="D391" s="4"/>
      <c r="E391" s="4"/>
      <c r="F391" s="4"/>
      <c r="G391" s="4"/>
      <c r="H391" s="4"/>
      <c r="I391" s="9"/>
      <c r="J391" s="2"/>
      <c r="K391" s="2"/>
      <c r="L391" s="2"/>
      <c r="R391" s="129">
        <f t="shared" si="112"/>
        <v>0</v>
      </c>
      <c r="S391" s="129" t="str">
        <f t="shared" si="113"/>
        <v/>
      </c>
      <c r="T391" s="129">
        <f t="shared" si="111"/>
        <v>1</v>
      </c>
      <c r="U391" s="129">
        <f t="shared" ref="U391:U392" si="114">IF(E391="",1,IF(AND(E391="〇〇(合意形成対象者名に書き換え)",COUNTA($F391:$H391)=0),1,IF(AND(E391&lt;&gt;"〇〇(合意形成対象者名に書き換え)",COUNTA($F391:$H391)=3),1,0)))</f>
        <v>1</v>
      </c>
      <c r="V391" s="129" t="str" cm="1">
        <f t="array" ref="V391">_xlfn.IFS(T391=4,"A",T391=3,"B",T391=2,"C",T391=1,"D")</f>
        <v>D</v>
      </c>
      <c r="W391" s="175"/>
    </row>
    <row r="392" spans="1:23" customFormat="1" ht="6" customHeight="1">
      <c r="J392" s="2"/>
      <c r="K392" s="2"/>
      <c r="L392" s="2"/>
      <c r="R392" s="129">
        <f t="shared" si="112"/>
        <v>0</v>
      </c>
      <c r="S392" s="129" t="str">
        <f t="shared" si="113"/>
        <v/>
      </c>
      <c r="T392" s="129">
        <f t="shared" si="111"/>
        <v>1</v>
      </c>
      <c r="U392" s="129">
        <f t="shared" si="114"/>
        <v>1</v>
      </c>
      <c r="V392" s="129" t="str" cm="1">
        <f t="array" ref="V392">_xlfn.IFS(T392=4,"A",T392=3,"B",T392=2,"C",T392=1,"D")</f>
        <v>D</v>
      </c>
      <c r="W392" s="175"/>
    </row>
    <row r="393" spans="1:23" customFormat="1" ht="103.5" customHeight="1">
      <c r="C393" s="78"/>
      <c r="D393" s="79"/>
      <c r="E393" s="71" t="s">
        <v>236</v>
      </c>
      <c r="F393" s="1452"/>
      <c r="G393" s="1452"/>
      <c r="H393" s="1452"/>
      <c r="I393" s="80" t="s">
        <v>132</v>
      </c>
      <c r="J393" s="80"/>
    </row>
    <row r="394" spans="1:23" customFormat="1" ht="146.25" customHeight="1">
      <c r="C394" s="75"/>
      <c r="D394" s="68"/>
      <c r="E394" s="71" t="s">
        <v>235</v>
      </c>
      <c r="F394" s="1452"/>
      <c r="G394" s="1452"/>
      <c r="H394" s="1452"/>
      <c r="J394" s="2"/>
      <c r="K394" s="2"/>
      <c r="L394" s="2"/>
    </row>
    <row r="395" spans="1:23" customFormat="1" ht="13.5" customHeight="1" thickBot="1">
      <c r="A395" s="81"/>
      <c r="B395" s="81"/>
      <c r="C395" s="81"/>
      <c r="D395" s="81"/>
      <c r="E395" s="81"/>
      <c r="F395" s="81"/>
      <c r="G395" s="81"/>
      <c r="H395" s="81"/>
      <c r="I395" s="81"/>
      <c r="J395" s="82"/>
      <c r="K395" s="2"/>
      <c r="L395" s="2"/>
    </row>
    <row r="396" spans="1:23" customFormat="1" ht="13.5" customHeight="1">
      <c r="J396" s="2"/>
      <c r="K396" s="2"/>
      <c r="L396" s="2"/>
    </row>
    <row r="397" spans="1:23" customFormat="1" ht="15" customHeight="1">
      <c r="B397" s="10"/>
      <c r="C397" s="5"/>
      <c r="D397" s="5"/>
      <c r="E397" s="5"/>
      <c r="F397" s="5"/>
      <c r="G397" s="5"/>
      <c r="H397" s="5"/>
      <c r="I397" s="6"/>
      <c r="R397" s="11" t="str">
        <f>D398</f>
        <v>(選択してください)</v>
      </c>
    </row>
    <row r="398" spans="1:23" customFormat="1">
      <c r="B398" s="7"/>
      <c r="C398" s="77" t="str">
        <f ca="1">IFERROR(OFFSET('4.2民生電力需要量'!$C$8,MATCH(D398,'4.2民生電力需要量'!$E$9:$E$49,0),0),"")</f>
        <v/>
      </c>
      <c r="D398" s="94" t="s">
        <v>130</v>
      </c>
      <c r="E398" s="72" t="s">
        <v>131</v>
      </c>
      <c r="F398" s="1451" t="str">
        <f ca="1">IFERROR(OFFSET('4.2民生電力需要量'!$G$1,MATCH($D398,'4.2民生電力需要量'!$E:$E,0)-1,0),"")</f>
        <v/>
      </c>
      <c r="G398" s="1451"/>
      <c r="H398" s="1451"/>
      <c r="I398" s="8"/>
      <c r="R398" s="255" t="str">
        <f ca="1">IFERROR(OFFSET('4.2民生電力需要量'!$G$1,MATCH($D398,'4.2民生電力需要量'!$E:$E,0)-1,0),"")</f>
        <v/>
      </c>
      <c r="S398" s="515"/>
      <c r="T398" s="515"/>
      <c r="U398" s="515"/>
      <c r="V398" s="515"/>
      <c r="W398" s="175">
        <f ca="1">(F398=R398)*1</f>
        <v>1</v>
      </c>
    </row>
    <row r="399" spans="1:23" customFormat="1">
      <c r="B399" s="7"/>
      <c r="C399" s="915"/>
      <c r="D399" s="97"/>
      <c r="E399" s="72" t="s">
        <v>612</v>
      </c>
      <c r="F399" s="1447" t="str">
        <f ca="1">IFERROR(OFFSET('4.2民生電力需要量'!$L$1,MATCH($D398,'4.2民生電力需要量'!$E:$E,0)-1,0),"")</f>
        <v/>
      </c>
      <c r="G399" s="1448"/>
      <c r="H399" s="1449"/>
      <c r="I399" s="8"/>
      <c r="R399" s="255" t="str">
        <f ca="1">IFERROR(OFFSET('4.2民生電力需要量'!$L$1,MATCH($D398,'4.2民生電力需要量'!$E:$E,0)-1,0),"")</f>
        <v/>
      </c>
      <c r="S399" s="515"/>
      <c r="T399" s="515"/>
      <c r="U399" s="515"/>
      <c r="V399" s="515"/>
      <c r="W399" s="175">
        <f ca="1">(F399=R399)*1</f>
        <v>1</v>
      </c>
    </row>
    <row r="400" spans="1:23" customFormat="1">
      <c r="B400" s="7"/>
      <c r="C400" s="915"/>
      <c r="D400" s="97"/>
      <c r="E400" s="72" t="s">
        <v>613</v>
      </c>
      <c r="F400" s="1456"/>
      <c r="G400" s="1457"/>
      <c r="H400" s="1458"/>
      <c r="I400" s="8"/>
      <c r="R400" s="320"/>
      <c r="S400" s="515"/>
      <c r="T400" s="515"/>
      <c r="U400" s="515"/>
      <c r="V400" s="515"/>
      <c r="W400" s="515"/>
    </row>
    <row r="401" spans="1:23" customFormat="1">
      <c r="B401" s="7"/>
      <c r="C401" s="74"/>
      <c r="D401" s="66"/>
      <c r="E401" s="72" t="s">
        <v>220</v>
      </c>
      <c r="F401" s="1450" t="str">
        <f ca="1">IFERROR(OFFSET('4.2民生電力需要量'!$I$1,MATCH($D398,'4.2民生電力需要量'!$E:$E,0)-1,0),"")</f>
        <v/>
      </c>
      <c r="G401" s="1450"/>
      <c r="H401" s="1450"/>
      <c r="I401" s="8"/>
      <c r="R401" s="175" t="str">
        <f ca="1">IFERROR(OFFSET('4.2民生電力需要量'!$I$1,MATCH($D398,'4.2民生電力需要量'!$E:$E,0)-1,0),"")</f>
        <v/>
      </c>
      <c r="S401" s="515"/>
      <c r="T401" s="515"/>
      <c r="U401" s="515"/>
      <c r="V401" s="515"/>
      <c r="W401" s="175">
        <f t="shared" ref="W401:W402" ca="1" si="115">(F401=R401)*1</f>
        <v>1</v>
      </c>
    </row>
    <row r="402" spans="1:23" customFormat="1">
      <c r="B402" s="7"/>
      <c r="C402" s="74"/>
      <c r="D402" s="66"/>
      <c r="E402" s="72" t="s">
        <v>175</v>
      </c>
      <c r="F402" s="1453" t="str">
        <f>_xlfn.IFNA(R402,"")</f>
        <v/>
      </c>
      <c r="G402" s="1454"/>
      <c r="H402" s="1455"/>
      <c r="I402" s="8"/>
      <c r="R402" s="129" t="str">
        <f>IF(OR(COUNTIF($E404:$E409,"&lt;&gt;〇〇(合意形成対象者名に書き換え)")=3,COUNTIF($E404:$E409,"")&gt;3),"",IF(PRODUCT($U404:$U409)=1,V404,""))</f>
        <v/>
      </c>
      <c r="S402" s="515"/>
      <c r="T402" s="515"/>
      <c r="U402" s="515"/>
      <c r="V402" s="515"/>
      <c r="W402" s="175">
        <f t="shared" si="115"/>
        <v>1</v>
      </c>
    </row>
    <row r="403" spans="1:23" ht="63.75" customHeight="1">
      <c r="B403" s="95"/>
      <c r="C403" s="96"/>
      <c r="D403" s="97"/>
      <c r="E403" s="372"/>
      <c r="F403" s="313" t="s">
        <v>281</v>
      </c>
      <c r="G403" s="313" t="s">
        <v>282</v>
      </c>
      <c r="H403" s="313" t="s">
        <v>279</v>
      </c>
      <c r="I403" s="98"/>
      <c r="J403" s="11"/>
      <c r="R403" s="126" t="s">
        <v>270</v>
      </c>
      <c r="S403" s="126" t="s">
        <v>426</v>
      </c>
      <c r="T403" s="129" t="s">
        <v>402</v>
      </c>
      <c r="U403" s="129" t="s">
        <v>430</v>
      </c>
      <c r="V403" s="126" t="s">
        <v>425</v>
      </c>
      <c r="W403" s="255"/>
    </row>
    <row r="404" spans="1:23" hidden="1">
      <c r="B404" s="95"/>
      <c r="C404" s="96"/>
      <c r="D404" s="97"/>
      <c r="E404" s="442"/>
      <c r="F404" s="443"/>
      <c r="G404" s="439"/>
      <c r="H404" s="439"/>
      <c r="I404" s="98"/>
      <c r="J404" s="11"/>
      <c r="R404" s="129">
        <f>IF(AND(F404="実施済",G404="実施済",H404="完了"),3,0)</f>
        <v>0</v>
      </c>
      <c r="S404" s="129" t="str">
        <f>IF(OR(E404="〇〇(合意形成対象者名に書き換え)",E404=""),"",R404)</f>
        <v/>
      </c>
      <c r="T404" s="129">
        <f t="shared" ref="T404:T409" si="116">MIN($S$404:$S$409)+1</f>
        <v>1</v>
      </c>
      <c r="U404" s="129">
        <f>IF(E404="",1,IF(AND(E404="〇〇(合意形成対象者名に書き換え)",COUNTA($F404:$H404)=0),1,IF(AND(E404&lt;&gt;"〇〇(合意形成対象者名に書き換え)",COUNTA($F404:$H404)=3),1,0)))</f>
        <v>1</v>
      </c>
      <c r="V404" s="129" t="str" cm="1">
        <f t="array" ref="V404">_xlfn.IFS(T404=4,"A",T404=3,"B",T404=2,"C",T404=1,"D")</f>
        <v>D</v>
      </c>
      <c r="W404" s="255"/>
    </row>
    <row r="405" spans="1:23">
      <c r="B405" s="95"/>
      <c r="C405" s="96"/>
      <c r="D405" s="97"/>
      <c r="E405" s="100" t="s">
        <v>129</v>
      </c>
      <c r="F405" s="446"/>
      <c r="G405" s="441"/>
      <c r="H405" s="441"/>
      <c r="I405" s="98"/>
      <c r="J405" s="11"/>
      <c r="R405" s="129">
        <f t="shared" ref="R405:R409" si="117">IF(AND(F405="実施済",G405="実施済",H405="完了"),3,0)</f>
        <v>0</v>
      </c>
      <c r="S405" s="129" t="str">
        <f t="shared" ref="S405:S409" si="118">IF(OR(E405="〇〇(合意形成対象者名に書き換え)",E405=""),"",R405)</f>
        <v/>
      </c>
      <c r="T405" s="129">
        <f t="shared" si="116"/>
        <v>1</v>
      </c>
      <c r="U405" s="129">
        <f>IF(E405="",1,IF(AND(E405="〇〇(合意形成対象者名に書き換え)",COUNTA($F405:$H405)=0),1,IF(AND(E405&lt;&gt;"〇〇(合意形成対象者名に書き換え)",COUNTA($F405:$H405)=3),1,0)))</f>
        <v>1</v>
      </c>
      <c r="V405" s="129" t="str" cm="1">
        <f t="array" ref="V405">_xlfn.IFS(T405=4,"A",T405=3,"B",T405=2,"C",T405=1,"D")</f>
        <v>D</v>
      </c>
      <c r="W405" s="255"/>
    </row>
    <row r="406" spans="1:23">
      <c r="B406" s="95"/>
      <c r="C406" s="96"/>
      <c r="D406" s="97"/>
      <c r="E406" s="100" t="s">
        <v>129</v>
      </c>
      <c r="F406" s="446"/>
      <c r="G406" s="441"/>
      <c r="H406" s="441"/>
      <c r="I406" s="98"/>
      <c r="J406" s="11"/>
      <c r="R406" s="129">
        <f t="shared" si="117"/>
        <v>0</v>
      </c>
      <c r="S406" s="129" t="str">
        <f t="shared" si="118"/>
        <v/>
      </c>
      <c r="T406" s="129">
        <f t="shared" si="116"/>
        <v>1</v>
      </c>
      <c r="U406" s="129">
        <f>IF(E406="",1,IF(AND(E406="〇〇(合意形成対象者名に書き換え)",COUNTA($F406:$H406)=0),1,IF(AND(E406&lt;&gt;"〇〇(合意形成対象者名に書き換え)",COUNTA($F406:$H406)=3),1,0)))</f>
        <v>1</v>
      </c>
      <c r="V406" s="129" t="str" cm="1">
        <f t="array" ref="V406">_xlfn.IFS(T406=4,"A",T406=3,"B",T406=2,"C",T406=1,"D")</f>
        <v>D</v>
      </c>
      <c r="W406" s="255"/>
    </row>
    <row r="407" spans="1:23" s="99" customFormat="1">
      <c r="A407" s="11"/>
      <c r="B407" s="95"/>
      <c r="C407" s="96"/>
      <c r="D407" s="97"/>
      <c r="E407" s="100" t="s">
        <v>129</v>
      </c>
      <c r="F407" s="446"/>
      <c r="G407" s="441"/>
      <c r="H407" s="441"/>
      <c r="I407" s="98"/>
      <c r="J407" s="11"/>
      <c r="M407" s="11"/>
      <c r="N407" s="11"/>
      <c r="O407" s="11"/>
      <c r="P407" s="11"/>
      <c r="Q407" s="11"/>
      <c r="R407" s="129">
        <f t="shared" si="117"/>
        <v>0</v>
      </c>
      <c r="S407" s="129" t="str">
        <f t="shared" si="118"/>
        <v/>
      </c>
      <c r="T407" s="129">
        <f t="shared" si="116"/>
        <v>1</v>
      </c>
      <c r="U407" s="129">
        <f>IF(E407="",1,IF(AND(E407="〇〇(合意形成対象者名に書き換え)",COUNTA($F407:$H407)=0),1,IF(AND(E407&lt;&gt;"〇〇(合意形成対象者名に書き換え)",COUNTA($F407:$H407)=3),1,0)))</f>
        <v>1</v>
      </c>
      <c r="V407" s="129" t="str" cm="1">
        <f t="array" ref="V407">_xlfn.IFS(T407=4,"A",T407=3,"B",T407=2,"C",T407=1,"D")</f>
        <v>D</v>
      </c>
      <c r="W407" s="129"/>
    </row>
    <row r="408" spans="1:23" customFormat="1" ht="7.5" customHeight="1">
      <c r="B408" s="65"/>
      <c r="C408" s="4"/>
      <c r="D408" s="4"/>
      <c r="E408" s="4"/>
      <c r="F408" s="4"/>
      <c r="G408" s="4"/>
      <c r="H408" s="4"/>
      <c r="I408" s="9"/>
      <c r="J408" s="2"/>
      <c r="K408" s="2"/>
      <c r="L408" s="2"/>
      <c r="R408" s="129">
        <f t="shared" si="117"/>
        <v>0</v>
      </c>
      <c r="S408" s="129" t="str">
        <f t="shared" si="118"/>
        <v/>
      </c>
      <c r="T408" s="129">
        <f t="shared" si="116"/>
        <v>1</v>
      </c>
      <c r="U408" s="129">
        <f t="shared" ref="U408:U409" si="119">IF(E408="",1,IF(AND(E408="〇〇(合意形成対象者名に書き換え)",COUNTA($F408:$H408)=0),1,IF(AND(E408&lt;&gt;"〇〇(合意形成対象者名に書き換え)",COUNTA($F408:$H408)=3),1,0)))</f>
        <v>1</v>
      </c>
      <c r="V408" s="129" t="str" cm="1">
        <f t="array" ref="V408">_xlfn.IFS(T408=4,"A",T408=3,"B",T408=2,"C",T408=1,"D")</f>
        <v>D</v>
      </c>
      <c r="W408" s="175"/>
    </row>
    <row r="409" spans="1:23" customFormat="1" ht="6" customHeight="1">
      <c r="J409" s="2"/>
      <c r="K409" s="2"/>
      <c r="L409" s="2"/>
      <c r="R409" s="129">
        <f t="shared" si="117"/>
        <v>0</v>
      </c>
      <c r="S409" s="129" t="str">
        <f t="shared" si="118"/>
        <v/>
      </c>
      <c r="T409" s="129">
        <f t="shared" si="116"/>
        <v>1</v>
      </c>
      <c r="U409" s="129">
        <f t="shared" si="119"/>
        <v>1</v>
      </c>
      <c r="V409" s="129" t="str" cm="1">
        <f t="array" ref="V409">_xlfn.IFS(T409=4,"A",T409=3,"B",T409=2,"C",T409=1,"D")</f>
        <v>D</v>
      </c>
      <c r="W409" s="175"/>
    </row>
    <row r="410" spans="1:23" customFormat="1" ht="103.5" customHeight="1">
      <c r="C410" s="78"/>
      <c r="D410" s="79"/>
      <c r="E410" s="71" t="s">
        <v>236</v>
      </c>
      <c r="F410" s="1452"/>
      <c r="G410" s="1452"/>
      <c r="H410" s="1452"/>
      <c r="I410" s="80" t="s">
        <v>132</v>
      </c>
      <c r="J410" s="80"/>
    </row>
    <row r="411" spans="1:23" customFormat="1" ht="146.25" customHeight="1">
      <c r="C411" s="75"/>
      <c r="D411" s="68"/>
      <c r="E411" s="71" t="s">
        <v>235</v>
      </c>
      <c r="F411" s="1452"/>
      <c r="G411" s="1452"/>
      <c r="H411" s="1452"/>
      <c r="J411" s="2"/>
      <c r="K411" s="2"/>
      <c r="L411" s="2"/>
    </row>
    <row r="412" spans="1:23" customFormat="1" ht="13.5" customHeight="1" thickBot="1">
      <c r="A412" s="81"/>
      <c r="B412" s="81"/>
      <c r="C412" s="81"/>
      <c r="D412" s="81"/>
      <c r="E412" s="81"/>
      <c r="F412" s="81"/>
      <c r="G412" s="81"/>
      <c r="H412" s="81"/>
      <c r="I412" s="81"/>
      <c r="J412" s="82"/>
      <c r="K412" s="2"/>
      <c r="L412" s="2"/>
    </row>
    <row r="413" spans="1:23" customFormat="1" ht="13.5" customHeight="1">
      <c r="J413" s="2"/>
      <c r="K413" s="2"/>
      <c r="L413" s="2"/>
    </row>
    <row r="414" spans="1:23" customFormat="1" ht="15" customHeight="1">
      <c r="B414" s="10"/>
      <c r="C414" s="5"/>
      <c r="D414" s="5"/>
      <c r="E414" s="5"/>
      <c r="F414" s="5"/>
      <c r="G414" s="5"/>
      <c r="H414" s="5"/>
      <c r="I414" s="6"/>
      <c r="R414" s="11" t="str">
        <f>D415</f>
        <v>(選択してください)</v>
      </c>
    </row>
    <row r="415" spans="1:23" customFormat="1">
      <c r="B415" s="7"/>
      <c r="C415" s="77" t="str">
        <f ca="1">IFERROR(OFFSET('4.2民生電力需要量'!$C$8,MATCH(D415,'4.2民生電力需要量'!$E$9:$E$49,0),0),"")</f>
        <v/>
      </c>
      <c r="D415" s="94" t="s">
        <v>130</v>
      </c>
      <c r="E415" s="72" t="s">
        <v>131</v>
      </c>
      <c r="F415" s="1451" t="str">
        <f ca="1">IFERROR(OFFSET('4.2民生電力需要量'!$G$1,MATCH($D415,'4.2民生電力需要量'!$E:$E,0)-1,0),"")</f>
        <v/>
      </c>
      <c r="G415" s="1451"/>
      <c r="H415" s="1451"/>
      <c r="I415" s="8"/>
      <c r="R415" s="255" t="str">
        <f ca="1">IFERROR(OFFSET('4.2民生電力需要量'!$G$1,MATCH($D415,'4.2民生電力需要量'!$E:$E,0)-1,0),"")</f>
        <v/>
      </c>
      <c r="S415" s="515"/>
      <c r="T415" s="515"/>
      <c r="U415" s="515"/>
      <c r="V415" s="515"/>
      <c r="W415" s="175">
        <f ca="1">(F415=R415)*1</f>
        <v>1</v>
      </c>
    </row>
    <row r="416" spans="1:23" customFormat="1">
      <c r="B416" s="7"/>
      <c r="C416" s="915"/>
      <c r="D416" s="97"/>
      <c r="E416" s="72" t="s">
        <v>612</v>
      </c>
      <c r="F416" s="1447" t="str">
        <f ca="1">IFERROR(OFFSET('4.2民生電力需要量'!$L$1,MATCH($D415,'4.2民生電力需要量'!$E:$E,0)-1,0),"")</f>
        <v/>
      </c>
      <c r="G416" s="1448"/>
      <c r="H416" s="1449"/>
      <c r="I416" s="8"/>
      <c r="R416" s="255" t="str">
        <f ca="1">IFERROR(OFFSET('4.2民生電力需要量'!$L$1,MATCH($D415,'4.2民生電力需要量'!$E:$E,0)-1,0),"")</f>
        <v/>
      </c>
      <c r="S416" s="515"/>
      <c r="T416" s="515"/>
      <c r="U416" s="515"/>
      <c r="V416" s="515"/>
      <c r="W416" s="175">
        <f ca="1">(F416=R416)*1</f>
        <v>1</v>
      </c>
    </row>
    <row r="417" spans="1:23" customFormat="1">
      <c r="B417" s="7"/>
      <c r="C417" s="915"/>
      <c r="D417" s="97"/>
      <c r="E417" s="72" t="s">
        <v>613</v>
      </c>
      <c r="F417" s="1456"/>
      <c r="G417" s="1457"/>
      <c r="H417" s="1458"/>
      <c r="I417" s="8"/>
      <c r="R417" s="320"/>
      <c r="S417" s="515"/>
      <c r="T417" s="515"/>
      <c r="U417" s="515"/>
      <c r="V417" s="515"/>
      <c r="W417" s="515"/>
    </row>
    <row r="418" spans="1:23" customFormat="1">
      <c r="B418" s="7"/>
      <c r="C418" s="74"/>
      <c r="D418" s="66"/>
      <c r="E418" s="72" t="s">
        <v>220</v>
      </c>
      <c r="F418" s="1450" t="str">
        <f ca="1">IFERROR(OFFSET('4.2民生電力需要量'!$I$1,MATCH($D415,'4.2民生電力需要量'!$E:$E,0)-1,0),"")</f>
        <v/>
      </c>
      <c r="G418" s="1450"/>
      <c r="H418" s="1450"/>
      <c r="I418" s="8"/>
      <c r="R418" s="175" t="str">
        <f ca="1">IFERROR(OFFSET('4.2民生電力需要量'!$I$1,MATCH($D415,'4.2民生電力需要量'!$E:$E,0)-1,0),"")</f>
        <v/>
      </c>
      <c r="S418" s="515"/>
      <c r="T418" s="515"/>
      <c r="U418" s="515"/>
      <c r="V418" s="515"/>
      <c r="W418" s="175">
        <f t="shared" ref="W418:W419" ca="1" si="120">(F418=R418)*1</f>
        <v>1</v>
      </c>
    </row>
    <row r="419" spans="1:23" customFormat="1">
      <c r="B419" s="7"/>
      <c r="C419" s="74"/>
      <c r="D419" s="66"/>
      <c r="E419" s="72" t="s">
        <v>175</v>
      </c>
      <c r="F419" s="1453" t="str">
        <f>_xlfn.IFNA(R419,"")</f>
        <v/>
      </c>
      <c r="G419" s="1454"/>
      <c r="H419" s="1455"/>
      <c r="I419" s="8"/>
      <c r="R419" s="129" t="str">
        <f>IF(OR(COUNTIF($E421:$E426,"&lt;&gt;〇〇(合意形成対象者名に書き換え)")=3,COUNTIF($E421:$E426,"")&gt;3),"",IF(PRODUCT($U421:$U426)=1,V421,""))</f>
        <v/>
      </c>
      <c r="S419" s="515"/>
      <c r="T419" s="515"/>
      <c r="U419" s="515"/>
      <c r="V419" s="515"/>
      <c r="W419" s="175">
        <f t="shared" si="120"/>
        <v>1</v>
      </c>
    </row>
    <row r="420" spans="1:23" ht="63.75" customHeight="1">
      <c r="B420" s="95"/>
      <c r="C420" s="96"/>
      <c r="D420" s="97"/>
      <c r="E420" s="372"/>
      <c r="F420" s="313" t="s">
        <v>281</v>
      </c>
      <c r="G420" s="313" t="s">
        <v>282</v>
      </c>
      <c r="H420" s="313" t="s">
        <v>279</v>
      </c>
      <c r="I420" s="98"/>
      <c r="J420" s="11"/>
      <c r="R420" s="126" t="s">
        <v>270</v>
      </c>
      <c r="S420" s="126" t="s">
        <v>426</v>
      </c>
      <c r="T420" s="129" t="s">
        <v>402</v>
      </c>
      <c r="U420" s="129" t="s">
        <v>430</v>
      </c>
      <c r="V420" s="126" t="s">
        <v>425</v>
      </c>
      <c r="W420" s="255"/>
    </row>
    <row r="421" spans="1:23" hidden="1">
      <c r="B421" s="95"/>
      <c r="C421" s="96"/>
      <c r="D421" s="97"/>
      <c r="E421" s="442"/>
      <c r="F421" s="443"/>
      <c r="G421" s="439"/>
      <c r="H421" s="439"/>
      <c r="I421" s="98"/>
      <c r="J421" s="11"/>
      <c r="R421" s="129">
        <f>IF(AND(F421="実施済",G421="実施済",H421="完了"),3,0)</f>
        <v>0</v>
      </c>
      <c r="S421" s="129" t="str">
        <f>IF(OR(E421="〇〇(合意形成対象者名に書き換え)",E421=""),"",R421)</f>
        <v/>
      </c>
      <c r="T421" s="129">
        <f t="shared" ref="T421:T426" si="121">MIN($S$421:$S$426)+1</f>
        <v>1</v>
      </c>
      <c r="U421" s="129">
        <f>IF(E421="",1,IF(AND(E421="〇〇(合意形成対象者名に書き換え)",COUNTA($F421:$H421)=0),1,IF(AND(E421&lt;&gt;"〇〇(合意形成対象者名に書き換え)",COUNTA($F421:$H421)=3),1,0)))</f>
        <v>1</v>
      </c>
      <c r="V421" s="129" t="str" cm="1">
        <f t="array" ref="V421">_xlfn.IFS(T421=4,"A",T421=3,"B",T421=2,"C",T421=1,"D")</f>
        <v>D</v>
      </c>
      <c r="W421" s="255"/>
    </row>
    <row r="422" spans="1:23">
      <c r="B422" s="95"/>
      <c r="C422" s="96"/>
      <c r="D422" s="97"/>
      <c r="E422" s="100" t="s">
        <v>129</v>
      </c>
      <c r="F422" s="446"/>
      <c r="G422" s="441"/>
      <c r="H422" s="441"/>
      <c r="I422" s="98"/>
      <c r="J422" s="11"/>
      <c r="R422" s="129">
        <f t="shared" ref="R422:R426" si="122">IF(AND(F422="実施済",G422="実施済",H422="完了"),3,0)</f>
        <v>0</v>
      </c>
      <c r="S422" s="129" t="str">
        <f t="shared" ref="S422:S426" si="123">IF(OR(E422="〇〇(合意形成対象者名に書き換え)",E422=""),"",R422)</f>
        <v/>
      </c>
      <c r="T422" s="129">
        <f t="shared" si="121"/>
        <v>1</v>
      </c>
      <c r="U422" s="129">
        <f>IF(E422="",1,IF(AND(E422="〇〇(合意形成対象者名に書き換え)",COUNTA($F422:$H422)=0),1,IF(AND(E422&lt;&gt;"〇〇(合意形成対象者名に書き換え)",COUNTA($F422:$H422)=3),1,0)))</f>
        <v>1</v>
      </c>
      <c r="V422" s="129" t="str" cm="1">
        <f t="array" ref="V422">_xlfn.IFS(T422=4,"A",T422=3,"B",T422=2,"C",T422=1,"D")</f>
        <v>D</v>
      </c>
      <c r="W422" s="255"/>
    </row>
    <row r="423" spans="1:23">
      <c r="B423" s="95"/>
      <c r="C423" s="96"/>
      <c r="D423" s="97"/>
      <c r="E423" s="100" t="s">
        <v>129</v>
      </c>
      <c r="F423" s="446"/>
      <c r="G423" s="441"/>
      <c r="H423" s="441"/>
      <c r="I423" s="98"/>
      <c r="J423" s="11"/>
      <c r="R423" s="129">
        <f t="shared" si="122"/>
        <v>0</v>
      </c>
      <c r="S423" s="129" t="str">
        <f t="shared" si="123"/>
        <v/>
      </c>
      <c r="T423" s="129">
        <f t="shared" si="121"/>
        <v>1</v>
      </c>
      <c r="U423" s="129">
        <f>IF(E423="",1,IF(AND(E423="〇〇(合意形成対象者名に書き換え)",COUNTA($F423:$H423)=0),1,IF(AND(E423&lt;&gt;"〇〇(合意形成対象者名に書き換え)",COUNTA($F423:$H423)=3),1,0)))</f>
        <v>1</v>
      </c>
      <c r="V423" s="129" t="str" cm="1">
        <f t="array" ref="V423">_xlfn.IFS(T423=4,"A",T423=3,"B",T423=2,"C",T423=1,"D")</f>
        <v>D</v>
      </c>
      <c r="W423" s="255"/>
    </row>
    <row r="424" spans="1:23" s="99" customFormat="1">
      <c r="A424" s="11"/>
      <c r="B424" s="95"/>
      <c r="C424" s="96"/>
      <c r="D424" s="97"/>
      <c r="E424" s="100" t="s">
        <v>129</v>
      </c>
      <c r="F424" s="446"/>
      <c r="G424" s="441"/>
      <c r="H424" s="441"/>
      <c r="I424" s="98"/>
      <c r="J424" s="11"/>
      <c r="M424" s="11"/>
      <c r="N424" s="11"/>
      <c r="O424" s="11"/>
      <c r="P424" s="11"/>
      <c r="Q424" s="11"/>
      <c r="R424" s="129">
        <f t="shared" si="122"/>
        <v>0</v>
      </c>
      <c r="S424" s="129" t="str">
        <f t="shared" si="123"/>
        <v/>
      </c>
      <c r="T424" s="129">
        <f t="shared" si="121"/>
        <v>1</v>
      </c>
      <c r="U424" s="129">
        <f>IF(E424="",1,IF(AND(E424="〇〇(合意形成対象者名に書き換え)",COUNTA($F424:$H424)=0),1,IF(AND(E424&lt;&gt;"〇〇(合意形成対象者名に書き換え)",COUNTA($F424:$H424)=3),1,0)))</f>
        <v>1</v>
      </c>
      <c r="V424" s="129" t="str" cm="1">
        <f t="array" ref="V424">_xlfn.IFS(T424=4,"A",T424=3,"B",T424=2,"C",T424=1,"D")</f>
        <v>D</v>
      </c>
      <c r="W424" s="129"/>
    </row>
    <row r="425" spans="1:23" customFormat="1" ht="7.5" customHeight="1">
      <c r="B425" s="65"/>
      <c r="C425" s="4"/>
      <c r="D425" s="4"/>
      <c r="E425" s="4"/>
      <c r="F425" s="4"/>
      <c r="G425" s="4"/>
      <c r="H425" s="4"/>
      <c r="I425" s="9"/>
      <c r="J425" s="2"/>
      <c r="K425" s="2"/>
      <c r="L425" s="2"/>
      <c r="R425" s="129">
        <f t="shared" si="122"/>
        <v>0</v>
      </c>
      <c r="S425" s="129" t="str">
        <f t="shared" si="123"/>
        <v/>
      </c>
      <c r="T425" s="129">
        <f t="shared" si="121"/>
        <v>1</v>
      </c>
      <c r="U425" s="129">
        <f t="shared" ref="U425:U426" si="124">IF(E425="",1,IF(AND(E425="〇〇(合意形成対象者名に書き換え)",COUNTA($F425:$H425)=0),1,IF(AND(E425&lt;&gt;"〇〇(合意形成対象者名に書き換え)",COUNTA($F425:$H425)=3),1,0)))</f>
        <v>1</v>
      </c>
      <c r="V425" s="129" t="str" cm="1">
        <f t="array" ref="V425">_xlfn.IFS(T425=4,"A",T425=3,"B",T425=2,"C",T425=1,"D")</f>
        <v>D</v>
      </c>
      <c r="W425" s="175"/>
    </row>
    <row r="426" spans="1:23" customFormat="1" ht="6" customHeight="1">
      <c r="J426" s="2"/>
      <c r="K426" s="2"/>
      <c r="L426" s="2"/>
      <c r="R426" s="129">
        <f t="shared" si="122"/>
        <v>0</v>
      </c>
      <c r="S426" s="129" t="str">
        <f t="shared" si="123"/>
        <v/>
      </c>
      <c r="T426" s="129">
        <f t="shared" si="121"/>
        <v>1</v>
      </c>
      <c r="U426" s="129">
        <f t="shared" si="124"/>
        <v>1</v>
      </c>
      <c r="V426" s="129" t="str" cm="1">
        <f t="array" ref="V426">_xlfn.IFS(T426=4,"A",T426=3,"B",T426=2,"C",T426=1,"D")</f>
        <v>D</v>
      </c>
      <c r="W426" s="175"/>
    </row>
    <row r="427" spans="1:23" customFormat="1" ht="103.5" customHeight="1">
      <c r="C427" s="78"/>
      <c r="D427" s="79"/>
      <c r="E427" s="71" t="s">
        <v>236</v>
      </c>
      <c r="F427" s="1452"/>
      <c r="G427" s="1452"/>
      <c r="H427" s="1452"/>
      <c r="I427" s="80" t="s">
        <v>132</v>
      </c>
      <c r="J427" s="80"/>
    </row>
    <row r="428" spans="1:23" customFormat="1" ht="146.25" customHeight="1">
      <c r="C428" s="75"/>
      <c r="D428" s="68"/>
      <c r="E428" s="71" t="s">
        <v>235</v>
      </c>
      <c r="F428" s="1452"/>
      <c r="G428" s="1452"/>
      <c r="H428" s="1452"/>
      <c r="J428" s="2"/>
      <c r="K428" s="2"/>
      <c r="L428" s="2"/>
    </row>
    <row r="429" spans="1:23" customFormat="1" ht="13.5" customHeight="1" thickBot="1">
      <c r="A429" s="81"/>
      <c r="B429" s="81"/>
      <c r="C429" s="81"/>
      <c r="D429" s="81"/>
      <c r="E429" s="81"/>
      <c r="F429" s="81"/>
      <c r="G429" s="81"/>
      <c r="H429" s="81"/>
      <c r="I429" s="81"/>
      <c r="J429" s="82"/>
      <c r="K429" s="2"/>
      <c r="L429" s="2"/>
    </row>
    <row r="430" spans="1:23" customFormat="1" ht="13.5" customHeight="1">
      <c r="J430" s="2"/>
      <c r="K430" s="2"/>
      <c r="L430" s="2"/>
    </row>
    <row r="431" spans="1:23" customFormat="1" ht="15" customHeight="1">
      <c r="B431" s="10"/>
      <c r="C431" s="5"/>
      <c r="D431" s="5"/>
      <c r="E431" s="5"/>
      <c r="F431" s="5"/>
      <c r="G431" s="5"/>
      <c r="H431" s="5"/>
      <c r="I431" s="6"/>
      <c r="R431" s="11" t="str">
        <f>D432</f>
        <v>(選択してください)</v>
      </c>
    </row>
    <row r="432" spans="1:23" customFormat="1">
      <c r="B432" s="7"/>
      <c r="C432" s="77" t="str">
        <f ca="1">IFERROR(OFFSET('4.2民生電力需要量'!$C$8,MATCH(D432,'4.2民生電力需要量'!$E$9:$E$49,0),0),"")</f>
        <v/>
      </c>
      <c r="D432" s="94" t="s">
        <v>130</v>
      </c>
      <c r="E432" s="72" t="s">
        <v>131</v>
      </c>
      <c r="F432" s="1451" t="str">
        <f ca="1">IFERROR(OFFSET('4.2民生電力需要量'!$G$1,MATCH($D432,'4.2民生電力需要量'!$E:$E,0)-1,0),"")</f>
        <v/>
      </c>
      <c r="G432" s="1451"/>
      <c r="H432" s="1451"/>
      <c r="I432" s="8"/>
      <c r="R432" s="255" t="str">
        <f ca="1">IFERROR(OFFSET('4.2民生電力需要量'!$G$1,MATCH($D432,'4.2民生電力需要量'!$E:$E,0)-1,0),"")</f>
        <v/>
      </c>
      <c r="S432" s="515"/>
      <c r="T432" s="515"/>
      <c r="U432" s="515"/>
      <c r="V432" s="515"/>
      <c r="W432" s="175">
        <f ca="1">(F432=R432)*1</f>
        <v>1</v>
      </c>
    </row>
    <row r="433" spans="1:23" customFormat="1">
      <c r="B433" s="7"/>
      <c r="C433" s="915"/>
      <c r="D433" s="97"/>
      <c r="E433" s="72" t="s">
        <v>612</v>
      </c>
      <c r="F433" s="1447" t="str">
        <f ca="1">IFERROR(OFFSET('4.2民生電力需要量'!$L$1,MATCH($D432,'4.2民生電力需要量'!$E:$E,0)-1,0),"")</f>
        <v/>
      </c>
      <c r="G433" s="1448"/>
      <c r="H433" s="1449"/>
      <c r="I433" s="8"/>
      <c r="R433" s="255" t="str">
        <f ca="1">IFERROR(OFFSET('4.2民生電力需要量'!$L$1,MATCH($D432,'4.2民生電力需要量'!$E:$E,0)-1,0),"")</f>
        <v/>
      </c>
      <c r="S433" s="515"/>
      <c r="T433" s="515"/>
      <c r="U433" s="515"/>
      <c r="V433" s="515"/>
      <c r="W433" s="175">
        <f ca="1">(F433=R433)*1</f>
        <v>1</v>
      </c>
    </row>
    <row r="434" spans="1:23" customFormat="1">
      <c r="B434" s="7"/>
      <c r="C434" s="915"/>
      <c r="D434" s="97"/>
      <c r="E434" s="72" t="s">
        <v>613</v>
      </c>
      <c r="F434" s="1456"/>
      <c r="G434" s="1457"/>
      <c r="H434" s="1458"/>
      <c r="I434" s="8"/>
      <c r="R434" s="320"/>
      <c r="S434" s="515"/>
      <c r="T434" s="515"/>
      <c r="U434" s="515"/>
      <c r="V434" s="515"/>
      <c r="W434" s="515"/>
    </row>
    <row r="435" spans="1:23" customFormat="1">
      <c r="B435" s="7"/>
      <c r="C435" s="74"/>
      <c r="D435" s="66"/>
      <c r="E435" s="72" t="s">
        <v>220</v>
      </c>
      <c r="F435" s="1450" t="str">
        <f ca="1">IFERROR(OFFSET('4.2民生電力需要量'!$I$1,MATCH($D432,'4.2民生電力需要量'!$E:$E,0)-1,0),"")</f>
        <v/>
      </c>
      <c r="G435" s="1450"/>
      <c r="H435" s="1450"/>
      <c r="I435" s="8"/>
      <c r="R435" s="175" t="str">
        <f ca="1">IFERROR(OFFSET('4.2民生電力需要量'!$I$1,MATCH($D432,'4.2民生電力需要量'!$E:$E,0)-1,0),"")</f>
        <v/>
      </c>
      <c r="S435" s="515"/>
      <c r="T435" s="515"/>
      <c r="U435" s="515"/>
      <c r="V435" s="515"/>
      <c r="W435" s="175">
        <f t="shared" ref="W435:W436" ca="1" si="125">(F435=R435)*1</f>
        <v>1</v>
      </c>
    </row>
    <row r="436" spans="1:23" customFormat="1">
      <c r="B436" s="7"/>
      <c r="C436" s="74"/>
      <c r="D436" s="66"/>
      <c r="E436" s="72" t="s">
        <v>175</v>
      </c>
      <c r="F436" s="1453" t="str">
        <f>_xlfn.IFNA(R436,"")</f>
        <v/>
      </c>
      <c r="G436" s="1454"/>
      <c r="H436" s="1455"/>
      <c r="I436" s="8"/>
      <c r="R436" s="129" t="str">
        <f>IF(OR(COUNTIF($E438:$E443,"&lt;&gt;〇〇(合意形成対象者名に書き換え)")=3,COUNTIF($E438:$E443,"")&gt;3),"",IF(PRODUCT($U438:$U443)=1,V438,""))</f>
        <v/>
      </c>
      <c r="S436" s="515"/>
      <c r="T436" s="515"/>
      <c r="U436" s="515"/>
      <c r="V436" s="515"/>
      <c r="W436" s="175">
        <f t="shared" si="125"/>
        <v>1</v>
      </c>
    </row>
    <row r="437" spans="1:23" ht="63.75" customHeight="1">
      <c r="B437" s="95"/>
      <c r="C437" s="96"/>
      <c r="D437" s="97"/>
      <c r="E437" s="372"/>
      <c r="F437" s="313" t="s">
        <v>281</v>
      </c>
      <c r="G437" s="313" t="s">
        <v>282</v>
      </c>
      <c r="H437" s="313" t="s">
        <v>279</v>
      </c>
      <c r="I437" s="98"/>
      <c r="J437" s="11"/>
      <c r="R437" s="126" t="s">
        <v>270</v>
      </c>
      <c r="S437" s="126" t="s">
        <v>426</v>
      </c>
      <c r="T437" s="129" t="s">
        <v>402</v>
      </c>
      <c r="U437" s="129" t="s">
        <v>430</v>
      </c>
      <c r="V437" s="126" t="s">
        <v>425</v>
      </c>
      <c r="W437" s="255"/>
    </row>
    <row r="438" spans="1:23" hidden="1">
      <c r="B438" s="95"/>
      <c r="C438" s="96"/>
      <c r="D438" s="97"/>
      <c r="E438" s="442"/>
      <c r="F438" s="443"/>
      <c r="G438" s="439"/>
      <c r="H438" s="439"/>
      <c r="I438" s="98"/>
      <c r="J438" s="11"/>
      <c r="R438" s="129">
        <f>IF(AND(F438="実施済",G438="実施済",H438="完了"),3,0)</f>
        <v>0</v>
      </c>
      <c r="S438" s="129" t="str">
        <f>IF(OR(E438="〇〇(合意形成対象者名に書き換え)",E438=""),"",R438)</f>
        <v/>
      </c>
      <c r="T438" s="129">
        <f t="shared" ref="T438:T443" si="126">MIN($S$438:$S$443)+1</f>
        <v>1</v>
      </c>
      <c r="U438" s="129">
        <f>IF(E438="",1,IF(AND(E438="〇〇(合意形成対象者名に書き換え)",COUNTA($F438:$H438)=0),1,IF(AND(E438&lt;&gt;"〇〇(合意形成対象者名に書き換え)",COUNTA($F438:$H438)=3),1,0)))</f>
        <v>1</v>
      </c>
      <c r="V438" s="129" t="str" cm="1">
        <f t="array" ref="V438">_xlfn.IFS(T438=4,"A",T438=3,"B",T438=2,"C",T438=1,"D")</f>
        <v>D</v>
      </c>
      <c r="W438" s="255"/>
    </row>
    <row r="439" spans="1:23">
      <c r="B439" s="95"/>
      <c r="C439" s="96"/>
      <c r="D439" s="97"/>
      <c r="E439" s="100" t="s">
        <v>129</v>
      </c>
      <c r="F439" s="446"/>
      <c r="G439" s="441"/>
      <c r="H439" s="441"/>
      <c r="I439" s="98"/>
      <c r="J439" s="11"/>
      <c r="R439" s="129">
        <f t="shared" ref="R439:R443" si="127">IF(AND(F439="実施済",G439="実施済",H439="完了"),3,0)</f>
        <v>0</v>
      </c>
      <c r="S439" s="129" t="str">
        <f t="shared" ref="S439:S443" si="128">IF(OR(E439="〇〇(合意形成対象者名に書き換え)",E439=""),"",R439)</f>
        <v/>
      </c>
      <c r="T439" s="129">
        <f t="shared" si="126"/>
        <v>1</v>
      </c>
      <c r="U439" s="129">
        <f>IF(E439="",1,IF(AND(E439="〇〇(合意形成対象者名に書き換え)",COUNTA($F439:$H439)=0),1,IF(AND(E439&lt;&gt;"〇〇(合意形成対象者名に書き換え)",COUNTA($F439:$H439)=3),1,0)))</f>
        <v>1</v>
      </c>
      <c r="V439" s="129" t="str" cm="1">
        <f t="array" ref="V439">_xlfn.IFS(T439=4,"A",T439=3,"B",T439=2,"C",T439=1,"D")</f>
        <v>D</v>
      </c>
      <c r="W439" s="255"/>
    </row>
    <row r="440" spans="1:23">
      <c r="B440" s="95"/>
      <c r="C440" s="96"/>
      <c r="D440" s="97"/>
      <c r="E440" s="100" t="s">
        <v>129</v>
      </c>
      <c r="F440" s="446"/>
      <c r="G440" s="441"/>
      <c r="H440" s="441"/>
      <c r="I440" s="98"/>
      <c r="J440" s="11"/>
      <c r="R440" s="129">
        <f t="shared" si="127"/>
        <v>0</v>
      </c>
      <c r="S440" s="129" t="str">
        <f t="shared" si="128"/>
        <v/>
      </c>
      <c r="T440" s="129">
        <f t="shared" si="126"/>
        <v>1</v>
      </c>
      <c r="U440" s="129">
        <f>IF(E440="",1,IF(AND(E440="〇〇(合意形成対象者名に書き換え)",COUNTA($F440:$H440)=0),1,IF(AND(E440&lt;&gt;"〇〇(合意形成対象者名に書き換え)",COUNTA($F440:$H440)=3),1,0)))</f>
        <v>1</v>
      </c>
      <c r="V440" s="129" t="str" cm="1">
        <f t="array" ref="V440">_xlfn.IFS(T440=4,"A",T440=3,"B",T440=2,"C",T440=1,"D")</f>
        <v>D</v>
      </c>
      <c r="W440" s="255"/>
    </row>
    <row r="441" spans="1:23" s="99" customFormat="1">
      <c r="A441" s="11"/>
      <c r="B441" s="95"/>
      <c r="C441" s="96"/>
      <c r="D441" s="97"/>
      <c r="E441" s="100" t="s">
        <v>129</v>
      </c>
      <c r="F441" s="446"/>
      <c r="G441" s="441"/>
      <c r="H441" s="441"/>
      <c r="I441" s="98"/>
      <c r="J441" s="11"/>
      <c r="M441" s="11"/>
      <c r="N441" s="11"/>
      <c r="O441" s="11"/>
      <c r="P441" s="11"/>
      <c r="Q441" s="11"/>
      <c r="R441" s="129">
        <f t="shared" si="127"/>
        <v>0</v>
      </c>
      <c r="S441" s="129" t="str">
        <f t="shared" si="128"/>
        <v/>
      </c>
      <c r="T441" s="129">
        <f t="shared" si="126"/>
        <v>1</v>
      </c>
      <c r="U441" s="129">
        <f>IF(E441="",1,IF(AND(E441="〇〇(合意形成対象者名に書き換え)",COUNTA($F441:$H441)=0),1,IF(AND(E441&lt;&gt;"〇〇(合意形成対象者名に書き換え)",COUNTA($F441:$H441)=3),1,0)))</f>
        <v>1</v>
      </c>
      <c r="V441" s="129" t="str" cm="1">
        <f t="array" ref="V441">_xlfn.IFS(T441=4,"A",T441=3,"B",T441=2,"C",T441=1,"D")</f>
        <v>D</v>
      </c>
      <c r="W441" s="129"/>
    </row>
    <row r="442" spans="1:23" customFormat="1" ht="7.5" customHeight="1">
      <c r="B442" s="65"/>
      <c r="C442" s="4"/>
      <c r="D442" s="4"/>
      <c r="E442" s="4"/>
      <c r="F442" s="4"/>
      <c r="G442" s="4"/>
      <c r="H442" s="4"/>
      <c r="I442" s="9"/>
      <c r="J442" s="2"/>
      <c r="K442" s="2"/>
      <c r="L442" s="2"/>
      <c r="R442" s="129">
        <f t="shared" si="127"/>
        <v>0</v>
      </c>
      <c r="S442" s="129" t="str">
        <f t="shared" si="128"/>
        <v/>
      </c>
      <c r="T442" s="129">
        <f t="shared" si="126"/>
        <v>1</v>
      </c>
      <c r="U442" s="129">
        <f t="shared" ref="U442:U443" si="129">IF(E442="",1,IF(AND(E442="〇〇(合意形成対象者名に書き換え)",COUNTA($F442:$H442)=0),1,IF(AND(E442&lt;&gt;"〇〇(合意形成対象者名に書き換え)",COUNTA($F442:$H442)=3),1,0)))</f>
        <v>1</v>
      </c>
      <c r="V442" s="129" t="str" cm="1">
        <f t="array" ref="V442">_xlfn.IFS(T442=4,"A",T442=3,"B",T442=2,"C",T442=1,"D")</f>
        <v>D</v>
      </c>
      <c r="W442" s="175"/>
    </row>
    <row r="443" spans="1:23" customFormat="1" ht="6" customHeight="1">
      <c r="J443" s="2"/>
      <c r="K443" s="2"/>
      <c r="L443" s="2"/>
      <c r="R443" s="129">
        <f t="shared" si="127"/>
        <v>0</v>
      </c>
      <c r="S443" s="129" t="str">
        <f t="shared" si="128"/>
        <v/>
      </c>
      <c r="T443" s="129">
        <f t="shared" si="126"/>
        <v>1</v>
      </c>
      <c r="U443" s="129">
        <f t="shared" si="129"/>
        <v>1</v>
      </c>
      <c r="V443" s="129" t="str" cm="1">
        <f t="array" ref="V443">_xlfn.IFS(T443=4,"A",T443=3,"B",T443=2,"C",T443=1,"D")</f>
        <v>D</v>
      </c>
      <c r="W443" s="175"/>
    </row>
    <row r="444" spans="1:23" customFormat="1" ht="103.5" customHeight="1">
      <c r="C444" s="78"/>
      <c r="D444" s="79"/>
      <c r="E444" s="71" t="s">
        <v>236</v>
      </c>
      <c r="F444" s="1452"/>
      <c r="G444" s="1452"/>
      <c r="H444" s="1452"/>
      <c r="I444" s="80" t="s">
        <v>132</v>
      </c>
      <c r="J444" s="80"/>
    </row>
    <row r="445" spans="1:23" customFormat="1" ht="146.25" customHeight="1">
      <c r="C445" s="75"/>
      <c r="D445" s="68"/>
      <c r="E445" s="71" t="s">
        <v>235</v>
      </c>
      <c r="F445" s="1452"/>
      <c r="G445" s="1452"/>
      <c r="H445" s="1452"/>
      <c r="J445" s="2"/>
      <c r="K445" s="2"/>
      <c r="L445" s="2"/>
    </row>
    <row r="446" spans="1:23" customFormat="1" ht="13.5" customHeight="1" thickBot="1">
      <c r="A446" s="81"/>
      <c r="B446" s="81"/>
      <c r="C446" s="81"/>
      <c r="D446" s="81"/>
      <c r="E446" s="81"/>
      <c r="F446" s="81"/>
      <c r="G446" s="81"/>
      <c r="H446" s="81"/>
      <c r="I446" s="81"/>
      <c r="J446" s="82"/>
      <c r="K446" s="2"/>
      <c r="L446" s="2"/>
    </row>
    <row r="447" spans="1:23" customFormat="1" ht="13.5" customHeight="1">
      <c r="J447" s="2"/>
      <c r="K447" s="2"/>
      <c r="L447" s="2"/>
    </row>
    <row r="448" spans="1:23" customFormat="1" ht="15" customHeight="1">
      <c r="B448" s="10"/>
      <c r="C448" s="5"/>
      <c r="D448" s="5"/>
      <c r="E448" s="5"/>
      <c r="F448" s="5"/>
      <c r="G448" s="5"/>
      <c r="H448" s="5"/>
      <c r="I448" s="6"/>
      <c r="R448" s="11" t="str">
        <f>D449</f>
        <v>(選択してください)</v>
      </c>
    </row>
    <row r="449" spans="1:23" customFormat="1">
      <c r="B449" s="7"/>
      <c r="C449" s="77" t="str">
        <f ca="1">IFERROR(OFFSET('4.2民生電力需要量'!$C$8,MATCH(D449,'4.2民生電力需要量'!$E$9:$E$49,0),0),"")</f>
        <v/>
      </c>
      <c r="D449" s="94" t="s">
        <v>130</v>
      </c>
      <c r="E449" s="72" t="s">
        <v>131</v>
      </c>
      <c r="F449" s="1451" t="str">
        <f ca="1">IFERROR(OFFSET('4.2民生電力需要量'!$G$1,MATCH($D449,'4.2民生電力需要量'!$E:$E,0)-1,0),"")</f>
        <v/>
      </c>
      <c r="G449" s="1451"/>
      <c r="H449" s="1451"/>
      <c r="I449" s="8"/>
      <c r="R449" s="255" t="str">
        <f ca="1">IFERROR(OFFSET('4.2民生電力需要量'!$G$1,MATCH($D449,'4.2民生電力需要量'!$E:$E,0)-1,0),"")</f>
        <v/>
      </c>
      <c r="S449" s="515"/>
      <c r="T449" s="515"/>
      <c r="U449" s="515"/>
      <c r="V449" s="515"/>
      <c r="W449" s="175">
        <f ca="1">(F449=R449)*1</f>
        <v>1</v>
      </c>
    </row>
    <row r="450" spans="1:23" customFormat="1">
      <c r="B450" s="7"/>
      <c r="C450" s="915"/>
      <c r="D450" s="97"/>
      <c r="E450" s="72" t="s">
        <v>612</v>
      </c>
      <c r="F450" s="1447" t="str">
        <f ca="1">IFERROR(OFFSET('4.2民生電力需要量'!$L$1,MATCH($D449,'4.2民生電力需要量'!$E:$E,0)-1,0),"")</f>
        <v/>
      </c>
      <c r="G450" s="1448"/>
      <c r="H450" s="1449"/>
      <c r="I450" s="8"/>
      <c r="R450" s="255" t="str">
        <f ca="1">IFERROR(OFFSET('4.2民生電力需要量'!$L$1,MATCH($D449,'4.2民生電力需要量'!$E:$E,0)-1,0),"")</f>
        <v/>
      </c>
      <c r="S450" s="515"/>
      <c r="T450" s="515"/>
      <c r="U450" s="515"/>
      <c r="V450" s="515"/>
      <c r="W450" s="175">
        <f ca="1">(F450=R450)*1</f>
        <v>1</v>
      </c>
    </row>
    <row r="451" spans="1:23" customFormat="1">
      <c r="B451" s="7"/>
      <c r="C451" s="915"/>
      <c r="D451" s="97"/>
      <c r="E451" s="72" t="s">
        <v>613</v>
      </c>
      <c r="F451" s="1456"/>
      <c r="G451" s="1457"/>
      <c r="H451" s="1458"/>
      <c r="I451" s="8"/>
      <c r="R451" s="320"/>
      <c r="S451" s="515"/>
      <c r="T451" s="515"/>
      <c r="U451" s="515"/>
      <c r="V451" s="515"/>
      <c r="W451" s="515"/>
    </row>
    <row r="452" spans="1:23" customFormat="1">
      <c r="B452" s="7"/>
      <c r="C452" s="74"/>
      <c r="D452" s="66"/>
      <c r="E452" s="72" t="s">
        <v>220</v>
      </c>
      <c r="F452" s="1450" t="str">
        <f ca="1">IFERROR(OFFSET('4.2民生電力需要量'!$I$1,MATCH($D449,'4.2民生電力需要量'!$E:$E,0)-1,0),"")</f>
        <v/>
      </c>
      <c r="G452" s="1450"/>
      <c r="H452" s="1450"/>
      <c r="I452" s="8"/>
      <c r="R452" s="175" t="str">
        <f ca="1">IFERROR(OFFSET('4.2民生電力需要量'!$I$1,MATCH($D449,'4.2民生電力需要量'!$E:$E,0)-1,0),"")</f>
        <v/>
      </c>
      <c r="S452" s="515"/>
      <c r="T452" s="515"/>
      <c r="U452" s="515"/>
      <c r="V452" s="515"/>
      <c r="W452" s="175">
        <f t="shared" ref="W452:W453" ca="1" si="130">(F452=R452)*1</f>
        <v>1</v>
      </c>
    </row>
    <row r="453" spans="1:23" customFormat="1">
      <c r="B453" s="7"/>
      <c r="C453" s="74"/>
      <c r="D453" s="66"/>
      <c r="E453" s="72" t="s">
        <v>175</v>
      </c>
      <c r="F453" s="1453" t="str">
        <f>_xlfn.IFNA(R453,"")</f>
        <v/>
      </c>
      <c r="G453" s="1454"/>
      <c r="H453" s="1455"/>
      <c r="I453" s="8"/>
      <c r="R453" s="129" t="str">
        <f>IF(OR(COUNTIF($E455:$E460,"&lt;&gt;〇〇(合意形成対象者名に書き換え)")=3,COUNTIF($E455:$E460,"")&gt;3),"",IF(PRODUCT($U455:$U460)=1,V455,""))</f>
        <v/>
      </c>
      <c r="S453" s="515"/>
      <c r="T453" s="515"/>
      <c r="U453" s="515"/>
      <c r="V453" s="515"/>
      <c r="W453" s="175">
        <f t="shared" si="130"/>
        <v>1</v>
      </c>
    </row>
    <row r="454" spans="1:23" ht="63.75" customHeight="1">
      <c r="B454" s="95"/>
      <c r="C454" s="96"/>
      <c r="D454" s="97"/>
      <c r="E454" s="372"/>
      <c r="F454" s="313" t="s">
        <v>281</v>
      </c>
      <c r="G454" s="313" t="s">
        <v>282</v>
      </c>
      <c r="H454" s="313" t="s">
        <v>279</v>
      </c>
      <c r="I454" s="98"/>
      <c r="J454" s="11"/>
      <c r="R454" s="126" t="s">
        <v>270</v>
      </c>
      <c r="S454" s="126" t="s">
        <v>426</v>
      </c>
      <c r="T454" s="129" t="s">
        <v>402</v>
      </c>
      <c r="U454" s="129" t="s">
        <v>430</v>
      </c>
      <c r="V454" s="126" t="s">
        <v>425</v>
      </c>
      <c r="W454" s="255"/>
    </row>
    <row r="455" spans="1:23" hidden="1">
      <c r="B455" s="95"/>
      <c r="C455" s="96"/>
      <c r="D455" s="97"/>
      <c r="E455" s="442"/>
      <c r="F455" s="443"/>
      <c r="G455" s="439"/>
      <c r="H455" s="439"/>
      <c r="I455" s="98"/>
      <c r="J455" s="11"/>
      <c r="R455" s="129">
        <f>IF(AND(F455="実施済",G455="実施済",H455="完了"),3,0)</f>
        <v>0</v>
      </c>
      <c r="S455" s="129" t="str">
        <f>IF(OR(E455="〇〇(合意形成対象者名に書き換え)",E455=""),"",R455)</f>
        <v/>
      </c>
      <c r="T455" s="129">
        <f t="shared" ref="T455:T460" si="131">MIN($S$455:$S$460)+1</f>
        <v>1</v>
      </c>
      <c r="U455" s="129">
        <f>IF(E455="",1,IF(AND(E455="〇〇(合意形成対象者名に書き換え)",COUNTA($F455:$H455)=0),1,IF(AND(E455&lt;&gt;"〇〇(合意形成対象者名に書き換え)",COUNTA($F455:$H455)=3),1,0)))</f>
        <v>1</v>
      </c>
      <c r="V455" s="129" t="str" cm="1">
        <f t="array" ref="V455">_xlfn.IFS(T455=4,"A",T455=3,"B",T455=2,"C",T455=1,"D")</f>
        <v>D</v>
      </c>
      <c r="W455" s="255"/>
    </row>
    <row r="456" spans="1:23">
      <c r="B456" s="95"/>
      <c r="C456" s="96"/>
      <c r="D456" s="97"/>
      <c r="E456" s="100" t="s">
        <v>129</v>
      </c>
      <c r="F456" s="446"/>
      <c r="G456" s="441"/>
      <c r="H456" s="441"/>
      <c r="I456" s="98"/>
      <c r="J456" s="11"/>
      <c r="R456" s="129">
        <f t="shared" ref="R456:R460" si="132">IF(AND(F456="実施済",G456="実施済",H456="完了"),3,0)</f>
        <v>0</v>
      </c>
      <c r="S456" s="129" t="str">
        <f t="shared" ref="S456:S460" si="133">IF(OR(E456="〇〇(合意形成対象者名に書き換え)",E456=""),"",R456)</f>
        <v/>
      </c>
      <c r="T456" s="129">
        <f t="shared" si="131"/>
        <v>1</v>
      </c>
      <c r="U456" s="129">
        <f>IF(E456="",1,IF(AND(E456="〇〇(合意形成対象者名に書き換え)",COUNTA($F456:$H456)=0),1,IF(AND(E456&lt;&gt;"〇〇(合意形成対象者名に書き換え)",COUNTA($F456:$H456)=3),1,0)))</f>
        <v>1</v>
      </c>
      <c r="V456" s="129" t="str" cm="1">
        <f t="array" ref="V456">_xlfn.IFS(T456=4,"A",T456=3,"B",T456=2,"C",T456=1,"D")</f>
        <v>D</v>
      </c>
      <c r="W456" s="255"/>
    </row>
    <row r="457" spans="1:23">
      <c r="B457" s="95"/>
      <c r="C457" s="96"/>
      <c r="D457" s="97"/>
      <c r="E457" s="100" t="s">
        <v>129</v>
      </c>
      <c r="F457" s="446"/>
      <c r="G457" s="441"/>
      <c r="H457" s="441"/>
      <c r="I457" s="98"/>
      <c r="J457" s="11"/>
      <c r="R457" s="129">
        <f t="shared" si="132"/>
        <v>0</v>
      </c>
      <c r="S457" s="129" t="str">
        <f t="shared" si="133"/>
        <v/>
      </c>
      <c r="T457" s="129">
        <f t="shared" si="131"/>
        <v>1</v>
      </c>
      <c r="U457" s="129">
        <f>IF(E457="",1,IF(AND(E457="〇〇(合意形成対象者名に書き換え)",COUNTA($F457:$H457)=0),1,IF(AND(E457&lt;&gt;"〇〇(合意形成対象者名に書き換え)",COUNTA($F457:$H457)=3),1,0)))</f>
        <v>1</v>
      </c>
      <c r="V457" s="129" t="str" cm="1">
        <f t="array" ref="V457">_xlfn.IFS(T457=4,"A",T457=3,"B",T457=2,"C",T457=1,"D")</f>
        <v>D</v>
      </c>
      <c r="W457" s="255"/>
    </row>
    <row r="458" spans="1:23" s="99" customFormat="1">
      <c r="A458" s="11"/>
      <c r="B458" s="95"/>
      <c r="C458" s="96"/>
      <c r="D458" s="97"/>
      <c r="E458" s="100" t="s">
        <v>129</v>
      </c>
      <c r="F458" s="446"/>
      <c r="G458" s="441"/>
      <c r="H458" s="441"/>
      <c r="I458" s="98"/>
      <c r="J458" s="11"/>
      <c r="M458" s="11"/>
      <c r="N458" s="11"/>
      <c r="O458" s="11"/>
      <c r="P458" s="11"/>
      <c r="Q458" s="11"/>
      <c r="R458" s="129">
        <f t="shared" si="132"/>
        <v>0</v>
      </c>
      <c r="S458" s="129" t="str">
        <f t="shared" si="133"/>
        <v/>
      </c>
      <c r="T458" s="129">
        <f t="shared" si="131"/>
        <v>1</v>
      </c>
      <c r="U458" s="129">
        <f>IF(E458="",1,IF(AND(E458="〇〇(合意形成対象者名に書き換え)",COUNTA($F458:$H458)=0),1,IF(AND(E458&lt;&gt;"〇〇(合意形成対象者名に書き換え)",COUNTA($F458:$H458)=3),1,0)))</f>
        <v>1</v>
      </c>
      <c r="V458" s="129" t="str" cm="1">
        <f t="array" ref="V458">_xlfn.IFS(T458=4,"A",T458=3,"B",T458=2,"C",T458=1,"D")</f>
        <v>D</v>
      </c>
      <c r="W458" s="129"/>
    </row>
    <row r="459" spans="1:23" customFormat="1" ht="7.5" customHeight="1">
      <c r="B459" s="65"/>
      <c r="C459" s="4"/>
      <c r="D459" s="4"/>
      <c r="E459" s="4"/>
      <c r="F459" s="4"/>
      <c r="G459" s="4"/>
      <c r="H459" s="4"/>
      <c r="I459" s="9"/>
      <c r="J459" s="2"/>
      <c r="K459" s="2"/>
      <c r="L459" s="2"/>
      <c r="R459" s="129">
        <f t="shared" si="132"/>
        <v>0</v>
      </c>
      <c r="S459" s="129" t="str">
        <f t="shared" si="133"/>
        <v/>
      </c>
      <c r="T459" s="129">
        <f t="shared" si="131"/>
        <v>1</v>
      </c>
      <c r="U459" s="129">
        <f t="shared" ref="U459:U460" si="134">IF(E459="",1,IF(AND(E459="〇〇(合意形成対象者名に書き換え)",COUNTA($F459:$H459)=0),1,IF(AND(E459&lt;&gt;"〇〇(合意形成対象者名に書き換え)",COUNTA($F459:$H459)=3),1,0)))</f>
        <v>1</v>
      </c>
      <c r="V459" s="129" t="str" cm="1">
        <f t="array" ref="V459">_xlfn.IFS(T459=4,"A",T459=3,"B",T459=2,"C",T459=1,"D")</f>
        <v>D</v>
      </c>
      <c r="W459" s="175"/>
    </row>
    <row r="460" spans="1:23" customFormat="1" ht="6" customHeight="1">
      <c r="J460" s="2"/>
      <c r="K460" s="2"/>
      <c r="L460" s="2"/>
      <c r="R460" s="129">
        <f t="shared" si="132"/>
        <v>0</v>
      </c>
      <c r="S460" s="129" t="str">
        <f t="shared" si="133"/>
        <v/>
      </c>
      <c r="T460" s="129">
        <f t="shared" si="131"/>
        <v>1</v>
      </c>
      <c r="U460" s="129">
        <f t="shared" si="134"/>
        <v>1</v>
      </c>
      <c r="V460" s="129" t="str" cm="1">
        <f t="array" ref="V460">_xlfn.IFS(T460=4,"A",T460=3,"B",T460=2,"C",T460=1,"D")</f>
        <v>D</v>
      </c>
      <c r="W460" s="175"/>
    </row>
    <row r="461" spans="1:23" customFormat="1" ht="103.5" customHeight="1">
      <c r="C461" s="78"/>
      <c r="D461" s="79"/>
      <c r="E461" s="71" t="s">
        <v>236</v>
      </c>
      <c r="F461" s="1452"/>
      <c r="G461" s="1452"/>
      <c r="H461" s="1452"/>
      <c r="I461" s="80" t="s">
        <v>132</v>
      </c>
      <c r="J461" s="80"/>
    </row>
    <row r="462" spans="1:23" customFormat="1" ht="146.25" customHeight="1">
      <c r="C462" s="75"/>
      <c r="D462" s="68"/>
      <c r="E462" s="71" t="s">
        <v>235</v>
      </c>
      <c r="F462" s="1452"/>
      <c r="G462" s="1452"/>
      <c r="H462" s="1452"/>
      <c r="J462" s="2"/>
      <c r="K462" s="2"/>
      <c r="L462" s="2"/>
    </row>
    <row r="463" spans="1:23" customFormat="1" ht="13.5" customHeight="1" thickBot="1">
      <c r="A463" s="81"/>
      <c r="B463" s="81"/>
      <c r="C463" s="81"/>
      <c r="D463" s="81"/>
      <c r="E463" s="81"/>
      <c r="F463" s="81"/>
      <c r="G463" s="81"/>
      <c r="H463" s="81"/>
      <c r="I463" s="81"/>
      <c r="J463" s="82"/>
      <c r="K463" s="2"/>
      <c r="L463" s="2"/>
    </row>
    <row r="464" spans="1:23" customFormat="1" ht="13.5" customHeight="1">
      <c r="J464" s="2"/>
      <c r="K464" s="2"/>
      <c r="L464" s="2"/>
    </row>
    <row r="465" spans="1:23" customFormat="1" ht="15" customHeight="1">
      <c r="B465" s="10"/>
      <c r="C465" s="5"/>
      <c r="D465" s="5"/>
      <c r="E465" s="5"/>
      <c r="F465" s="5"/>
      <c r="G465" s="5"/>
      <c r="H465" s="5"/>
      <c r="I465" s="6"/>
      <c r="R465" s="11" t="str">
        <f>D466</f>
        <v>(選択してください)</v>
      </c>
    </row>
    <row r="466" spans="1:23" customFormat="1">
      <c r="B466" s="7"/>
      <c r="C466" s="77" t="str">
        <f ca="1">IFERROR(OFFSET('4.2民生電力需要量'!$C$8,MATCH(D466,'4.2民生電力需要量'!$E$9:$E$49,0),0),"")</f>
        <v/>
      </c>
      <c r="D466" s="94" t="s">
        <v>130</v>
      </c>
      <c r="E466" s="72" t="s">
        <v>131</v>
      </c>
      <c r="F466" s="1451" t="str">
        <f ca="1">IFERROR(OFFSET('4.2民生電力需要量'!$G$1,MATCH($D466,'4.2民生電力需要量'!$E:$E,0)-1,0),"")</f>
        <v/>
      </c>
      <c r="G466" s="1451"/>
      <c r="H466" s="1451"/>
      <c r="I466" s="8"/>
      <c r="R466" s="255" t="str">
        <f ca="1">IFERROR(OFFSET('4.2民生電力需要量'!$G$1,MATCH($D466,'4.2民生電力需要量'!$E:$E,0)-1,0),"")</f>
        <v/>
      </c>
      <c r="S466" s="515"/>
      <c r="T466" s="515"/>
      <c r="U466" s="515"/>
      <c r="V466" s="515"/>
      <c r="W466" s="175">
        <f ca="1">(F466=R466)*1</f>
        <v>1</v>
      </c>
    </row>
    <row r="467" spans="1:23" customFormat="1">
      <c r="B467" s="7"/>
      <c r="C467" s="915"/>
      <c r="D467" s="97"/>
      <c r="E467" s="72" t="s">
        <v>612</v>
      </c>
      <c r="F467" s="1447" t="str">
        <f ca="1">IFERROR(OFFSET('4.2民生電力需要量'!$L$1,MATCH($D466,'4.2民生電力需要量'!$E:$E,0)-1,0),"")</f>
        <v/>
      </c>
      <c r="G467" s="1448"/>
      <c r="H467" s="1449"/>
      <c r="I467" s="8"/>
      <c r="R467" s="255" t="str">
        <f ca="1">IFERROR(OFFSET('4.2民生電力需要量'!$L$1,MATCH($D466,'4.2民生電力需要量'!$E:$E,0)-1,0),"")</f>
        <v/>
      </c>
      <c r="S467" s="515"/>
      <c r="T467" s="515"/>
      <c r="U467" s="515"/>
      <c r="V467" s="515"/>
      <c r="W467" s="175">
        <f ca="1">(F467=R467)*1</f>
        <v>1</v>
      </c>
    </row>
    <row r="468" spans="1:23" customFormat="1">
      <c r="B468" s="7"/>
      <c r="C468" s="915"/>
      <c r="D468" s="97"/>
      <c r="E468" s="72" t="s">
        <v>613</v>
      </c>
      <c r="F468" s="1456"/>
      <c r="G468" s="1457"/>
      <c r="H468" s="1458"/>
      <c r="I468" s="8"/>
      <c r="R468" s="320"/>
      <c r="S468" s="515"/>
      <c r="T468" s="515"/>
      <c r="U468" s="515"/>
      <c r="V468" s="515"/>
      <c r="W468" s="515"/>
    </row>
    <row r="469" spans="1:23" customFormat="1">
      <c r="B469" s="7"/>
      <c r="C469" s="74"/>
      <c r="D469" s="66"/>
      <c r="E469" s="72" t="s">
        <v>220</v>
      </c>
      <c r="F469" s="1450" t="str">
        <f ca="1">IFERROR(OFFSET('4.2民生電力需要量'!$I$1,MATCH($D466,'4.2民生電力需要量'!$E:$E,0)-1,0),"")</f>
        <v/>
      </c>
      <c r="G469" s="1450"/>
      <c r="H469" s="1450"/>
      <c r="I469" s="8"/>
      <c r="R469" s="175" t="str">
        <f ca="1">IFERROR(OFFSET('4.2民生電力需要量'!$I$1,MATCH($D466,'4.2民生電力需要量'!$E:$E,0)-1,0),"")</f>
        <v/>
      </c>
      <c r="S469" s="515"/>
      <c r="T469" s="515"/>
      <c r="U469" s="515"/>
      <c r="V469" s="515"/>
      <c r="W469" s="175">
        <f t="shared" ref="W469:W470" ca="1" si="135">(F469=R469)*1</f>
        <v>1</v>
      </c>
    </row>
    <row r="470" spans="1:23" customFormat="1">
      <c r="B470" s="7"/>
      <c r="C470" s="74"/>
      <c r="D470" s="66"/>
      <c r="E470" s="72" t="s">
        <v>175</v>
      </c>
      <c r="F470" s="1453" t="str">
        <f>_xlfn.IFNA(R470,"")</f>
        <v/>
      </c>
      <c r="G470" s="1454"/>
      <c r="H470" s="1455"/>
      <c r="I470" s="8"/>
      <c r="R470" s="129" t="str">
        <f>IF(OR(COUNTIF($E472:$E477,"&lt;&gt;〇〇(合意形成対象者名に書き換え)")=3,COUNTIF($E472:$E477,"")&gt;3),"",IF(PRODUCT($U472:$U477)=1,V472,""))</f>
        <v/>
      </c>
      <c r="S470" s="515"/>
      <c r="T470" s="515"/>
      <c r="U470" s="515"/>
      <c r="V470" s="515"/>
      <c r="W470" s="175">
        <f t="shared" si="135"/>
        <v>1</v>
      </c>
    </row>
    <row r="471" spans="1:23" ht="63.75" customHeight="1">
      <c r="B471" s="95"/>
      <c r="C471" s="96"/>
      <c r="D471" s="97"/>
      <c r="E471" s="372"/>
      <c r="F471" s="313" t="s">
        <v>281</v>
      </c>
      <c r="G471" s="313" t="s">
        <v>282</v>
      </c>
      <c r="H471" s="313" t="s">
        <v>279</v>
      </c>
      <c r="I471" s="98"/>
      <c r="J471" s="11"/>
      <c r="R471" s="126" t="s">
        <v>270</v>
      </c>
      <c r="S471" s="126" t="s">
        <v>426</v>
      </c>
      <c r="T471" s="129" t="s">
        <v>402</v>
      </c>
      <c r="U471" s="129" t="s">
        <v>430</v>
      </c>
      <c r="V471" s="126" t="s">
        <v>425</v>
      </c>
      <c r="W471" s="255"/>
    </row>
    <row r="472" spans="1:23" hidden="1">
      <c r="B472" s="95"/>
      <c r="C472" s="96"/>
      <c r="D472" s="97"/>
      <c r="E472" s="442"/>
      <c r="F472" s="443"/>
      <c r="G472" s="439"/>
      <c r="H472" s="439"/>
      <c r="I472" s="98"/>
      <c r="J472" s="11"/>
      <c r="R472" s="129">
        <f>IF(AND(F472="実施済",G472="実施済",H472="完了"),3,0)</f>
        <v>0</v>
      </c>
      <c r="S472" s="129" t="str">
        <f>IF(OR(E472="〇〇(合意形成対象者名に書き換え)",E472=""),"",R472)</f>
        <v/>
      </c>
      <c r="T472" s="129">
        <f t="shared" ref="T472:T477" si="136">MIN($S$472:$S$477)+1</f>
        <v>1</v>
      </c>
      <c r="U472" s="129">
        <f>IF(E472="",1,IF(AND(E472="〇〇(合意形成対象者名に書き換え)",COUNTA($F472:$H472)=0),1,IF(AND(E472&lt;&gt;"〇〇(合意形成対象者名に書き換え)",COUNTA($F472:$H472)=3),1,0)))</f>
        <v>1</v>
      </c>
      <c r="V472" s="129" t="str" cm="1">
        <f t="array" ref="V472">_xlfn.IFS(T472=4,"A",T472=3,"B",T472=2,"C",T472=1,"D")</f>
        <v>D</v>
      </c>
      <c r="W472" s="255"/>
    </row>
    <row r="473" spans="1:23">
      <c r="B473" s="95"/>
      <c r="C473" s="96"/>
      <c r="D473" s="97"/>
      <c r="E473" s="100" t="s">
        <v>129</v>
      </c>
      <c r="F473" s="446"/>
      <c r="G473" s="441"/>
      <c r="H473" s="441"/>
      <c r="I473" s="98"/>
      <c r="J473" s="11"/>
      <c r="R473" s="129">
        <f t="shared" ref="R473:R477" si="137">IF(AND(F473="実施済",G473="実施済",H473="完了"),3,0)</f>
        <v>0</v>
      </c>
      <c r="S473" s="129" t="str">
        <f t="shared" ref="S473:S477" si="138">IF(OR(E473="〇〇(合意形成対象者名に書き換え)",E473=""),"",R473)</f>
        <v/>
      </c>
      <c r="T473" s="129">
        <f t="shared" si="136"/>
        <v>1</v>
      </c>
      <c r="U473" s="129">
        <f>IF(E473="",1,IF(AND(E473="〇〇(合意形成対象者名に書き換え)",COUNTA($F473:$H473)=0),1,IF(AND(E473&lt;&gt;"〇〇(合意形成対象者名に書き換え)",COUNTA($F473:$H473)=3),1,0)))</f>
        <v>1</v>
      </c>
      <c r="V473" s="129" t="str" cm="1">
        <f t="array" ref="V473">_xlfn.IFS(T473=4,"A",T473=3,"B",T473=2,"C",T473=1,"D")</f>
        <v>D</v>
      </c>
      <c r="W473" s="255"/>
    </row>
    <row r="474" spans="1:23">
      <c r="B474" s="95"/>
      <c r="C474" s="96"/>
      <c r="D474" s="97"/>
      <c r="E474" s="100" t="s">
        <v>129</v>
      </c>
      <c r="F474" s="446"/>
      <c r="G474" s="441"/>
      <c r="H474" s="441"/>
      <c r="I474" s="98"/>
      <c r="J474" s="11"/>
      <c r="R474" s="129">
        <f t="shared" si="137"/>
        <v>0</v>
      </c>
      <c r="S474" s="129" t="str">
        <f t="shared" si="138"/>
        <v/>
      </c>
      <c r="T474" s="129">
        <f t="shared" si="136"/>
        <v>1</v>
      </c>
      <c r="U474" s="129">
        <f>IF(E474="",1,IF(AND(E474="〇〇(合意形成対象者名に書き換え)",COUNTA($F474:$H474)=0),1,IF(AND(E474&lt;&gt;"〇〇(合意形成対象者名に書き換え)",COUNTA($F474:$H474)=3),1,0)))</f>
        <v>1</v>
      </c>
      <c r="V474" s="129" t="str" cm="1">
        <f t="array" ref="V474">_xlfn.IFS(T474=4,"A",T474=3,"B",T474=2,"C",T474=1,"D")</f>
        <v>D</v>
      </c>
      <c r="W474" s="255"/>
    </row>
    <row r="475" spans="1:23" s="99" customFormat="1">
      <c r="A475" s="11"/>
      <c r="B475" s="95"/>
      <c r="C475" s="96"/>
      <c r="D475" s="97"/>
      <c r="E475" s="100" t="s">
        <v>129</v>
      </c>
      <c r="F475" s="446"/>
      <c r="G475" s="441"/>
      <c r="H475" s="441"/>
      <c r="I475" s="98"/>
      <c r="J475" s="11"/>
      <c r="M475" s="11"/>
      <c r="N475" s="11"/>
      <c r="O475" s="11"/>
      <c r="P475" s="11"/>
      <c r="Q475" s="11"/>
      <c r="R475" s="129">
        <f t="shared" si="137"/>
        <v>0</v>
      </c>
      <c r="S475" s="129" t="str">
        <f t="shared" si="138"/>
        <v/>
      </c>
      <c r="T475" s="129">
        <f t="shared" si="136"/>
        <v>1</v>
      </c>
      <c r="U475" s="129">
        <f>IF(E475="",1,IF(AND(E475="〇〇(合意形成対象者名に書き換え)",COUNTA($F475:$H475)=0),1,IF(AND(E475&lt;&gt;"〇〇(合意形成対象者名に書き換え)",COUNTA($F475:$H475)=3),1,0)))</f>
        <v>1</v>
      </c>
      <c r="V475" s="129" t="str" cm="1">
        <f t="array" ref="V475">_xlfn.IFS(T475=4,"A",T475=3,"B",T475=2,"C",T475=1,"D")</f>
        <v>D</v>
      </c>
      <c r="W475" s="129"/>
    </row>
    <row r="476" spans="1:23" customFormat="1" ht="7.5" customHeight="1">
      <c r="B476" s="65"/>
      <c r="C476" s="4"/>
      <c r="D476" s="4"/>
      <c r="E476" s="4"/>
      <c r="F476" s="4"/>
      <c r="G476" s="4"/>
      <c r="H476" s="4"/>
      <c r="I476" s="9"/>
      <c r="J476" s="2"/>
      <c r="K476" s="2"/>
      <c r="L476" s="2"/>
      <c r="R476" s="129">
        <f t="shared" si="137"/>
        <v>0</v>
      </c>
      <c r="S476" s="129" t="str">
        <f t="shared" si="138"/>
        <v/>
      </c>
      <c r="T476" s="129">
        <f t="shared" si="136"/>
        <v>1</v>
      </c>
      <c r="U476" s="129">
        <f t="shared" ref="U476:U477" si="139">IF(E476="",1,IF(AND(E476="〇〇(合意形成対象者名に書き換え)",COUNTA($F476:$H476)=0),1,IF(AND(E476&lt;&gt;"〇〇(合意形成対象者名に書き換え)",COUNTA($F476:$H476)=3),1,0)))</f>
        <v>1</v>
      </c>
      <c r="V476" s="129" t="str" cm="1">
        <f t="array" ref="V476">_xlfn.IFS(T476=4,"A",T476=3,"B",T476=2,"C",T476=1,"D")</f>
        <v>D</v>
      </c>
      <c r="W476" s="175"/>
    </row>
    <row r="477" spans="1:23" customFormat="1" ht="6" customHeight="1">
      <c r="J477" s="2"/>
      <c r="K477" s="2"/>
      <c r="L477" s="2"/>
      <c r="R477" s="129">
        <f t="shared" si="137"/>
        <v>0</v>
      </c>
      <c r="S477" s="129" t="str">
        <f t="shared" si="138"/>
        <v/>
      </c>
      <c r="T477" s="129">
        <f t="shared" si="136"/>
        <v>1</v>
      </c>
      <c r="U477" s="129">
        <f t="shared" si="139"/>
        <v>1</v>
      </c>
      <c r="V477" s="129" t="str" cm="1">
        <f t="array" ref="V477">_xlfn.IFS(T477=4,"A",T477=3,"B",T477=2,"C",T477=1,"D")</f>
        <v>D</v>
      </c>
      <c r="W477" s="175"/>
    </row>
    <row r="478" spans="1:23" customFormat="1" ht="103.5" customHeight="1">
      <c r="C478" s="78"/>
      <c r="D478" s="79"/>
      <c r="E478" s="71" t="s">
        <v>236</v>
      </c>
      <c r="F478" s="1452"/>
      <c r="G478" s="1452"/>
      <c r="H478" s="1452"/>
      <c r="I478" s="80" t="s">
        <v>132</v>
      </c>
      <c r="J478" s="80"/>
    </row>
    <row r="479" spans="1:23" customFormat="1" ht="146.25" customHeight="1">
      <c r="C479" s="75"/>
      <c r="D479" s="68"/>
      <c r="E479" s="71" t="s">
        <v>235</v>
      </c>
      <c r="F479" s="1452"/>
      <c r="G479" s="1452"/>
      <c r="H479" s="1452"/>
      <c r="J479" s="2"/>
      <c r="K479" s="2"/>
      <c r="L479" s="2"/>
    </row>
    <row r="480" spans="1:23" customFormat="1" ht="13.5" customHeight="1" thickBot="1">
      <c r="A480" s="81"/>
      <c r="B480" s="81"/>
      <c r="C480" s="81"/>
      <c r="D480" s="81"/>
      <c r="E480" s="81"/>
      <c r="F480" s="81"/>
      <c r="G480" s="81"/>
      <c r="H480" s="81"/>
      <c r="I480" s="81"/>
      <c r="J480" s="82"/>
      <c r="K480" s="2"/>
      <c r="L480" s="2"/>
    </row>
    <row r="481" spans="1:23" customFormat="1" ht="13.5" customHeight="1">
      <c r="J481" s="2"/>
      <c r="K481" s="2"/>
      <c r="L481" s="2"/>
    </row>
    <row r="482" spans="1:23" customFormat="1" ht="15" customHeight="1">
      <c r="B482" s="10"/>
      <c r="C482" s="5"/>
      <c r="D482" s="5"/>
      <c r="E482" s="5"/>
      <c r="F482" s="5"/>
      <c r="G482" s="5"/>
      <c r="H482" s="5"/>
      <c r="I482" s="6"/>
      <c r="R482" s="11" t="str">
        <f>D483</f>
        <v>(選択してください)</v>
      </c>
    </row>
    <row r="483" spans="1:23" customFormat="1">
      <c r="B483" s="7"/>
      <c r="C483" s="77" t="str">
        <f ca="1">IFERROR(OFFSET('4.2民生電力需要量'!$C$8,MATCH(D483,'4.2民生電力需要量'!$E$9:$E$49,0),0),"")</f>
        <v/>
      </c>
      <c r="D483" s="94" t="s">
        <v>130</v>
      </c>
      <c r="E483" s="72" t="s">
        <v>131</v>
      </c>
      <c r="F483" s="1451" t="str">
        <f ca="1">IFERROR(OFFSET('4.2民生電力需要量'!$G$1,MATCH($D483,'4.2民生電力需要量'!$E:$E,0)-1,0),"")</f>
        <v/>
      </c>
      <c r="G483" s="1451"/>
      <c r="H483" s="1451"/>
      <c r="I483" s="8"/>
      <c r="R483" s="255" t="str">
        <f ca="1">IFERROR(OFFSET('4.2民生電力需要量'!$G$1,MATCH($D483,'4.2民生電力需要量'!$E:$E,0)-1,0),"")</f>
        <v/>
      </c>
      <c r="S483" s="515"/>
      <c r="T483" s="515"/>
      <c r="U483" s="515"/>
      <c r="V483" s="515"/>
      <c r="W483" s="175">
        <f ca="1">(F483=R483)*1</f>
        <v>1</v>
      </c>
    </row>
    <row r="484" spans="1:23" customFormat="1">
      <c r="B484" s="7"/>
      <c r="C484" s="915"/>
      <c r="D484" s="97"/>
      <c r="E484" s="72" t="s">
        <v>612</v>
      </c>
      <c r="F484" s="1447" t="str">
        <f ca="1">IFERROR(OFFSET('4.2民生電力需要量'!$L$1,MATCH($D483,'4.2民生電力需要量'!$E:$E,0)-1,0),"")</f>
        <v/>
      </c>
      <c r="G484" s="1448"/>
      <c r="H484" s="1449"/>
      <c r="I484" s="8"/>
      <c r="R484" s="255" t="str">
        <f ca="1">IFERROR(OFFSET('4.2民生電力需要量'!$L$1,MATCH($D483,'4.2民生電力需要量'!$E:$E,0)-1,0),"")</f>
        <v/>
      </c>
      <c r="S484" s="515"/>
      <c r="T484" s="515"/>
      <c r="U484" s="515"/>
      <c r="V484" s="515"/>
      <c r="W484" s="175">
        <f ca="1">(F484=R484)*1</f>
        <v>1</v>
      </c>
    </row>
    <row r="485" spans="1:23" customFormat="1">
      <c r="B485" s="7"/>
      <c r="C485" s="915"/>
      <c r="D485" s="97"/>
      <c r="E485" s="72" t="s">
        <v>613</v>
      </c>
      <c r="F485" s="1456"/>
      <c r="G485" s="1457"/>
      <c r="H485" s="1458"/>
      <c r="I485" s="8"/>
      <c r="R485" s="320"/>
      <c r="S485" s="515"/>
      <c r="T485" s="515"/>
      <c r="U485" s="515"/>
      <c r="V485" s="515"/>
      <c r="W485" s="515"/>
    </row>
    <row r="486" spans="1:23" customFormat="1">
      <c r="B486" s="7"/>
      <c r="C486" s="74"/>
      <c r="D486" s="66"/>
      <c r="E486" s="72" t="s">
        <v>220</v>
      </c>
      <c r="F486" s="1450" t="str">
        <f ca="1">IFERROR(OFFSET('4.2民生電力需要量'!$I$1,MATCH($D483,'4.2民生電力需要量'!$E:$E,0)-1,0),"")</f>
        <v/>
      </c>
      <c r="G486" s="1450"/>
      <c r="H486" s="1450"/>
      <c r="I486" s="8"/>
      <c r="R486" s="175" t="str">
        <f ca="1">IFERROR(OFFSET('4.2民生電力需要量'!$I$1,MATCH($D483,'4.2民生電力需要量'!$E:$E,0)-1,0),"")</f>
        <v/>
      </c>
      <c r="S486" s="515"/>
      <c r="T486" s="515"/>
      <c r="U486" s="515"/>
      <c r="V486" s="515"/>
      <c r="W486" s="175">
        <f t="shared" ref="W486:W487" ca="1" si="140">(F486=R486)*1</f>
        <v>1</v>
      </c>
    </row>
    <row r="487" spans="1:23" customFormat="1">
      <c r="B487" s="7"/>
      <c r="C487" s="74"/>
      <c r="D487" s="66"/>
      <c r="E487" s="72" t="s">
        <v>175</v>
      </c>
      <c r="F487" s="1453" t="str">
        <f>_xlfn.IFNA(R487,"")</f>
        <v/>
      </c>
      <c r="G487" s="1454"/>
      <c r="H487" s="1455"/>
      <c r="I487" s="8"/>
      <c r="R487" s="129" t="str">
        <f>IF(OR(COUNTIF($E489:$E494,"&lt;&gt;〇〇(合意形成対象者名に書き換え)")=3,COUNTIF($E489:$E494,"")&gt;3),"",IF(PRODUCT($U489:$U494)=1,V489,""))</f>
        <v/>
      </c>
      <c r="S487" s="515"/>
      <c r="T487" s="515"/>
      <c r="U487" s="515"/>
      <c r="V487" s="515"/>
      <c r="W487" s="175">
        <f t="shared" si="140"/>
        <v>1</v>
      </c>
    </row>
    <row r="488" spans="1:23" ht="63.75" customHeight="1">
      <c r="B488" s="95"/>
      <c r="C488" s="96"/>
      <c r="D488" s="97"/>
      <c r="E488" s="372"/>
      <c r="F488" s="313" t="s">
        <v>281</v>
      </c>
      <c r="G488" s="313" t="s">
        <v>282</v>
      </c>
      <c r="H488" s="313" t="s">
        <v>279</v>
      </c>
      <c r="I488" s="98"/>
      <c r="J488" s="11"/>
      <c r="R488" s="126" t="s">
        <v>270</v>
      </c>
      <c r="S488" s="126" t="s">
        <v>426</v>
      </c>
      <c r="T488" s="129" t="s">
        <v>402</v>
      </c>
      <c r="U488" s="129" t="s">
        <v>430</v>
      </c>
      <c r="V488" s="126" t="s">
        <v>425</v>
      </c>
      <c r="W488" s="255"/>
    </row>
    <row r="489" spans="1:23" hidden="1">
      <c r="B489" s="95"/>
      <c r="C489" s="96"/>
      <c r="D489" s="97"/>
      <c r="E489" s="442"/>
      <c r="F489" s="443"/>
      <c r="G489" s="439"/>
      <c r="H489" s="439"/>
      <c r="I489" s="98"/>
      <c r="J489" s="11"/>
      <c r="R489" s="129">
        <f>IF(AND(F489="実施済",G489="実施済",H489="完了"),3,0)</f>
        <v>0</v>
      </c>
      <c r="S489" s="129" t="str">
        <f>IF(OR(E489="〇〇(合意形成対象者名に書き換え)",E489=""),"",R489)</f>
        <v/>
      </c>
      <c r="T489" s="129">
        <f t="shared" ref="T489:T494" si="141">MIN($S$489:$S$494)+1</f>
        <v>1</v>
      </c>
      <c r="U489" s="129">
        <f>IF(E489="",1,IF(AND(E489="〇〇(合意形成対象者名に書き換え)",COUNTA($F489:$H489)=0),1,IF(AND(E489&lt;&gt;"〇〇(合意形成対象者名に書き換え)",COUNTA($F489:$H489)=3),1,0)))</f>
        <v>1</v>
      </c>
      <c r="V489" s="129" t="str" cm="1">
        <f t="array" ref="V489">_xlfn.IFS(T489=4,"A",T489=3,"B",T489=2,"C",T489=1,"D")</f>
        <v>D</v>
      </c>
      <c r="W489" s="255"/>
    </row>
    <row r="490" spans="1:23">
      <c r="B490" s="95"/>
      <c r="C490" s="96"/>
      <c r="D490" s="97"/>
      <c r="E490" s="100" t="s">
        <v>129</v>
      </c>
      <c r="F490" s="446"/>
      <c r="G490" s="441"/>
      <c r="H490" s="441"/>
      <c r="I490" s="98"/>
      <c r="J490" s="11"/>
      <c r="R490" s="129">
        <f t="shared" ref="R490:R494" si="142">IF(AND(F490="実施済",G490="実施済",H490="完了"),3,0)</f>
        <v>0</v>
      </c>
      <c r="S490" s="129" t="str">
        <f t="shared" ref="S490:S494" si="143">IF(OR(E490="〇〇(合意形成対象者名に書き換え)",E490=""),"",R490)</f>
        <v/>
      </c>
      <c r="T490" s="129">
        <f t="shared" si="141"/>
        <v>1</v>
      </c>
      <c r="U490" s="129">
        <f>IF(E490="",1,IF(AND(E490="〇〇(合意形成対象者名に書き換え)",COUNTA($F490:$H490)=0),1,IF(AND(E490&lt;&gt;"〇〇(合意形成対象者名に書き換え)",COUNTA($F490:$H490)=3),1,0)))</f>
        <v>1</v>
      </c>
      <c r="V490" s="129" t="str" cm="1">
        <f t="array" ref="V490">_xlfn.IFS(T490=4,"A",T490=3,"B",T490=2,"C",T490=1,"D")</f>
        <v>D</v>
      </c>
      <c r="W490" s="255"/>
    </row>
    <row r="491" spans="1:23">
      <c r="B491" s="95"/>
      <c r="C491" s="96"/>
      <c r="D491" s="97"/>
      <c r="E491" s="100" t="s">
        <v>129</v>
      </c>
      <c r="F491" s="446"/>
      <c r="G491" s="441"/>
      <c r="H491" s="441"/>
      <c r="I491" s="98"/>
      <c r="J491" s="11"/>
      <c r="R491" s="129">
        <f t="shared" si="142"/>
        <v>0</v>
      </c>
      <c r="S491" s="129" t="str">
        <f t="shared" si="143"/>
        <v/>
      </c>
      <c r="T491" s="129">
        <f t="shared" si="141"/>
        <v>1</v>
      </c>
      <c r="U491" s="129">
        <f>IF(E491="",1,IF(AND(E491="〇〇(合意形成対象者名に書き換え)",COUNTA($F491:$H491)=0),1,IF(AND(E491&lt;&gt;"〇〇(合意形成対象者名に書き換え)",COUNTA($F491:$H491)=3),1,0)))</f>
        <v>1</v>
      </c>
      <c r="V491" s="129" t="str" cm="1">
        <f t="array" ref="V491">_xlfn.IFS(T491=4,"A",T491=3,"B",T491=2,"C",T491=1,"D")</f>
        <v>D</v>
      </c>
      <c r="W491" s="255"/>
    </row>
    <row r="492" spans="1:23" s="99" customFormat="1">
      <c r="A492" s="11"/>
      <c r="B492" s="95"/>
      <c r="C492" s="96"/>
      <c r="D492" s="97"/>
      <c r="E492" s="100" t="s">
        <v>129</v>
      </c>
      <c r="F492" s="446"/>
      <c r="G492" s="441"/>
      <c r="H492" s="441"/>
      <c r="I492" s="98"/>
      <c r="J492" s="11"/>
      <c r="M492" s="11"/>
      <c r="N492" s="11"/>
      <c r="O492" s="11"/>
      <c r="P492" s="11"/>
      <c r="Q492" s="11"/>
      <c r="R492" s="129">
        <f t="shared" si="142"/>
        <v>0</v>
      </c>
      <c r="S492" s="129" t="str">
        <f t="shared" si="143"/>
        <v/>
      </c>
      <c r="T492" s="129">
        <f t="shared" si="141"/>
        <v>1</v>
      </c>
      <c r="U492" s="129">
        <f>IF(E492="",1,IF(AND(E492="〇〇(合意形成対象者名に書き換え)",COUNTA($F492:$H492)=0),1,IF(AND(E492&lt;&gt;"〇〇(合意形成対象者名に書き換え)",COUNTA($F492:$H492)=3),1,0)))</f>
        <v>1</v>
      </c>
      <c r="V492" s="129" t="str" cm="1">
        <f t="array" ref="V492">_xlfn.IFS(T492=4,"A",T492=3,"B",T492=2,"C",T492=1,"D")</f>
        <v>D</v>
      </c>
      <c r="W492" s="129"/>
    </row>
    <row r="493" spans="1:23" customFormat="1" ht="7.5" customHeight="1">
      <c r="B493" s="65"/>
      <c r="C493" s="4"/>
      <c r="D493" s="4"/>
      <c r="E493" s="4"/>
      <c r="F493" s="4"/>
      <c r="G493" s="4"/>
      <c r="H493" s="4"/>
      <c r="I493" s="9"/>
      <c r="J493" s="2"/>
      <c r="K493" s="2"/>
      <c r="L493" s="2"/>
      <c r="R493" s="129">
        <f t="shared" si="142"/>
        <v>0</v>
      </c>
      <c r="S493" s="129" t="str">
        <f t="shared" si="143"/>
        <v/>
      </c>
      <c r="T493" s="129">
        <f t="shared" si="141"/>
        <v>1</v>
      </c>
      <c r="U493" s="129">
        <f t="shared" ref="U493:U494" si="144">IF(E493="",1,IF(AND(E493="〇〇(合意形成対象者名に書き換え)",COUNTA($F493:$H493)=0),1,IF(AND(E493&lt;&gt;"〇〇(合意形成対象者名に書き換え)",COUNTA($F493:$H493)=3),1,0)))</f>
        <v>1</v>
      </c>
      <c r="V493" s="129" t="str" cm="1">
        <f t="array" ref="V493">_xlfn.IFS(T493=4,"A",T493=3,"B",T493=2,"C",T493=1,"D")</f>
        <v>D</v>
      </c>
      <c r="W493" s="175"/>
    </row>
    <row r="494" spans="1:23" customFormat="1" ht="6" customHeight="1">
      <c r="J494" s="2"/>
      <c r="K494" s="2"/>
      <c r="L494" s="2"/>
      <c r="R494" s="129">
        <f t="shared" si="142"/>
        <v>0</v>
      </c>
      <c r="S494" s="129" t="str">
        <f t="shared" si="143"/>
        <v/>
      </c>
      <c r="T494" s="129">
        <f t="shared" si="141"/>
        <v>1</v>
      </c>
      <c r="U494" s="129">
        <f t="shared" si="144"/>
        <v>1</v>
      </c>
      <c r="V494" s="129" t="str" cm="1">
        <f t="array" ref="V494">_xlfn.IFS(T494=4,"A",T494=3,"B",T494=2,"C",T494=1,"D")</f>
        <v>D</v>
      </c>
      <c r="W494" s="175"/>
    </row>
    <row r="495" spans="1:23" customFormat="1" ht="103.5" customHeight="1">
      <c r="C495" s="78"/>
      <c r="D495" s="79"/>
      <c r="E495" s="71" t="s">
        <v>236</v>
      </c>
      <c r="F495" s="1452"/>
      <c r="G495" s="1452"/>
      <c r="H495" s="1452"/>
      <c r="I495" s="80" t="s">
        <v>132</v>
      </c>
      <c r="J495" s="80"/>
    </row>
    <row r="496" spans="1:23" customFormat="1" ht="146.25" customHeight="1">
      <c r="C496" s="75"/>
      <c r="D496" s="68"/>
      <c r="E496" s="71" t="s">
        <v>235</v>
      </c>
      <c r="F496" s="1452"/>
      <c r="G496" s="1452"/>
      <c r="H496" s="1452"/>
      <c r="J496" s="2"/>
      <c r="K496" s="2"/>
      <c r="L496" s="2"/>
    </row>
    <row r="497" spans="1:23" customFormat="1" ht="13.5" customHeight="1" thickBot="1">
      <c r="A497" s="81"/>
      <c r="B497" s="81"/>
      <c r="C497" s="81"/>
      <c r="D497" s="81"/>
      <c r="E497" s="81"/>
      <c r="F497" s="81"/>
      <c r="G497" s="81"/>
      <c r="H497" s="81"/>
      <c r="I497" s="81"/>
      <c r="J497" s="82"/>
      <c r="K497" s="2"/>
      <c r="L497" s="2"/>
    </row>
    <row r="498" spans="1:23" customFormat="1" ht="13.5" customHeight="1">
      <c r="J498" s="2"/>
      <c r="K498" s="2"/>
      <c r="L498" s="2"/>
    </row>
    <row r="499" spans="1:23" customFormat="1" ht="15" customHeight="1">
      <c r="B499" s="10"/>
      <c r="C499" s="5"/>
      <c r="D499" s="5"/>
      <c r="E499" s="5"/>
      <c r="F499" s="5"/>
      <c r="G499" s="5"/>
      <c r="H499" s="5"/>
      <c r="I499" s="6"/>
      <c r="R499" s="11" t="str">
        <f>D500</f>
        <v>(選択してください)</v>
      </c>
    </row>
    <row r="500" spans="1:23" customFormat="1">
      <c r="B500" s="7"/>
      <c r="C500" s="77" t="str">
        <f ca="1">IFERROR(OFFSET('4.2民生電力需要量'!$C$8,MATCH(D500,'4.2民生電力需要量'!$E$9:$E$49,0),0),"")</f>
        <v/>
      </c>
      <c r="D500" s="94" t="s">
        <v>130</v>
      </c>
      <c r="E500" s="72" t="s">
        <v>131</v>
      </c>
      <c r="F500" s="1451" t="str">
        <f ca="1">IFERROR(OFFSET('4.2民生電力需要量'!$G$1,MATCH($D500,'4.2民生電力需要量'!$E:$E,0)-1,0),"")</f>
        <v/>
      </c>
      <c r="G500" s="1451"/>
      <c r="H500" s="1451"/>
      <c r="I500" s="8"/>
      <c r="R500" s="255" t="str">
        <f ca="1">IFERROR(OFFSET('4.2民生電力需要量'!$G$1,MATCH($D500,'4.2民生電力需要量'!$E:$E,0)-1,0),"")</f>
        <v/>
      </c>
      <c r="S500" s="515"/>
      <c r="T500" s="515"/>
      <c r="U500" s="515"/>
      <c r="V500" s="515"/>
      <c r="W500" s="175">
        <f ca="1">(F500=R500)*1</f>
        <v>1</v>
      </c>
    </row>
    <row r="501" spans="1:23" customFormat="1">
      <c r="B501" s="7"/>
      <c r="C501" s="915"/>
      <c r="D501" s="97"/>
      <c r="E501" s="72" t="s">
        <v>612</v>
      </c>
      <c r="F501" s="1447" t="str">
        <f ca="1">IFERROR(OFFSET('4.2民生電力需要量'!$L$1,MATCH($D500,'4.2民生電力需要量'!$E:$E,0)-1,0),"")</f>
        <v/>
      </c>
      <c r="G501" s="1448"/>
      <c r="H501" s="1449"/>
      <c r="I501" s="8"/>
      <c r="R501" s="255" t="str">
        <f ca="1">IFERROR(OFFSET('4.2民生電力需要量'!$L$1,MATCH($D500,'4.2民生電力需要量'!$E:$E,0)-1,0),"")</f>
        <v/>
      </c>
      <c r="S501" s="515"/>
      <c r="T501" s="515"/>
      <c r="U501" s="515"/>
      <c r="V501" s="515"/>
      <c r="W501" s="175">
        <f ca="1">(F501=R501)*1</f>
        <v>1</v>
      </c>
    </row>
    <row r="502" spans="1:23" customFormat="1">
      <c r="B502" s="7"/>
      <c r="C502" s="915"/>
      <c r="D502" s="97"/>
      <c r="E502" s="72" t="s">
        <v>613</v>
      </c>
      <c r="F502" s="1456"/>
      <c r="G502" s="1457"/>
      <c r="H502" s="1458"/>
      <c r="I502" s="8"/>
      <c r="R502" s="320"/>
      <c r="S502" s="515"/>
      <c r="T502" s="515"/>
      <c r="U502" s="515"/>
      <c r="V502" s="515"/>
      <c r="W502" s="515"/>
    </row>
    <row r="503" spans="1:23" customFormat="1">
      <c r="B503" s="7"/>
      <c r="C503" s="74"/>
      <c r="D503" s="66"/>
      <c r="E503" s="72" t="s">
        <v>220</v>
      </c>
      <c r="F503" s="1450" t="str">
        <f ca="1">IFERROR(OFFSET('4.2民生電力需要量'!$I$1,MATCH($D500,'4.2民生電力需要量'!$E:$E,0)-1,0),"")</f>
        <v/>
      </c>
      <c r="G503" s="1450"/>
      <c r="H503" s="1450"/>
      <c r="I503" s="8"/>
      <c r="R503" s="175" t="str">
        <f ca="1">IFERROR(OFFSET('4.2民生電力需要量'!$I$1,MATCH($D500,'4.2民生電力需要量'!$E:$E,0)-1,0),"")</f>
        <v/>
      </c>
      <c r="S503" s="515"/>
      <c r="T503" s="515"/>
      <c r="U503" s="515"/>
      <c r="V503" s="515"/>
      <c r="W503" s="175">
        <f t="shared" ref="W503:W504" ca="1" si="145">(F503=R503)*1</f>
        <v>1</v>
      </c>
    </row>
    <row r="504" spans="1:23" customFormat="1">
      <c r="B504" s="7"/>
      <c r="C504" s="74"/>
      <c r="D504" s="66"/>
      <c r="E504" s="72" t="s">
        <v>175</v>
      </c>
      <c r="F504" s="1453" t="str">
        <f>_xlfn.IFNA(R504,"")</f>
        <v/>
      </c>
      <c r="G504" s="1454"/>
      <c r="H504" s="1455"/>
      <c r="I504" s="8"/>
      <c r="R504" s="129" t="str">
        <f>IF(OR(COUNTIF($E506:$E511,"&lt;&gt;〇〇(合意形成対象者名に書き換え)")=3,COUNTIF($E506:$E511,"")&gt;3),"",IF(PRODUCT($U506:$U511)=1,V506,""))</f>
        <v/>
      </c>
      <c r="S504" s="515"/>
      <c r="T504" s="515"/>
      <c r="U504" s="515"/>
      <c r="V504" s="515"/>
      <c r="W504" s="175">
        <f t="shared" si="145"/>
        <v>1</v>
      </c>
    </row>
    <row r="505" spans="1:23" ht="63.75" customHeight="1">
      <c r="B505" s="95"/>
      <c r="C505" s="96"/>
      <c r="D505" s="97"/>
      <c r="E505" s="372"/>
      <c r="F505" s="313" t="s">
        <v>281</v>
      </c>
      <c r="G505" s="313" t="s">
        <v>282</v>
      </c>
      <c r="H505" s="313" t="s">
        <v>279</v>
      </c>
      <c r="I505" s="98"/>
      <c r="J505" s="11"/>
      <c r="R505" s="126" t="s">
        <v>270</v>
      </c>
      <c r="S505" s="126" t="s">
        <v>426</v>
      </c>
      <c r="T505" s="129" t="s">
        <v>402</v>
      </c>
      <c r="U505" s="129" t="s">
        <v>430</v>
      </c>
      <c r="V505" s="126" t="s">
        <v>425</v>
      </c>
      <c r="W505" s="255"/>
    </row>
    <row r="506" spans="1:23" hidden="1">
      <c r="B506" s="95"/>
      <c r="C506" s="96"/>
      <c r="D506" s="97"/>
      <c r="E506" s="442"/>
      <c r="F506" s="443"/>
      <c r="G506" s="439"/>
      <c r="H506" s="439"/>
      <c r="I506" s="98"/>
      <c r="J506" s="11"/>
      <c r="R506" s="129">
        <f>IF(AND(F506="実施済",G506="実施済",H506="完了"),3,0)</f>
        <v>0</v>
      </c>
      <c r="S506" s="129" t="str">
        <f>IF(OR(E506="〇〇(合意形成対象者名に書き換え)",E506=""),"",R506)</f>
        <v/>
      </c>
      <c r="T506" s="129">
        <f t="shared" ref="T506:T511" si="146">MIN($S$506:$S$511)+1</f>
        <v>1</v>
      </c>
      <c r="U506" s="129">
        <f>IF(E506="",1,IF(AND(E506="〇〇(合意形成対象者名に書き換え)",COUNTA($F506:$H506)=0),1,IF(AND(E506&lt;&gt;"〇〇(合意形成対象者名に書き換え)",COUNTA($F506:$H506)=3),1,0)))</f>
        <v>1</v>
      </c>
      <c r="V506" s="129" t="str" cm="1">
        <f t="array" ref="V506">_xlfn.IFS(T506=4,"A",T506=3,"B",T506=2,"C",T506=1,"D")</f>
        <v>D</v>
      </c>
      <c r="W506" s="255"/>
    </row>
    <row r="507" spans="1:23">
      <c r="B507" s="95"/>
      <c r="C507" s="96"/>
      <c r="D507" s="97"/>
      <c r="E507" s="100" t="s">
        <v>129</v>
      </c>
      <c r="F507" s="446"/>
      <c r="G507" s="441"/>
      <c r="H507" s="441"/>
      <c r="I507" s="98"/>
      <c r="J507" s="11"/>
      <c r="R507" s="129">
        <f t="shared" ref="R507:R511" si="147">IF(AND(F507="実施済",G507="実施済",H507="完了"),3,0)</f>
        <v>0</v>
      </c>
      <c r="S507" s="129" t="str">
        <f t="shared" ref="S507:S511" si="148">IF(OR(E507="〇〇(合意形成対象者名に書き換え)",E507=""),"",R507)</f>
        <v/>
      </c>
      <c r="T507" s="129">
        <f t="shared" si="146"/>
        <v>1</v>
      </c>
      <c r="U507" s="129">
        <f>IF(E507="",1,IF(AND(E507="〇〇(合意形成対象者名に書き換え)",COUNTA($F507:$H507)=0),1,IF(AND(E507&lt;&gt;"〇〇(合意形成対象者名に書き換え)",COUNTA($F507:$H507)=3),1,0)))</f>
        <v>1</v>
      </c>
      <c r="V507" s="129" t="str" cm="1">
        <f t="array" ref="V507">_xlfn.IFS(T507=4,"A",T507=3,"B",T507=2,"C",T507=1,"D")</f>
        <v>D</v>
      </c>
      <c r="W507" s="255"/>
    </row>
    <row r="508" spans="1:23">
      <c r="B508" s="95"/>
      <c r="C508" s="96"/>
      <c r="D508" s="97"/>
      <c r="E508" s="100" t="s">
        <v>129</v>
      </c>
      <c r="F508" s="446"/>
      <c r="G508" s="441"/>
      <c r="H508" s="441"/>
      <c r="I508" s="98"/>
      <c r="J508" s="11"/>
      <c r="R508" s="129">
        <f t="shared" si="147"/>
        <v>0</v>
      </c>
      <c r="S508" s="129" t="str">
        <f t="shared" si="148"/>
        <v/>
      </c>
      <c r="T508" s="129">
        <f t="shared" si="146"/>
        <v>1</v>
      </c>
      <c r="U508" s="129">
        <f>IF(E508="",1,IF(AND(E508="〇〇(合意形成対象者名に書き換え)",COUNTA($F508:$H508)=0),1,IF(AND(E508&lt;&gt;"〇〇(合意形成対象者名に書き換え)",COUNTA($F508:$H508)=3),1,0)))</f>
        <v>1</v>
      </c>
      <c r="V508" s="129" t="str" cm="1">
        <f t="array" ref="V508">_xlfn.IFS(T508=4,"A",T508=3,"B",T508=2,"C",T508=1,"D")</f>
        <v>D</v>
      </c>
      <c r="W508" s="255"/>
    </row>
    <row r="509" spans="1:23" s="99" customFormat="1">
      <c r="A509" s="11"/>
      <c r="B509" s="95"/>
      <c r="C509" s="96"/>
      <c r="D509" s="97"/>
      <c r="E509" s="100" t="s">
        <v>129</v>
      </c>
      <c r="F509" s="446"/>
      <c r="G509" s="441"/>
      <c r="H509" s="441"/>
      <c r="I509" s="98"/>
      <c r="J509" s="11"/>
      <c r="M509" s="11"/>
      <c r="N509" s="11"/>
      <c r="O509" s="11"/>
      <c r="P509" s="11"/>
      <c r="Q509" s="11"/>
      <c r="R509" s="129">
        <f t="shared" si="147"/>
        <v>0</v>
      </c>
      <c r="S509" s="129" t="str">
        <f t="shared" si="148"/>
        <v/>
      </c>
      <c r="T509" s="129">
        <f t="shared" si="146"/>
        <v>1</v>
      </c>
      <c r="U509" s="129">
        <f>IF(E509="",1,IF(AND(E509="〇〇(合意形成対象者名に書き換え)",COUNTA($F509:$H509)=0),1,IF(AND(E509&lt;&gt;"〇〇(合意形成対象者名に書き換え)",COUNTA($F509:$H509)=3),1,0)))</f>
        <v>1</v>
      </c>
      <c r="V509" s="129" t="str" cm="1">
        <f t="array" ref="V509">_xlfn.IFS(T509=4,"A",T509=3,"B",T509=2,"C",T509=1,"D")</f>
        <v>D</v>
      </c>
      <c r="W509" s="129"/>
    </row>
    <row r="510" spans="1:23" customFormat="1" ht="7.5" customHeight="1">
      <c r="B510" s="65"/>
      <c r="C510" s="4"/>
      <c r="D510" s="4"/>
      <c r="E510" s="4"/>
      <c r="F510" s="4"/>
      <c r="G510" s="4"/>
      <c r="H510" s="4"/>
      <c r="I510" s="9"/>
      <c r="J510" s="2"/>
      <c r="K510" s="2"/>
      <c r="L510" s="2"/>
      <c r="R510" s="129">
        <f t="shared" si="147"/>
        <v>0</v>
      </c>
      <c r="S510" s="129" t="str">
        <f t="shared" si="148"/>
        <v/>
      </c>
      <c r="T510" s="129">
        <f t="shared" si="146"/>
        <v>1</v>
      </c>
      <c r="U510" s="129">
        <f t="shared" ref="U510:U511" si="149">IF(E510="",1,IF(AND(E510="〇〇(合意形成対象者名に書き換え)",COUNTA($F510:$H510)=0),1,IF(AND(E510&lt;&gt;"〇〇(合意形成対象者名に書き換え)",COUNTA($F510:$H510)=3),1,0)))</f>
        <v>1</v>
      </c>
      <c r="V510" s="129" t="str" cm="1">
        <f t="array" ref="V510">_xlfn.IFS(T510=4,"A",T510=3,"B",T510=2,"C",T510=1,"D")</f>
        <v>D</v>
      </c>
      <c r="W510" s="175"/>
    </row>
    <row r="511" spans="1:23" customFormat="1" ht="6" customHeight="1">
      <c r="J511" s="2"/>
      <c r="K511" s="2"/>
      <c r="L511" s="2"/>
      <c r="R511" s="129">
        <f t="shared" si="147"/>
        <v>0</v>
      </c>
      <c r="S511" s="129" t="str">
        <f t="shared" si="148"/>
        <v/>
      </c>
      <c r="T511" s="129">
        <f t="shared" si="146"/>
        <v>1</v>
      </c>
      <c r="U511" s="129">
        <f t="shared" si="149"/>
        <v>1</v>
      </c>
      <c r="V511" s="129" t="str" cm="1">
        <f t="array" ref="V511">_xlfn.IFS(T511=4,"A",T511=3,"B",T511=2,"C",T511=1,"D")</f>
        <v>D</v>
      </c>
      <c r="W511" s="175"/>
    </row>
    <row r="512" spans="1:23" customFormat="1" ht="103.5" customHeight="1">
      <c r="C512" s="78"/>
      <c r="D512" s="79"/>
      <c r="E512" s="71" t="s">
        <v>236</v>
      </c>
      <c r="F512" s="1452"/>
      <c r="G512" s="1452"/>
      <c r="H512" s="1452"/>
      <c r="I512" s="80" t="s">
        <v>132</v>
      </c>
      <c r="J512" s="80"/>
    </row>
    <row r="513" spans="1:23" customFormat="1" ht="146.25" customHeight="1">
      <c r="C513" s="75"/>
      <c r="D513" s="68"/>
      <c r="E513" s="71" t="s">
        <v>235</v>
      </c>
      <c r="F513" s="1452"/>
      <c r="G513" s="1452"/>
      <c r="H513" s="1452"/>
      <c r="J513" s="2"/>
      <c r="K513" s="2"/>
      <c r="L513" s="2"/>
    </row>
    <row r="514" spans="1:23" customFormat="1" ht="13.5" customHeight="1" thickBot="1">
      <c r="A514" s="81"/>
      <c r="B514" s="81"/>
      <c r="C514" s="81"/>
      <c r="D514" s="81"/>
      <c r="E514" s="81"/>
      <c r="F514" s="81"/>
      <c r="G514" s="81"/>
      <c r="H514" s="81"/>
      <c r="I514" s="81"/>
      <c r="J514" s="82"/>
      <c r="K514" s="2"/>
      <c r="L514" s="2"/>
    </row>
    <row r="515" spans="1:23" customFormat="1" ht="13.5" customHeight="1">
      <c r="J515" s="2"/>
      <c r="K515" s="2"/>
      <c r="L515" s="2"/>
    </row>
    <row r="516" spans="1:23" customFormat="1" ht="15" customHeight="1">
      <c r="B516" s="10"/>
      <c r="C516" s="5"/>
      <c r="D516" s="5"/>
      <c r="E516" s="5"/>
      <c r="F516" s="5"/>
      <c r="G516" s="5"/>
      <c r="H516" s="5"/>
      <c r="I516" s="6"/>
      <c r="R516" s="11" t="str">
        <f>D517</f>
        <v>(選択してください)</v>
      </c>
    </row>
    <row r="517" spans="1:23" customFormat="1">
      <c r="B517" s="7"/>
      <c r="C517" s="77" t="str">
        <f ca="1">IFERROR(OFFSET('4.2民生電力需要量'!$C$8,MATCH(D517,'4.2民生電力需要量'!$E$9:$E$49,0),0),"")</f>
        <v/>
      </c>
      <c r="D517" s="94" t="s">
        <v>130</v>
      </c>
      <c r="E517" s="72" t="s">
        <v>131</v>
      </c>
      <c r="F517" s="1451" t="str">
        <f ca="1">IFERROR(OFFSET('4.2民生電力需要量'!$G$1,MATCH($D517,'4.2民生電力需要量'!$E:$E,0)-1,0),"")</f>
        <v/>
      </c>
      <c r="G517" s="1451"/>
      <c r="H517" s="1451"/>
      <c r="I517" s="8"/>
      <c r="R517" s="255" t="str">
        <f ca="1">IFERROR(OFFSET('4.2民生電力需要量'!$G$1,MATCH($D517,'4.2民生電力需要量'!$E:$E,0)-1,0),"")</f>
        <v/>
      </c>
      <c r="S517" s="515"/>
      <c r="T517" s="515"/>
      <c r="U517" s="515"/>
      <c r="V517" s="515"/>
      <c r="W517" s="175">
        <f ca="1">(F517=R517)*1</f>
        <v>1</v>
      </c>
    </row>
    <row r="518" spans="1:23" customFormat="1">
      <c r="B518" s="7"/>
      <c r="C518" s="915"/>
      <c r="D518" s="97"/>
      <c r="E518" s="72" t="s">
        <v>612</v>
      </c>
      <c r="F518" s="1447" t="str">
        <f ca="1">IFERROR(OFFSET('4.2民生電力需要量'!$L$1,MATCH($D517,'4.2民生電力需要量'!$E:$E,0)-1,0),"")</f>
        <v/>
      </c>
      <c r="G518" s="1448"/>
      <c r="H518" s="1449"/>
      <c r="I518" s="8"/>
      <c r="R518" s="255" t="str">
        <f ca="1">IFERROR(OFFSET('4.2民生電力需要量'!$L$1,MATCH($D517,'4.2民生電力需要量'!$E:$E,0)-1,0),"")</f>
        <v/>
      </c>
      <c r="S518" s="515"/>
      <c r="T518" s="515"/>
      <c r="U518" s="515"/>
      <c r="V518" s="515"/>
      <c r="W518" s="175">
        <f ca="1">(F518=R518)*1</f>
        <v>1</v>
      </c>
    </row>
    <row r="519" spans="1:23" customFormat="1">
      <c r="B519" s="7"/>
      <c r="C519" s="915"/>
      <c r="D519" s="97"/>
      <c r="E519" s="72" t="s">
        <v>613</v>
      </c>
      <c r="F519" s="1456"/>
      <c r="G519" s="1457"/>
      <c r="H519" s="1458"/>
      <c r="I519" s="8"/>
      <c r="R519" s="320"/>
      <c r="S519" s="515"/>
      <c r="T519" s="515"/>
      <c r="U519" s="515"/>
      <c r="V519" s="515"/>
      <c r="W519" s="515"/>
    </row>
    <row r="520" spans="1:23" customFormat="1">
      <c r="B520" s="7"/>
      <c r="C520" s="74"/>
      <c r="D520" s="66"/>
      <c r="E520" s="72" t="s">
        <v>220</v>
      </c>
      <c r="F520" s="1450" t="str">
        <f ca="1">IFERROR(OFFSET('4.2民生電力需要量'!$I$1,MATCH($D517,'4.2民生電力需要量'!$E:$E,0)-1,0),"")</f>
        <v/>
      </c>
      <c r="G520" s="1450"/>
      <c r="H520" s="1450"/>
      <c r="I520" s="8"/>
      <c r="R520" s="175" t="str">
        <f ca="1">IFERROR(OFFSET('4.2民生電力需要量'!$I$1,MATCH($D517,'4.2民生電力需要量'!$E:$E,0)-1,0),"")</f>
        <v/>
      </c>
      <c r="S520" s="515"/>
      <c r="T520" s="515"/>
      <c r="U520" s="515"/>
      <c r="V520" s="515"/>
      <c r="W520" s="175">
        <f t="shared" ref="W520:W521" ca="1" si="150">(F520=R520)*1</f>
        <v>1</v>
      </c>
    </row>
    <row r="521" spans="1:23" customFormat="1">
      <c r="B521" s="7"/>
      <c r="C521" s="74"/>
      <c r="D521" s="66"/>
      <c r="E521" s="72" t="s">
        <v>175</v>
      </c>
      <c r="F521" s="1453" t="str">
        <f>_xlfn.IFNA(R521,"")</f>
        <v/>
      </c>
      <c r="G521" s="1454"/>
      <c r="H521" s="1455"/>
      <c r="I521" s="8"/>
      <c r="R521" s="129" t="str">
        <f>IF(OR(COUNTIF($E523:$E528,"&lt;&gt;〇〇(合意形成対象者名に書き換え)")=3,COUNTIF($E523:$E528,"")&gt;3),"",IF(PRODUCT($U523:$U528)=1,V523,""))</f>
        <v/>
      </c>
      <c r="S521" s="515"/>
      <c r="T521" s="515"/>
      <c r="U521" s="515"/>
      <c r="V521" s="515"/>
      <c r="W521" s="175">
        <f t="shared" si="150"/>
        <v>1</v>
      </c>
    </row>
    <row r="522" spans="1:23" ht="63.75" customHeight="1">
      <c r="B522" s="95"/>
      <c r="C522" s="96"/>
      <c r="D522" s="97"/>
      <c r="E522" s="372"/>
      <c r="F522" s="313" t="s">
        <v>281</v>
      </c>
      <c r="G522" s="313" t="s">
        <v>282</v>
      </c>
      <c r="H522" s="313" t="s">
        <v>279</v>
      </c>
      <c r="I522" s="98"/>
      <c r="J522" s="11"/>
      <c r="R522" s="126" t="s">
        <v>270</v>
      </c>
      <c r="S522" s="126" t="s">
        <v>426</v>
      </c>
      <c r="T522" s="129" t="s">
        <v>402</v>
      </c>
      <c r="U522" s="129" t="s">
        <v>430</v>
      </c>
      <c r="V522" s="126" t="s">
        <v>425</v>
      </c>
      <c r="W522" s="255"/>
    </row>
    <row r="523" spans="1:23" hidden="1">
      <c r="B523" s="95"/>
      <c r="C523" s="96"/>
      <c r="D523" s="97"/>
      <c r="E523" s="442"/>
      <c r="F523" s="443"/>
      <c r="G523" s="439"/>
      <c r="H523" s="439"/>
      <c r="I523" s="98"/>
      <c r="J523" s="11"/>
      <c r="R523" s="129">
        <f>IF(AND(F523="実施済",G523="実施済",H523="完了"),3,0)</f>
        <v>0</v>
      </c>
      <c r="S523" s="129" t="str">
        <f>IF(OR(E523="〇〇(合意形成対象者名に書き換え)",E523=""),"",R523)</f>
        <v/>
      </c>
      <c r="T523" s="129">
        <f t="shared" ref="T523:T528" si="151">MIN($S$523:$S$528)+1</f>
        <v>1</v>
      </c>
      <c r="U523" s="129">
        <f>IF(E523="",1,IF(AND(E523="〇〇(合意形成対象者名に書き換え)",COUNTA($F523:$H523)=0),1,IF(AND(E523&lt;&gt;"〇〇(合意形成対象者名に書き換え)",COUNTA($F523:$H523)=3),1,0)))</f>
        <v>1</v>
      </c>
      <c r="V523" s="129" t="str" cm="1">
        <f t="array" ref="V523">_xlfn.IFS(T523=4,"A",T523=3,"B",T523=2,"C",T523=1,"D")</f>
        <v>D</v>
      </c>
      <c r="W523" s="255"/>
    </row>
    <row r="524" spans="1:23">
      <c r="B524" s="95"/>
      <c r="C524" s="96"/>
      <c r="D524" s="97"/>
      <c r="E524" s="100" t="s">
        <v>129</v>
      </c>
      <c r="F524" s="446"/>
      <c r="G524" s="441"/>
      <c r="H524" s="441"/>
      <c r="I524" s="98"/>
      <c r="J524" s="11"/>
      <c r="R524" s="129">
        <f t="shared" ref="R524:R528" si="152">IF(AND(F524="実施済",G524="実施済",H524="完了"),3,0)</f>
        <v>0</v>
      </c>
      <c r="S524" s="129" t="str">
        <f t="shared" ref="S524:S528" si="153">IF(OR(E524="〇〇(合意形成対象者名に書き換え)",E524=""),"",R524)</f>
        <v/>
      </c>
      <c r="T524" s="129">
        <f t="shared" si="151"/>
        <v>1</v>
      </c>
      <c r="U524" s="129">
        <f>IF(E524="",1,IF(AND(E524="〇〇(合意形成対象者名に書き換え)",COUNTA($F524:$H524)=0),1,IF(AND(E524&lt;&gt;"〇〇(合意形成対象者名に書き換え)",COUNTA($F524:$H524)=3),1,0)))</f>
        <v>1</v>
      </c>
      <c r="V524" s="129" t="str" cm="1">
        <f t="array" ref="V524">_xlfn.IFS(T524=4,"A",T524=3,"B",T524=2,"C",T524=1,"D")</f>
        <v>D</v>
      </c>
      <c r="W524" s="255"/>
    </row>
    <row r="525" spans="1:23">
      <c r="B525" s="95"/>
      <c r="C525" s="96"/>
      <c r="D525" s="97"/>
      <c r="E525" s="100" t="s">
        <v>129</v>
      </c>
      <c r="F525" s="446"/>
      <c r="G525" s="441"/>
      <c r="H525" s="441"/>
      <c r="I525" s="98"/>
      <c r="J525" s="11"/>
      <c r="R525" s="129">
        <f t="shared" si="152"/>
        <v>0</v>
      </c>
      <c r="S525" s="129" t="str">
        <f t="shared" si="153"/>
        <v/>
      </c>
      <c r="T525" s="129">
        <f t="shared" si="151"/>
        <v>1</v>
      </c>
      <c r="U525" s="129">
        <f>IF(E525="",1,IF(AND(E525="〇〇(合意形成対象者名に書き換え)",COUNTA($F525:$H525)=0),1,IF(AND(E525&lt;&gt;"〇〇(合意形成対象者名に書き換え)",COUNTA($F525:$H525)=3),1,0)))</f>
        <v>1</v>
      </c>
      <c r="V525" s="129" t="str" cm="1">
        <f t="array" ref="V525">_xlfn.IFS(T525=4,"A",T525=3,"B",T525=2,"C",T525=1,"D")</f>
        <v>D</v>
      </c>
      <c r="W525" s="255"/>
    </row>
    <row r="526" spans="1:23" s="99" customFormat="1">
      <c r="A526" s="11"/>
      <c r="B526" s="95"/>
      <c r="C526" s="96"/>
      <c r="D526" s="97"/>
      <c r="E526" s="100" t="s">
        <v>129</v>
      </c>
      <c r="F526" s="446"/>
      <c r="G526" s="441"/>
      <c r="H526" s="441"/>
      <c r="I526" s="98"/>
      <c r="J526" s="11"/>
      <c r="M526" s="11"/>
      <c r="N526" s="11"/>
      <c r="O526" s="11"/>
      <c r="P526" s="11"/>
      <c r="Q526" s="11"/>
      <c r="R526" s="129">
        <f t="shared" si="152"/>
        <v>0</v>
      </c>
      <c r="S526" s="129" t="str">
        <f t="shared" si="153"/>
        <v/>
      </c>
      <c r="T526" s="129">
        <f t="shared" si="151"/>
        <v>1</v>
      </c>
      <c r="U526" s="129">
        <f>IF(E526="",1,IF(AND(E526="〇〇(合意形成対象者名に書き換え)",COUNTA($F526:$H526)=0),1,IF(AND(E526&lt;&gt;"〇〇(合意形成対象者名に書き換え)",COUNTA($F526:$H526)=3),1,0)))</f>
        <v>1</v>
      </c>
      <c r="V526" s="129" t="str" cm="1">
        <f t="array" ref="V526">_xlfn.IFS(T526=4,"A",T526=3,"B",T526=2,"C",T526=1,"D")</f>
        <v>D</v>
      </c>
      <c r="W526" s="129"/>
    </row>
    <row r="527" spans="1:23" customFormat="1" ht="7.5" customHeight="1">
      <c r="B527" s="65"/>
      <c r="C527" s="4"/>
      <c r="D527" s="4"/>
      <c r="E527" s="4"/>
      <c r="F527" s="4"/>
      <c r="G527" s="4"/>
      <c r="H527" s="4"/>
      <c r="I527" s="9"/>
      <c r="J527" s="2"/>
      <c r="K527" s="2"/>
      <c r="L527" s="2"/>
      <c r="R527" s="129">
        <f t="shared" si="152"/>
        <v>0</v>
      </c>
      <c r="S527" s="129" t="str">
        <f t="shared" si="153"/>
        <v/>
      </c>
      <c r="T527" s="129">
        <f t="shared" si="151"/>
        <v>1</v>
      </c>
      <c r="U527" s="129">
        <f t="shared" ref="U527:U528" si="154">IF(E527="",1,IF(AND(E527="〇〇(合意形成対象者名に書き換え)",COUNTA($F527:$H527)=0),1,IF(AND(E527&lt;&gt;"〇〇(合意形成対象者名に書き換え)",COUNTA($F527:$H527)=3),1,0)))</f>
        <v>1</v>
      </c>
      <c r="V527" s="129" t="str" cm="1">
        <f t="array" ref="V527">_xlfn.IFS(T527=4,"A",T527=3,"B",T527=2,"C",T527=1,"D")</f>
        <v>D</v>
      </c>
      <c r="W527" s="175"/>
    </row>
    <row r="528" spans="1:23" customFormat="1" ht="6" customHeight="1">
      <c r="J528" s="2"/>
      <c r="K528" s="2"/>
      <c r="L528" s="2"/>
      <c r="R528" s="129">
        <f t="shared" si="152"/>
        <v>0</v>
      </c>
      <c r="S528" s="129" t="str">
        <f t="shared" si="153"/>
        <v/>
      </c>
      <c r="T528" s="129">
        <f t="shared" si="151"/>
        <v>1</v>
      </c>
      <c r="U528" s="129">
        <f t="shared" si="154"/>
        <v>1</v>
      </c>
      <c r="V528" s="129" t="str" cm="1">
        <f t="array" ref="V528">_xlfn.IFS(T528=4,"A",T528=3,"B",T528=2,"C",T528=1,"D")</f>
        <v>D</v>
      </c>
      <c r="W528" s="175"/>
    </row>
    <row r="529" spans="1:23" customFormat="1" ht="103.5" customHeight="1">
      <c r="C529" s="78"/>
      <c r="D529" s="79"/>
      <c r="E529" s="71" t="s">
        <v>236</v>
      </c>
      <c r="F529" s="1452"/>
      <c r="G529" s="1452"/>
      <c r="H529" s="1452"/>
      <c r="I529" s="80" t="s">
        <v>132</v>
      </c>
      <c r="J529" s="80"/>
    </row>
    <row r="530" spans="1:23" customFormat="1" ht="146.25" customHeight="1">
      <c r="C530" s="75"/>
      <c r="D530" s="68"/>
      <c r="E530" s="71" t="s">
        <v>235</v>
      </c>
      <c r="F530" s="1452"/>
      <c r="G530" s="1452"/>
      <c r="H530" s="1452"/>
      <c r="J530" s="2"/>
      <c r="K530" s="2"/>
      <c r="L530" s="2"/>
    </row>
    <row r="531" spans="1:23" customFormat="1" ht="13.5" customHeight="1" thickBot="1">
      <c r="A531" s="81"/>
      <c r="B531" s="81"/>
      <c r="C531" s="81"/>
      <c r="D531" s="81"/>
      <c r="E531" s="81"/>
      <c r="F531" s="81"/>
      <c r="G531" s="81"/>
      <c r="H531" s="81"/>
      <c r="I531" s="81"/>
      <c r="J531" s="82"/>
      <c r="K531" s="2"/>
      <c r="L531" s="2"/>
    </row>
    <row r="532" spans="1:23" customFormat="1" ht="13.5" customHeight="1">
      <c r="J532" s="2"/>
      <c r="K532" s="2"/>
      <c r="L532" s="2"/>
    </row>
    <row r="533" spans="1:23" customFormat="1" ht="15" customHeight="1">
      <c r="B533" s="10"/>
      <c r="C533" s="5"/>
      <c r="D533" s="5"/>
      <c r="E533" s="5"/>
      <c r="F533" s="5"/>
      <c r="G533" s="5"/>
      <c r="H533" s="5"/>
      <c r="I533" s="6"/>
      <c r="R533" s="11" t="str">
        <f>D534</f>
        <v>(選択してください)</v>
      </c>
    </row>
    <row r="534" spans="1:23" customFormat="1">
      <c r="B534" s="7"/>
      <c r="C534" s="77" t="str">
        <f ca="1">IFERROR(OFFSET('4.2民生電力需要量'!$C$8,MATCH(D534,'4.2民生電力需要量'!$E$9:$E$49,0),0),"")</f>
        <v/>
      </c>
      <c r="D534" s="94" t="s">
        <v>130</v>
      </c>
      <c r="E534" s="72" t="s">
        <v>131</v>
      </c>
      <c r="F534" s="1451" t="str">
        <f ca="1">IFERROR(OFFSET('4.2民生電力需要量'!$G$1,MATCH($D534,'4.2民生電力需要量'!$E:$E,0)-1,0),"")</f>
        <v/>
      </c>
      <c r="G534" s="1451"/>
      <c r="H534" s="1451"/>
      <c r="I534" s="8"/>
      <c r="R534" s="255" t="str">
        <f ca="1">IFERROR(OFFSET('4.2民生電力需要量'!$G$1,MATCH($D534,'4.2民生電力需要量'!$E:$E,0)-1,0),"")</f>
        <v/>
      </c>
      <c r="S534" s="515"/>
      <c r="T534" s="515"/>
      <c r="U534" s="515"/>
      <c r="V534" s="515"/>
      <c r="W534" s="175">
        <f ca="1">(F534=R534)*1</f>
        <v>1</v>
      </c>
    </row>
    <row r="535" spans="1:23" customFormat="1">
      <c r="B535" s="7"/>
      <c r="C535" s="915"/>
      <c r="D535" s="97"/>
      <c r="E535" s="72" t="s">
        <v>612</v>
      </c>
      <c r="F535" s="1447" t="str">
        <f ca="1">IFERROR(OFFSET('4.2民生電力需要量'!$L$1,MATCH($D534,'4.2民生電力需要量'!$E:$E,0)-1,0),"")</f>
        <v/>
      </c>
      <c r="G535" s="1448"/>
      <c r="H535" s="1449"/>
      <c r="I535" s="8"/>
      <c r="R535" s="255" t="str">
        <f ca="1">IFERROR(OFFSET('4.2民生電力需要量'!$L$1,MATCH($D534,'4.2民生電力需要量'!$E:$E,0)-1,0),"")</f>
        <v/>
      </c>
      <c r="S535" s="515"/>
      <c r="T535" s="515"/>
      <c r="U535" s="515"/>
      <c r="V535" s="515"/>
      <c r="W535" s="175">
        <f ca="1">(F535=R535)*1</f>
        <v>1</v>
      </c>
    </row>
    <row r="536" spans="1:23" customFormat="1">
      <c r="B536" s="7"/>
      <c r="C536" s="915"/>
      <c r="D536" s="97"/>
      <c r="E536" s="72" t="s">
        <v>613</v>
      </c>
      <c r="F536" s="1456"/>
      <c r="G536" s="1457"/>
      <c r="H536" s="1458"/>
      <c r="I536" s="8"/>
      <c r="R536" s="320"/>
      <c r="S536" s="515"/>
      <c r="T536" s="515"/>
      <c r="U536" s="515"/>
      <c r="V536" s="515"/>
      <c r="W536" s="515"/>
    </row>
    <row r="537" spans="1:23" customFormat="1">
      <c r="B537" s="7"/>
      <c r="C537" s="74"/>
      <c r="D537" s="66"/>
      <c r="E537" s="72" t="s">
        <v>220</v>
      </c>
      <c r="F537" s="1450" t="str">
        <f ca="1">IFERROR(OFFSET('4.2民生電力需要量'!$I$1,MATCH($D534,'4.2民生電力需要量'!$E:$E,0)-1,0),"")</f>
        <v/>
      </c>
      <c r="G537" s="1450"/>
      <c r="H537" s="1450"/>
      <c r="I537" s="8"/>
      <c r="R537" s="175" t="str">
        <f ca="1">IFERROR(OFFSET('4.2民生電力需要量'!$I$1,MATCH($D534,'4.2民生電力需要量'!$E:$E,0)-1,0),"")</f>
        <v/>
      </c>
      <c r="S537" s="515"/>
      <c r="T537" s="515"/>
      <c r="U537" s="515"/>
      <c r="V537" s="515"/>
      <c r="W537" s="175">
        <f t="shared" ref="W537:W538" ca="1" si="155">(F537=R537)*1</f>
        <v>1</v>
      </c>
    </row>
    <row r="538" spans="1:23" customFormat="1">
      <c r="B538" s="7"/>
      <c r="C538" s="74"/>
      <c r="D538" s="66"/>
      <c r="E538" s="72" t="s">
        <v>175</v>
      </c>
      <c r="F538" s="1453" t="str">
        <f>_xlfn.IFNA(R538,"")</f>
        <v/>
      </c>
      <c r="G538" s="1454"/>
      <c r="H538" s="1455"/>
      <c r="I538" s="8"/>
      <c r="R538" s="129" t="str">
        <f>IF(OR(COUNTIF($E540:$E545,"&lt;&gt;〇〇(合意形成対象者名に書き換え)")=3,COUNTIF($E540:$E545,"")&gt;3),"",IF(PRODUCT($U540:$U545)=1,V540,""))</f>
        <v/>
      </c>
      <c r="S538" s="515"/>
      <c r="T538" s="515"/>
      <c r="U538" s="515"/>
      <c r="V538" s="515"/>
      <c r="W538" s="175">
        <f t="shared" si="155"/>
        <v>1</v>
      </c>
    </row>
    <row r="539" spans="1:23" ht="63.75" customHeight="1">
      <c r="B539" s="95"/>
      <c r="C539" s="96"/>
      <c r="D539" s="97"/>
      <c r="E539" s="372"/>
      <c r="F539" s="313" t="s">
        <v>281</v>
      </c>
      <c r="G539" s="313" t="s">
        <v>282</v>
      </c>
      <c r="H539" s="313" t="s">
        <v>279</v>
      </c>
      <c r="I539" s="98"/>
      <c r="J539" s="11"/>
      <c r="R539" s="126" t="s">
        <v>270</v>
      </c>
      <c r="S539" s="126" t="s">
        <v>426</v>
      </c>
      <c r="T539" s="129" t="s">
        <v>402</v>
      </c>
      <c r="U539" s="129" t="s">
        <v>430</v>
      </c>
      <c r="V539" s="126" t="s">
        <v>425</v>
      </c>
      <c r="W539" s="255"/>
    </row>
    <row r="540" spans="1:23" hidden="1">
      <c r="B540" s="95"/>
      <c r="C540" s="96"/>
      <c r="D540" s="97"/>
      <c r="E540" s="442"/>
      <c r="F540" s="443"/>
      <c r="G540" s="439"/>
      <c r="H540" s="439"/>
      <c r="I540" s="98"/>
      <c r="J540" s="11"/>
      <c r="R540" s="129">
        <f>IF(AND(F540="実施済",G540="実施済",H540="完了"),3,0)</f>
        <v>0</v>
      </c>
      <c r="S540" s="129" t="str">
        <f>IF(OR(E540="〇〇(合意形成対象者名に書き換え)",E540=""),"",R540)</f>
        <v/>
      </c>
      <c r="T540" s="129">
        <f t="shared" ref="T540:T545" si="156">MIN($S$540:$S$545)+1</f>
        <v>1</v>
      </c>
      <c r="U540" s="129">
        <f>IF(E540="",1,IF(AND(E540="〇〇(合意形成対象者名に書き換え)",COUNTA($F540:$H540)=0),1,IF(AND(E540&lt;&gt;"〇〇(合意形成対象者名に書き換え)",COUNTA($F540:$H540)=3),1,0)))</f>
        <v>1</v>
      </c>
      <c r="V540" s="129" t="str" cm="1">
        <f t="array" ref="V540">_xlfn.IFS(T540=4,"A",T540=3,"B",T540=2,"C",T540=1,"D")</f>
        <v>D</v>
      </c>
      <c r="W540" s="255"/>
    </row>
    <row r="541" spans="1:23">
      <c r="B541" s="95"/>
      <c r="C541" s="96"/>
      <c r="D541" s="97"/>
      <c r="E541" s="100" t="s">
        <v>129</v>
      </c>
      <c r="F541" s="446"/>
      <c r="G541" s="441"/>
      <c r="H541" s="441"/>
      <c r="I541" s="98"/>
      <c r="J541" s="11"/>
      <c r="R541" s="129">
        <f t="shared" ref="R541:R545" si="157">IF(AND(F541="実施済",G541="実施済",H541="完了"),3,0)</f>
        <v>0</v>
      </c>
      <c r="S541" s="129" t="str">
        <f t="shared" ref="S541:S545" si="158">IF(OR(E541="〇〇(合意形成対象者名に書き換え)",E541=""),"",R541)</f>
        <v/>
      </c>
      <c r="T541" s="129">
        <f t="shared" si="156"/>
        <v>1</v>
      </c>
      <c r="U541" s="129">
        <f>IF(E541="",1,IF(AND(E541="〇〇(合意形成対象者名に書き換え)",COUNTA($F541:$H541)=0),1,IF(AND(E541&lt;&gt;"〇〇(合意形成対象者名に書き換え)",COUNTA($F541:$H541)=3),1,0)))</f>
        <v>1</v>
      </c>
      <c r="V541" s="129" t="str" cm="1">
        <f t="array" ref="V541">_xlfn.IFS(T541=4,"A",T541=3,"B",T541=2,"C",T541=1,"D")</f>
        <v>D</v>
      </c>
      <c r="W541" s="255"/>
    </row>
    <row r="542" spans="1:23">
      <c r="B542" s="95"/>
      <c r="C542" s="96"/>
      <c r="D542" s="97"/>
      <c r="E542" s="100" t="s">
        <v>129</v>
      </c>
      <c r="F542" s="446"/>
      <c r="G542" s="441"/>
      <c r="H542" s="441"/>
      <c r="I542" s="98"/>
      <c r="J542" s="11"/>
      <c r="R542" s="129">
        <f t="shared" si="157"/>
        <v>0</v>
      </c>
      <c r="S542" s="129" t="str">
        <f t="shared" si="158"/>
        <v/>
      </c>
      <c r="T542" s="129">
        <f t="shared" si="156"/>
        <v>1</v>
      </c>
      <c r="U542" s="129">
        <f>IF(E542="",1,IF(AND(E542="〇〇(合意形成対象者名に書き換え)",COUNTA($F542:$H542)=0),1,IF(AND(E542&lt;&gt;"〇〇(合意形成対象者名に書き換え)",COUNTA($F542:$H542)=3),1,0)))</f>
        <v>1</v>
      </c>
      <c r="V542" s="129" t="str" cm="1">
        <f t="array" ref="V542">_xlfn.IFS(T542=4,"A",T542=3,"B",T542=2,"C",T542=1,"D")</f>
        <v>D</v>
      </c>
      <c r="W542" s="255"/>
    </row>
    <row r="543" spans="1:23" s="99" customFormat="1">
      <c r="A543" s="11"/>
      <c r="B543" s="95"/>
      <c r="C543" s="96"/>
      <c r="D543" s="97"/>
      <c r="E543" s="100" t="s">
        <v>129</v>
      </c>
      <c r="F543" s="446"/>
      <c r="G543" s="441"/>
      <c r="H543" s="441"/>
      <c r="I543" s="98"/>
      <c r="J543" s="11"/>
      <c r="M543" s="11"/>
      <c r="N543" s="11"/>
      <c r="O543" s="11"/>
      <c r="P543" s="11"/>
      <c r="Q543" s="11"/>
      <c r="R543" s="129">
        <f t="shared" si="157"/>
        <v>0</v>
      </c>
      <c r="S543" s="129" t="str">
        <f t="shared" si="158"/>
        <v/>
      </c>
      <c r="T543" s="129">
        <f t="shared" si="156"/>
        <v>1</v>
      </c>
      <c r="U543" s="129">
        <f>IF(E543="",1,IF(AND(E543="〇〇(合意形成対象者名に書き換え)",COUNTA($F543:$H543)=0),1,IF(AND(E543&lt;&gt;"〇〇(合意形成対象者名に書き換え)",COUNTA($F543:$H543)=3),1,0)))</f>
        <v>1</v>
      </c>
      <c r="V543" s="129" t="str" cm="1">
        <f t="array" ref="V543">_xlfn.IFS(T543=4,"A",T543=3,"B",T543=2,"C",T543=1,"D")</f>
        <v>D</v>
      </c>
      <c r="W543" s="129"/>
    </row>
    <row r="544" spans="1:23" customFormat="1" ht="7.5" customHeight="1">
      <c r="B544" s="65"/>
      <c r="C544" s="4"/>
      <c r="D544" s="4"/>
      <c r="E544" s="4"/>
      <c r="F544" s="4"/>
      <c r="G544" s="4"/>
      <c r="H544" s="4"/>
      <c r="I544" s="9"/>
      <c r="J544" s="2"/>
      <c r="K544" s="2"/>
      <c r="L544" s="2"/>
      <c r="R544" s="129">
        <f t="shared" si="157"/>
        <v>0</v>
      </c>
      <c r="S544" s="129" t="str">
        <f t="shared" si="158"/>
        <v/>
      </c>
      <c r="T544" s="129">
        <f t="shared" si="156"/>
        <v>1</v>
      </c>
      <c r="U544" s="129">
        <f t="shared" ref="U544:U545" si="159">IF(E544="",1,IF(AND(E544="〇〇(合意形成対象者名に書き換え)",COUNTA($F544:$H544)=0),1,IF(AND(E544&lt;&gt;"〇〇(合意形成対象者名に書き換え)",COUNTA($F544:$H544)=3),1,0)))</f>
        <v>1</v>
      </c>
      <c r="V544" s="129" t="str" cm="1">
        <f t="array" ref="V544">_xlfn.IFS(T544=4,"A",T544=3,"B",T544=2,"C",T544=1,"D")</f>
        <v>D</v>
      </c>
      <c r="W544" s="175"/>
    </row>
    <row r="545" spans="1:23" customFormat="1" ht="6" customHeight="1">
      <c r="J545" s="2"/>
      <c r="K545" s="2"/>
      <c r="L545" s="2"/>
      <c r="R545" s="129">
        <f t="shared" si="157"/>
        <v>0</v>
      </c>
      <c r="S545" s="129" t="str">
        <f t="shared" si="158"/>
        <v/>
      </c>
      <c r="T545" s="129">
        <f t="shared" si="156"/>
        <v>1</v>
      </c>
      <c r="U545" s="129">
        <f t="shared" si="159"/>
        <v>1</v>
      </c>
      <c r="V545" s="129" t="str" cm="1">
        <f t="array" ref="V545">_xlfn.IFS(T545=4,"A",T545=3,"B",T545=2,"C",T545=1,"D")</f>
        <v>D</v>
      </c>
      <c r="W545" s="175"/>
    </row>
    <row r="546" spans="1:23" customFormat="1" ht="103.5" customHeight="1">
      <c r="C546" s="78"/>
      <c r="D546" s="79"/>
      <c r="E546" s="71" t="s">
        <v>236</v>
      </c>
      <c r="F546" s="1452"/>
      <c r="G546" s="1452"/>
      <c r="H546" s="1452"/>
      <c r="I546" s="80" t="s">
        <v>132</v>
      </c>
      <c r="J546" s="80"/>
    </row>
    <row r="547" spans="1:23" customFormat="1" ht="146.25" customHeight="1">
      <c r="C547" s="75"/>
      <c r="D547" s="68"/>
      <c r="E547" s="71" t="s">
        <v>235</v>
      </c>
      <c r="F547" s="1452"/>
      <c r="G547" s="1452"/>
      <c r="H547" s="1452"/>
      <c r="J547" s="2"/>
      <c r="K547" s="2"/>
      <c r="L547" s="2"/>
    </row>
    <row r="548" spans="1:23" customFormat="1" ht="13.5" customHeight="1" thickBot="1">
      <c r="A548" s="81"/>
      <c r="B548" s="81"/>
      <c r="C548" s="81"/>
      <c r="D548" s="81"/>
      <c r="E548" s="81"/>
      <c r="F548" s="81"/>
      <c r="G548" s="81"/>
      <c r="H548" s="81"/>
      <c r="I548" s="81"/>
      <c r="J548" s="82"/>
      <c r="K548" s="2"/>
      <c r="L548" s="2"/>
    </row>
    <row r="549" spans="1:23" customFormat="1" ht="13.5" customHeight="1">
      <c r="J549" s="2"/>
      <c r="K549" s="2"/>
      <c r="L549" s="2"/>
    </row>
    <row r="550" spans="1:23" customFormat="1" ht="15" customHeight="1">
      <c r="B550" s="10"/>
      <c r="C550" s="5"/>
      <c r="D550" s="5"/>
      <c r="E550" s="5"/>
      <c r="F550" s="5"/>
      <c r="G550" s="5"/>
      <c r="H550" s="5"/>
      <c r="I550" s="6"/>
      <c r="R550" s="11" t="str">
        <f>D551</f>
        <v>(選択してください)</v>
      </c>
    </row>
    <row r="551" spans="1:23" customFormat="1">
      <c r="B551" s="7"/>
      <c r="C551" s="77" t="str">
        <f ca="1">IFERROR(OFFSET('4.2民生電力需要量'!$C$8,MATCH(D551,'4.2民生電力需要量'!$E$9:$E$49,0),0),"")</f>
        <v/>
      </c>
      <c r="D551" s="94" t="s">
        <v>130</v>
      </c>
      <c r="E551" s="72" t="s">
        <v>131</v>
      </c>
      <c r="F551" s="1451" t="str">
        <f ca="1">IFERROR(OFFSET('4.2民生電力需要量'!$G$1,MATCH($D551,'4.2民生電力需要量'!$E:$E,0)-1,0),"")</f>
        <v/>
      </c>
      <c r="G551" s="1451"/>
      <c r="H551" s="1451"/>
      <c r="I551" s="8"/>
      <c r="R551" s="255" t="str">
        <f ca="1">IFERROR(OFFSET('4.2民生電力需要量'!$G$1,MATCH($D551,'4.2民生電力需要量'!$E:$E,0)-1,0),"")</f>
        <v/>
      </c>
      <c r="S551" s="515"/>
      <c r="T551" s="515"/>
      <c r="U551" s="515"/>
      <c r="V551" s="515"/>
      <c r="W551" s="175">
        <f ca="1">(F551=R551)*1</f>
        <v>1</v>
      </c>
    </row>
    <row r="552" spans="1:23" customFormat="1">
      <c r="B552" s="7"/>
      <c r="C552" s="915"/>
      <c r="D552" s="97"/>
      <c r="E552" s="72" t="s">
        <v>612</v>
      </c>
      <c r="F552" s="1447" t="str">
        <f ca="1">IFERROR(OFFSET('4.2民生電力需要量'!$L$1,MATCH($D551,'4.2民生電力需要量'!$E:$E,0)-1,0),"")</f>
        <v/>
      </c>
      <c r="G552" s="1448"/>
      <c r="H552" s="1449"/>
      <c r="I552" s="8"/>
      <c r="R552" s="255" t="str">
        <f ca="1">IFERROR(OFFSET('4.2民生電力需要量'!$L$1,MATCH($D551,'4.2民生電力需要量'!$E:$E,0)-1,0),"")</f>
        <v/>
      </c>
      <c r="S552" s="515"/>
      <c r="T552" s="515"/>
      <c r="U552" s="515"/>
      <c r="V552" s="515"/>
      <c r="W552" s="175">
        <f ca="1">(F552=R552)*1</f>
        <v>1</v>
      </c>
    </row>
    <row r="553" spans="1:23" customFormat="1">
      <c r="B553" s="7"/>
      <c r="C553" s="915"/>
      <c r="D553" s="97"/>
      <c r="E553" s="72" t="s">
        <v>613</v>
      </c>
      <c r="F553" s="1456"/>
      <c r="G553" s="1457"/>
      <c r="H553" s="1458"/>
      <c r="I553" s="8"/>
      <c r="R553" s="320"/>
      <c r="S553" s="515"/>
      <c r="T553" s="515"/>
      <c r="U553" s="515"/>
      <c r="V553" s="515"/>
      <c r="W553" s="515"/>
    </row>
    <row r="554" spans="1:23" customFormat="1">
      <c r="B554" s="7"/>
      <c r="C554" s="74"/>
      <c r="D554" s="66"/>
      <c r="E554" s="72" t="s">
        <v>220</v>
      </c>
      <c r="F554" s="1450" t="str">
        <f ca="1">IFERROR(OFFSET('4.2民生電力需要量'!$I$1,MATCH($D551,'4.2民生電力需要量'!$E:$E,0)-1,0),"")</f>
        <v/>
      </c>
      <c r="G554" s="1450"/>
      <c r="H554" s="1450"/>
      <c r="I554" s="8"/>
      <c r="R554" s="175" t="str">
        <f ca="1">IFERROR(OFFSET('4.2民生電力需要量'!$I$1,MATCH($D551,'4.2民生電力需要量'!$E:$E,0)-1,0),"")</f>
        <v/>
      </c>
      <c r="S554" s="515"/>
      <c r="T554" s="515"/>
      <c r="U554" s="515"/>
      <c r="V554" s="515"/>
      <c r="W554" s="175">
        <f t="shared" ref="W554:W555" ca="1" si="160">(F554=R554)*1</f>
        <v>1</v>
      </c>
    </row>
    <row r="555" spans="1:23" customFormat="1">
      <c r="B555" s="7"/>
      <c r="C555" s="74"/>
      <c r="D555" s="66"/>
      <c r="E555" s="72" t="s">
        <v>175</v>
      </c>
      <c r="F555" s="1453" t="str">
        <f>_xlfn.IFNA(R555,"")</f>
        <v/>
      </c>
      <c r="G555" s="1454"/>
      <c r="H555" s="1455"/>
      <c r="I555" s="8"/>
      <c r="R555" s="129" t="str">
        <f>IF(OR(COUNTIF($E557:$E562,"&lt;&gt;〇〇(合意形成対象者名に書き換え)")=3,COUNTIF($E557:$E562,"")&gt;3),"",IF(PRODUCT($U557:$U562)=1,V557,""))</f>
        <v/>
      </c>
      <c r="S555" s="515"/>
      <c r="T555" s="515"/>
      <c r="U555" s="515"/>
      <c r="V555" s="515"/>
      <c r="W555" s="175">
        <f t="shared" si="160"/>
        <v>1</v>
      </c>
    </row>
    <row r="556" spans="1:23" ht="63.75" customHeight="1">
      <c r="B556" s="95"/>
      <c r="C556" s="96"/>
      <c r="D556" s="97"/>
      <c r="E556" s="372"/>
      <c r="F556" s="313" t="s">
        <v>281</v>
      </c>
      <c r="G556" s="313" t="s">
        <v>282</v>
      </c>
      <c r="H556" s="313" t="s">
        <v>279</v>
      </c>
      <c r="I556" s="98"/>
      <c r="J556" s="11"/>
      <c r="R556" s="126" t="s">
        <v>270</v>
      </c>
      <c r="S556" s="126" t="s">
        <v>426</v>
      </c>
      <c r="T556" s="129" t="s">
        <v>402</v>
      </c>
      <c r="U556" s="129" t="s">
        <v>430</v>
      </c>
      <c r="V556" s="126" t="s">
        <v>425</v>
      </c>
      <c r="W556" s="255"/>
    </row>
    <row r="557" spans="1:23" hidden="1">
      <c r="B557" s="95"/>
      <c r="C557" s="96"/>
      <c r="D557" s="97"/>
      <c r="E557" s="442"/>
      <c r="F557" s="443"/>
      <c r="G557" s="439"/>
      <c r="H557" s="439"/>
      <c r="I557" s="98"/>
      <c r="J557" s="11"/>
      <c r="R557" s="129">
        <f>IF(AND(F557="実施済",G557="実施済",H557="完了"),3,0)</f>
        <v>0</v>
      </c>
      <c r="S557" s="129" t="str">
        <f>IF(OR(E557="〇〇(合意形成対象者名に書き換え)",E557=""),"",R557)</f>
        <v/>
      </c>
      <c r="T557" s="129">
        <f t="shared" ref="T557:T562" si="161">MIN($S$557:$S$562)+1</f>
        <v>1</v>
      </c>
      <c r="U557" s="129">
        <f>IF(E557="",1,IF(AND(E557="〇〇(合意形成対象者名に書き換え)",COUNTA($F557:$H557)=0),1,IF(AND(E557&lt;&gt;"〇〇(合意形成対象者名に書き換え)",COUNTA($F557:$H557)=3),1,0)))</f>
        <v>1</v>
      </c>
      <c r="V557" s="129" t="str" cm="1">
        <f t="array" ref="V557">_xlfn.IFS(T557=4,"A",T557=3,"B",T557=2,"C",T557=1,"D")</f>
        <v>D</v>
      </c>
      <c r="W557" s="255"/>
    </row>
    <row r="558" spans="1:23">
      <c r="B558" s="95"/>
      <c r="C558" s="96"/>
      <c r="D558" s="97"/>
      <c r="E558" s="100" t="s">
        <v>129</v>
      </c>
      <c r="F558" s="446"/>
      <c r="G558" s="441"/>
      <c r="H558" s="441"/>
      <c r="I558" s="98"/>
      <c r="J558" s="11"/>
      <c r="R558" s="129">
        <f t="shared" ref="R558:R562" si="162">IF(AND(F558="実施済",G558="実施済",H558="完了"),3,0)</f>
        <v>0</v>
      </c>
      <c r="S558" s="129" t="str">
        <f t="shared" ref="S558:S562" si="163">IF(OR(E558="〇〇(合意形成対象者名に書き換え)",E558=""),"",R558)</f>
        <v/>
      </c>
      <c r="T558" s="129">
        <f t="shared" si="161"/>
        <v>1</v>
      </c>
      <c r="U558" s="129">
        <f>IF(E558="",1,IF(AND(E558="〇〇(合意形成対象者名に書き換え)",COUNTA($F558:$H558)=0),1,IF(AND(E558&lt;&gt;"〇〇(合意形成対象者名に書き換え)",COUNTA($F558:$H558)=3),1,0)))</f>
        <v>1</v>
      </c>
      <c r="V558" s="129" t="str" cm="1">
        <f t="array" ref="V558">_xlfn.IFS(T558=4,"A",T558=3,"B",T558=2,"C",T558=1,"D")</f>
        <v>D</v>
      </c>
      <c r="W558" s="255"/>
    </row>
    <row r="559" spans="1:23">
      <c r="B559" s="95"/>
      <c r="C559" s="96"/>
      <c r="D559" s="97"/>
      <c r="E559" s="100" t="s">
        <v>129</v>
      </c>
      <c r="F559" s="446"/>
      <c r="G559" s="441"/>
      <c r="H559" s="441"/>
      <c r="I559" s="98"/>
      <c r="J559" s="11"/>
      <c r="R559" s="129">
        <f t="shared" si="162"/>
        <v>0</v>
      </c>
      <c r="S559" s="129" t="str">
        <f t="shared" si="163"/>
        <v/>
      </c>
      <c r="T559" s="129">
        <f t="shared" si="161"/>
        <v>1</v>
      </c>
      <c r="U559" s="129">
        <f>IF(E559="",1,IF(AND(E559="〇〇(合意形成対象者名に書き換え)",COUNTA($F559:$H559)=0),1,IF(AND(E559&lt;&gt;"〇〇(合意形成対象者名に書き換え)",COUNTA($F559:$H559)=3),1,0)))</f>
        <v>1</v>
      </c>
      <c r="V559" s="129" t="str" cm="1">
        <f t="array" ref="V559">_xlfn.IFS(T559=4,"A",T559=3,"B",T559=2,"C",T559=1,"D")</f>
        <v>D</v>
      </c>
      <c r="W559" s="255"/>
    </row>
    <row r="560" spans="1:23" s="99" customFormat="1">
      <c r="A560" s="11"/>
      <c r="B560" s="95"/>
      <c r="C560" s="96"/>
      <c r="D560" s="97"/>
      <c r="E560" s="100" t="s">
        <v>129</v>
      </c>
      <c r="F560" s="446"/>
      <c r="G560" s="441"/>
      <c r="H560" s="441"/>
      <c r="I560" s="98"/>
      <c r="J560" s="11"/>
      <c r="M560" s="11"/>
      <c r="N560" s="11"/>
      <c r="O560" s="11"/>
      <c r="P560" s="11"/>
      <c r="Q560" s="11"/>
      <c r="R560" s="129">
        <f t="shared" si="162"/>
        <v>0</v>
      </c>
      <c r="S560" s="129" t="str">
        <f t="shared" si="163"/>
        <v/>
      </c>
      <c r="T560" s="129">
        <f t="shared" si="161"/>
        <v>1</v>
      </c>
      <c r="U560" s="129">
        <f>IF(E560="",1,IF(AND(E560="〇〇(合意形成対象者名に書き換え)",COUNTA($F560:$H560)=0),1,IF(AND(E560&lt;&gt;"〇〇(合意形成対象者名に書き換え)",COUNTA($F560:$H560)=3),1,0)))</f>
        <v>1</v>
      </c>
      <c r="V560" s="129" t="str" cm="1">
        <f t="array" ref="V560">_xlfn.IFS(T560=4,"A",T560=3,"B",T560=2,"C",T560=1,"D")</f>
        <v>D</v>
      </c>
      <c r="W560" s="129"/>
    </row>
    <row r="561" spans="1:23" customFormat="1" ht="7.5" customHeight="1">
      <c r="B561" s="65"/>
      <c r="C561" s="4"/>
      <c r="D561" s="4"/>
      <c r="E561" s="4"/>
      <c r="F561" s="4"/>
      <c r="G561" s="4"/>
      <c r="H561" s="4"/>
      <c r="I561" s="9"/>
      <c r="J561" s="2"/>
      <c r="K561" s="2"/>
      <c r="L561" s="2"/>
      <c r="R561" s="129">
        <f t="shared" si="162"/>
        <v>0</v>
      </c>
      <c r="S561" s="129" t="str">
        <f t="shared" si="163"/>
        <v/>
      </c>
      <c r="T561" s="129">
        <f t="shared" si="161"/>
        <v>1</v>
      </c>
      <c r="U561" s="129">
        <f t="shared" ref="U561:U562" si="164">IF(E561="",1,IF(AND(E561="〇〇(合意形成対象者名に書き換え)",COUNTA($F561:$H561)=0),1,IF(AND(E561&lt;&gt;"〇〇(合意形成対象者名に書き換え)",COUNTA($F561:$H561)=3),1,0)))</f>
        <v>1</v>
      </c>
      <c r="V561" s="129" t="str" cm="1">
        <f t="array" ref="V561">_xlfn.IFS(T561=4,"A",T561=3,"B",T561=2,"C",T561=1,"D")</f>
        <v>D</v>
      </c>
      <c r="W561" s="175"/>
    </row>
    <row r="562" spans="1:23" customFormat="1" ht="6" customHeight="1">
      <c r="J562" s="2"/>
      <c r="K562" s="2"/>
      <c r="L562" s="2"/>
      <c r="R562" s="129">
        <f t="shared" si="162"/>
        <v>0</v>
      </c>
      <c r="S562" s="129" t="str">
        <f t="shared" si="163"/>
        <v/>
      </c>
      <c r="T562" s="129">
        <f t="shared" si="161"/>
        <v>1</v>
      </c>
      <c r="U562" s="129">
        <f t="shared" si="164"/>
        <v>1</v>
      </c>
      <c r="V562" s="129" t="str" cm="1">
        <f t="array" ref="V562">_xlfn.IFS(T562=4,"A",T562=3,"B",T562=2,"C",T562=1,"D")</f>
        <v>D</v>
      </c>
      <c r="W562" s="175"/>
    </row>
    <row r="563" spans="1:23" customFormat="1" ht="103.5" customHeight="1">
      <c r="C563" s="78"/>
      <c r="D563" s="79"/>
      <c r="E563" s="71" t="s">
        <v>236</v>
      </c>
      <c r="F563" s="1452"/>
      <c r="G563" s="1452"/>
      <c r="H563" s="1452"/>
      <c r="I563" s="80" t="s">
        <v>132</v>
      </c>
      <c r="J563" s="80"/>
    </row>
    <row r="564" spans="1:23" customFormat="1" ht="146.25" customHeight="1">
      <c r="C564" s="75"/>
      <c r="D564" s="68"/>
      <c r="E564" s="71" t="s">
        <v>235</v>
      </c>
      <c r="F564" s="1452"/>
      <c r="G564" s="1452"/>
      <c r="H564" s="1452"/>
      <c r="J564" s="2"/>
      <c r="K564" s="2"/>
      <c r="L564" s="2"/>
    </row>
    <row r="565" spans="1:23" customFormat="1" ht="13.5" customHeight="1" thickBot="1">
      <c r="A565" s="81"/>
      <c r="B565" s="81"/>
      <c r="C565" s="81"/>
      <c r="D565" s="81"/>
      <c r="E565" s="81"/>
      <c r="F565" s="81"/>
      <c r="G565" s="81"/>
      <c r="H565" s="81"/>
      <c r="I565" s="81"/>
      <c r="J565" s="82"/>
      <c r="K565" s="2"/>
      <c r="L565" s="2"/>
    </row>
    <row r="566" spans="1:23" customFormat="1" ht="13.5" customHeight="1">
      <c r="J566" s="2"/>
      <c r="K566" s="2"/>
      <c r="L566" s="2"/>
    </row>
    <row r="567" spans="1:23" customFormat="1" ht="15" customHeight="1">
      <c r="B567" s="10"/>
      <c r="C567" s="5"/>
      <c r="D567" s="5"/>
      <c r="E567" s="5"/>
      <c r="F567" s="5"/>
      <c r="G567" s="5"/>
      <c r="H567" s="5"/>
      <c r="I567" s="6"/>
      <c r="R567" s="11" t="str">
        <f>D568</f>
        <v>(選択してください)</v>
      </c>
    </row>
    <row r="568" spans="1:23" customFormat="1">
      <c r="B568" s="7"/>
      <c r="C568" s="77" t="str">
        <f ca="1">IFERROR(OFFSET('4.2民生電力需要量'!$C$8,MATCH(D568,'4.2民生電力需要量'!$E$9:$E$49,0),0),"")</f>
        <v/>
      </c>
      <c r="D568" s="94" t="s">
        <v>130</v>
      </c>
      <c r="E568" s="72" t="s">
        <v>131</v>
      </c>
      <c r="F568" s="1451" t="str">
        <f ca="1">IFERROR(OFFSET('4.2民生電力需要量'!$G$1,MATCH($D568,'4.2民生電力需要量'!$E:$E,0)-1,0),"")</f>
        <v/>
      </c>
      <c r="G568" s="1451"/>
      <c r="H568" s="1451"/>
      <c r="I568" s="8"/>
      <c r="R568" s="255" t="str">
        <f ca="1">IFERROR(OFFSET('4.2民生電力需要量'!$G$1,MATCH($D568,'4.2民生電力需要量'!$E:$E,0)-1,0),"")</f>
        <v/>
      </c>
      <c r="S568" s="515"/>
      <c r="T568" s="515"/>
      <c r="U568" s="515"/>
      <c r="V568" s="515"/>
      <c r="W568" s="175">
        <f ca="1">(F568=R568)*1</f>
        <v>1</v>
      </c>
    </row>
    <row r="569" spans="1:23" customFormat="1">
      <c r="B569" s="7"/>
      <c r="C569" s="915"/>
      <c r="D569" s="97"/>
      <c r="E569" s="72" t="s">
        <v>612</v>
      </c>
      <c r="F569" s="1447" t="str">
        <f ca="1">IFERROR(OFFSET('4.2民生電力需要量'!$L$1,MATCH($D568,'4.2民生電力需要量'!$E:$E,0)-1,0),"")</f>
        <v/>
      </c>
      <c r="G569" s="1448"/>
      <c r="H569" s="1449"/>
      <c r="I569" s="8"/>
      <c r="R569" s="255" t="str">
        <f ca="1">IFERROR(OFFSET('4.2民生電力需要量'!$L$1,MATCH($D568,'4.2民生電力需要量'!$E:$E,0)-1,0),"")</f>
        <v/>
      </c>
      <c r="S569" s="515"/>
      <c r="T569" s="515"/>
      <c r="U569" s="515"/>
      <c r="V569" s="515"/>
      <c r="W569" s="175">
        <f ca="1">(F569=R569)*1</f>
        <v>1</v>
      </c>
    </row>
    <row r="570" spans="1:23" customFormat="1">
      <c r="B570" s="7"/>
      <c r="C570" s="915"/>
      <c r="D570" s="97"/>
      <c r="E570" s="72" t="s">
        <v>613</v>
      </c>
      <c r="F570" s="1456"/>
      <c r="G570" s="1457"/>
      <c r="H570" s="1458"/>
      <c r="I570" s="8"/>
      <c r="R570" s="320"/>
      <c r="S570" s="515"/>
      <c r="T570" s="515"/>
      <c r="U570" s="515"/>
      <c r="V570" s="515"/>
      <c r="W570" s="515"/>
    </row>
    <row r="571" spans="1:23" customFormat="1">
      <c r="B571" s="7"/>
      <c r="C571" s="74"/>
      <c r="D571" s="66"/>
      <c r="E571" s="72" t="s">
        <v>220</v>
      </c>
      <c r="F571" s="1450" t="str">
        <f ca="1">IFERROR(OFFSET('4.2民生電力需要量'!$I$1,MATCH($D568,'4.2民生電力需要量'!$E:$E,0)-1,0),"")</f>
        <v/>
      </c>
      <c r="G571" s="1450"/>
      <c r="H571" s="1450"/>
      <c r="I571" s="8"/>
      <c r="R571" s="175" t="str">
        <f ca="1">IFERROR(OFFSET('4.2民生電力需要量'!$I$1,MATCH($D568,'4.2民生電力需要量'!$E:$E,0)-1,0),"")</f>
        <v/>
      </c>
      <c r="S571" s="515"/>
      <c r="T571" s="515"/>
      <c r="U571" s="515"/>
      <c r="V571" s="515"/>
      <c r="W571" s="175">
        <f t="shared" ref="W571:W572" ca="1" si="165">(F571=R571)*1</f>
        <v>1</v>
      </c>
    </row>
    <row r="572" spans="1:23" customFormat="1">
      <c r="B572" s="7"/>
      <c r="C572" s="74"/>
      <c r="D572" s="66"/>
      <c r="E572" s="72" t="s">
        <v>175</v>
      </c>
      <c r="F572" s="1453" t="str">
        <f>_xlfn.IFNA(R572,"")</f>
        <v/>
      </c>
      <c r="G572" s="1454"/>
      <c r="H572" s="1455"/>
      <c r="I572" s="8"/>
      <c r="R572" s="129" t="str">
        <f>IF(OR(COUNTIF($E574:$E579,"&lt;&gt;〇〇(合意形成対象者名に書き換え)")=3,COUNTIF($E574:$E579,"")&gt;3),"",IF(PRODUCT($U574:$U579)=1,V574,""))</f>
        <v/>
      </c>
      <c r="S572" s="515"/>
      <c r="T572" s="515"/>
      <c r="U572" s="515"/>
      <c r="V572" s="515"/>
      <c r="W572" s="175">
        <f t="shared" si="165"/>
        <v>1</v>
      </c>
    </row>
    <row r="573" spans="1:23" ht="63.75" customHeight="1">
      <c r="B573" s="95"/>
      <c r="C573" s="96"/>
      <c r="D573" s="97"/>
      <c r="E573" s="372"/>
      <c r="F573" s="313" t="s">
        <v>281</v>
      </c>
      <c r="G573" s="313" t="s">
        <v>282</v>
      </c>
      <c r="H573" s="313" t="s">
        <v>279</v>
      </c>
      <c r="I573" s="98"/>
      <c r="J573" s="11"/>
      <c r="R573" s="126" t="s">
        <v>270</v>
      </c>
      <c r="S573" s="126" t="s">
        <v>426</v>
      </c>
      <c r="T573" s="129" t="s">
        <v>402</v>
      </c>
      <c r="U573" s="129" t="s">
        <v>430</v>
      </c>
      <c r="V573" s="126" t="s">
        <v>425</v>
      </c>
      <c r="W573" s="255"/>
    </row>
    <row r="574" spans="1:23" hidden="1">
      <c r="B574" s="95"/>
      <c r="C574" s="96"/>
      <c r="D574" s="97"/>
      <c r="E574" s="442"/>
      <c r="F574" s="443"/>
      <c r="G574" s="439"/>
      <c r="H574" s="439"/>
      <c r="I574" s="98"/>
      <c r="J574" s="11"/>
      <c r="R574" s="129">
        <f>IF(AND(F574="実施済",G574="実施済",H574="完了"),3,0)</f>
        <v>0</v>
      </c>
      <c r="S574" s="129" t="str">
        <f>IF(OR(E574="〇〇(合意形成対象者名に書き換え)",E574=""),"",R574)</f>
        <v/>
      </c>
      <c r="T574" s="129">
        <f t="shared" ref="T574:T579" si="166">MIN($S$574:$S$579)+1</f>
        <v>1</v>
      </c>
      <c r="U574" s="129">
        <f>IF(E574="",1,IF(AND(E574="〇〇(合意形成対象者名に書き換え)",COUNTA($F574:$H574)=0),1,IF(AND(E574&lt;&gt;"〇〇(合意形成対象者名に書き換え)",COUNTA($F574:$H574)=3),1,0)))</f>
        <v>1</v>
      </c>
      <c r="V574" s="129" t="str" cm="1">
        <f t="array" ref="V574">_xlfn.IFS(T574=4,"A",T574=3,"B",T574=2,"C",T574=1,"D")</f>
        <v>D</v>
      </c>
      <c r="W574" s="255"/>
    </row>
    <row r="575" spans="1:23">
      <c r="B575" s="95"/>
      <c r="C575" s="96"/>
      <c r="D575" s="97"/>
      <c r="E575" s="100" t="s">
        <v>129</v>
      </c>
      <c r="F575" s="446"/>
      <c r="G575" s="441"/>
      <c r="H575" s="441"/>
      <c r="I575" s="98"/>
      <c r="J575" s="11"/>
      <c r="R575" s="129">
        <f t="shared" ref="R575:R579" si="167">IF(AND(F575="実施済",G575="実施済",H575="完了"),3,0)</f>
        <v>0</v>
      </c>
      <c r="S575" s="129" t="str">
        <f t="shared" ref="S575:S579" si="168">IF(OR(E575="〇〇(合意形成対象者名に書き換え)",E575=""),"",R575)</f>
        <v/>
      </c>
      <c r="T575" s="129">
        <f t="shared" si="166"/>
        <v>1</v>
      </c>
      <c r="U575" s="129">
        <f>IF(E575="",1,IF(AND(E575="〇〇(合意形成対象者名に書き換え)",COUNTA($F575:$H575)=0),1,IF(AND(E575&lt;&gt;"〇〇(合意形成対象者名に書き換え)",COUNTA($F575:$H575)=3),1,0)))</f>
        <v>1</v>
      </c>
      <c r="V575" s="129" t="str" cm="1">
        <f t="array" ref="V575">_xlfn.IFS(T575=4,"A",T575=3,"B",T575=2,"C",T575=1,"D")</f>
        <v>D</v>
      </c>
      <c r="W575" s="255"/>
    </row>
    <row r="576" spans="1:23">
      <c r="B576" s="95"/>
      <c r="C576" s="96"/>
      <c r="D576" s="97"/>
      <c r="E576" s="100" t="s">
        <v>129</v>
      </c>
      <c r="F576" s="446"/>
      <c r="G576" s="441"/>
      <c r="H576" s="441"/>
      <c r="I576" s="98"/>
      <c r="J576" s="11"/>
      <c r="R576" s="129">
        <f t="shared" si="167"/>
        <v>0</v>
      </c>
      <c r="S576" s="129" t="str">
        <f t="shared" si="168"/>
        <v/>
      </c>
      <c r="T576" s="129">
        <f t="shared" si="166"/>
        <v>1</v>
      </c>
      <c r="U576" s="129">
        <f>IF(E576="",1,IF(AND(E576="〇〇(合意形成対象者名に書き換え)",COUNTA($F576:$H576)=0),1,IF(AND(E576&lt;&gt;"〇〇(合意形成対象者名に書き換え)",COUNTA($F576:$H576)=3),1,0)))</f>
        <v>1</v>
      </c>
      <c r="V576" s="129" t="str" cm="1">
        <f t="array" ref="V576">_xlfn.IFS(T576=4,"A",T576=3,"B",T576=2,"C",T576=1,"D")</f>
        <v>D</v>
      </c>
      <c r="W576" s="255"/>
    </row>
    <row r="577" spans="1:23" s="99" customFormat="1">
      <c r="A577" s="11"/>
      <c r="B577" s="95"/>
      <c r="C577" s="96"/>
      <c r="D577" s="97"/>
      <c r="E577" s="100" t="s">
        <v>129</v>
      </c>
      <c r="F577" s="446"/>
      <c r="G577" s="441"/>
      <c r="H577" s="441"/>
      <c r="I577" s="98"/>
      <c r="J577" s="11"/>
      <c r="M577" s="11"/>
      <c r="N577" s="11"/>
      <c r="O577" s="11"/>
      <c r="P577" s="11"/>
      <c r="Q577" s="11"/>
      <c r="R577" s="129">
        <f t="shared" si="167"/>
        <v>0</v>
      </c>
      <c r="S577" s="129" t="str">
        <f t="shared" si="168"/>
        <v/>
      </c>
      <c r="T577" s="129">
        <f t="shared" si="166"/>
        <v>1</v>
      </c>
      <c r="U577" s="129">
        <f>IF(E577="",1,IF(AND(E577="〇〇(合意形成対象者名に書き換え)",COUNTA($F577:$H577)=0),1,IF(AND(E577&lt;&gt;"〇〇(合意形成対象者名に書き換え)",COUNTA($F577:$H577)=3),1,0)))</f>
        <v>1</v>
      </c>
      <c r="V577" s="129" t="str" cm="1">
        <f t="array" ref="V577">_xlfn.IFS(T577=4,"A",T577=3,"B",T577=2,"C",T577=1,"D")</f>
        <v>D</v>
      </c>
      <c r="W577" s="129"/>
    </row>
    <row r="578" spans="1:23" customFormat="1" ht="7.5" customHeight="1">
      <c r="B578" s="65"/>
      <c r="C578" s="4"/>
      <c r="D578" s="4"/>
      <c r="E578" s="4"/>
      <c r="F578" s="4"/>
      <c r="G578" s="4"/>
      <c r="H578" s="4"/>
      <c r="I578" s="9"/>
      <c r="J578" s="2"/>
      <c r="K578" s="2"/>
      <c r="L578" s="2"/>
      <c r="R578" s="129">
        <f t="shared" si="167"/>
        <v>0</v>
      </c>
      <c r="S578" s="129" t="str">
        <f t="shared" si="168"/>
        <v/>
      </c>
      <c r="T578" s="129">
        <f t="shared" si="166"/>
        <v>1</v>
      </c>
      <c r="U578" s="129">
        <f t="shared" ref="U578:U579" si="169">IF(E578="",1,IF(AND(E578="〇〇(合意形成対象者名に書き換え)",COUNTA($F578:$H578)=0),1,IF(AND(E578&lt;&gt;"〇〇(合意形成対象者名に書き換え)",COUNTA($F578:$H578)=3),1,0)))</f>
        <v>1</v>
      </c>
      <c r="V578" s="129" t="str" cm="1">
        <f t="array" ref="V578">_xlfn.IFS(T578=4,"A",T578=3,"B",T578=2,"C",T578=1,"D")</f>
        <v>D</v>
      </c>
      <c r="W578" s="175"/>
    </row>
    <row r="579" spans="1:23" customFormat="1" ht="6" customHeight="1">
      <c r="J579" s="2"/>
      <c r="K579" s="2"/>
      <c r="L579" s="2"/>
      <c r="R579" s="129">
        <f t="shared" si="167"/>
        <v>0</v>
      </c>
      <c r="S579" s="129" t="str">
        <f t="shared" si="168"/>
        <v/>
      </c>
      <c r="T579" s="129">
        <f t="shared" si="166"/>
        <v>1</v>
      </c>
      <c r="U579" s="129">
        <f t="shared" si="169"/>
        <v>1</v>
      </c>
      <c r="V579" s="129" t="str" cm="1">
        <f t="array" ref="V579">_xlfn.IFS(T579=4,"A",T579=3,"B",T579=2,"C",T579=1,"D")</f>
        <v>D</v>
      </c>
      <c r="W579" s="175"/>
    </row>
    <row r="580" spans="1:23" customFormat="1" ht="103.5" customHeight="1">
      <c r="C580" s="78"/>
      <c r="D580" s="79"/>
      <c r="E580" s="71" t="s">
        <v>236</v>
      </c>
      <c r="F580" s="1452"/>
      <c r="G580" s="1452"/>
      <c r="H580" s="1452"/>
      <c r="I580" s="80" t="s">
        <v>132</v>
      </c>
      <c r="J580" s="80"/>
    </row>
    <row r="581" spans="1:23" customFormat="1" ht="146.25" customHeight="1">
      <c r="C581" s="75"/>
      <c r="D581" s="68"/>
      <c r="E581" s="71" t="s">
        <v>235</v>
      </c>
      <c r="F581" s="1452"/>
      <c r="G581" s="1452"/>
      <c r="H581" s="1452"/>
      <c r="J581" s="2"/>
      <c r="K581" s="2"/>
      <c r="L581" s="2"/>
    </row>
    <row r="582" spans="1:23" customFormat="1" ht="13.5" customHeight="1" thickBot="1">
      <c r="A582" s="81"/>
      <c r="B582" s="81"/>
      <c r="C582" s="81"/>
      <c r="D582" s="81"/>
      <c r="E582" s="81"/>
      <c r="F582" s="81"/>
      <c r="G582" s="81"/>
      <c r="H582" s="81"/>
      <c r="I582" s="81"/>
      <c r="J582" s="82"/>
      <c r="K582" s="2"/>
      <c r="L582" s="2"/>
    </row>
    <row r="583" spans="1:23" customFormat="1" ht="13.5" customHeight="1">
      <c r="J583" s="2"/>
      <c r="K583" s="2"/>
      <c r="L583" s="2"/>
    </row>
    <row r="584" spans="1:23" customFormat="1" ht="15" customHeight="1">
      <c r="B584" s="10"/>
      <c r="C584" s="5"/>
      <c r="D584" s="5"/>
      <c r="E584" s="5"/>
      <c r="F584" s="5"/>
      <c r="G584" s="5"/>
      <c r="H584" s="5"/>
      <c r="I584" s="6"/>
      <c r="R584" s="11" t="str">
        <f>D585</f>
        <v>(選択してください)</v>
      </c>
    </row>
    <row r="585" spans="1:23" customFormat="1">
      <c r="B585" s="7"/>
      <c r="C585" s="77" t="str">
        <f ca="1">IFERROR(OFFSET('4.2民生電力需要量'!$C$8,MATCH(D585,'4.2民生電力需要量'!$E$9:$E$49,0),0),"")</f>
        <v/>
      </c>
      <c r="D585" s="94" t="s">
        <v>130</v>
      </c>
      <c r="E585" s="72" t="s">
        <v>131</v>
      </c>
      <c r="F585" s="1451" t="str">
        <f ca="1">IFERROR(OFFSET('4.2民生電力需要量'!$G$1,MATCH($D585,'4.2民生電力需要量'!$E:$E,0)-1,0),"")</f>
        <v/>
      </c>
      <c r="G585" s="1451"/>
      <c r="H585" s="1451"/>
      <c r="I585" s="8"/>
      <c r="R585" s="255" t="str">
        <f ca="1">IFERROR(OFFSET('4.2民生電力需要量'!$G$1,MATCH($D585,'4.2民生電力需要量'!$E:$E,0)-1,0),"")</f>
        <v/>
      </c>
      <c r="S585" s="515"/>
      <c r="T585" s="515"/>
      <c r="U585" s="515"/>
      <c r="V585" s="515"/>
      <c r="W585" s="175">
        <f ca="1">(F585=R585)*1</f>
        <v>1</v>
      </c>
    </row>
    <row r="586" spans="1:23" customFormat="1">
      <c r="B586" s="7"/>
      <c r="C586" s="915"/>
      <c r="D586" s="97"/>
      <c r="E586" s="72" t="s">
        <v>612</v>
      </c>
      <c r="F586" s="1447" t="str">
        <f ca="1">IFERROR(OFFSET('4.2民生電力需要量'!$L$1,MATCH($D585,'4.2民生電力需要量'!$E:$E,0)-1,0),"")</f>
        <v/>
      </c>
      <c r="G586" s="1448"/>
      <c r="H586" s="1449"/>
      <c r="I586" s="8"/>
      <c r="R586" s="255" t="str">
        <f ca="1">IFERROR(OFFSET('4.2民生電力需要量'!$L$1,MATCH($D585,'4.2民生電力需要量'!$E:$E,0)-1,0),"")</f>
        <v/>
      </c>
      <c r="S586" s="515"/>
      <c r="T586" s="515"/>
      <c r="U586" s="515"/>
      <c r="V586" s="515"/>
      <c r="W586" s="175">
        <f ca="1">(F586=R586)*1</f>
        <v>1</v>
      </c>
    </row>
    <row r="587" spans="1:23" customFormat="1">
      <c r="B587" s="7"/>
      <c r="C587" s="915"/>
      <c r="D587" s="97"/>
      <c r="E587" s="72" t="s">
        <v>613</v>
      </c>
      <c r="F587" s="1456"/>
      <c r="G587" s="1457"/>
      <c r="H587" s="1458"/>
      <c r="I587" s="8"/>
      <c r="R587" s="320"/>
      <c r="S587" s="515"/>
      <c r="T587" s="515"/>
      <c r="U587" s="515"/>
      <c r="V587" s="515"/>
      <c r="W587" s="515"/>
    </row>
    <row r="588" spans="1:23" customFormat="1">
      <c r="B588" s="7"/>
      <c r="C588" s="74"/>
      <c r="D588" s="66"/>
      <c r="E588" s="72" t="s">
        <v>220</v>
      </c>
      <c r="F588" s="1450" t="str">
        <f ca="1">IFERROR(OFFSET('4.2民生電力需要量'!$I$1,MATCH($D585,'4.2民生電力需要量'!$E:$E,0)-1,0),"")</f>
        <v/>
      </c>
      <c r="G588" s="1450"/>
      <c r="H588" s="1450"/>
      <c r="I588" s="8"/>
      <c r="R588" s="175" t="str">
        <f ca="1">IFERROR(OFFSET('4.2民生電力需要量'!$I$1,MATCH($D585,'4.2民生電力需要量'!$E:$E,0)-1,0),"")</f>
        <v/>
      </c>
      <c r="S588" s="515"/>
      <c r="T588" s="515"/>
      <c r="U588" s="515"/>
      <c r="V588" s="515"/>
      <c r="W588" s="175">
        <f t="shared" ref="W588:W589" ca="1" si="170">(F588=R588)*1</f>
        <v>1</v>
      </c>
    </row>
    <row r="589" spans="1:23" customFormat="1">
      <c r="B589" s="7"/>
      <c r="C589" s="74"/>
      <c r="D589" s="66"/>
      <c r="E589" s="72" t="s">
        <v>175</v>
      </c>
      <c r="F589" s="1453" t="str">
        <f>_xlfn.IFNA(R589,"")</f>
        <v/>
      </c>
      <c r="G589" s="1454"/>
      <c r="H589" s="1455"/>
      <c r="I589" s="8"/>
      <c r="R589" s="129" t="str">
        <f>IF(OR(COUNTIF($E591:$E596,"&lt;&gt;〇〇(合意形成対象者名に書き換え)")=3,COUNTIF($E591:$E596,"")&gt;3),"",IF(PRODUCT($U591:$U596)=1,V591,""))</f>
        <v/>
      </c>
      <c r="S589" s="515"/>
      <c r="T589" s="515"/>
      <c r="U589" s="515"/>
      <c r="V589" s="515"/>
      <c r="W589" s="175">
        <f t="shared" si="170"/>
        <v>1</v>
      </c>
    </row>
    <row r="590" spans="1:23" ht="63.75" customHeight="1">
      <c r="B590" s="95"/>
      <c r="C590" s="96"/>
      <c r="D590" s="97"/>
      <c r="E590" s="372"/>
      <c r="F590" s="313" t="s">
        <v>281</v>
      </c>
      <c r="G590" s="313" t="s">
        <v>282</v>
      </c>
      <c r="H590" s="313" t="s">
        <v>279</v>
      </c>
      <c r="I590" s="98"/>
      <c r="J590" s="11"/>
      <c r="R590" s="126" t="s">
        <v>270</v>
      </c>
      <c r="S590" s="126" t="s">
        <v>426</v>
      </c>
      <c r="T590" s="129" t="s">
        <v>402</v>
      </c>
      <c r="U590" s="129" t="s">
        <v>430</v>
      </c>
      <c r="V590" s="126" t="s">
        <v>425</v>
      </c>
      <c r="W590" s="255"/>
    </row>
    <row r="591" spans="1:23" hidden="1">
      <c r="B591" s="95"/>
      <c r="C591" s="96"/>
      <c r="D591" s="97"/>
      <c r="E591" s="442"/>
      <c r="F591" s="443"/>
      <c r="G591" s="439"/>
      <c r="H591" s="439"/>
      <c r="I591" s="98"/>
      <c r="J591" s="11"/>
      <c r="R591" s="129">
        <f>IF(AND(F591="実施済",G591="実施済",H591="完了"),3,0)</f>
        <v>0</v>
      </c>
      <c r="S591" s="129" t="str">
        <f>IF(OR(E591="〇〇(合意形成対象者名に書き換え)",E591=""),"",R591)</f>
        <v/>
      </c>
      <c r="T591" s="129">
        <f t="shared" ref="T591:T596" si="171">MIN($S$591:$S$596)+1</f>
        <v>1</v>
      </c>
      <c r="U591" s="129">
        <f>IF(E591="",1,IF(AND(E591="〇〇(合意形成対象者名に書き換え)",COUNTA($F591:$H591)=0),1,IF(AND(E591&lt;&gt;"〇〇(合意形成対象者名に書き換え)",COUNTA($F591:$H591)=3),1,0)))</f>
        <v>1</v>
      </c>
      <c r="V591" s="129" t="str" cm="1">
        <f t="array" ref="V591">_xlfn.IFS(T591=4,"A",T591=3,"B",T591=2,"C",T591=1,"D")</f>
        <v>D</v>
      </c>
      <c r="W591" s="255"/>
    </row>
    <row r="592" spans="1:23">
      <c r="B592" s="95"/>
      <c r="C592" s="96"/>
      <c r="D592" s="97"/>
      <c r="E592" s="100" t="s">
        <v>129</v>
      </c>
      <c r="F592" s="446"/>
      <c r="G592" s="441"/>
      <c r="H592" s="441"/>
      <c r="I592" s="98"/>
      <c r="J592" s="11"/>
      <c r="R592" s="129">
        <f t="shared" ref="R592:R596" si="172">IF(AND(F592="実施済",G592="実施済",H592="完了"),3,0)</f>
        <v>0</v>
      </c>
      <c r="S592" s="129" t="str">
        <f t="shared" ref="S592:S596" si="173">IF(OR(E592="〇〇(合意形成対象者名に書き換え)",E592=""),"",R592)</f>
        <v/>
      </c>
      <c r="T592" s="129">
        <f t="shared" si="171"/>
        <v>1</v>
      </c>
      <c r="U592" s="129">
        <f>IF(E592="",1,IF(AND(E592="〇〇(合意形成対象者名に書き換え)",COUNTA($F592:$H592)=0),1,IF(AND(E592&lt;&gt;"〇〇(合意形成対象者名に書き換え)",COUNTA($F592:$H592)=3),1,0)))</f>
        <v>1</v>
      </c>
      <c r="V592" s="129" t="str" cm="1">
        <f t="array" ref="V592">_xlfn.IFS(T592=4,"A",T592=3,"B",T592=2,"C",T592=1,"D")</f>
        <v>D</v>
      </c>
      <c r="W592" s="255"/>
    </row>
    <row r="593" spans="1:23">
      <c r="B593" s="95"/>
      <c r="C593" s="96"/>
      <c r="D593" s="97"/>
      <c r="E593" s="100" t="s">
        <v>129</v>
      </c>
      <c r="F593" s="446"/>
      <c r="G593" s="441"/>
      <c r="H593" s="441"/>
      <c r="I593" s="98"/>
      <c r="J593" s="11"/>
      <c r="R593" s="129">
        <f t="shared" si="172"/>
        <v>0</v>
      </c>
      <c r="S593" s="129" t="str">
        <f t="shared" si="173"/>
        <v/>
      </c>
      <c r="T593" s="129">
        <f t="shared" si="171"/>
        <v>1</v>
      </c>
      <c r="U593" s="129">
        <f>IF(E593="",1,IF(AND(E593="〇〇(合意形成対象者名に書き換え)",COUNTA($F593:$H593)=0),1,IF(AND(E593&lt;&gt;"〇〇(合意形成対象者名に書き換え)",COUNTA($F593:$H593)=3),1,0)))</f>
        <v>1</v>
      </c>
      <c r="V593" s="129" t="str" cm="1">
        <f t="array" ref="V593">_xlfn.IFS(T593=4,"A",T593=3,"B",T593=2,"C",T593=1,"D")</f>
        <v>D</v>
      </c>
      <c r="W593" s="255"/>
    </row>
    <row r="594" spans="1:23" s="99" customFormat="1">
      <c r="A594" s="11"/>
      <c r="B594" s="95"/>
      <c r="C594" s="96"/>
      <c r="D594" s="97"/>
      <c r="E594" s="100" t="s">
        <v>129</v>
      </c>
      <c r="F594" s="446"/>
      <c r="G594" s="441"/>
      <c r="H594" s="441"/>
      <c r="I594" s="98"/>
      <c r="J594" s="11"/>
      <c r="M594" s="11"/>
      <c r="N594" s="11"/>
      <c r="O594" s="11"/>
      <c r="P594" s="11"/>
      <c r="Q594" s="11"/>
      <c r="R594" s="129">
        <f t="shared" si="172"/>
        <v>0</v>
      </c>
      <c r="S594" s="129" t="str">
        <f t="shared" si="173"/>
        <v/>
      </c>
      <c r="T594" s="129">
        <f t="shared" si="171"/>
        <v>1</v>
      </c>
      <c r="U594" s="129">
        <f>IF(E594="",1,IF(AND(E594="〇〇(合意形成対象者名に書き換え)",COUNTA($F594:$H594)=0),1,IF(AND(E594&lt;&gt;"〇〇(合意形成対象者名に書き換え)",COUNTA($F594:$H594)=3),1,0)))</f>
        <v>1</v>
      </c>
      <c r="V594" s="129" t="str" cm="1">
        <f t="array" ref="V594">_xlfn.IFS(T594=4,"A",T594=3,"B",T594=2,"C",T594=1,"D")</f>
        <v>D</v>
      </c>
      <c r="W594" s="129"/>
    </row>
    <row r="595" spans="1:23" customFormat="1" ht="7.5" customHeight="1">
      <c r="B595" s="65"/>
      <c r="C595" s="4"/>
      <c r="D595" s="4"/>
      <c r="E595" s="4"/>
      <c r="F595" s="4"/>
      <c r="G595" s="4"/>
      <c r="H595" s="4"/>
      <c r="I595" s="9"/>
      <c r="J595" s="2"/>
      <c r="K595" s="2"/>
      <c r="L595" s="2"/>
      <c r="R595" s="129">
        <f t="shared" si="172"/>
        <v>0</v>
      </c>
      <c r="S595" s="129" t="str">
        <f t="shared" si="173"/>
        <v/>
      </c>
      <c r="T595" s="129">
        <f t="shared" si="171"/>
        <v>1</v>
      </c>
      <c r="U595" s="129">
        <f t="shared" ref="U595:U596" si="174">IF(E595="",1,IF(AND(E595="〇〇(合意形成対象者名に書き換え)",COUNTA($F595:$H595)=0),1,IF(AND(E595&lt;&gt;"〇〇(合意形成対象者名に書き換え)",COUNTA($F595:$H595)=3),1,0)))</f>
        <v>1</v>
      </c>
      <c r="V595" s="129" t="str" cm="1">
        <f t="array" ref="V595">_xlfn.IFS(T595=4,"A",T595=3,"B",T595=2,"C",T595=1,"D")</f>
        <v>D</v>
      </c>
      <c r="W595" s="175"/>
    </row>
    <row r="596" spans="1:23" customFormat="1" ht="6" customHeight="1">
      <c r="J596" s="2"/>
      <c r="K596" s="2"/>
      <c r="L596" s="2"/>
      <c r="R596" s="129">
        <f t="shared" si="172"/>
        <v>0</v>
      </c>
      <c r="S596" s="129" t="str">
        <f t="shared" si="173"/>
        <v/>
      </c>
      <c r="T596" s="129">
        <f t="shared" si="171"/>
        <v>1</v>
      </c>
      <c r="U596" s="129">
        <f t="shared" si="174"/>
        <v>1</v>
      </c>
      <c r="V596" s="129" t="str" cm="1">
        <f t="array" ref="V596">_xlfn.IFS(T596=4,"A",T596=3,"B",T596=2,"C",T596=1,"D")</f>
        <v>D</v>
      </c>
      <c r="W596" s="175"/>
    </row>
    <row r="597" spans="1:23" customFormat="1" ht="103.5" customHeight="1">
      <c r="C597" s="78"/>
      <c r="D597" s="79"/>
      <c r="E597" s="71" t="s">
        <v>236</v>
      </c>
      <c r="F597" s="1452"/>
      <c r="G597" s="1452"/>
      <c r="H597" s="1452"/>
      <c r="I597" s="80" t="s">
        <v>132</v>
      </c>
      <c r="J597" s="80"/>
    </row>
    <row r="598" spans="1:23" customFormat="1" ht="146.25" customHeight="1">
      <c r="C598" s="75"/>
      <c r="D598" s="68"/>
      <c r="E598" s="71" t="s">
        <v>235</v>
      </c>
      <c r="F598" s="1452"/>
      <c r="G598" s="1452"/>
      <c r="H598" s="1452"/>
      <c r="J598" s="2"/>
      <c r="K598" s="2"/>
      <c r="L598" s="2"/>
    </row>
    <row r="599" spans="1:23" customFormat="1" ht="13.5" customHeight="1" thickBot="1">
      <c r="A599" s="81"/>
      <c r="B599" s="81"/>
      <c r="C599" s="81"/>
      <c r="D599" s="81"/>
      <c r="E599" s="81"/>
      <c r="F599" s="81"/>
      <c r="G599" s="81"/>
      <c r="H599" s="81"/>
      <c r="I599" s="81"/>
      <c r="J599" s="82"/>
      <c r="K599" s="2"/>
      <c r="L599" s="2"/>
    </row>
    <row r="600" spans="1:23" customFormat="1" ht="13.5" customHeight="1">
      <c r="J600" s="2"/>
      <c r="K600" s="2"/>
      <c r="L600" s="2"/>
    </row>
    <row r="601" spans="1:23" customFormat="1" ht="15" customHeight="1">
      <c r="B601" s="10"/>
      <c r="C601" s="5"/>
      <c r="D601" s="5"/>
      <c r="E601" s="5"/>
      <c r="F601" s="5"/>
      <c r="G601" s="5"/>
      <c r="H601" s="5"/>
      <c r="I601" s="6"/>
      <c r="R601" s="11" t="str">
        <f>D602</f>
        <v>(選択してください)</v>
      </c>
    </row>
    <row r="602" spans="1:23" customFormat="1">
      <c r="B602" s="7"/>
      <c r="C602" s="77" t="str">
        <f ca="1">IFERROR(OFFSET('4.2民生電力需要量'!$C$8,MATCH(D602,'4.2民生電力需要量'!$E$9:$E$49,0),0),"")</f>
        <v/>
      </c>
      <c r="D602" s="94" t="s">
        <v>130</v>
      </c>
      <c r="E602" s="72" t="s">
        <v>131</v>
      </c>
      <c r="F602" s="1451" t="str">
        <f ca="1">IFERROR(OFFSET('4.2民生電力需要量'!$G$1,MATCH($D602,'4.2民生電力需要量'!$E:$E,0)-1,0),"")</f>
        <v/>
      </c>
      <c r="G602" s="1451"/>
      <c r="H602" s="1451"/>
      <c r="I602" s="8"/>
      <c r="R602" s="255" t="str">
        <f ca="1">IFERROR(OFFSET('4.2民生電力需要量'!$G$1,MATCH($D602,'4.2民生電力需要量'!$E:$E,0)-1,0),"")</f>
        <v/>
      </c>
      <c r="S602" s="515"/>
      <c r="T602" s="515"/>
      <c r="U602" s="515"/>
      <c r="V602" s="515"/>
      <c r="W602" s="175">
        <f ca="1">(F602=R602)*1</f>
        <v>1</v>
      </c>
    </row>
    <row r="603" spans="1:23" customFormat="1">
      <c r="B603" s="7"/>
      <c r="C603" s="915"/>
      <c r="D603" s="97"/>
      <c r="E603" s="72" t="s">
        <v>612</v>
      </c>
      <c r="F603" s="1447" t="str">
        <f ca="1">IFERROR(OFFSET('4.2民生電力需要量'!$L$1,MATCH($D602,'4.2民生電力需要量'!$E:$E,0)-1,0),"")</f>
        <v/>
      </c>
      <c r="G603" s="1448"/>
      <c r="H603" s="1449"/>
      <c r="I603" s="8"/>
      <c r="R603" s="255" t="str">
        <f ca="1">IFERROR(OFFSET('4.2民生電力需要量'!$L$1,MATCH($D602,'4.2民生電力需要量'!$E:$E,0)-1,0),"")</f>
        <v/>
      </c>
      <c r="S603" s="515"/>
      <c r="T603" s="515"/>
      <c r="U603" s="515"/>
      <c r="V603" s="515"/>
      <c r="W603" s="175">
        <f ca="1">(F603=R603)*1</f>
        <v>1</v>
      </c>
    </row>
    <row r="604" spans="1:23" customFormat="1">
      <c r="B604" s="7"/>
      <c r="C604" s="915"/>
      <c r="D604" s="97"/>
      <c r="E604" s="72" t="s">
        <v>613</v>
      </c>
      <c r="F604" s="1456"/>
      <c r="G604" s="1457"/>
      <c r="H604" s="1458"/>
      <c r="I604" s="8"/>
      <c r="R604" s="320"/>
      <c r="S604" s="515"/>
      <c r="T604" s="515"/>
      <c r="U604" s="515"/>
      <c r="V604" s="515"/>
      <c r="W604" s="515"/>
    </row>
    <row r="605" spans="1:23" customFormat="1">
      <c r="B605" s="7"/>
      <c r="C605" s="74"/>
      <c r="D605" s="66"/>
      <c r="E605" s="72" t="s">
        <v>220</v>
      </c>
      <c r="F605" s="1450" t="str">
        <f ca="1">IFERROR(OFFSET('4.2民生電力需要量'!$I$1,MATCH($D602,'4.2民生電力需要量'!$E:$E,0)-1,0),"")</f>
        <v/>
      </c>
      <c r="G605" s="1450"/>
      <c r="H605" s="1450"/>
      <c r="I605" s="8"/>
      <c r="R605" s="175" t="str">
        <f ca="1">IFERROR(OFFSET('4.2民生電力需要量'!$I$1,MATCH($D602,'4.2民生電力需要量'!$E:$E,0)-1,0),"")</f>
        <v/>
      </c>
      <c r="S605" s="515"/>
      <c r="T605" s="515"/>
      <c r="U605" s="515"/>
      <c r="V605" s="515"/>
      <c r="W605" s="175">
        <f t="shared" ref="W605:W606" ca="1" si="175">(F605=R605)*1</f>
        <v>1</v>
      </c>
    </row>
    <row r="606" spans="1:23" customFormat="1">
      <c r="B606" s="7"/>
      <c r="C606" s="74"/>
      <c r="D606" s="66"/>
      <c r="E606" s="72" t="s">
        <v>175</v>
      </c>
      <c r="F606" s="1453" t="str">
        <f>_xlfn.IFNA(R606,"")</f>
        <v/>
      </c>
      <c r="G606" s="1454"/>
      <c r="H606" s="1455"/>
      <c r="I606" s="8"/>
      <c r="R606" s="129" t="str">
        <f>IF(OR(COUNTIF($E608:$E613,"&lt;&gt;〇〇(合意形成対象者名に書き換え)")=3,COUNTIF($E608:$E613,"")&gt;3),"",IF(PRODUCT($U608:$U613)=1,V608,""))</f>
        <v/>
      </c>
      <c r="S606" s="515"/>
      <c r="T606" s="515"/>
      <c r="U606" s="515"/>
      <c r="V606" s="515"/>
      <c r="W606" s="175">
        <f t="shared" si="175"/>
        <v>1</v>
      </c>
    </row>
    <row r="607" spans="1:23" ht="63.75" customHeight="1">
      <c r="B607" s="95"/>
      <c r="C607" s="96"/>
      <c r="D607" s="97"/>
      <c r="E607" s="372"/>
      <c r="F607" s="313" t="s">
        <v>281</v>
      </c>
      <c r="G607" s="313" t="s">
        <v>282</v>
      </c>
      <c r="H607" s="313" t="s">
        <v>279</v>
      </c>
      <c r="I607" s="98"/>
      <c r="J607" s="11"/>
      <c r="R607" s="126" t="s">
        <v>270</v>
      </c>
      <c r="S607" s="126" t="s">
        <v>426</v>
      </c>
      <c r="T607" s="129" t="s">
        <v>402</v>
      </c>
      <c r="U607" s="129" t="s">
        <v>430</v>
      </c>
      <c r="V607" s="126" t="s">
        <v>425</v>
      </c>
      <c r="W607" s="255"/>
    </row>
    <row r="608" spans="1:23" hidden="1">
      <c r="B608" s="95"/>
      <c r="C608" s="96"/>
      <c r="D608" s="97"/>
      <c r="E608" s="442"/>
      <c r="F608" s="443"/>
      <c r="G608" s="439"/>
      <c r="H608" s="439"/>
      <c r="I608" s="98"/>
      <c r="J608" s="11"/>
      <c r="R608" s="129">
        <f>IF(AND(F608="実施済",G608="実施済",H608="完了"),3,0)</f>
        <v>0</v>
      </c>
      <c r="S608" s="129" t="str">
        <f>IF(OR(E608="〇〇(合意形成対象者名に書き換え)",E608=""),"",R608)</f>
        <v/>
      </c>
      <c r="T608" s="129">
        <f t="shared" ref="T608:T613" si="176">MIN($S$608:$S$613)+1</f>
        <v>1</v>
      </c>
      <c r="U608" s="129">
        <f>IF(E608="",1,IF(AND(E608="〇〇(合意形成対象者名に書き換え)",COUNTA($F608:$H608)=0),1,IF(AND(E608&lt;&gt;"〇〇(合意形成対象者名に書き換え)",COUNTA($F608:$H608)=3),1,0)))</f>
        <v>1</v>
      </c>
      <c r="V608" s="129" t="str" cm="1">
        <f t="array" ref="V608">_xlfn.IFS(T608=4,"A",T608=3,"B",T608=2,"C",T608=1,"D")</f>
        <v>D</v>
      </c>
      <c r="W608" s="255"/>
    </row>
    <row r="609" spans="1:23">
      <c r="B609" s="95"/>
      <c r="C609" s="96"/>
      <c r="D609" s="97"/>
      <c r="E609" s="100" t="s">
        <v>129</v>
      </c>
      <c r="F609" s="446"/>
      <c r="G609" s="441"/>
      <c r="H609" s="441"/>
      <c r="I609" s="98"/>
      <c r="J609" s="11"/>
      <c r="R609" s="129">
        <f t="shared" ref="R609:R613" si="177">IF(AND(F609="実施済",G609="実施済",H609="完了"),3,0)</f>
        <v>0</v>
      </c>
      <c r="S609" s="129" t="str">
        <f t="shared" ref="S609:S613" si="178">IF(OR(E609="〇〇(合意形成対象者名に書き換え)",E609=""),"",R609)</f>
        <v/>
      </c>
      <c r="T609" s="129">
        <f t="shared" si="176"/>
        <v>1</v>
      </c>
      <c r="U609" s="129">
        <f>IF(E609="",1,IF(AND(E609="〇〇(合意形成対象者名に書き換え)",COUNTA($F609:$H609)=0),1,IF(AND(E609&lt;&gt;"〇〇(合意形成対象者名に書き換え)",COUNTA($F609:$H609)=3),1,0)))</f>
        <v>1</v>
      </c>
      <c r="V609" s="129" t="str" cm="1">
        <f t="array" ref="V609">_xlfn.IFS(T609=4,"A",T609=3,"B",T609=2,"C",T609=1,"D")</f>
        <v>D</v>
      </c>
      <c r="W609" s="255"/>
    </row>
    <row r="610" spans="1:23">
      <c r="B610" s="95"/>
      <c r="C610" s="96"/>
      <c r="D610" s="97"/>
      <c r="E610" s="100" t="s">
        <v>129</v>
      </c>
      <c r="F610" s="446"/>
      <c r="G610" s="441"/>
      <c r="H610" s="441"/>
      <c r="I610" s="98"/>
      <c r="J610" s="11"/>
      <c r="R610" s="129">
        <f t="shared" si="177"/>
        <v>0</v>
      </c>
      <c r="S610" s="129" t="str">
        <f t="shared" si="178"/>
        <v/>
      </c>
      <c r="T610" s="129">
        <f t="shared" si="176"/>
        <v>1</v>
      </c>
      <c r="U610" s="129">
        <f>IF(E610="",1,IF(AND(E610="〇〇(合意形成対象者名に書き換え)",COUNTA($F610:$H610)=0),1,IF(AND(E610&lt;&gt;"〇〇(合意形成対象者名に書き換え)",COUNTA($F610:$H610)=3),1,0)))</f>
        <v>1</v>
      </c>
      <c r="V610" s="129" t="str" cm="1">
        <f t="array" ref="V610">_xlfn.IFS(T610=4,"A",T610=3,"B",T610=2,"C",T610=1,"D")</f>
        <v>D</v>
      </c>
      <c r="W610" s="255"/>
    </row>
    <row r="611" spans="1:23" s="99" customFormat="1">
      <c r="A611" s="11"/>
      <c r="B611" s="95"/>
      <c r="C611" s="96"/>
      <c r="D611" s="97"/>
      <c r="E611" s="100" t="s">
        <v>129</v>
      </c>
      <c r="F611" s="446"/>
      <c r="G611" s="441"/>
      <c r="H611" s="441"/>
      <c r="I611" s="98"/>
      <c r="J611" s="11"/>
      <c r="M611" s="11"/>
      <c r="N611" s="11"/>
      <c r="O611" s="11"/>
      <c r="P611" s="11"/>
      <c r="Q611" s="11"/>
      <c r="R611" s="129">
        <f t="shared" si="177"/>
        <v>0</v>
      </c>
      <c r="S611" s="129" t="str">
        <f t="shared" si="178"/>
        <v/>
      </c>
      <c r="T611" s="129">
        <f t="shared" si="176"/>
        <v>1</v>
      </c>
      <c r="U611" s="129">
        <f>IF(E611="",1,IF(AND(E611="〇〇(合意形成対象者名に書き換え)",COUNTA($F611:$H611)=0),1,IF(AND(E611&lt;&gt;"〇〇(合意形成対象者名に書き換え)",COUNTA($F611:$H611)=3),1,0)))</f>
        <v>1</v>
      </c>
      <c r="V611" s="129" t="str" cm="1">
        <f t="array" ref="V611">_xlfn.IFS(T611=4,"A",T611=3,"B",T611=2,"C",T611=1,"D")</f>
        <v>D</v>
      </c>
      <c r="W611" s="129"/>
    </row>
    <row r="612" spans="1:23" customFormat="1" ht="7.5" customHeight="1">
      <c r="B612" s="65"/>
      <c r="C612" s="4"/>
      <c r="D612" s="4"/>
      <c r="E612" s="4"/>
      <c r="F612" s="4"/>
      <c r="G612" s="4"/>
      <c r="H612" s="4"/>
      <c r="I612" s="9"/>
      <c r="J612" s="2"/>
      <c r="K612" s="2"/>
      <c r="L612" s="2"/>
      <c r="R612" s="129">
        <f t="shared" si="177"/>
        <v>0</v>
      </c>
      <c r="S612" s="129" t="str">
        <f t="shared" si="178"/>
        <v/>
      </c>
      <c r="T612" s="129">
        <f t="shared" si="176"/>
        <v>1</v>
      </c>
      <c r="U612" s="129">
        <f t="shared" ref="U612:U613" si="179">IF(E612="",1,IF(AND(E612="〇〇(合意形成対象者名に書き換え)",COUNTA($F612:$H612)=0),1,IF(AND(E612&lt;&gt;"〇〇(合意形成対象者名に書き換え)",COUNTA($F612:$H612)=3),1,0)))</f>
        <v>1</v>
      </c>
      <c r="V612" s="129" t="str" cm="1">
        <f t="array" ref="V612">_xlfn.IFS(T612=4,"A",T612=3,"B",T612=2,"C",T612=1,"D")</f>
        <v>D</v>
      </c>
      <c r="W612" s="175"/>
    </row>
    <row r="613" spans="1:23" customFormat="1" ht="6" customHeight="1">
      <c r="J613" s="2"/>
      <c r="K613" s="2"/>
      <c r="L613" s="2"/>
      <c r="R613" s="129">
        <f t="shared" si="177"/>
        <v>0</v>
      </c>
      <c r="S613" s="129" t="str">
        <f t="shared" si="178"/>
        <v/>
      </c>
      <c r="T613" s="129">
        <f t="shared" si="176"/>
        <v>1</v>
      </c>
      <c r="U613" s="129">
        <f t="shared" si="179"/>
        <v>1</v>
      </c>
      <c r="V613" s="129" t="str" cm="1">
        <f t="array" ref="V613">_xlfn.IFS(T613=4,"A",T613=3,"B",T613=2,"C",T613=1,"D")</f>
        <v>D</v>
      </c>
      <c r="W613" s="175"/>
    </row>
    <row r="614" spans="1:23" customFormat="1" ht="103.5" customHeight="1">
      <c r="C614" s="78"/>
      <c r="D614" s="79"/>
      <c r="E614" s="71" t="s">
        <v>236</v>
      </c>
      <c r="F614" s="1452"/>
      <c r="G614" s="1452"/>
      <c r="H614" s="1452"/>
      <c r="I614" s="80" t="s">
        <v>132</v>
      </c>
      <c r="J614" s="80"/>
    </row>
    <row r="615" spans="1:23" customFormat="1" ht="146.25" customHeight="1">
      <c r="C615" s="75"/>
      <c r="D615" s="68"/>
      <c r="E615" s="71" t="s">
        <v>235</v>
      </c>
      <c r="F615" s="1452"/>
      <c r="G615" s="1452"/>
      <c r="H615" s="1452"/>
      <c r="J615" s="2"/>
      <c r="K615" s="2"/>
      <c r="L615" s="2"/>
    </row>
    <row r="616" spans="1:23" customFormat="1" ht="13.5" customHeight="1" thickBot="1">
      <c r="A616" s="81"/>
      <c r="B616" s="81"/>
      <c r="C616" s="81"/>
      <c r="D616" s="81"/>
      <c r="E616" s="81"/>
      <c r="F616" s="81"/>
      <c r="G616" s="81"/>
      <c r="H616" s="81"/>
      <c r="I616" s="81"/>
      <c r="J616" s="82"/>
      <c r="K616" s="2"/>
      <c r="L616" s="2"/>
    </row>
    <row r="617" spans="1:23" customFormat="1" ht="13.5" customHeight="1">
      <c r="J617" s="2"/>
      <c r="K617" s="2"/>
      <c r="L617" s="2"/>
    </row>
    <row r="618" spans="1:23" customFormat="1" ht="15" customHeight="1">
      <c r="B618" s="10"/>
      <c r="C618" s="5"/>
      <c r="D618" s="5"/>
      <c r="E618" s="5"/>
      <c r="F618" s="5"/>
      <c r="G618" s="5"/>
      <c r="H618" s="5"/>
      <c r="I618" s="6"/>
      <c r="R618" s="11" t="str">
        <f>D619</f>
        <v>(選択してください)</v>
      </c>
    </row>
    <row r="619" spans="1:23" customFormat="1">
      <c r="B619" s="7"/>
      <c r="C619" s="77" t="str">
        <f ca="1">IFERROR(OFFSET('4.2民生電力需要量'!$C$8,MATCH(D619,'4.2民生電力需要量'!$E$9:$E$49,0),0),"")</f>
        <v/>
      </c>
      <c r="D619" s="94" t="s">
        <v>130</v>
      </c>
      <c r="E619" s="72" t="s">
        <v>131</v>
      </c>
      <c r="F619" s="1451" t="str">
        <f ca="1">IFERROR(OFFSET('4.2民生電力需要量'!$G$1,MATCH($D619,'4.2民生電力需要量'!$E:$E,0)-1,0),"")</f>
        <v/>
      </c>
      <c r="G619" s="1451"/>
      <c r="H619" s="1451"/>
      <c r="I619" s="8"/>
      <c r="R619" s="255" t="str">
        <f ca="1">IFERROR(OFFSET('4.2民生電力需要量'!$G$1,MATCH($D619,'4.2民生電力需要量'!$E:$E,0)-1,0),"")</f>
        <v/>
      </c>
      <c r="S619" s="515"/>
      <c r="T619" s="515"/>
      <c r="U619" s="515"/>
      <c r="V619" s="515"/>
      <c r="W619" s="175">
        <f ca="1">(F619=R619)*1</f>
        <v>1</v>
      </c>
    </row>
    <row r="620" spans="1:23" customFormat="1">
      <c r="B620" s="7"/>
      <c r="C620" s="915"/>
      <c r="D620" s="97"/>
      <c r="E620" s="72" t="s">
        <v>612</v>
      </c>
      <c r="F620" s="1447" t="str">
        <f ca="1">IFERROR(OFFSET('4.2民生電力需要量'!$L$1,MATCH($D619,'4.2民生電力需要量'!$E:$E,0)-1,0),"")</f>
        <v/>
      </c>
      <c r="G620" s="1448"/>
      <c r="H620" s="1449"/>
      <c r="I620" s="8"/>
      <c r="R620" s="255" t="str">
        <f ca="1">IFERROR(OFFSET('4.2民生電力需要量'!$L$1,MATCH($D619,'4.2民生電力需要量'!$E:$E,0)-1,0),"")</f>
        <v/>
      </c>
      <c r="S620" s="515"/>
      <c r="T620" s="515"/>
      <c r="U620" s="515"/>
      <c r="V620" s="515"/>
      <c r="W620" s="175">
        <f ca="1">(F620=R620)*1</f>
        <v>1</v>
      </c>
    </row>
    <row r="621" spans="1:23" customFormat="1">
      <c r="B621" s="7"/>
      <c r="C621" s="915"/>
      <c r="D621" s="97"/>
      <c r="E621" s="72" t="s">
        <v>613</v>
      </c>
      <c r="F621" s="1456"/>
      <c r="G621" s="1457"/>
      <c r="H621" s="1458"/>
      <c r="I621" s="8"/>
      <c r="R621" s="320"/>
      <c r="S621" s="515"/>
      <c r="T621" s="515"/>
      <c r="U621" s="515"/>
      <c r="V621" s="515"/>
      <c r="W621" s="515"/>
    </row>
    <row r="622" spans="1:23" customFormat="1">
      <c r="B622" s="7"/>
      <c r="C622" s="74"/>
      <c r="D622" s="66"/>
      <c r="E622" s="72" t="s">
        <v>220</v>
      </c>
      <c r="F622" s="1450" t="str">
        <f ca="1">IFERROR(OFFSET('4.2民生電力需要量'!$I$1,MATCH($D619,'4.2民生電力需要量'!$E:$E,0)-1,0),"")</f>
        <v/>
      </c>
      <c r="G622" s="1450"/>
      <c r="H622" s="1450"/>
      <c r="I622" s="8"/>
      <c r="R622" s="175" t="str">
        <f ca="1">IFERROR(OFFSET('4.2民生電力需要量'!$I$1,MATCH($D619,'4.2民生電力需要量'!$E:$E,0)-1,0),"")</f>
        <v/>
      </c>
      <c r="S622" s="515"/>
      <c r="T622" s="515"/>
      <c r="U622" s="515"/>
      <c r="V622" s="515"/>
      <c r="W622" s="175">
        <f t="shared" ref="W622:W623" ca="1" si="180">(F622=R622)*1</f>
        <v>1</v>
      </c>
    </row>
    <row r="623" spans="1:23" customFormat="1">
      <c r="B623" s="7"/>
      <c r="C623" s="74"/>
      <c r="D623" s="66"/>
      <c r="E623" s="72" t="s">
        <v>175</v>
      </c>
      <c r="F623" s="1453" t="str">
        <f>_xlfn.IFNA(R623,"")</f>
        <v/>
      </c>
      <c r="G623" s="1454"/>
      <c r="H623" s="1455"/>
      <c r="I623" s="8"/>
      <c r="R623" s="129" t="str">
        <f>IF(OR(COUNTIF($E625:$E630,"&lt;&gt;〇〇(合意形成対象者名に書き換え)")=3,COUNTIF($E625:$E630,"")&gt;3),"",IF(PRODUCT($U625:$U630)=1,V625,""))</f>
        <v/>
      </c>
      <c r="S623" s="515"/>
      <c r="T623" s="515"/>
      <c r="U623" s="515"/>
      <c r="V623" s="515"/>
      <c r="W623" s="175">
        <f t="shared" si="180"/>
        <v>1</v>
      </c>
    </row>
    <row r="624" spans="1:23" ht="63.75" customHeight="1">
      <c r="B624" s="95"/>
      <c r="C624" s="96"/>
      <c r="D624" s="97"/>
      <c r="E624" s="372"/>
      <c r="F624" s="313" t="s">
        <v>281</v>
      </c>
      <c r="G624" s="313" t="s">
        <v>282</v>
      </c>
      <c r="H624" s="313" t="s">
        <v>279</v>
      </c>
      <c r="I624" s="98"/>
      <c r="J624" s="11"/>
      <c r="R624" s="126" t="s">
        <v>270</v>
      </c>
      <c r="S624" s="126" t="s">
        <v>426</v>
      </c>
      <c r="T624" s="129" t="s">
        <v>402</v>
      </c>
      <c r="U624" s="129" t="s">
        <v>430</v>
      </c>
      <c r="V624" s="126" t="s">
        <v>425</v>
      </c>
      <c r="W624" s="255"/>
    </row>
    <row r="625" spans="1:23" hidden="1">
      <c r="B625" s="95"/>
      <c r="C625" s="96"/>
      <c r="D625" s="97"/>
      <c r="E625" s="442"/>
      <c r="F625" s="443"/>
      <c r="G625" s="439"/>
      <c r="H625" s="439"/>
      <c r="I625" s="98"/>
      <c r="J625" s="11"/>
      <c r="R625" s="129">
        <f>IF(AND(F625="実施済",G625="実施済",H625="完了"),3,0)</f>
        <v>0</v>
      </c>
      <c r="S625" s="129" t="str">
        <f>IF(OR(E625="〇〇(合意形成対象者名に書き換え)",E625=""),"",R625)</f>
        <v/>
      </c>
      <c r="T625" s="129">
        <f t="shared" ref="T625:T630" si="181">MIN($S$625:$S$630)+1</f>
        <v>1</v>
      </c>
      <c r="U625" s="129">
        <f>IF(E625="",1,IF(AND(E625="〇〇(合意形成対象者名に書き換え)",COUNTA($F625:$H625)=0),1,IF(AND(E625&lt;&gt;"〇〇(合意形成対象者名に書き換え)",COUNTA($F625:$H625)=3),1,0)))</f>
        <v>1</v>
      </c>
      <c r="V625" s="129" t="str" cm="1">
        <f t="array" ref="V625">_xlfn.IFS(T625=4,"A",T625=3,"B",T625=2,"C",T625=1,"D")</f>
        <v>D</v>
      </c>
      <c r="W625" s="255"/>
    </row>
    <row r="626" spans="1:23">
      <c r="B626" s="95"/>
      <c r="C626" s="96"/>
      <c r="D626" s="97"/>
      <c r="E626" s="100" t="s">
        <v>129</v>
      </c>
      <c r="F626" s="446"/>
      <c r="G626" s="441"/>
      <c r="H626" s="441"/>
      <c r="I626" s="98"/>
      <c r="J626" s="11"/>
      <c r="R626" s="129">
        <f t="shared" ref="R626:R630" si="182">IF(AND(F626="実施済",G626="実施済",H626="完了"),3,0)</f>
        <v>0</v>
      </c>
      <c r="S626" s="129" t="str">
        <f t="shared" ref="S626:S630" si="183">IF(OR(E626="〇〇(合意形成対象者名に書き換え)",E626=""),"",R626)</f>
        <v/>
      </c>
      <c r="T626" s="129">
        <f t="shared" si="181"/>
        <v>1</v>
      </c>
      <c r="U626" s="129">
        <f>IF(E626="",1,IF(AND(E626="〇〇(合意形成対象者名に書き換え)",COUNTA($F626:$H626)=0),1,IF(AND(E626&lt;&gt;"〇〇(合意形成対象者名に書き換え)",COUNTA($F626:$H626)=3),1,0)))</f>
        <v>1</v>
      </c>
      <c r="V626" s="129" t="str" cm="1">
        <f t="array" ref="V626">_xlfn.IFS(T626=4,"A",T626=3,"B",T626=2,"C",T626=1,"D")</f>
        <v>D</v>
      </c>
      <c r="W626" s="255"/>
    </row>
    <row r="627" spans="1:23">
      <c r="B627" s="95"/>
      <c r="C627" s="96"/>
      <c r="D627" s="97"/>
      <c r="E627" s="100" t="s">
        <v>129</v>
      </c>
      <c r="F627" s="446"/>
      <c r="G627" s="441"/>
      <c r="H627" s="441"/>
      <c r="I627" s="98"/>
      <c r="J627" s="11"/>
      <c r="R627" s="129">
        <f t="shared" si="182"/>
        <v>0</v>
      </c>
      <c r="S627" s="129" t="str">
        <f t="shared" si="183"/>
        <v/>
      </c>
      <c r="T627" s="129">
        <f t="shared" si="181"/>
        <v>1</v>
      </c>
      <c r="U627" s="129">
        <f>IF(E627="",1,IF(AND(E627="〇〇(合意形成対象者名に書き換え)",COUNTA($F627:$H627)=0),1,IF(AND(E627&lt;&gt;"〇〇(合意形成対象者名に書き換え)",COUNTA($F627:$H627)=3),1,0)))</f>
        <v>1</v>
      </c>
      <c r="V627" s="129" t="str" cm="1">
        <f t="array" ref="V627">_xlfn.IFS(T627=4,"A",T627=3,"B",T627=2,"C",T627=1,"D")</f>
        <v>D</v>
      </c>
      <c r="W627" s="255"/>
    </row>
    <row r="628" spans="1:23" s="99" customFormat="1">
      <c r="A628" s="11"/>
      <c r="B628" s="95"/>
      <c r="C628" s="96"/>
      <c r="D628" s="97"/>
      <c r="E628" s="100" t="s">
        <v>129</v>
      </c>
      <c r="F628" s="446"/>
      <c r="G628" s="441"/>
      <c r="H628" s="441"/>
      <c r="I628" s="98"/>
      <c r="J628" s="11"/>
      <c r="M628" s="11"/>
      <c r="N628" s="11"/>
      <c r="O628" s="11"/>
      <c r="P628" s="11"/>
      <c r="Q628" s="11"/>
      <c r="R628" s="129">
        <f t="shared" si="182"/>
        <v>0</v>
      </c>
      <c r="S628" s="129" t="str">
        <f t="shared" si="183"/>
        <v/>
      </c>
      <c r="T628" s="129">
        <f t="shared" si="181"/>
        <v>1</v>
      </c>
      <c r="U628" s="129">
        <f>IF(E628="",1,IF(AND(E628="〇〇(合意形成対象者名に書き換え)",COUNTA($F628:$H628)=0),1,IF(AND(E628&lt;&gt;"〇〇(合意形成対象者名に書き換え)",COUNTA($F628:$H628)=3),1,0)))</f>
        <v>1</v>
      </c>
      <c r="V628" s="129" t="str" cm="1">
        <f t="array" ref="V628">_xlfn.IFS(T628=4,"A",T628=3,"B",T628=2,"C",T628=1,"D")</f>
        <v>D</v>
      </c>
      <c r="W628" s="129"/>
    </row>
    <row r="629" spans="1:23" customFormat="1" ht="7.5" customHeight="1">
      <c r="B629" s="65"/>
      <c r="C629" s="4"/>
      <c r="D629" s="4"/>
      <c r="E629" s="4"/>
      <c r="F629" s="4"/>
      <c r="G629" s="4"/>
      <c r="H629" s="4"/>
      <c r="I629" s="9"/>
      <c r="J629" s="2"/>
      <c r="K629" s="2"/>
      <c r="L629" s="2"/>
      <c r="R629" s="129">
        <f t="shared" si="182"/>
        <v>0</v>
      </c>
      <c r="S629" s="129" t="str">
        <f t="shared" si="183"/>
        <v/>
      </c>
      <c r="T629" s="129">
        <f t="shared" si="181"/>
        <v>1</v>
      </c>
      <c r="U629" s="129">
        <f t="shared" ref="U629:U630" si="184">IF(E629="",1,IF(AND(E629="〇〇(合意形成対象者名に書き換え)",COUNTA($F629:$H629)=0),1,IF(AND(E629&lt;&gt;"〇〇(合意形成対象者名に書き換え)",COUNTA($F629:$H629)=3),1,0)))</f>
        <v>1</v>
      </c>
      <c r="V629" s="129" t="str" cm="1">
        <f t="array" ref="V629">_xlfn.IFS(T629=4,"A",T629=3,"B",T629=2,"C",T629=1,"D")</f>
        <v>D</v>
      </c>
      <c r="W629" s="175"/>
    </row>
    <row r="630" spans="1:23" customFormat="1" ht="6" customHeight="1">
      <c r="J630" s="2"/>
      <c r="K630" s="2"/>
      <c r="L630" s="2"/>
      <c r="R630" s="129">
        <f t="shared" si="182"/>
        <v>0</v>
      </c>
      <c r="S630" s="129" t="str">
        <f t="shared" si="183"/>
        <v/>
      </c>
      <c r="T630" s="129">
        <f t="shared" si="181"/>
        <v>1</v>
      </c>
      <c r="U630" s="129">
        <f t="shared" si="184"/>
        <v>1</v>
      </c>
      <c r="V630" s="129" t="str" cm="1">
        <f t="array" ref="V630">_xlfn.IFS(T630=4,"A",T630=3,"B",T630=2,"C",T630=1,"D")</f>
        <v>D</v>
      </c>
      <c r="W630" s="175"/>
    </row>
    <row r="631" spans="1:23" customFormat="1" ht="103.5" customHeight="1">
      <c r="C631" s="78"/>
      <c r="D631" s="79"/>
      <c r="E631" s="71" t="s">
        <v>236</v>
      </c>
      <c r="F631" s="1452"/>
      <c r="G631" s="1452"/>
      <c r="H631" s="1452"/>
      <c r="I631" s="80" t="s">
        <v>132</v>
      </c>
      <c r="J631" s="80"/>
    </row>
    <row r="632" spans="1:23" customFormat="1" ht="146.25" customHeight="1">
      <c r="C632" s="75"/>
      <c r="D632" s="68"/>
      <c r="E632" s="71" t="s">
        <v>235</v>
      </c>
      <c r="F632" s="1452"/>
      <c r="G632" s="1452"/>
      <c r="H632" s="1452"/>
      <c r="J632" s="2"/>
      <c r="K632" s="2"/>
      <c r="L632" s="2"/>
    </row>
    <row r="633" spans="1:23" customFormat="1" ht="13.5" customHeight="1" thickBot="1">
      <c r="A633" s="81"/>
      <c r="B633" s="81"/>
      <c r="C633" s="81"/>
      <c r="D633" s="81"/>
      <c r="E633" s="81"/>
      <c r="F633" s="81"/>
      <c r="G633" s="81"/>
      <c r="H633" s="81"/>
      <c r="I633" s="81"/>
      <c r="J633" s="82"/>
      <c r="K633" s="2"/>
      <c r="L633" s="2"/>
    </row>
    <row r="634" spans="1:23" customFormat="1" ht="13.5" customHeight="1">
      <c r="J634" s="2"/>
      <c r="K634" s="2"/>
      <c r="L634" s="2"/>
    </row>
    <row r="635" spans="1:23" customFormat="1" ht="15" customHeight="1">
      <c r="B635" s="10"/>
      <c r="C635" s="5"/>
      <c r="D635" s="5"/>
      <c r="E635" s="5"/>
      <c r="F635" s="5"/>
      <c r="G635" s="5"/>
      <c r="H635" s="5"/>
      <c r="I635" s="6"/>
      <c r="R635" s="11" t="str">
        <f>D636</f>
        <v>(選択してください)</v>
      </c>
    </row>
    <row r="636" spans="1:23" customFormat="1">
      <c r="B636" s="7"/>
      <c r="C636" s="77" t="str">
        <f ca="1">IFERROR(OFFSET('4.2民生電力需要量'!$C$8,MATCH(D636,'4.2民生電力需要量'!$E$9:$E$49,0),0),"")</f>
        <v/>
      </c>
      <c r="D636" s="94" t="s">
        <v>130</v>
      </c>
      <c r="E636" s="72" t="s">
        <v>131</v>
      </c>
      <c r="F636" s="1451" t="str">
        <f ca="1">IFERROR(OFFSET('4.2民生電力需要量'!$G$1,MATCH($D636,'4.2民生電力需要量'!$E:$E,0)-1,0),"")</f>
        <v/>
      </c>
      <c r="G636" s="1451"/>
      <c r="H636" s="1451"/>
      <c r="I636" s="8"/>
      <c r="R636" s="255" t="str">
        <f ca="1">IFERROR(OFFSET('4.2民生電力需要量'!$G$1,MATCH($D636,'4.2民生電力需要量'!$E:$E,0)-1,0),"")</f>
        <v/>
      </c>
      <c r="S636" s="515"/>
      <c r="T636" s="515"/>
      <c r="U636" s="515"/>
      <c r="V636" s="515"/>
      <c r="W636" s="175">
        <f ca="1">(F636=R636)*1</f>
        <v>1</v>
      </c>
    </row>
    <row r="637" spans="1:23" customFormat="1">
      <c r="B637" s="7"/>
      <c r="C637" s="915"/>
      <c r="D637" s="97"/>
      <c r="E637" s="72" t="s">
        <v>612</v>
      </c>
      <c r="F637" s="1447" t="str">
        <f ca="1">IFERROR(OFFSET('4.2民生電力需要量'!$L$1,MATCH($D636,'4.2民生電力需要量'!$E:$E,0)-1,0),"")</f>
        <v/>
      </c>
      <c r="G637" s="1448"/>
      <c r="H637" s="1449"/>
      <c r="I637" s="8"/>
      <c r="R637" s="255" t="str">
        <f ca="1">IFERROR(OFFSET('4.2民生電力需要量'!$L$1,MATCH($D636,'4.2民生電力需要量'!$E:$E,0)-1,0),"")</f>
        <v/>
      </c>
      <c r="S637" s="515"/>
      <c r="T637" s="515"/>
      <c r="U637" s="515"/>
      <c r="V637" s="515"/>
      <c r="W637" s="175">
        <f ca="1">(F637=R637)*1</f>
        <v>1</v>
      </c>
    </row>
    <row r="638" spans="1:23" customFormat="1">
      <c r="B638" s="7"/>
      <c r="C638" s="915"/>
      <c r="D638" s="97"/>
      <c r="E638" s="72" t="s">
        <v>613</v>
      </c>
      <c r="F638" s="1456"/>
      <c r="G638" s="1457"/>
      <c r="H638" s="1458"/>
      <c r="I638" s="8"/>
      <c r="R638" s="320"/>
      <c r="S638" s="515"/>
      <c r="T638" s="515"/>
      <c r="U638" s="515"/>
      <c r="V638" s="515"/>
      <c r="W638" s="515"/>
    </row>
    <row r="639" spans="1:23" customFormat="1">
      <c r="B639" s="7"/>
      <c r="C639" s="74"/>
      <c r="D639" s="66"/>
      <c r="E639" s="72" t="s">
        <v>220</v>
      </c>
      <c r="F639" s="1450" t="str">
        <f ca="1">IFERROR(OFFSET('4.2民生電力需要量'!$I$1,MATCH($D636,'4.2民生電力需要量'!$E:$E,0)-1,0),"")</f>
        <v/>
      </c>
      <c r="G639" s="1450"/>
      <c r="H639" s="1450"/>
      <c r="I639" s="8"/>
      <c r="R639" s="175" t="str">
        <f ca="1">IFERROR(OFFSET('4.2民生電力需要量'!$I$1,MATCH($D636,'4.2民生電力需要量'!$E:$E,0)-1,0),"")</f>
        <v/>
      </c>
      <c r="S639" s="515"/>
      <c r="T639" s="515"/>
      <c r="U639" s="515"/>
      <c r="V639" s="515"/>
      <c r="W639" s="175">
        <f t="shared" ref="W639:W640" ca="1" si="185">(F639=R639)*1</f>
        <v>1</v>
      </c>
    </row>
    <row r="640" spans="1:23" customFormat="1">
      <c r="B640" s="7"/>
      <c r="C640" s="74"/>
      <c r="D640" s="66"/>
      <c r="E640" s="72" t="s">
        <v>175</v>
      </c>
      <c r="F640" s="1453" t="str">
        <f>_xlfn.IFNA(R640,"")</f>
        <v/>
      </c>
      <c r="G640" s="1454"/>
      <c r="H640" s="1455"/>
      <c r="I640" s="8"/>
      <c r="R640" s="129" t="str">
        <f>IF(OR(COUNTIF($E642:$E647,"&lt;&gt;〇〇(合意形成対象者名に書き換え)")=3,COUNTIF($E642:$E647,"")&gt;3),"",IF(PRODUCT($U642:$U647)=1,V642,""))</f>
        <v/>
      </c>
      <c r="S640" s="515"/>
      <c r="T640" s="515"/>
      <c r="U640" s="515"/>
      <c r="V640" s="515"/>
      <c r="W640" s="175">
        <f t="shared" si="185"/>
        <v>1</v>
      </c>
    </row>
    <row r="641" spans="1:23" ht="63.75" customHeight="1">
      <c r="B641" s="95"/>
      <c r="C641" s="96"/>
      <c r="D641" s="97"/>
      <c r="E641" s="372"/>
      <c r="F641" s="313" t="s">
        <v>281</v>
      </c>
      <c r="G641" s="313" t="s">
        <v>282</v>
      </c>
      <c r="H641" s="313" t="s">
        <v>279</v>
      </c>
      <c r="I641" s="98"/>
      <c r="J641" s="11"/>
      <c r="R641" s="126" t="s">
        <v>270</v>
      </c>
      <c r="S641" s="126" t="s">
        <v>426</v>
      </c>
      <c r="T641" s="129" t="s">
        <v>402</v>
      </c>
      <c r="U641" s="129" t="s">
        <v>430</v>
      </c>
      <c r="V641" s="126" t="s">
        <v>425</v>
      </c>
      <c r="W641" s="255"/>
    </row>
    <row r="642" spans="1:23" hidden="1">
      <c r="B642" s="95"/>
      <c r="C642" s="96"/>
      <c r="D642" s="97"/>
      <c r="E642" s="442"/>
      <c r="F642" s="443"/>
      <c r="G642" s="439"/>
      <c r="H642" s="439"/>
      <c r="I642" s="98"/>
      <c r="J642" s="11"/>
      <c r="R642" s="129">
        <f>IF(AND(F642="実施済",G642="実施済",H642="完了"),3,0)</f>
        <v>0</v>
      </c>
      <c r="S642" s="129" t="str">
        <f>IF(OR(E642="〇〇(合意形成対象者名に書き換え)",E642=""),"",R642)</f>
        <v/>
      </c>
      <c r="T642" s="129">
        <f t="shared" ref="T642:T647" si="186">MIN($S$642:$S$647)+1</f>
        <v>1</v>
      </c>
      <c r="U642" s="129">
        <f>IF(E642="",1,IF(AND(E642="〇〇(合意形成対象者名に書き換え)",COUNTA($F642:$H642)=0),1,IF(AND(E642&lt;&gt;"〇〇(合意形成対象者名に書き換え)",COUNTA($F642:$H642)=3),1,0)))</f>
        <v>1</v>
      </c>
      <c r="V642" s="129" t="str" cm="1">
        <f t="array" ref="V642">_xlfn.IFS(T642=4,"A",T642=3,"B",T642=2,"C",T642=1,"D")</f>
        <v>D</v>
      </c>
      <c r="W642" s="255"/>
    </row>
    <row r="643" spans="1:23">
      <c r="B643" s="95"/>
      <c r="C643" s="96"/>
      <c r="D643" s="97"/>
      <c r="E643" s="100" t="s">
        <v>129</v>
      </c>
      <c r="F643" s="446"/>
      <c r="G643" s="441"/>
      <c r="H643" s="441"/>
      <c r="I643" s="98"/>
      <c r="J643" s="11"/>
      <c r="R643" s="129">
        <f t="shared" ref="R643:R647" si="187">IF(AND(F643="実施済",G643="実施済",H643="完了"),3,0)</f>
        <v>0</v>
      </c>
      <c r="S643" s="129" t="str">
        <f t="shared" ref="S643:S647" si="188">IF(OR(E643="〇〇(合意形成対象者名に書き換え)",E643=""),"",R643)</f>
        <v/>
      </c>
      <c r="T643" s="129">
        <f t="shared" si="186"/>
        <v>1</v>
      </c>
      <c r="U643" s="129">
        <f>IF(E643="",1,IF(AND(E643="〇〇(合意形成対象者名に書き換え)",COUNTA($F643:$H643)=0),1,IF(AND(E643&lt;&gt;"〇〇(合意形成対象者名に書き換え)",COUNTA($F643:$H643)=3),1,0)))</f>
        <v>1</v>
      </c>
      <c r="V643" s="129" t="str" cm="1">
        <f t="array" ref="V643">_xlfn.IFS(T643=4,"A",T643=3,"B",T643=2,"C",T643=1,"D")</f>
        <v>D</v>
      </c>
      <c r="W643" s="255"/>
    </row>
    <row r="644" spans="1:23">
      <c r="B644" s="95"/>
      <c r="C644" s="96"/>
      <c r="D644" s="97"/>
      <c r="E644" s="100" t="s">
        <v>129</v>
      </c>
      <c r="F644" s="446"/>
      <c r="G644" s="441"/>
      <c r="H644" s="441"/>
      <c r="I644" s="98"/>
      <c r="J644" s="11"/>
      <c r="R644" s="129">
        <f t="shared" si="187"/>
        <v>0</v>
      </c>
      <c r="S644" s="129" t="str">
        <f t="shared" si="188"/>
        <v/>
      </c>
      <c r="T644" s="129">
        <f t="shared" si="186"/>
        <v>1</v>
      </c>
      <c r="U644" s="129">
        <f>IF(E644="",1,IF(AND(E644="〇〇(合意形成対象者名に書き換え)",COUNTA($F644:$H644)=0),1,IF(AND(E644&lt;&gt;"〇〇(合意形成対象者名に書き換え)",COUNTA($F644:$H644)=3),1,0)))</f>
        <v>1</v>
      </c>
      <c r="V644" s="129" t="str" cm="1">
        <f t="array" ref="V644">_xlfn.IFS(T644=4,"A",T644=3,"B",T644=2,"C",T644=1,"D")</f>
        <v>D</v>
      </c>
      <c r="W644" s="255"/>
    </row>
    <row r="645" spans="1:23" s="99" customFormat="1">
      <c r="A645" s="11"/>
      <c r="B645" s="95"/>
      <c r="C645" s="96"/>
      <c r="D645" s="97"/>
      <c r="E645" s="100" t="s">
        <v>129</v>
      </c>
      <c r="F645" s="446"/>
      <c r="G645" s="441"/>
      <c r="H645" s="441"/>
      <c r="I645" s="98"/>
      <c r="J645" s="11"/>
      <c r="M645" s="11"/>
      <c r="N645" s="11"/>
      <c r="O645" s="11"/>
      <c r="P645" s="11"/>
      <c r="Q645" s="11"/>
      <c r="R645" s="129">
        <f t="shared" si="187"/>
        <v>0</v>
      </c>
      <c r="S645" s="129" t="str">
        <f t="shared" si="188"/>
        <v/>
      </c>
      <c r="T645" s="129">
        <f t="shared" si="186"/>
        <v>1</v>
      </c>
      <c r="U645" s="129">
        <f>IF(E645="",1,IF(AND(E645="〇〇(合意形成対象者名に書き換え)",COUNTA($F645:$H645)=0),1,IF(AND(E645&lt;&gt;"〇〇(合意形成対象者名に書き換え)",COUNTA($F645:$H645)=3),1,0)))</f>
        <v>1</v>
      </c>
      <c r="V645" s="129" t="str" cm="1">
        <f t="array" ref="V645">_xlfn.IFS(T645=4,"A",T645=3,"B",T645=2,"C",T645=1,"D")</f>
        <v>D</v>
      </c>
      <c r="W645" s="129"/>
    </row>
    <row r="646" spans="1:23" customFormat="1" ht="7.5" customHeight="1">
      <c r="B646" s="65"/>
      <c r="C646" s="4"/>
      <c r="D646" s="4"/>
      <c r="E646" s="4"/>
      <c r="F646" s="4"/>
      <c r="G646" s="4"/>
      <c r="H646" s="4"/>
      <c r="I646" s="9"/>
      <c r="J646" s="2"/>
      <c r="K646" s="2"/>
      <c r="L646" s="2"/>
      <c r="R646" s="129">
        <f t="shared" si="187"/>
        <v>0</v>
      </c>
      <c r="S646" s="129" t="str">
        <f t="shared" si="188"/>
        <v/>
      </c>
      <c r="T646" s="129">
        <f t="shared" si="186"/>
        <v>1</v>
      </c>
      <c r="U646" s="129">
        <f t="shared" ref="U646:U647" si="189">IF(E646="",1,IF(AND(E646="〇〇(合意形成対象者名に書き換え)",COUNTA($F646:$H646)=0),1,IF(AND(E646&lt;&gt;"〇〇(合意形成対象者名に書き換え)",COUNTA($F646:$H646)=3),1,0)))</f>
        <v>1</v>
      </c>
      <c r="V646" s="129" t="str" cm="1">
        <f t="array" ref="V646">_xlfn.IFS(T646=4,"A",T646=3,"B",T646=2,"C",T646=1,"D")</f>
        <v>D</v>
      </c>
      <c r="W646" s="175"/>
    </row>
    <row r="647" spans="1:23" customFormat="1" ht="6" customHeight="1">
      <c r="J647" s="2"/>
      <c r="K647" s="2"/>
      <c r="L647" s="2"/>
      <c r="R647" s="129">
        <f t="shared" si="187"/>
        <v>0</v>
      </c>
      <c r="S647" s="129" t="str">
        <f t="shared" si="188"/>
        <v/>
      </c>
      <c r="T647" s="129">
        <f t="shared" si="186"/>
        <v>1</v>
      </c>
      <c r="U647" s="129">
        <f t="shared" si="189"/>
        <v>1</v>
      </c>
      <c r="V647" s="129" t="str" cm="1">
        <f t="array" ref="V647">_xlfn.IFS(T647=4,"A",T647=3,"B",T647=2,"C",T647=1,"D")</f>
        <v>D</v>
      </c>
      <c r="W647" s="175"/>
    </row>
    <row r="648" spans="1:23" customFormat="1" ht="103.5" customHeight="1">
      <c r="C648" s="78"/>
      <c r="D648" s="79"/>
      <c r="E648" s="71" t="s">
        <v>236</v>
      </c>
      <c r="F648" s="1452"/>
      <c r="G648" s="1452"/>
      <c r="H648" s="1452"/>
      <c r="I648" s="80" t="s">
        <v>132</v>
      </c>
      <c r="J648" s="80"/>
    </row>
    <row r="649" spans="1:23" customFormat="1" ht="146.25" customHeight="1">
      <c r="C649" s="75"/>
      <c r="D649" s="68"/>
      <c r="E649" s="71" t="s">
        <v>235</v>
      </c>
      <c r="F649" s="1452"/>
      <c r="G649" s="1452"/>
      <c r="H649" s="1452"/>
      <c r="J649" s="2"/>
      <c r="K649" s="2"/>
      <c r="L649" s="2"/>
    </row>
    <row r="650" spans="1:23" customFormat="1" ht="13.5" customHeight="1" thickBot="1">
      <c r="A650" s="81"/>
      <c r="B650" s="81"/>
      <c r="C650" s="81"/>
      <c r="D650" s="81"/>
      <c r="E650" s="81"/>
      <c r="F650" s="81"/>
      <c r="G650" s="81"/>
      <c r="H650" s="81"/>
      <c r="I650" s="81"/>
      <c r="J650" s="82"/>
      <c r="K650" s="2"/>
      <c r="L650" s="2"/>
    </row>
    <row r="651" spans="1:23" customFormat="1" ht="13.5" customHeight="1">
      <c r="J651" s="2"/>
      <c r="K651" s="2"/>
      <c r="L651" s="2"/>
    </row>
    <row r="652" spans="1:23" customFormat="1" ht="15" customHeight="1">
      <c r="B652" s="10"/>
      <c r="C652" s="5"/>
      <c r="D652" s="5"/>
      <c r="E652" s="5"/>
      <c r="F652" s="5"/>
      <c r="G652" s="5"/>
      <c r="H652" s="5"/>
      <c r="I652" s="6"/>
      <c r="R652" s="11" t="str">
        <f>D653</f>
        <v>(選択してください)</v>
      </c>
    </row>
    <row r="653" spans="1:23" customFormat="1">
      <c r="B653" s="7"/>
      <c r="C653" s="77" t="str">
        <f ca="1">IFERROR(OFFSET('4.2民生電力需要量'!$C$8,MATCH(D653,'4.2民生電力需要量'!$E$9:$E$49,0),0),"")</f>
        <v/>
      </c>
      <c r="D653" s="94" t="s">
        <v>130</v>
      </c>
      <c r="E653" s="72" t="s">
        <v>131</v>
      </c>
      <c r="F653" s="1451" t="str">
        <f ca="1">IFERROR(OFFSET('4.2民生電力需要量'!$G$1,MATCH($D653,'4.2民生電力需要量'!$E:$E,0)-1,0),"")</f>
        <v/>
      </c>
      <c r="G653" s="1451"/>
      <c r="H653" s="1451"/>
      <c r="I653" s="8"/>
      <c r="R653" s="255" t="str">
        <f ca="1">IFERROR(OFFSET('4.2民生電力需要量'!$G$1,MATCH($D653,'4.2民生電力需要量'!$E:$E,0)-1,0),"")</f>
        <v/>
      </c>
      <c r="S653" s="515"/>
      <c r="T653" s="515"/>
      <c r="U653" s="515"/>
      <c r="V653" s="515"/>
      <c r="W653" s="175">
        <f ca="1">(F653=R653)*1</f>
        <v>1</v>
      </c>
    </row>
    <row r="654" spans="1:23" customFormat="1">
      <c r="B654" s="7"/>
      <c r="C654" s="915"/>
      <c r="D654" s="97"/>
      <c r="E654" s="72" t="s">
        <v>612</v>
      </c>
      <c r="F654" s="1447" t="str">
        <f ca="1">IFERROR(OFFSET('4.2民生電力需要量'!$L$1,MATCH($D653,'4.2民生電力需要量'!$E:$E,0)-1,0),"")</f>
        <v/>
      </c>
      <c r="G654" s="1448"/>
      <c r="H654" s="1449"/>
      <c r="I654" s="8"/>
      <c r="R654" s="255" t="str">
        <f ca="1">IFERROR(OFFSET('4.2民生電力需要量'!$L$1,MATCH($D653,'4.2民生電力需要量'!$E:$E,0)-1,0),"")</f>
        <v/>
      </c>
      <c r="S654" s="515"/>
      <c r="T654" s="515"/>
      <c r="U654" s="515"/>
      <c r="V654" s="515"/>
      <c r="W654" s="175">
        <f ca="1">(F654=R654)*1</f>
        <v>1</v>
      </c>
    </row>
    <row r="655" spans="1:23" customFormat="1">
      <c r="B655" s="7"/>
      <c r="C655" s="915"/>
      <c r="D655" s="97"/>
      <c r="E655" s="72" t="s">
        <v>613</v>
      </c>
      <c r="F655" s="1456"/>
      <c r="G655" s="1457"/>
      <c r="H655" s="1458"/>
      <c r="I655" s="8"/>
      <c r="R655" s="320"/>
      <c r="S655" s="515"/>
      <c r="T655" s="515"/>
      <c r="U655" s="515"/>
      <c r="V655" s="515"/>
      <c r="W655" s="515"/>
    </row>
    <row r="656" spans="1:23" customFormat="1">
      <c r="B656" s="7"/>
      <c r="C656" s="74"/>
      <c r="D656" s="66"/>
      <c r="E656" s="72" t="s">
        <v>220</v>
      </c>
      <c r="F656" s="1450" t="str">
        <f ca="1">IFERROR(OFFSET('4.2民生電力需要量'!$I$1,MATCH($D653,'4.2民生電力需要量'!$E:$E,0)-1,0),"")</f>
        <v/>
      </c>
      <c r="G656" s="1450"/>
      <c r="H656" s="1450"/>
      <c r="I656" s="8"/>
      <c r="R656" s="175" t="str">
        <f ca="1">IFERROR(OFFSET('4.2民生電力需要量'!$I$1,MATCH($D653,'4.2民生電力需要量'!$E:$E,0)-1,0),"")</f>
        <v/>
      </c>
      <c r="S656" s="515"/>
      <c r="T656" s="515"/>
      <c r="U656" s="515"/>
      <c r="V656" s="515"/>
      <c r="W656" s="175">
        <f t="shared" ref="W656:W657" ca="1" si="190">(F656=R656)*1</f>
        <v>1</v>
      </c>
    </row>
    <row r="657" spans="1:23" customFormat="1">
      <c r="B657" s="7"/>
      <c r="C657" s="74"/>
      <c r="D657" s="66"/>
      <c r="E657" s="72" t="s">
        <v>175</v>
      </c>
      <c r="F657" s="1453" t="str">
        <f>_xlfn.IFNA(R657,"")</f>
        <v/>
      </c>
      <c r="G657" s="1454"/>
      <c r="H657" s="1455"/>
      <c r="I657" s="8"/>
      <c r="R657" s="129" t="str">
        <f>IF(OR(COUNTIF($E659:$E664,"&lt;&gt;〇〇(合意形成対象者名に書き換え)")=3,COUNTIF($E659:$E664,"")&gt;3),"",IF(PRODUCT($U659:$U664)=1,V659,""))</f>
        <v/>
      </c>
      <c r="S657" s="515"/>
      <c r="T657" s="515"/>
      <c r="U657" s="515"/>
      <c r="V657" s="515"/>
      <c r="W657" s="175">
        <f t="shared" si="190"/>
        <v>1</v>
      </c>
    </row>
    <row r="658" spans="1:23" ht="63.75" customHeight="1">
      <c r="B658" s="95"/>
      <c r="C658" s="96"/>
      <c r="D658" s="97"/>
      <c r="E658" s="372"/>
      <c r="F658" s="313" t="s">
        <v>281</v>
      </c>
      <c r="G658" s="313" t="s">
        <v>282</v>
      </c>
      <c r="H658" s="313" t="s">
        <v>279</v>
      </c>
      <c r="I658" s="98"/>
      <c r="J658" s="11"/>
      <c r="R658" s="126" t="s">
        <v>270</v>
      </c>
      <c r="S658" s="126" t="s">
        <v>426</v>
      </c>
      <c r="T658" s="129" t="s">
        <v>402</v>
      </c>
      <c r="U658" s="129" t="s">
        <v>430</v>
      </c>
      <c r="V658" s="126" t="s">
        <v>425</v>
      </c>
      <c r="W658" s="255"/>
    </row>
    <row r="659" spans="1:23" hidden="1">
      <c r="B659" s="95"/>
      <c r="C659" s="96"/>
      <c r="D659" s="97"/>
      <c r="E659" s="442"/>
      <c r="F659" s="443"/>
      <c r="G659" s="439"/>
      <c r="H659" s="439"/>
      <c r="I659" s="98"/>
      <c r="J659" s="11"/>
      <c r="R659" s="129">
        <f>IF(AND(F659="実施済",G659="実施済",H659="完了"),3,0)</f>
        <v>0</v>
      </c>
      <c r="S659" s="129" t="str">
        <f>IF(OR(E659="〇〇(合意形成対象者名に書き換え)",E659=""),"",R659)</f>
        <v/>
      </c>
      <c r="T659" s="129">
        <f t="shared" ref="T659:T664" si="191">MIN($S$659:$S$664)+1</f>
        <v>1</v>
      </c>
      <c r="U659" s="129">
        <f>IF(E659="",1,IF(AND(E659="〇〇(合意形成対象者名に書き換え)",COUNTA($F659:$H659)=0),1,IF(AND(E659&lt;&gt;"〇〇(合意形成対象者名に書き換え)",COUNTA($F659:$H659)=3),1,0)))</f>
        <v>1</v>
      </c>
      <c r="V659" s="129" t="str" cm="1">
        <f t="array" ref="V659">_xlfn.IFS(T659=4,"A",T659=3,"B",T659=2,"C",T659=1,"D")</f>
        <v>D</v>
      </c>
      <c r="W659" s="255"/>
    </row>
    <row r="660" spans="1:23">
      <c r="B660" s="95"/>
      <c r="C660" s="96"/>
      <c r="D660" s="97"/>
      <c r="E660" s="100" t="s">
        <v>129</v>
      </c>
      <c r="F660" s="446"/>
      <c r="G660" s="441"/>
      <c r="H660" s="441"/>
      <c r="I660" s="98"/>
      <c r="J660" s="11"/>
      <c r="R660" s="129">
        <f t="shared" ref="R660:R664" si="192">IF(AND(F660="実施済",G660="実施済",H660="完了"),3,0)</f>
        <v>0</v>
      </c>
      <c r="S660" s="129" t="str">
        <f t="shared" ref="S660:S664" si="193">IF(OR(E660="〇〇(合意形成対象者名に書き換え)",E660=""),"",R660)</f>
        <v/>
      </c>
      <c r="T660" s="129">
        <f t="shared" si="191"/>
        <v>1</v>
      </c>
      <c r="U660" s="129">
        <f>IF(E660="",1,IF(AND(E660="〇〇(合意形成対象者名に書き換え)",COUNTA($F660:$H660)=0),1,IF(AND(E660&lt;&gt;"〇〇(合意形成対象者名に書き換え)",COUNTA($F660:$H660)=3),1,0)))</f>
        <v>1</v>
      </c>
      <c r="V660" s="129" t="str" cm="1">
        <f t="array" ref="V660">_xlfn.IFS(T660=4,"A",T660=3,"B",T660=2,"C",T660=1,"D")</f>
        <v>D</v>
      </c>
      <c r="W660" s="255"/>
    </row>
    <row r="661" spans="1:23">
      <c r="B661" s="95"/>
      <c r="C661" s="96"/>
      <c r="D661" s="97"/>
      <c r="E661" s="100" t="s">
        <v>129</v>
      </c>
      <c r="F661" s="446"/>
      <c r="G661" s="441"/>
      <c r="H661" s="441"/>
      <c r="I661" s="98"/>
      <c r="J661" s="11"/>
      <c r="R661" s="129">
        <f t="shared" si="192"/>
        <v>0</v>
      </c>
      <c r="S661" s="129" t="str">
        <f t="shared" si="193"/>
        <v/>
      </c>
      <c r="T661" s="129">
        <f t="shared" si="191"/>
        <v>1</v>
      </c>
      <c r="U661" s="129">
        <f>IF(E661="",1,IF(AND(E661="〇〇(合意形成対象者名に書き換え)",COUNTA($F661:$H661)=0),1,IF(AND(E661&lt;&gt;"〇〇(合意形成対象者名に書き換え)",COUNTA($F661:$H661)=3),1,0)))</f>
        <v>1</v>
      </c>
      <c r="V661" s="129" t="str" cm="1">
        <f t="array" ref="V661">_xlfn.IFS(T661=4,"A",T661=3,"B",T661=2,"C",T661=1,"D")</f>
        <v>D</v>
      </c>
      <c r="W661" s="255"/>
    </row>
    <row r="662" spans="1:23" s="99" customFormat="1">
      <c r="A662" s="11"/>
      <c r="B662" s="95"/>
      <c r="C662" s="96"/>
      <c r="D662" s="97"/>
      <c r="E662" s="100" t="s">
        <v>129</v>
      </c>
      <c r="F662" s="446"/>
      <c r="G662" s="441"/>
      <c r="H662" s="441"/>
      <c r="I662" s="98"/>
      <c r="J662" s="11"/>
      <c r="M662" s="11"/>
      <c r="N662" s="11"/>
      <c r="O662" s="11"/>
      <c r="P662" s="11"/>
      <c r="Q662" s="11"/>
      <c r="R662" s="129">
        <f t="shared" si="192"/>
        <v>0</v>
      </c>
      <c r="S662" s="129" t="str">
        <f t="shared" si="193"/>
        <v/>
      </c>
      <c r="T662" s="129">
        <f t="shared" si="191"/>
        <v>1</v>
      </c>
      <c r="U662" s="129">
        <f>IF(E662="",1,IF(AND(E662="〇〇(合意形成対象者名に書き換え)",COUNTA($F662:$H662)=0),1,IF(AND(E662&lt;&gt;"〇〇(合意形成対象者名に書き換え)",COUNTA($F662:$H662)=3),1,0)))</f>
        <v>1</v>
      </c>
      <c r="V662" s="129" t="str" cm="1">
        <f t="array" ref="V662">_xlfn.IFS(T662=4,"A",T662=3,"B",T662=2,"C",T662=1,"D")</f>
        <v>D</v>
      </c>
      <c r="W662" s="129"/>
    </row>
    <row r="663" spans="1:23" customFormat="1" ht="7.5" customHeight="1">
      <c r="B663" s="65"/>
      <c r="C663" s="4"/>
      <c r="D663" s="4"/>
      <c r="E663" s="4"/>
      <c r="F663" s="4"/>
      <c r="G663" s="4"/>
      <c r="H663" s="4"/>
      <c r="I663" s="9"/>
      <c r="J663" s="2"/>
      <c r="K663" s="2"/>
      <c r="L663" s="2"/>
      <c r="R663" s="129">
        <f t="shared" si="192"/>
        <v>0</v>
      </c>
      <c r="S663" s="129" t="str">
        <f t="shared" si="193"/>
        <v/>
      </c>
      <c r="T663" s="129">
        <f t="shared" si="191"/>
        <v>1</v>
      </c>
      <c r="U663" s="129">
        <f t="shared" ref="U663:U664" si="194">IF(E663="",1,IF(AND(E663="〇〇(合意形成対象者名に書き換え)",COUNTA($F663:$H663)=0),1,IF(AND(E663&lt;&gt;"〇〇(合意形成対象者名に書き換え)",COUNTA($F663:$H663)=3),1,0)))</f>
        <v>1</v>
      </c>
      <c r="V663" s="129" t="str" cm="1">
        <f t="array" ref="V663">_xlfn.IFS(T663=4,"A",T663=3,"B",T663=2,"C",T663=1,"D")</f>
        <v>D</v>
      </c>
      <c r="W663" s="175"/>
    </row>
    <row r="664" spans="1:23" customFormat="1" ht="6" customHeight="1">
      <c r="J664" s="2"/>
      <c r="K664" s="2"/>
      <c r="L664" s="2"/>
      <c r="R664" s="129">
        <f t="shared" si="192"/>
        <v>0</v>
      </c>
      <c r="S664" s="129" t="str">
        <f t="shared" si="193"/>
        <v/>
      </c>
      <c r="T664" s="129">
        <f t="shared" si="191"/>
        <v>1</v>
      </c>
      <c r="U664" s="129">
        <f t="shared" si="194"/>
        <v>1</v>
      </c>
      <c r="V664" s="129" t="str" cm="1">
        <f t="array" ref="V664">_xlfn.IFS(T664=4,"A",T664=3,"B",T664=2,"C",T664=1,"D")</f>
        <v>D</v>
      </c>
      <c r="W664" s="175"/>
    </row>
    <row r="665" spans="1:23" customFormat="1" ht="103.5" customHeight="1">
      <c r="C665" s="78"/>
      <c r="D665" s="79"/>
      <c r="E665" s="71" t="s">
        <v>236</v>
      </c>
      <c r="F665" s="1452"/>
      <c r="G665" s="1452"/>
      <c r="H665" s="1452"/>
      <c r="I665" s="80" t="s">
        <v>132</v>
      </c>
      <c r="J665" s="80"/>
    </row>
    <row r="666" spans="1:23" customFormat="1" ht="146.25" customHeight="1">
      <c r="C666" s="75"/>
      <c r="D666" s="68"/>
      <c r="E666" s="71" t="s">
        <v>235</v>
      </c>
      <c r="F666" s="1452"/>
      <c r="G666" s="1452"/>
      <c r="H666" s="1452"/>
      <c r="J666" s="2"/>
      <c r="K666" s="2"/>
      <c r="L666" s="2"/>
    </row>
    <row r="667" spans="1:23" customFormat="1" ht="13.5" customHeight="1" thickBot="1">
      <c r="A667" s="81"/>
      <c r="B667" s="81"/>
      <c r="C667" s="81"/>
      <c r="D667" s="81"/>
      <c r="E667" s="81"/>
      <c r="F667" s="81"/>
      <c r="G667" s="81"/>
      <c r="H667" s="81"/>
      <c r="I667" s="81"/>
      <c r="J667" s="82"/>
      <c r="K667" s="2"/>
      <c r="L667" s="2"/>
    </row>
    <row r="668" spans="1:23" customFormat="1" ht="13.5" customHeight="1">
      <c r="J668" s="2"/>
      <c r="K668" s="2"/>
      <c r="L668" s="2"/>
    </row>
    <row r="669" spans="1:23" customFormat="1" ht="15" customHeight="1">
      <c r="B669" s="10"/>
      <c r="C669" s="5"/>
      <c r="D669" s="5"/>
      <c r="E669" s="5"/>
      <c r="F669" s="5"/>
      <c r="G669" s="5"/>
      <c r="H669" s="5"/>
      <c r="I669" s="6"/>
      <c r="R669" s="11" t="str">
        <f>D670</f>
        <v>(選択してください)</v>
      </c>
    </row>
    <row r="670" spans="1:23" customFormat="1">
      <c r="B670" s="7"/>
      <c r="C670" s="77" t="str">
        <f ca="1">IFERROR(OFFSET('4.2民生電力需要量'!$C$8,MATCH(D670,'4.2民生電力需要量'!$E$9:$E$49,0),0),"")</f>
        <v/>
      </c>
      <c r="D670" s="94" t="s">
        <v>130</v>
      </c>
      <c r="E670" s="72" t="s">
        <v>131</v>
      </c>
      <c r="F670" s="1451" t="str">
        <f ca="1">IFERROR(OFFSET('4.2民生電力需要量'!$G$1,MATCH($D670,'4.2民生電力需要量'!$E:$E,0)-1,0),"")</f>
        <v/>
      </c>
      <c r="G670" s="1451"/>
      <c r="H670" s="1451"/>
      <c r="I670" s="8"/>
      <c r="R670" s="255" t="str">
        <f ca="1">IFERROR(OFFSET('4.2民生電力需要量'!$G$1,MATCH($D670,'4.2民生電力需要量'!$E:$E,0)-1,0),"")</f>
        <v/>
      </c>
      <c r="S670" s="515"/>
      <c r="T670" s="515"/>
      <c r="U670" s="515"/>
      <c r="V670" s="515"/>
      <c r="W670" s="175">
        <f ca="1">(F670=R670)*1</f>
        <v>1</v>
      </c>
    </row>
    <row r="671" spans="1:23" customFormat="1">
      <c r="B671" s="7"/>
      <c r="C671" s="915"/>
      <c r="D671" s="97"/>
      <c r="E671" s="72" t="s">
        <v>612</v>
      </c>
      <c r="F671" s="1447" t="str">
        <f ca="1">IFERROR(OFFSET('4.2民生電力需要量'!$L$1,MATCH($D670,'4.2民生電力需要量'!$E:$E,0)-1,0),"")</f>
        <v/>
      </c>
      <c r="G671" s="1448"/>
      <c r="H671" s="1449"/>
      <c r="I671" s="8"/>
      <c r="R671" s="255" t="str">
        <f ca="1">IFERROR(OFFSET('4.2民生電力需要量'!$L$1,MATCH($D670,'4.2民生電力需要量'!$E:$E,0)-1,0),"")</f>
        <v/>
      </c>
      <c r="S671" s="515"/>
      <c r="T671" s="515"/>
      <c r="U671" s="515"/>
      <c r="V671" s="515"/>
      <c r="W671" s="175">
        <f ca="1">(F671=R671)*1</f>
        <v>1</v>
      </c>
    </row>
    <row r="672" spans="1:23" customFormat="1">
      <c r="B672" s="7"/>
      <c r="C672" s="915"/>
      <c r="D672" s="97"/>
      <c r="E672" s="72" t="s">
        <v>613</v>
      </c>
      <c r="F672" s="1456"/>
      <c r="G672" s="1457"/>
      <c r="H672" s="1458"/>
      <c r="I672" s="8"/>
      <c r="R672" s="320"/>
      <c r="S672" s="515"/>
      <c r="T672" s="515"/>
      <c r="U672" s="515"/>
      <c r="V672" s="515"/>
      <c r="W672" s="515"/>
    </row>
    <row r="673" spans="1:23" customFormat="1">
      <c r="B673" s="7"/>
      <c r="C673" s="74"/>
      <c r="D673" s="66"/>
      <c r="E673" s="72" t="s">
        <v>220</v>
      </c>
      <c r="F673" s="1450" t="str">
        <f ca="1">IFERROR(OFFSET('4.2民生電力需要量'!$I$1,MATCH($D670,'4.2民生電力需要量'!$E:$E,0)-1,0),"")</f>
        <v/>
      </c>
      <c r="G673" s="1450"/>
      <c r="H673" s="1450"/>
      <c r="I673" s="8"/>
      <c r="R673" s="175" t="str">
        <f ca="1">IFERROR(OFFSET('4.2民生電力需要量'!$I$1,MATCH($D670,'4.2民生電力需要量'!$E:$E,0)-1,0),"")</f>
        <v/>
      </c>
      <c r="S673" s="515"/>
      <c r="T673" s="515"/>
      <c r="U673" s="515"/>
      <c r="V673" s="515"/>
      <c r="W673" s="175">
        <f t="shared" ref="W673:W674" ca="1" si="195">(F673=R673)*1</f>
        <v>1</v>
      </c>
    </row>
    <row r="674" spans="1:23" customFormat="1">
      <c r="B674" s="7"/>
      <c r="C674" s="74"/>
      <c r="D674" s="66"/>
      <c r="E674" s="72" t="s">
        <v>175</v>
      </c>
      <c r="F674" s="1453" t="str">
        <f>_xlfn.IFNA(R674,"")</f>
        <v/>
      </c>
      <c r="G674" s="1454"/>
      <c r="H674" s="1455"/>
      <c r="I674" s="8"/>
      <c r="R674" s="129" t="str">
        <f>IF(OR(COUNTIF($E676:$E681,"&lt;&gt;〇〇(合意形成対象者名に書き換え)")=3,COUNTIF($E676:$E681,"")&gt;3),"",IF(PRODUCT($U676:$U681)=1,V676,""))</f>
        <v/>
      </c>
      <c r="S674" s="515"/>
      <c r="T674" s="515"/>
      <c r="U674" s="515"/>
      <c r="V674" s="515"/>
      <c r="W674" s="175">
        <f t="shared" si="195"/>
        <v>1</v>
      </c>
    </row>
    <row r="675" spans="1:23" ht="63.75" customHeight="1">
      <c r="B675" s="95"/>
      <c r="C675" s="96"/>
      <c r="D675" s="97"/>
      <c r="E675" s="372"/>
      <c r="F675" s="313" t="s">
        <v>281</v>
      </c>
      <c r="G675" s="313" t="s">
        <v>282</v>
      </c>
      <c r="H675" s="313" t="s">
        <v>279</v>
      </c>
      <c r="I675" s="98"/>
      <c r="J675" s="11"/>
      <c r="R675" s="126" t="s">
        <v>270</v>
      </c>
      <c r="S675" s="126" t="s">
        <v>426</v>
      </c>
      <c r="T675" s="129" t="s">
        <v>402</v>
      </c>
      <c r="U675" s="129" t="s">
        <v>430</v>
      </c>
      <c r="V675" s="126" t="s">
        <v>425</v>
      </c>
      <c r="W675" s="255"/>
    </row>
    <row r="676" spans="1:23" hidden="1">
      <c r="B676" s="95"/>
      <c r="C676" s="96"/>
      <c r="D676" s="97"/>
      <c r="E676" s="442"/>
      <c r="F676" s="443"/>
      <c r="G676" s="439"/>
      <c r="H676" s="439"/>
      <c r="I676" s="98"/>
      <c r="J676" s="11"/>
      <c r="R676" s="129">
        <f>IF(AND(F676="実施済",G676="実施済",H676="完了"),3,0)</f>
        <v>0</v>
      </c>
      <c r="S676" s="129" t="str">
        <f>IF(OR(E676="〇〇(合意形成対象者名に書き換え)",E676=""),"",R676)</f>
        <v/>
      </c>
      <c r="T676" s="129">
        <f t="shared" ref="T676:T681" si="196">MIN($S$676:$S$681)+1</f>
        <v>1</v>
      </c>
      <c r="U676" s="129">
        <f>IF(E676="",1,IF(AND(E676="〇〇(合意形成対象者名に書き換え)",COUNTA($F676:$H676)=0),1,IF(AND(E676&lt;&gt;"〇〇(合意形成対象者名に書き換え)",COUNTA($F676:$H676)=3),1,0)))</f>
        <v>1</v>
      </c>
      <c r="V676" s="129" t="str" cm="1">
        <f t="array" ref="V676">_xlfn.IFS(T676=4,"A",T676=3,"B",T676=2,"C",T676=1,"D")</f>
        <v>D</v>
      </c>
      <c r="W676" s="255"/>
    </row>
    <row r="677" spans="1:23">
      <c r="B677" s="95"/>
      <c r="C677" s="96"/>
      <c r="D677" s="97"/>
      <c r="E677" s="100" t="s">
        <v>129</v>
      </c>
      <c r="F677" s="446"/>
      <c r="G677" s="441"/>
      <c r="H677" s="441"/>
      <c r="I677" s="98"/>
      <c r="J677" s="11"/>
      <c r="R677" s="129">
        <f t="shared" ref="R677:R681" si="197">IF(AND(F677="実施済",G677="実施済",H677="完了"),3,0)</f>
        <v>0</v>
      </c>
      <c r="S677" s="129" t="str">
        <f t="shared" ref="S677:S681" si="198">IF(OR(E677="〇〇(合意形成対象者名に書き換え)",E677=""),"",R677)</f>
        <v/>
      </c>
      <c r="T677" s="129">
        <f t="shared" si="196"/>
        <v>1</v>
      </c>
      <c r="U677" s="129">
        <f>IF(E677="",1,IF(AND(E677="〇〇(合意形成対象者名に書き換え)",COUNTA($F677:$H677)=0),1,IF(AND(E677&lt;&gt;"〇〇(合意形成対象者名に書き換え)",COUNTA($F677:$H677)=3),1,0)))</f>
        <v>1</v>
      </c>
      <c r="V677" s="129" t="str" cm="1">
        <f t="array" ref="V677">_xlfn.IFS(T677=4,"A",T677=3,"B",T677=2,"C",T677=1,"D")</f>
        <v>D</v>
      </c>
      <c r="W677" s="255"/>
    </row>
    <row r="678" spans="1:23">
      <c r="B678" s="95"/>
      <c r="C678" s="96"/>
      <c r="D678" s="97"/>
      <c r="E678" s="100" t="s">
        <v>129</v>
      </c>
      <c r="F678" s="446"/>
      <c r="G678" s="441"/>
      <c r="H678" s="441"/>
      <c r="I678" s="98"/>
      <c r="J678" s="11"/>
      <c r="R678" s="129">
        <f t="shared" si="197"/>
        <v>0</v>
      </c>
      <c r="S678" s="129" t="str">
        <f t="shared" si="198"/>
        <v/>
      </c>
      <c r="T678" s="129">
        <f t="shared" si="196"/>
        <v>1</v>
      </c>
      <c r="U678" s="129">
        <f>IF(E678="",1,IF(AND(E678="〇〇(合意形成対象者名に書き換え)",COUNTA($F678:$H678)=0),1,IF(AND(E678&lt;&gt;"〇〇(合意形成対象者名に書き換え)",COUNTA($F678:$H678)=3),1,0)))</f>
        <v>1</v>
      </c>
      <c r="V678" s="129" t="str" cm="1">
        <f t="array" ref="V678">_xlfn.IFS(T678=4,"A",T678=3,"B",T678=2,"C",T678=1,"D")</f>
        <v>D</v>
      </c>
      <c r="W678" s="255"/>
    </row>
    <row r="679" spans="1:23" s="99" customFormat="1">
      <c r="A679" s="11"/>
      <c r="B679" s="95"/>
      <c r="C679" s="96"/>
      <c r="D679" s="97"/>
      <c r="E679" s="100" t="s">
        <v>129</v>
      </c>
      <c r="F679" s="446"/>
      <c r="G679" s="441"/>
      <c r="H679" s="441"/>
      <c r="I679" s="98"/>
      <c r="J679" s="11"/>
      <c r="M679" s="11"/>
      <c r="N679" s="11"/>
      <c r="O679" s="11"/>
      <c r="P679" s="11"/>
      <c r="Q679" s="11"/>
      <c r="R679" s="129">
        <f t="shared" si="197"/>
        <v>0</v>
      </c>
      <c r="S679" s="129" t="str">
        <f t="shared" si="198"/>
        <v/>
      </c>
      <c r="T679" s="129">
        <f t="shared" si="196"/>
        <v>1</v>
      </c>
      <c r="U679" s="129">
        <f>IF(E679="",1,IF(AND(E679="〇〇(合意形成対象者名に書き換え)",COUNTA($F679:$H679)=0),1,IF(AND(E679&lt;&gt;"〇〇(合意形成対象者名に書き換え)",COUNTA($F679:$H679)=3),1,0)))</f>
        <v>1</v>
      </c>
      <c r="V679" s="129" t="str" cm="1">
        <f t="array" ref="V679">_xlfn.IFS(T679=4,"A",T679=3,"B",T679=2,"C",T679=1,"D")</f>
        <v>D</v>
      </c>
      <c r="W679" s="129"/>
    </row>
    <row r="680" spans="1:23" customFormat="1" ht="7.5" customHeight="1">
      <c r="B680" s="65"/>
      <c r="C680" s="4"/>
      <c r="D680" s="4"/>
      <c r="E680" s="4"/>
      <c r="F680" s="4"/>
      <c r="G680" s="4"/>
      <c r="H680" s="4"/>
      <c r="I680" s="9"/>
      <c r="J680" s="2"/>
      <c r="K680" s="2"/>
      <c r="L680" s="2"/>
      <c r="R680" s="129">
        <f t="shared" si="197"/>
        <v>0</v>
      </c>
      <c r="S680" s="129" t="str">
        <f t="shared" si="198"/>
        <v/>
      </c>
      <c r="T680" s="129">
        <f t="shared" si="196"/>
        <v>1</v>
      </c>
      <c r="U680" s="129">
        <f t="shared" ref="U680:U681" si="199">IF(E680="",1,IF(AND(E680="〇〇(合意形成対象者名に書き換え)",COUNTA($F680:$H680)=0),1,IF(AND(E680&lt;&gt;"〇〇(合意形成対象者名に書き換え)",COUNTA($F680:$H680)=3),1,0)))</f>
        <v>1</v>
      </c>
      <c r="V680" s="129" t="str" cm="1">
        <f t="array" ref="V680">_xlfn.IFS(T680=4,"A",T680=3,"B",T680=2,"C",T680=1,"D")</f>
        <v>D</v>
      </c>
      <c r="W680" s="175"/>
    </row>
    <row r="681" spans="1:23" customFormat="1" ht="6" customHeight="1">
      <c r="J681" s="2"/>
      <c r="K681" s="2"/>
      <c r="L681" s="2"/>
      <c r="R681" s="129">
        <f t="shared" si="197"/>
        <v>0</v>
      </c>
      <c r="S681" s="129" t="str">
        <f t="shared" si="198"/>
        <v/>
      </c>
      <c r="T681" s="129">
        <f t="shared" si="196"/>
        <v>1</v>
      </c>
      <c r="U681" s="129">
        <f t="shared" si="199"/>
        <v>1</v>
      </c>
      <c r="V681" s="129" t="str" cm="1">
        <f t="array" ref="V681">_xlfn.IFS(T681=4,"A",T681=3,"B",T681=2,"C",T681=1,"D")</f>
        <v>D</v>
      </c>
      <c r="W681" s="175"/>
    </row>
    <row r="682" spans="1:23" customFormat="1" ht="103.5" customHeight="1">
      <c r="C682" s="78"/>
      <c r="D682" s="79"/>
      <c r="E682" s="71" t="s">
        <v>236</v>
      </c>
      <c r="F682" s="1452"/>
      <c r="G682" s="1452"/>
      <c r="H682" s="1452"/>
      <c r="I682" s="80" t="s">
        <v>132</v>
      </c>
      <c r="J682" s="80"/>
    </row>
    <row r="683" spans="1:23" customFormat="1" ht="146.25" customHeight="1">
      <c r="C683" s="75"/>
      <c r="D683" s="68"/>
      <c r="E683" s="71" t="s">
        <v>235</v>
      </c>
      <c r="F683" s="1452"/>
      <c r="G683" s="1452"/>
      <c r="H683" s="1452"/>
      <c r="J683" s="2"/>
      <c r="K683" s="2"/>
      <c r="L683" s="2"/>
    </row>
    <row r="684" spans="1:23" customFormat="1" ht="13.5" customHeight="1" thickBot="1">
      <c r="A684" s="81"/>
      <c r="B684" s="81"/>
      <c r="C684" s="81"/>
      <c r="D684" s="81"/>
      <c r="E684" s="81"/>
      <c r="F684" s="81"/>
      <c r="G684" s="81"/>
      <c r="H684" s="81"/>
      <c r="I684" s="81"/>
      <c r="J684" s="82"/>
      <c r="K684" s="2"/>
      <c r="L684" s="2"/>
    </row>
    <row r="685" spans="1:23" customFormat="1" ht="13.5" customHeight="1">
      <c r="J685" s="2"/>
      <c r="K685" s="2"/>
      <c r="L685" s="2"/>
    </row>
    <row r="686" spans="1:23" customFormat="1" ht="15" customHeight="1">
      <c r="B686" s="10"/>
      <c r="C686" s="5"/>
      <c r="D686" s="5"/>
      <c r="E686" s="5"/>
      <c r="F686" s="5"/>
      <c r="G686" s="5"/>
      <c r="H686" s="5"/>
      <c r="I686" s="6"/>
      <c r="R686" s="11" t="str">
        <f>D687</f>
        <v>(選択してください)</v>
      </c>
    </row>
    <row r="687" spans="1:23" customFormat="1">
      <c r="B687" s="7"/>
      <c r="C687" s="77" t="str">
        <f ca="1">IFERROR(OFFSET('4.2民生電力需要量'!$C$8,MATCH(D687,'4.2民生電力需要量'!$E$9:$E$49,0),0),"")</f>
        <v/>
      </c>
      <c r="D687" s="94" t="s">
        <v>130</v>
      </c>
      <c r="E687" s="72" t="s">
        <v>131</v>
      </c>
      <c r="F687" s="1451" t="str">
        <f ca="1">IFERROR(OFFSET('4.2民生電力需要量'!$G$1,MATCH($D687,'4.2民生電力需要量'!$E:$E,0)-1,0),"")</f>
        <v/>
      </c>
      <c r="G687" s="1451"/>
      <c r="H687" s="1451"/>
      <c r="I687" s="8"/>
      <c r="R687" s="255" t="str">
        <f ca="1">IFERROR(OFFSET('4.2民生電力需要量'!$G$1,MATCH($D687,'4.2民生電力需要量'!$E:$E,0)-1,0),"")</f>
        <v/>
      </c>
      <c r="S687" s="515"/>
      <c r="T687" s="515"/>
      <c r="U687" s="515"/>
      <c r="V687" s="515"/>
      <c r="W687" s="175">
        <f ca="1">(F687=R687)*1</f>
        <v>1</v>
      </c>
    </row>
    <row r="688" spans="1:23" customFormat="1">
      <c r="B688" s="7"/>
      <c r="C688" s="915"/>
      <c r="D688" s="97"/>
      <c r="E688" s="72" t="s">
        <v>612</v>
      </c>
      <c r="F688" s="1447" t="str">
        <f ca="1">IFERROR(OFFSET('4.2民生電力需要量'!$L$1,MATCH($D687,'4.2民生電力需要量'!$E:$E,0)-1,0),"")</f>
        <v/>
      </c>
      <c r="G688" s="1448"/>
      <c r="H688" s="1449"/>
      <c r="I688" s="8"/>
      <c r="R688" s="255" t="str">
        <f ca="1">IFERROR(OFFSET('4.2民生電力需要量'!$L$1,MATCH($D687,'4.2民生電力需要量'!$E:$E,0)-1,0),"")</f>
        <v/>
      </c>
      <c r="S688" s="515"/>
      <c r="T688" s="515"/>
      <c r="U688" s="515"/>
      <c r="V688" s="515"/>
      <c r="W688" s="175">
        <f ca="1">(F688=R688)*1</f>
        <v>1</v>
      </c>
    </row>
    <row r="689" spans="1:23" customFormat="1">
      <c r="B689" s="7"/>
      <c r="C689" s="915"/>
      <c r="D689" s="97"/>
      <c r="E689" s="72" t="s">
        <v>613</v>
      </c>
      <c r="F689" s="1456"/>
      <c r="G689" s="1457"/>
      <c r="H689" s="1458"/>
      <c r="I689" s="8"/>
      <c r="R689" s="320"/>
      <c r="S689" s="515"/>
      <c r="T689" s="515"/>
      <c r="U689" s="515"/>
      <c r="V689" s="515"/>
      <c r="W689" s="515"/>
    </row>
    <row r="690" spans="1:23" customFormat="1">
      <c r="B690" s="7"/>
      <c r="C690" s="74"/>
      <c r="D690" s="66"/>
      <c r="E690" s="72" t="s">
        <v>220</v>
      </c>
      <c r="F690" s="1450" t="str">
        <f ca="1">IFERROR(OFFSET('4.2民生電力需要量'!$I$1,MATCH($D687,'4.2民生電力需要量'!$E:$E,0)-1,0),"")</f>
        <v/>
      </c>
      <c r="G690" s="1450"/>
      <c r="H690" s="1450"/>
      <c r="I690" s="8"/>
      <c r="R690" s="175" t="str">
        <f ca="1">IFERROR(OFFSET('4.2民生電力需要量'!$I$1,MATCH($D687,'4.2民生電力需要量'!$E:$E,0)-1,0),"")</f>
        <v/>
      </c>
      <c r="S690" s="515"/>
      <c r="T690" s="515"/>
      <c r="U690" s="515"/>
      <c r="V690" s="515"/>
      <c r="W690" s="175">
        <f t="shared" ref="W690:W691" ca="1" si="200">(F690=R690)*1</f>
        <v>1</v>
      </c>
    </row>
    <row r="691" spans="1:23" customFormat="1">
      <c r="B691" s="7"/>
      <c r="C691" s="74"/>
      <c r="D691" s="66"/>
      <c r="E691" s="72" t="s">
        <v>175</v>
      </c>
      <c r="F691" s="1453" t="str">
        <f>_xlfn.IFNA(R691,"")</f>
        <v/>
      </c>
      <c r="G691" s="1454"/>
      <c r="H691" s="1455"/>
      <c r="I691" s="8"/>
      <c r="R691" s="129" t="str">
        <f>IF(OR(COUNTIF($E693:$E698,"&lt;&gt;〇〇(合意形成対象者名に書き換え)")=3,COUNTIF($E693:$E698,"")&gt;3),"",IF(PRODUCT($U693:$U698)=1,V693,""))</f>
        <v/>
      </c>
      <c r="S691" s="515"/>
      <c r="T691" s="515"/>
      <c r="U691" s="515"/>
      <c r="V691" s="515"/>
      <c r="W691" s="175">
        <f t="shared" si="200"/>
        <v>1</v>
      </c>
    </row>
    <row r="692" spans="1:23" ht="63.75" customHeight="1">
      <c r="B692" s="95"/>
      <c r="C692" s="96"/>
      <c r="D692" s="97"/>
      <c r="E692" s="372"/>
      <c r="F692" s="313" t="s">
        <v>281</v>
      </c>
      <c r="G692" s="313" t="s">
        <v>282</v>
      </c>
      <c r="H692" s="313" t="s">
        <v>279</v>
      </c>
      <c r="I692" s="98"/>
      <c r="J692" s="11"/>
      <c r="R692" s="126" t="s">
        <v>270</v>
      </c>
      <c r="S692" s="126" t="s">
        <v>426</v>
      </c>
      <c r="T692" s="129" t="s">
        <v>402</v>
      </c>
      <c r="U692" s="129" t="s">
        <v>430</v>
      </c>
      <c r="V692" s="126" t="s">
        <v>425</v>
      </c>
      <c r="W692" s="255"/>
    </row>
    <row r="693" spans="1:23" hidden="1">
      <c r="B693" s="95"/>
      <c r="C693" s="96"/>
      <c r="D693" s="97"/>
      <c r="E693" s="442"/>
      <c r="F693" s="443"/>
      <c r="G693" s="439"/>
      <c r="H693" s="439"/>
      <c r="I693" s="98"/>
      <c r="J693" s="11"/>
      <c r="R693" s="129">
        <f>IF(AND(F693="実施済",G693="実施済",H693="完了"),3,0)</f>
        <v>0</v>
      </c>
      <c r="S693" s="129" t="str">
        <f>IF(OR(E693="〇〇(合意形成対象者名に書き換え)",E693=""),"",R693)</f>
        <v/>
      </c>
      <c r="T693" s="129">
        <f t="shared" ref="T693:T698" si="201">MIN($S$693:$S$698)+1</f>
        <v>1</v>
      </c>
      <c r="U693" s="129">
        <f>IF(E693="",1,IF(AND(E693="〇〇(合意形成対象者名に書き換え)",COUNTA($F693:$H693)=0),1,IF(AND(E693&lt;&gt;"〇〇(合意形成対象者名に書き換え)",COUNTA($F693:$H693)=3),1,0)))</f>
        <v>1</v>
      </c>
      <c r="V693" s="129" t="str" cm="1">
        <f t="array" ref="V693">_xlfn.IFS(T693=4,"A",T693=3,"B",T693=2,"C",T693=1,"D")</f>
        <v>D</v>
      </c>
      <c r="W693" s="255"/>
    </row>
    <row r="694" spans="1:23">
      <c r="B694" s="95"/>
      <c r="C694" s="96"/>
      <c r="D694" s="97"/>
      <c r="E694" s="100" t="s">
        <v>129</v>
      </c>
      <c r="F694" s="446"/>
      <c r="G694" s="441"/>
      <c r="H694" s="441"/>
      <c r="I694" s="98"/>
      <c r="J694" s="11"/>
      <c r="R694" s="129">
        <f t="shared" ref="R694:R698" si="202">IF(AND(F694="実施済",G694="実施済",H694="完了"),3,0)</f>
        <v>0</v>
      </c>
      <c r="S694" s="129" t="str">
        <f t="shared" ref="S694:S698" si="203">IF(OR(E694="〇〇(合意形成対象者名に書き換え)",E694=""),"",R694)</f>
        <v/>
      </c>
      <c r="T694" s="129">
        <f t="shared" si="201"/>
        <v>1</v>
      </c>
      <c r="U694" s="129">
        <f>IF(E694="",1,IF(AND(E694="〇〇(合意形成対象者名に書き換え)",COUNTA($F694:$H694)=0),1,IF(AND(E694&lt;&gt;"〇〇(合意形成対象者名に書き換え)",COUNTA($F694:$H694)=3),1,0)))</f>
        <v>1</v>
      </c>
      <c r="V694" s="129" t="str" cm="1">
        <f t="array" ref="V694">_xlfn.IFS(T694=4,"A",T694=3,"B",T694=2,"C",T694=1,"D")</f>
        <v>D</v>
      </c>
      <c r="W694" s="255"/>
    </row>
    <row r="695" spans="1:23">
      <c r="B695" s="95"/>
      <c r="C695" s="96"/>
      <c r="D695" s="97"/>
      <c r="E695" s="100" t="s">
        <v>129</v>
      </c>
      <c r="F695" s="446"/>
      <c r="G695" s="441"/>
      <c r="H695" s="441"/>
      <c r="I695" s="98"/>
      <c r="J695" s="11"/>
      <c r="R695" s="129">
        <f t="shared" si="202"/>
        <v>0</v>
      </c>
      <c r="S695" s="129" t="str">
        <f t="shared" si="203"/>
        <v/>
      </c>
      <c r="T695" s="129">
        <f t="shared" si="201"/>
        <v>1</v>
      </c>
      <c r="U695" s="129">
        <f>IF(E695="",1,IF(AND(E695="〇〇(合意形成対象者名に書き換え)",COUNTA($F695:$H695)=0),1,IF(AND(E695&lt;&gt;"〇〇(合意形成対象者名に書き換え)",COUNTA($F695:$H695)=3),1,0)))</f>
        <v>1</v>
      </c>
      <c r="V695" s="129" t="str" cm="1">
        <f t="array" ref="V695">_xlfn.IFS(T695=4,"A",T695=3,"B",T695=2,"C",T695=1,"D")</f>
        <v>D</v>
      </c>
      <c r="W695" s="255"/>
    </row>
    <row r="696" spans="1:23" s="99" customFormat="1">
      <c r="A696" s="11"/>
      <c r="B696" s="95"/>
      <c r="C696" s="96"/>
      <c r="D696" s="97"/>
      <c r="E696" s="100" t="s">
        <v>129</v>
      </c>
      <c r="F696" s="446"/>
      <c r="G696" s="441"/>
      <c r="H696" s="441"/>
      <c r="I696" s="98"/>
      <c r="J696" s="11"/>
      <c r="M696" s="11"/>
      <c r="N696" s="11"/>
      <c r="O696" s="11"/>
      <c r="P696" s="11"/>
      <c r="Q696" s="11"/>
      <c r="R696" s="129">
        <f t="shared" si="202"/>
        <v>0</v>
      </c>
      <c r="S696" s="129" t="str">
        <f t="shared" si="203"/>
        <v/>
      </c>
      <c r="T696" s="129">
        <f t="shared" si="201"/>
        <v>1</v>
      </c>
      <c r="U696" s="129">
        <f>IF(E696="",1,IF(AND(E696="〇〇(合意形成対象者名に書き換え)",COUNTA($F696:$H696)=0),1,IF(AND(E696&lt;&gt;"〇〇(合意形成対象者名に書き換え)",COUNTA($F696:$H696)=3),1,0)))</f>
        <v>1</v>
      </c>
      <c r="V696" s="129" t="str" cm="1">
        <f t="array" ref="V696">_xlfn.IFS(T696=4,"A",T696=3,"B",T696=2,"C",T696=1,"D")</f>
        <v>D</v>
      </c>
      <c r="W696" s="129"/>
    </row>
    <row r="697" spans="1:23" customFormat="1" ht="7.5" customHeight="1">
      <c r="B697" s="65"/>
      <c r="C697" s="4"/>
      <c r="D697" s="4"/>
      <c r="E697" s="4"/>
      <c r="F697" s="4"/>
      <c r="G697" s="4"/>
      <c r="H697" s="4"/>
      <c r="I697" s="9"/>
      <c r="J697" s="2"/>
      <c r="K697" s="2"/>
      <c r="L697" s="2"/>
      <c r="R697" s="129">
        <f t="shared" si="202"/>
        <v>0</v>
      </c>
      <c r="S697" s="129" t="str">
        <f t="shared" si="203"/>
        <v/>
      </c>
      <c r="T697" s="129">
        <f t="shared" si="201"/>
        <v>1</v>
      </c>
      <c r="U697" s="129">
        <f t="shared" ref="U697:U698" si="204">IF(E697="",1,IF(AND(E697="〇〇(合意形成対象者名に書き換え)",COUNTA($F697:$H697)=0),1,IF(AND(E697&lt;&gt;"〇〇(合意形成対象者名に書き換え)",COUNTA($F697:$H697)=3),1,0)))</f>
        <v>1</v>
      </c>
      <c r="V697" s="129" t="str" cm="1">
        <f t="array" ref="V697">_xlfn.IFS(T697=4,"A",T697=3,"B",T697=2,"C",T697=1,"D")</f>
        <v>D</v>
      </c>
      <c r="W697" s="175"/>
    </row>
    <row r="698" spans="1:23" customFormat="1" ht="6" customHeight="1">
      <c r="J698" s="2"/>
      <c r="K698" s="2"/>
      <c r="L698" s="2"/>
      <c r="R698" s="129">
        <f t="shared" si="202"/>
        <v>0</v>
      </c>
      <c r="S698" s="129" t="str">
        <f t="shared" si="203"/>
        <v/>
      </c>
      <c r="T698" s="129">
        <f t="shared" si="201"/>
        <v>1</v>
      </c>
      <c r="U698" s="129">
        <f t="shared" si="204"/>
        <v>1</v>
      </c>
      <c r="V698" s="129" t="str" cm="1">
        <f t="array" ref="V698">_xlfn.IFS(T698=4,"A",T698=3,"B",T698=2,"C",T698=1,"D")</f>
        <v>D</v>
      </c>
      <c r="W698" s="175"/>
    </row>
    <row r="699" spans="1:23" customFormat="1" ht="103.5" customHeight="1">
      <c r="C699" s="78"/>
      <c r="D699" s="79"/>
      <c r="E699" s="71" t="s">
        <v>236</v>
      </c>
      <c r="F699" s="1452"/>
      <c r="G699" s="1452"/>
      <c r="H699" s="1452"/>
      <c r="I699" s="80" t="s">
        <v>132</v>
      </c>
      <c r="J699" s="80"/>
    </row>
    <row r="700" spans="1:23" customFormat="1" ht="146.25" customHeight="1">
      <c r="C700" s="75"/>
      <c r="D700" s="68"/>
      <c r="E700" s="71" t="s">
        <v>235</v>
      </c>
      <c r="F700" s="1452"/>
      <c r="G700" s="1452"/>
      <c r="H700" s="1452"/>
      <c r="J700" s="2"/>
      <c r="K700" s="2"/>
      <c r="L700" s="2"/>
    </row>
    <row r="701" spans="1:23" customFormat="1" ht="13.5" customHeight="1" thickBot="1">
      <c r="A701" s="81"/>
      <c r="B701" s="81"/>
      <c r="C701" s="81"/>
      <c r="D701" s="81"/>
      <c r="E701" s="81"/>
      <c r="F701" s="81"/>
      <c r="G701" s="81"/>
      <c r="H701" s="81"/>
      <c r="I701" s="81"/>
      <c r="J701" s="82"/>
      <c r="K701" s="2"/>
      <c r="L701" s="2"/>
    </row>
    <row r="702" spans="1:23" customFormat="1" ht="13.5" customHeight="1">
      <c r="J702" s="2"/>
      <c r="K702" s="2"/>
      <c r="L702" s="2"/>
    </row>
    <row r="703" spans="1:23" customFormat="1" ht="15" customHeight="1">
      <c r="B703" s="10"/>
      <c r="C703" s="5"/>
      <c r="D703" s="5"/>
      <c r="E703" s="5"/>
      <c r="F703" s="5"/>
      <c r="G703" s="5"/>
      <c r="H703" s="5"/>
      <c r="I703" s="6"/>
      <c r="R703" s="11" t="str">
        <f>D704</f>
        <v>(選択してください)</v>
      </c>
    </row>
    <row r="704" spans="1:23" customFormat="1">
      <c r="B704" s="7"/>
      <c r="C704" s="77" t="str">
        <f ca="1">IFERROR(OFFSET('4.2民生電力需要量'!$C$8,MATCH(D704,'4.2民生電力需要量'!$E$9:$E$49,0),0),"")</f>
        <v/>
      </c>
      <c r="D704" s="94" t="s">
        <v>130</v>
      </c>
      <c r="E704" s="72" t="s">
        <v>131</v>
      </c>
      <c r="F704" s="1451" t="str">
        <f ca="1">IFERROR(OFFSET('4.2民生電力需要量'!$G$1,MATCH($D704,'4.2民生電力需要量'!$E:$E,0)-1,0),"")</f>
        <v/>
      </c>
      <c r="G704" s="1451"/>
      <c r="H704" s="1451"/>
      <c r="I704" s="8"/>
      <c r="R704" s="255" t="str">
        <f ca="1">IFERROR(OFFSET('4.2民生電力需要量'!$G$1,MATCH($D704,'4.2民生電力需要量'!$E:$E,0)-1,0),"")</f>
        <v/>
      </c>
      <c r="S704" s="515"/>
      <c r="T704" s="515"/>
      <c r="U704" s="515"/>
      <c r="V704" s="515"/>
      <c r="W704" s="175">
        <f ca="1">(F704=R704)*1</f>
        <v>1</v>
      </c>
    </row>
    <row r="705" spans="1:23" customFormat="1">
      <c r="B705" s="7"/>
      <c r="C705" s="915"/>
      <c r="D705" s="97"/>
      <c r="E705" s="72" t="s">
        <v>612</v>
      </c>
      <c r="F705" s="1447" t="str">
        <f ca="1">IFERROR(OFFSET('4.2民生電力需要量'!$L$1,MATCH($D704,'4.2民生電力需要量'!$E:$E,0)-1,0),"")</f>
        <v/>
      </c>
      <c r="G705" s="1448"/>
      <c r="H705" s="1449"/>
      <c r="I705" s="8"/>
      <c r="R705" s="255" t="str">
        <f ca="1">IFERROR(OFFSET('4.2民生電力需要量'!$L$1,MATCH($D704,'4.2民生電力需要量'!$E:$E,0)-1,0),"")</f>
        <v/>
      </c>
      <c r="S705" s="515"/>
      <c r="T705" s="515"/>
      <c r="U705" s="515"/>
      <c r="V705" s="515"/>
      <c r="W705" s="175">
        <f ca="1">(F705=R705)*1</f>
        <v>1</v>
      </c>
    </row>
    <row r="706" spans="1:23" customFormat="1">
      <c r="B706" s="7"/>
      <c r="C706" s="915"/>
      <c r="D706" s="97"/>
      <c r="E706" s="72" t="s">
        <v>613</v>
      </c>
      <c r="F706" s="1456"/>
      <c r="G706" s="1457"/>
      <c r="H706" s="1458"/>
      <c r="I706" s="8"/>
      <c r="R706" s="320"/>
      <c r="S706" s="515"/>
      <c r="T706" s="515"/>
      <c r="U706" s="515"/>
      <c r="V706" s="515"/>
      <c r="W706" s="515"/>
    </row>
    <row r="707" spans="1:23" customFormat="1">
      <c r="B707" s="7"/>
      <c r="C707" s="74"/>
      <c r="D707" s="66"/>
      <c r="E707" s="72" t="s">
        <v>220</v>
      </c>
      <c r="F707" s="1450" t="str">
        <f ca="1">IFERROR(OFFSET('4.2民生電力需要量'!$I$1,MATCH($D704,'4.2民生電力需要量'!$E:$E,0)-1,0),"")</f>
        <v/>
      </c>
      <c r="G707" s="1450"/>
      <c r="H707" s="1450"/>
      <c r="I707" s="8"/>
      <c r="R707" s="175" t="str">
        <f ca="1">IFERROR(OFFSET('4.2民生電力需要量'!$I$1,MATCH($D704,'4.2民生電力需要量'!$E:$E,0)-1,0),"")</f>
        <v/>
      </c>
      <c r="S707" s="515"/>
      <c r="T707" s="515"/>
      <c r="U707" s="515"/>
      <c r="V707" s="515"/>
      <c r="W707" s="175">
        <f t="shared" ref="W707:W708" ca="1" si="205">(F707=R707)*1</f>
        <v>1</v>
      </c>
    </row>
    <row r="708" spans="1:23" customFormat="1">
      <c r="B708" s="7"/>
      <c r="C708" s="74"/>
      <c r="D708" s="66"/>
      <c r="E708" s="72" t="s">
        <v>175</v>
      </c>
      <c r="F708" s="1453" t="str">
        <f>_xlfn.IFNA(R708,"")</f>
        <v/>
      </c>
      <c r="G708" s="1454"/>
      <c r="H708" s="1455"/>
      <c r="I708" s="8"/>
      <c r="R708" s="129" t="str">
        <f>IF(OR(COUNTIF($E710:$E715,"&lt;&gt;〇〇(合意形成対象者名に書き換え)")=3,COUNTIF($E710:$E715,"")&gt;3),"",IF(PRODUCT($U710:$U715)=1,V710,""))</f>
        <v/>
      </c>
      <c r="S708" s="515"/>
      <c r="T708" s="515"/>
      <c r="U708" s="515"/>
      <c r="V708" s="515"/>
      <c r="W708" s="175">
        <f t="shared" si="205"/>
        <v>1</v>
      </c>
    </row>
    <row r="709" spans="1:23" ht="63.75" customHeight="1">
      <c r="B709" s="95"/>
      <c r="C709" s="96"/>
      <c r="D709" s="97"/>
      <c r="E709" s="372"/>
      <c r="F709" s="313" t="s">
        <v>281</v>
      </c>
      <c r="G709" s="313" t="s">
        <v>282</v>
      </c>
      <c r="H709" s="313" t="s">
        <v>279</v>
      </c>
      <c r="I709" s="98"/>
      <c r="J709" s="11"/>
      <c r="R709" s="126" t="s">
        <v>270</v>
      </c>
      <c r="S709" s="126" t="s">
        <v>426</v>
      </c>
      <c r="T709" s="129" t="s">
        <v>402</v>
      </c>
      <c r="U709" s="129" t="s">
        <v>430</v>
      </c>
      <c r="V709" s="126" t="s">
        <v>425</v>
      </c>
      <c r="W709" s="255"/>
    </row>
    <row r="710" spans="1:23" hidden="1">
      <c r="B710" s="95"/>
      <c r="C710" s="96"/>
      <c r="D710" s="97"/>
      <c r="E710" s="442"/>
      <c r="F710" s="443"/>
      <c r="G710" s="439"/>
      <c r="H710" s="439"/>
      <c r="I710" s="98"/>
      <c r="J710" s="11"/>
      <c r="R710" s="129">
        <f>IF(AND(F710="実施済",G710="実施済",H710="完了"),3,0)</f>
        <v>0</v>
      </c>
      <c r="S710" s="129" t="str">
        <f>IF(OR(E710="〇〇(合意形成対象者名に書き換え)",E710=""),"",R710)</f>
        <v/>
      </c>
      <c r="T710" s="129">
        <f t="shared" ref="T710:T715" si="206">MIN($S$710:$S$715)+1</f>
        <v>1</v>
      </c>
      <c r="U710" s="129">
        <f>IF(E710="",1,IF(AND(E710="〇〇(合意形成対象者名に書き換え)",COUNTA($F710:$H710)=0),1,IF(AND(E710&lt;&gt;"〇〇(合意形成対象者名に書き換え)",COUNTA($F710:$H710)=3),1,0)))</f>
        <v>1</v>
      </c>
      <c r="V710" s="129" t="str" cm="1">
        <f t="array" ref="V710">_xlfn.IFS(T710=4,"A",T710=3,"B",T710=2,"C",T710=1,"D")</f>
        <v>D</v>
      </c>
      <c r="W710" s="255"/>
    </row>
    <row r="711" spans="1:23">
      <c r="B711" s="95"/>
      <c r="C711" s="96"/>
      <c r="D711" s="97"/>
      <c r="E711" s="100" t="s">
        <v>129</v>
      </c>
      <c r="F711" s="446"/>
      <c r="G711" s="441"/>
      <c r="H711" s="441"/>
      <c r="I711" s="98"/>
      <c r="J711" s="11"/>
      <c r="R711" s="129">
        <f t="shared" ref="R711:R715" si="207">IF(AND(F711="実施済",G711="実施済",H711="完了"),3,0)</f>
        <v>0</v>
      </c>
      <c r="S711" s="129" t="str">
        <f t="shared" ref="S711:S715" si="208">IF(OR(E711="〇〇(合意形成対象者名に書き換え)",E711=""),"",R711)</f>
        <v/>
      </c>
      <c r="T711" s="129">
        <f t="shared" si="206"/>
        <v>1</v>
      </c>
      <c r="U711" s="129">
        <f>IF(E711="",1,IF(AND(E711="〇〇(合意形成対象者名に書き換え)",COUNTA($F711:$H711)=0),1,IF(AND(E711&lt;&gt;"〇〇(合意形成対象者名に書き換え)",COUNTA($F711:$H711)=3),1,0)))</f>
        <v>1</v>
      </c>
      <c r="V711" s="129" t="str" cm="1">
        <f t="array" ref="V711">_xlfn.IFS(T711=4,"A",T711=3,"B",T711=2,"C",T711=1,"D")</f>
        <v>D</v>
      </c>
      <c r="W711" s="255"/>
    </row>
    <row r="712" spans="1:23">
      <c r="B712" s="95"/>
      <c r="C712" s="96"/>
      <c r="D712" s="97"/>
      <c r="E712" s="100" t="s">
        <v>129</v>
      </c>
      <c r="F712" s="446"/>
      <c r="G712" s="441"/>
      <c r="H712" s="441"/>
      <c r="I712" s="98"/>
      <c r="J712" s="11"/>
      <c r="R712" s="129">
        <f t="shared" si="207"/>
        <v>0</v>
      </c>
      <c r="S712" s="129" t="str">
        <f t="shared" si="208"/>
        <v/>
      </c>
      <c r="T712" s="129">
        <f t="shared" si="206"/>
        <v>1</v>
      </c>
      <c r="U712" s="129">
        <f>IF(E712="",1,IF(AND(E712="〇〇(合意形成対象者名に書き換え)",COUNTA($F712:$H712)=0),1,IF(AND(E712&lt;&gt;"〇〇(合意形成対象者名に書き換え)",COUNTA($F712:$H712)=3),1,0)))</f>
        <v>1</v>
      </c>
      <c r="V712" s="129" t="str" cm="1">
        <f t="array" ref="V712">_xlfn.IFS(T712=4,"A",T712=3,"B",T712=2,"C",T712=1,"D")</f>
        <v>D</v>
      </c>
      <c r="W712" s="255"/>
    </row>
    <row r="713" spans="1:23" s="99" customFormat="1">
      <c r="A713" s="11"/>
      <c r="B713" s="95"/>
      <c r="C713" s="96"/>
      <c r="D713" s="97"/>
      <c r="E713" s="100" t="s">
        <v>129</v>
      </c>
      <c r="F713" s="446"/>
      <c r="G713" s="441"/>
      <c r="H713" s="441"/>
      <c r="I713" s="98"/>
      <c r="J713" s="11"/>
      <c r="M713" s="11"/>
      <c r="N713" s="11"/>
      <c r="O713" s="11"/>
      <c r="P713" s="11"/>
      <c r="Q713" s="11"/>
      <c r="R713" s="129">
        <f t="shared" si="207"/>
        <v>0</v>
      </c>
      <c r="S713" s="129" t="str">
        <f t="shared" si="208"/>
        <v/>
      </c>
      <c r="T713" s="129">
        <f t="shared" si="206"/>
        <v>1</v>
      </c>
      <c r="U713" s="129">
        <f>IF(E713="",1,IF(AND(E713="〇〇(合意形成対象者名に書き換え)",COUNTA($F713:$H713)=0),1,IF(AND(E713&lt;&gt;"〇〇(合意形成対象者名に書き換え)",COUNTA($F713:$H713)=3),1,0)))</f>
        <v>1</v>
      </c>
      <c r="V713" s="129" t="str" cm="1">
        <f t="array" ref="V713">_xlfn.IFS(T713=4,"A",T713=3,"B",T713=2,"C",T713=1,"D")</f>
        <v>D</v>
      </c>
      <c r="W713" s="129"/>
    </row>
    <row r="714" spans="1:23" customFormat="1" ht="7.5" customHeight="1">
      <c r="B714" s="65"/>
      <c r="C714" s="4"/>
      <c r="D714" s="4"/>
      <c r="E714" s="4"/>
      <c r="F714" s="4"/>
      <c r="G714" s="4"/>
      <c r="H714" s="4"/>
      <c r="I714" s="9"/>
      <c r="J714" s="2"/>
      <c r="K714" s="2"/>
      <c r="L714" s="2"/>
      <c r="R714" s="129">
        <f t="shared" si="207"/>
        <v>0</v>
      </c>
      <c r="S714" s="129" t="str">
        <f t="shared" si="208"/>
        <v/>
      </c>
      <c r="T714" s="129">
        <f t="shared" si="206"/>
        <v>1</v>
      </c>
      <c r="U714" s="129">
        <f t="shared" ref="U714:U715" si="209">IF(E714="",1,IF(AND(E714="〇〇(合意形成対象者名に書き換え)",COUNTA($F714:$H714)=0),1,IF(AND(E714&lt;&gt;"〇〇(合意形成対象者名に書き換え)",COUNTA($F714:$H714)=3),1,0)))</f>
        <v>1</v>
      </c>
      <c r="V714" s="129" t="str" cm="1">
        <f t="array" ref="V714">_xlfn.IFS(T714=4,"A",T714=3,"B",T714=2,"C",T714=1,"D")</f>
        <v>D</v>
      </c>
      <c r="W714" s="175"/>
    </row>
    <row r="715" spans="1:23" customFormat="1" ht="6" customHeight="1">
      <c r="J715" s="2"/>
      <c r="K715" s="2"/>
      <c r="L715" s="2"/>
      <c r="R715" s="129">
        <f t="shared" si="207"/>
        <v>0</v>
      </c>
      <c r="S715" s="129" t="str">
        <f t="shared" si="208"/>
        <v/>
      </c>
      <c r="T715" s="129">
        <f t="shared" si="206"/>
        <v>1</v>
      </c>
      <c r="U715" s="129">
        <f t="shared" si="209"/>
        <v>1</v>
      </c>
      <c r="V715" s="129" t="str" cm="1">
        <f t="array" ref="V715">_xlfn.IFS(T715=4,"A",T715=3,"B",T715=2,"C",T715=1,"D")</f>
        <v>D</v>
      </c>
      <c r="W715" s="175"/>
    </row>
    <row r="716" spans="1:23" customFormat="1" ht="103.5" customHeight="1">
      <c r="C716" s="78"/>
      <c r="D716" s="79"/>
      <c r="E716" s="71" t="s">
        <v>236</v>
      </c>
      <c r="F716" s="1452"/>
      <c r="G716" s="1452"/>
      <c r="H716" s="1452"/>
      <c r="I716" s="80" t="s">
        <v>132</v>
      </c>
      <c r="J716" s="80"/>
    </row>
    <row r="717" spans="1:23" customFormat="1" ht="146.25" customHeight="1">
      <c r="C717" s="75"/>
      <c r="D717" s="68"/>
      <c r="E717" s="71" t="s">
        <v>235</v>
      </c>
      <c r="F717" s="1452"/>
      <c r="G717" s="1452"/>
      <c r="H717" s="1452"/>
      <c r="J717" s="2"/>
      <c r="K717" s="2"/>
      <c r="L717" s="2"/>
    </row>
    <row r="718" spans="1:23" customFormat="1" ht="13.5" customHeight="1" thickBot="1">
      <c r="A718" s="81"/>
      <c r="B718" s="81"/>
      <c r="C718" s="81"/>
      <c r="D718" s="81"/>
      <c r="E718" s="81"/>
      <c r="F718" s="81"/>
      <c r="G718" s="81"/>
      <c r="H718" s="81"/>
      <c r="I718" s="81"/>
      <c r="J718" s="82"/>
      <c r="K718" s="2"/>
      <c r="L718" s="2"/>
    </row>
    <row r="719" spans="1:23" customFormat="1" ht="13.5" customHeight="1">
      <c r="J719" s="2"/>
      <c r="K719" s="2"/>
      <c r="L719" s="2"/>
    </row>
    <row r="720" spans="1:23" customFormat="1" ht="15" customHeight="1">
      <c r="B720" s="10"/>
      <c r="C720" s="5"/>
      <c r="D720" s="5"/>
      <c r="E720" s="5"/>
      <c r="F720" s="5"/>
      <c r="G720" s="5"/>
      <c r="H720" s="5"/>
      <c r="I720" s="6"/>
      <c r="R720" s="11" t="str">
        <f>D721</f>
        <v>(選択してください)</v>
      </c>
    </row>
    <row r="721" spans="1:23" customFormat="1">
      <c r="B721" s="7"/>
      <c r="C721" s="77" t="str">
        <f ca="1">IFERROR(OFFSET('4.2民生電力需要量'!$C$8,MATCH(D721,'4.2民生電力需要量'!$E$9:$E$49,0),0),"")</f>
        <v/>
      </c>
      <c r="D721" s="94" t="s">
        <v>130</v>
      </c>
      <c r="E721" s="72" t="s">
        <v>131</v>
      </c>
      <c r="F721" s="1451" t="str">
        <f ca="1">IFERROR(OFFSET('4.2民生電力需要量'!$G$1,MATCH($D721,'4.2民生電力需要量'!$E:$E,0)-1,0),"")</f>
        <v/>
      </c>
      <c r="G721" s="1451"/>
      <c r="H721" s="1451"/>
      <c r="I721" s="8"/>
      <c r="R721" s="255" t="str">
        <f ca="1">IFERROR(OFFSET('4.2民生電力需要量'!$G$1,MATCH($D721,'4.2民生電力需要量'!$E:$E,0)-1,0),"")</f>
        <v/>
      </c>
      <c r="S721" s="515"/>
      <c r="T721" s="515"/>
      <c r="U721" s="515"/>
      <c r="V721" s="515"/>
      <c r="W721" s="175">
        <f ca="1">(F721=R721)*1</f>
        <v>1</v>
      </c>
    </row>
    <row r="722" spans="1:23" customFormat="1">
      <c r="B722" s="7"/>
      <c r="C722" s="915"/>
      <c r="D722" s="97"/>
      <c r="E722" s="72" t="s">
        <v>612</v>
      </c>
      <c r="F722" s="1447" t="str">
        <f ca="1">IFERROR(OFFSET('4.2民生電力需要量'!$L$1,MATCH($D721,'4.2民生電力需要量'!$E:$E,0)-1,0),"")</f>
        <v/>
      </c>
      <c r="G722" s="1448"/>
      <c r="H722" s="1449"/>
      <c r="I722" s="8"/>
      <c r="R722" s="255" t="str">
        <f ca="1">IFERROR(OFFSET('4.2民生電力需要量'!$L$1,MATCH($D721,'4.2民生電力需要量'!$E:$E,0)-1,0),"")</f>
        <v/>
      </c>
      <c r="S722" s="515"/>
      <c r="T722" s="515"/>
      <c r="U722" s="515"/>
      <c r="V722" s="515"/>
      <c r="W722" s="175">
        <f ca="1">(F722=R722)*1</f>
        <v>1</v>
      </c>
    </row>
    <row r="723" spans="1:23" customFormat="1">
      <c r="B723" s="7"/>
      <c r="C723" s="915"/>
      <c r="D723" s="97"/>
      <c r="E723" s="72" t="s">
        <v>613</v>
      </c>
      <c r="F723" s="1456"/>
      <c r="G723" s="1457"/>
      <c r="H723" s="1458"/>
      <c r="I723" s="8"/>
      <c r="R723" s="320"/>
      <c r="S723" s="515"/>
      <c r="T723" s="515"/>
      <c r="U723" s="515"/>
      <c r="V723" s="515"/>
      <c r="W723" s="515"/>
    </row>
    <row r="724" spans="1:23" customFormat="1">
      <c r="B724" s="7"/>
      <c r="C724" s="74"/>
      <c r="D724" s="66"/>
      <c r="E724" s="72" t="s">
        <v>220</v>
      </c>
      <c r="F724" s="1450" t="str">
        <f ca="1">IFERROR(OFFSET('4.2民生電力需要量'!$I$1,MATCH($D721,'4.2民生電力需要量'!$E:$E,0)-1,0),"")</f>
        <v/>
      </c>
      <c r="G724" s="1450"/>
      <c r="H724" s="1450"/>
      <c r="I724" s="8"/>
      <c r="R724" s="175" t="str">
        <f ca="1">IFERROR(OFFSET('4.2民生電力需要量'!$I$1,MATCH($D721,'4.2民生電力需要量'!$E:$E,0)-1,0),"")</f>
        <v/>
      </c>
      <c r="S724" s="515"/>
      <c r="T724" s="515"/>
      <c r="U724" s="515"/>
      <c r="V724" s="515"/>
      <c r="W724" s="175">
        <f t="shared" ref="W724:W725" ca="1" si="210">(F724=R724)*1</f>
        <v>1</v>
      </c>
    </row>
    <row r="725" spans="1:23" customFormat="1">
      <c r="B725" s="7"/>
      <c r="C725" s="74"/>
      <c r="D725" s="66"/>
      <c r="E725" s="72" t="s">
        <v>175</v>
      </c>
      <c r="F725" s="1453" t="str">
        <f>_xlfn.IFNA(R725,"")</f>
        <v/>
      </c>
      <c r="G725" s="1454"/>
      <c r="H725" s="1455"/>
      <c r="I725" s="8"/>
      <c r="R725" s="129" t="str">
        <f>IF(OR(COUNTIF($E727:$E732,"&lt;&gt;〇〇(合意形成対象者名に書き換え)")=3,COUNTIF($E727:$E732,"")&gt;3),"",IF(PRODUCT($U727:$U732)=1,V727,""))</f>
        <v/>
      </c>
      <c r="S725" s="515"/>
      <c r="T725" s="515"/>
      <c r="U725" s="515"/>
      <c r="V725" s="515"/>
      <c r="W725" s="175">
        <f t="shared" si="210"/>
        <v>1</v>
      </c>
    </row>
    <row r="726" spans="1:23" ht="63.75" customHeight="1">
      <c r="B726" s="95"/>
      <c r="C726" s="96"/>
      <c r="D726" s="97"/>
      <c r="E726" s="372"/>
      <c r="F726" s="313" t="s">
        <v>281</v>
      </c>
      <c r="G726" s="313" t="s">
        <v>282</v>
      </c>
      <c r="H726" s="313" t="s">
        <v>279</v>
      </c>
      <c r="I726" s="98"/>
      <c r="J726" s="11"/>
      <c r="R726" s="126" t="s">
        <v>270</v>
      </c>
      <c r="S726" s="126" t="s">
        <v>426</v>
      </c>
      <c r="T726" s="129" t="s">
        <v>402</v>
      </c>
      <c r="U726" s="129" t="s">
        <v>430</v>
      </c>
      <c r="V726" s="126" t="s">
        <v>425</v>
      </c>
      <c r="W726" s="255"/>
    </row>
    <row r="727" spans="1:23" hidden="1">
      <c r="B727" s="95"/>
      <c r="C727" s="96"/>
      <c r="D727" s="97"/>
      <c r="E727" s="442"/>
      <c r="F727" s="443"/>
      <c r="G727" s="439"/>
      <c r="H727" s="439"/>
      <c r="I727" s="98"/>
      <c r="J727" s="11"/>
      <c r="R727" s="129">
        <f>IF(AND(F727="実施済",G727="実施済",H727="完了"),3,0)</f>
        <v>0</v>
      </c>
      <c r="S727" s="129" t="str">
        <f>IF(OR(E727="〇〇(合意形成対象者名に書き換え)",E727=""),"",R727)</f>
        <v/>
      </c>
      <c r="T727" s="129">
        <f t="shared" ref="T727:T732" si="211">MIN($S$727:$S$732)+1</f>
        <v>1</v>
      </c>
      <c r="U727" s="129">
        <f>IF(E727="",1,IF(AND(E727="〇〇(合意形成対象者名に書き換え)",COUNTA($F727:$H727)=0),1,IF(AND(E727&lt;&gt;"〇〇(合意形成対象者名に書き換え)",COUNTA($F727:$H727)=3),1,0)))</f>
        <v>1</v>
      </c>
      <c r="V727" s="129" t="str" cm="1">
        <f t="array" ref="V727">_xlfn.IFS(T727=4,"A",T727=3,"B",T727=2,"C",T727=1,"D")</f>
        <v>D</v>
      </c>
      <c r="W727" s="255"/>
    </row>
    <row r="728" spans="1:23">
      <c r="B728" s="95"/>
      <c r="C728" s="96"/>
      <c r="D728" s="97"/>
      <c r="E728" s="100" t="s">
        <v>129</v>
      </c>
      <c r="F728" s="446"/>
      <c r="G728" s="441"/>
      <c r="H728" s="441"/>
      <c r="I728" s="98"/>
      <c r="J728" s="11"/>
      <c r="R728" s="129">
        <f t="shared" ref="R728:R732" si="212">IF(AND(F728="実施済",G728="実施済",H728="完了"),3,0)</f>
        <v>0</v>
      </c>
      <c r="S728" s="129" t="str">
        <f t="shared" ref="S728:S732" si="213">IF(OR(E728="〇〇(合意形成対象者名に書き換え)",E728=""),"",R728)</f>
        <v/>
      </c>
      <c r="T728" s="129">
        <f t="shared" si="211"/>
        <v>1</v>
      </c>
      <c r="U728" s="129">
        <f>IF(E728="",1,IF(AND(E728="〇〇(合意形成対象者名に書き換え)",COUNTA($F728:$H728)=0),1,IF(AND(E728&lt;&gt;"〇〇(合意形成対象者名に書き換え)",COUNTA($F728:$H728)=3),1,0)))</f>
        <v>1</v>
      </c>
      <c r="V728" s="129" t="str" cm="1">
        <f t="array" ref="V728">_xlfn.IFS(T728=4,"A",T728=3,"B",T728=2,"C",T728=1,"D")</f>
        <v>D</v>
      </c>
      <c r="W728" s="255"/>
    </row>
    <row r="729" spans="1:23">
      <c r="B729" s="95"/>
      <c r="C729" s="96"/>
      <c r="D729" s="97"/>
      <c r="E729" s="100" t="s">
        <v>129</v>
      </c>
      <c r="F729" s="446"/>
      <c r="G729" s="441"/>
      <c r="H729" s="441"/>
      <c r="I729" s="98"/>
      <c r="J729" s="11"/>
      <c r="R729" s="129">
        <f t="shared" si="212"/>
        <v>0</v>
      </c>
      <c r="S729" s="129" t="str">
        <f t="shared" si="213"/>
        <v/>
      </c>
      <c r="T729" s="129">
        <f t="shared" si="211"/>
        <v>1</v>
      </c>
      <c r="U729" s="129">
        <f>IF(E729="",1,IF(AND(E729="〇〇(合意形成対象者名に書き換え)",COUNTA($F729:$H729)=0),1,IF(AND(E729&lt;&gt;"〇〇(合意形成対象者名に書き換え)",COUNTA($F729:$H729)=3),1,0)))</f>
        <v>1</v>
      </c>
      <c r="V729" s="129" t="str" cm="1">
        <f t="array" ref="V729">_xlfn.IFS(T729=4,"A",T729=3,"B",T729=2,"C",T729=1,"D")</f>
        <v>D</v>
      </c>
      <c r="W729" s="255"/>
    </row>
    <row r="730" spans="1:23" s="99" customFormat="1">
      <c r="A730" s="11"/>
      <c r="B730" s="95"/>
      <c r="C730" s="96"/>
      <c r="D730" s="97"/>
      <c r="E730" s="100" t="s">
        <v>129</v>
      </c>
      <c r="F730" s="446"/>
      <c r="G730" s="441"/>
      <c r="H730" s="441"/>
      <c r="I730" s="98"/>
      <c r="J730" s="11"/>
      <c r="M730" s="11"/>
      <c r="N730" s="11"/>
      <c r="O730" s="11"/>
      <c r="P730" s="11"/>
      <c r="Q730" s="11"/>
      <c r="R730" s="129">
        <f t="shared" si="212"/>
        <v>0</v>
      </c>
      <c r="S730" s="129" t="str">
        <f t="shared" si="213"/>
        <v/>
      </c>
      <c r="T730" s="129">
        <f t="shared" si="211"/>
        <v>1</v>
      </c>
      <c r="U730" s="129">
        <f>IF(E730="",1,IF(AND(E730="〇〇(合意形成対象者名に書き換え)",COUNTA($F730:$H730)=0),1,IF(AND(E730&lt;&gt;"〇〇(合意形成対象者名に書き換え)",COUNTA($F730:$H730)=3),1,0)))</f>
        <v>1</v>
      </c>
      <c r="V730" s="129" t="str" cm="1">
        <f t="array" ref="V730">_xlfn.IFS(T730=4,"A",T730=3,"B",T730=2,"C",T730=1,"D")</f>
        <v>D</v>
      </c>
      <c r="W730" s="129"/>
    </row>
    <row r="731" spans="1:23" customFormat="1" ht="7.5" customHeight="1">
      <c r="B731" s="65"/>
      <c r="C731" s="4"/>
      <c r="D731" s="4"/>
      <c r="E731" s="4"/>
      <c r="F731" s="4"/>
      <c r="G731" s="4"/>
      <c r="H731" s="4"/>
      <c r="I731" s="9"/>
      <c r="J731" s="2"/>
      <c r="K731" s="2"/>
      <c r="L731" s="2"/>
      <c r="R731" s="129">
        <f t="shared" si="212"/>
        <v>0</v>
      </c>
      <c r="S731" s="129" t="str">
        <f t="shared" si="213"/>
        <v/>
      </c>
      <c r="T731" s="129">
        <f t="shared" si="211"/>
        <v>1</v>
      </c>
      <c r="U731" s="129">
        <f t="shared" ref="U731:U732" si="214">IF(E731="",1,IF(AND(E731="〇〇(合意形成対象者名に書き換え)",COUNTA($F731:$H731)=0),1,IF(AND(E731&lt;&gt;"〇〇(合意形成対象者名に書き換え)",COUNTA($F731:$H731)=3),1,0)))</f>
        <v>1</v>
      </c>
      <c r="V731" s="129" t="str" cm="1">
        <f t="array" ref="V731">_xlfn.IFS(T731=4,"A",T731=3,"B",T731=2,"C",T731=1,"D")</f>
        <v>D</v>
      </c>
      <c r="W731" s="175"/>
    </row>
    <row r="732" spans="1:23" customFormat="1" ht="6" customHeight="1">
      <c r="J732" s="2"/>
      <c r="K732" s="2"/>
      <c r="L732" s="2"/>
      <c r="R732" s="129">
        <f t="shared" si="212"/>
        <v>0</v>
      </c>
      <c r="S732" s="129" t="str">
        <f t="shared" si="213"/>
        <v/>
      </c>
      <c r="T732" s="129">
        <f t="shared" si="211"/>
        <v>1</v>
      </c>
      <c r="U732" s="129">
        <f t="shared" si="214"/>
        <v>1</v>
      </c>
      <c r="V732" s="129" t="str" cm="1">
        <f t="array" ref="V732">_xlfn.IFS(T732=4,"A",T732=3,"B",T732=2,"C",T732=1,"D")</f>
        <v>D</v>
      </c>
      <c r="W732" s="175"/>
    </row>
    <row r="733" spans="1:23" customFormat="1" ht="103.5" customHeight="1">
      <c r="C733" s="78"/>
      <c r="D733" s="79"/>
      <c r="E733" s="71" t="s">
        <v>236</v>
      </c>
      <c r="F733" s="1452"/>
      <c r="G733" s="1452"/>
      <c r="H733" s="1452"/>
      <c r="I733" s="80" t="s">
        <v>132</v>
      </c>
      <c r="J733" s="80"/>
    </row>
    <row r="734" spans="1:23" customFormat="1" ht="146.25" customHeight="1">
      <c r="C734" s="75"/>
      <c r="D734" s="68"/>
      <c r="E734" s="71" t="s">
        <v>235</v>
      </c>
      <c r="F734" s="1452"/>
      <c r="G734" s="1452"/>
      <c r="H734" s="1452"/>
      <c r="J734" s="2"/>
      <c r="K734" s="2"/>
      <c r="L734" s="2"/>
    </row>
    <row r="735" spans="1:23" customFormat="1" ht="13.5" customHeight="1" thickBot="1">
      <c r="A735" s="81"/>
      <c r="B735" s="81"/>
      <c r="C735" s="81"/>
      <c r="D735" s="81"/>
      <c r="E735" s="81"/>
      <c r="F735" s="81"/>
      <c r="G735" s="81"/>
      <c r="H735" s="81"/>
      <c r="I735" s="81"/>
      <c r="J735" s="82"/>
      <c r="K735" s="2"/>
      <c r="L735" s="2"/>
    </row>
    <row r="736" spans="1:23" customFormat="1" ht="13.5" customHeight="1">
      <c r="J736" s="2"/>
      <c r="K736" s="2"/>
      <c r="L736" s="2"/>
    </row>
    <row r="737" spans="1:23" customFormat="1" ht="15" customHeight="1">
      <c r="B737" s="10"/>
      <c r="C737" s="5"/>
      <c r="D737" s="5"/>
      <c r="E737" s="5"/>
      <c r="F737" s="5"/>
      <c r="G737" s="5"/>
      <c r="H737" s="5"/>
      <c r="I737" s="6"/>
      <c r="R737" s="11" t="str">
        <f>D738</f>
        <v>(選択してください)</v>
      </c>
    </row>
    <row r="738" spans="1:23" customFormat="1">
      <c r="B738" s="7"/>
      <c r="C738" s="77" t="str">
        <f ca="1">IFERROR(OFFSET('4.2民生電力需要量'!$C$8,MATCH(D738,'4.2民生電力需要量'!$E$9:$E$49,0),0),"")</f>
        <v/>
      </c>
      <c r="D738" s="94" t="s">
        <v>130</v>
      </c>
      <c r="E738" s="72" t="s">
        <v>131</v>
      </c>
      <c r="F738" s="1451" t="str">
        <f ca="1">IFERROR(OFFSET('4.2民生電力需要量'!$G$1,MATCH($D738,'4.2民生電力需要量'!$E:$E,0)-1,0),"")</f>
        <v/>
      </c>
      <c r="G738" s="1451"/>
      <c r="H738" s="1451"/>
      <c r="I738" s="8"/>
      <c r="R738" s="255" t="str">
        <f ca="1">IFERROR(OFFSET('4.2民生電力需要量'!$G$1,MATCH($D738,'4.2民生電力需要量'!$E:$E,0)-1,0),"")</f>
        <v/>
      </c>
      <c r="S738" s="515"/>
      <c r="T738" s="515"/>
      <c r="U738" s="515"/>
      <c r="V738" s="515"/>
      <c r="W738" s="175">
        <f ca="1">(F738=R738)*1</f>
        <v>1</v>
      </c>
    </row>
    <row r="739" spans="1:23" customFormat="1">
      <c r="B739" s="7"/>
      <c r="C739" s="915"/>
      <c r="D739" s="97"/>
      <c r="E739" s="72" t="s">
        <v>612</v>
      </c>
      <c r="F739" s="1447" t="str">
        <f ca="1">IFERROR(OFFSET('4.2民生電力需要量'!$L$1,MATCH($D738,'4.2民生電力需要量'!$E:$E,0)-1,0),"")</f>
        <v/>
      </c>
      <c r="G739" s="1448"/>
      <c r="H739" s="1449"/>
      <c r="I739" s="8"/>
      <c r="R739" s="255" t="str">
        <f ca="1">IFERROR(OFFSET('4.2民生電力需要量'!$L$1,MATCH($D738,'4.2民生電力需要量'!$E:$E,0)-1,0),"")</f>
        <v/>
      </c>
      <c r="S739" s="515"/>
      <c r="T739" s="515"/>
      <c r="U739" s="515"/>
      <c r="V739" s="515"/>
      <c r="W739" s="175">
        <f ca="1">(F739=R739)*1</f>
        <v>1</v>
      </c>
    </row>
    <row r="740" spans="1:23" customFormat="1">
      <c r="B740" s="7"/>
      <c r="C740" s="915"/>
      <c r="D740" s="97"/>
      <c r="E740" s="72" t="s">
        <v>613</v>
      </c>
      <c r="F740" s="1456"/>
      <c r="G740" s="1457"/>
      <c r="H740" s="1458"/>
      <c r="I740" s="8"/>
      <c r="R740" s="320"/>
      <c r="S740" s="515"/>
      <c r="T740" s="515"/>
      <c r="U740" s="515"/>
      <c r="V740" s="515"/>
      <c r="W740" s="515"/>
    </row>
    <row r="741" spans="1:23" customFormat="1">
      <c r="B741" s="7"/>
      <c r="C741" s="74"/>
      <c r="D741" s="66"/>
      <c r="E741" s="72" t="s">
        <v>220</v>
      </c>
      <c r="F741" s="1450" t="str">
        <f ca="1">IFERROR(OFFSET('4.2民生電力需要量'!$I$1,MATCH($D738,'4.2民生電力需要量'!$E:$E,0)-1,0),"")</f>
        <v/>
      </c>
      <c r="G741" s="1450"/>
      <c r="H741" s="1450"/>
      <c r="I741" s="8"/>
      <c r="R741" s="175" t="str">
        <f ca="1">IFERROR(OFFSET('4.2民生電力需要量'!$I$1,MATCH($D738,'4.2民生電力需要量'!$E:$E,0)-1,0),"")</f>
        <v/>
      </c>
      <c r="S741" s="515"/>
      <c r="T741" s="515"/>
      <c r="U741" s="515"/>
      <c r="V741" s="515"/>
      <c r="W741" s="175">
        <f t="shared" ref="W741:W742" ca="1" si="215">(F741=R741)*1</f>
        <v>1</v>
      </c>
    </row>
    <row r="742" spans="1:23" customFormat="1">
      <c r="B742" s="7"/>
      <c r="C742" s="74"/>
      <c r="D742" s="66"/>
      <c r="E742" s="72" t="s">
        <v>175</v>
      </c>
      <c r="F742" s="1453" t="str">
        <f>_xlfn.IFNA(R742,"")</f>
        <v/>
      </c>
      <c r="G742" s="1454"/>
      <c r="H742" s="1455"/>
      <c r="I742" s="8"/>
      <c r="R742" s="129" t="str">
        <f>IF(OR(COUNTIF($E744:$E749,"&lt;&gt;〇〇(合意形成対象者名に書き換え)")=3,COUNTIF($E744:$E749,"")&gt;3),"",IF(PRODUCT($U744:$U749)=1,V744,""))</f>
        <v/>
      </c>
      <c r="S742" s="515"/>
      <c r="T742" s="515"/>
      <c r="U742" s="515"/>
      <c r="V742" s="515"/>
      <c r="W742" s="175">
        <f t="shared" si="215"/>
        <v>1</v>
      </c>
    </row>
    <row r="743" spans="1:23" ht="63.75" customHeight="1">
      <c r="B743" s="95"/>
      <c r="C743" s="96"/>
      <c r="D743" s="97"/>
      <c r="E743" s="372"/>
      <c r="F743" s="313" t="s">
        <v>281</v>
      </c>
      <c r="G743" s="313" t="s">
        <v>282</v>
      </c>
      <c r="H743" s="313" t="s">
        <v>279</v>
      </c>
      <c r="I743" s="98"/>
      <c r="J743" s="11"/>
      <c r="R743" s="126" t="s">
        <v>270</v>
      </c>
      <c r="S743" s="126" t="s">
        <v>426</v>
      </c>
      <c r="T743" s="129" t="s">
        <v>402</v>
      </c>
      <c r="U743" s="129" t="s">
        <v>430</v>
      </c>
      <c r="V743" s="126" t="s">
        <v>425</v>
      </c>
      <c r="W743" s="255"/>
    </row>
    <row r="744" spans="1:23" hidden="1">
      <c r="B744" s="95"/>
      <c r="C744" s="96"/>
      <c r="D744" s="97"/>
      <c r="E744" s="442"/>
      <c r="F744" s="443"/>
      <c r="G744" s="439"/>
      <c r="H744" s="439"/>
      <c r="I744" s="98"/>
      <c r="J744" s="11"/>
      <c r="R744" s="129">
        <f>IF(AND(F744="実施済",G744="実施済",H744="完了"),3,0)</f>
        <v>0</v>
      </c>
      <c r="S744" s="129" t="str">
        <f>IF(OR(E744="〇〇(合意形成対象者名に書き換え)",E744=""),"",R744)</f>
        <v/>
      </c>
      <c r="T744" s="129">
        <f t="shared" ref="T744:T749" si="216">MIN($S$744:$S$749)+1</f>
        <v>1</v>
      </c>
      <c r="U744" s="129">
        <f>IF(E744="",1,IF(AND(E744="〇〇(合意形成対象者名に書き換え)",COUNTA($F744:$H744)=0),1,IF(AND(E744&lt;&gt;"〇〇(合意形成対象者名に書き換え)",COUNTA($F744:$H744)=3),1,0)))</f>
        <v>1</v>
      </c>
      <c r="V744" s="129" t="str" cm="1">
        <f t="array" ref="V744">_xlfn.IFS(T744=4,"A",T744=3,"B",T744=2,"C",T744=1,"D")</f>
        <v>D</v>
      </c>
      <c r="W744" s="255"/>
    </row>
    <row r="745" spans="1:23">
      <c r="B745" s="95"/>
      <c r="C745" s="96"/>
      <c r="D745" s="97"/>
      <c r="E745" s="100" t="s">
        <v>129</v>
      </c>
      <c r="F745" s="446"/>
      <c r="G745" s="441"/>
      <c r="H745" s="441"/>
      <c r="I745" s="98"/>
      <c r="J745" s="11"/>
      <c r="R745" s="129">
        <f t="shared" ref="R745:R749" si="217">IF(AND(F745="実施済",G745="実施済",H745="完了"),3,0)</f>
        <v>0</v>
      </c>
      <c r="S745" s="129" t="str">
        <f t="shared" ref="S745:S749" si="218">IF(OR(E745="〇〇(合意形成対象者名に書き換え)",E745=""),"",R745)</f>
        <v/>
      </c>
      <c r="T745" s="129">
        <f t="shared" si="216"/>
        <v>1</v>
      </c>
      <c r="U745" s="129">
        <f>IF(E745="",1,IF(AND(E745="〇〇(合意形成対象者名に書き換え)",COUNTA($F745:$H745)=0),1,IF(AND(E745&lt;&gt;"〇〇(合意形成対象者名に書き換え)",COUNTA($F745:$H745)=3),1,0)))</f>
        <v>1</v>
      </c>
      <c r="V745" s="129" t="str" cm="1">
        <f t="array" ref="V745">_xlfn.IFS(T745=4,"A",T745=3,"B",T745=2,"C",T745=1,"D")</f>
        <v>D</v>
      </c>
      <c r="W745" s="255"/>
    </row>
    <row r="746" spans="1:23">
      <c r="B746" s="95"/>
      <c r="C746" s="96"/>
      <c r="D746" s="97"/>
      <c r="E746" s="100" t="s">
        <v>129</v>
      </c>
      <c r="F746" s="446"/>
      <c r="G746" s="441"/>
      <c r="H746" s="441"/>
      <c r="I746" s="98"/>
      <c r="J746" s="11"/>
      <c r="R746" s="129">
        <f t="shared" si="217"/>
        <v>0</v>
      </c>
      <c r="S746" s="129" t="str">
        <f t="shared" si="218"/>
        <v/>
      </c>
      <c r="T746" s="129">
        <f t="shared" si="216"/>
        <v>1</v>
      </c>
      <c r="U746" s="129">
        <f>IF(E746="",1,IF(AND(E746="〇〇(合意形成対象者名に書き換え)",COUNTA($F746:$H746)=0),1,IF(AND(E746&lt;&gt;"〇〇(合意形成対象者名に書き換え)",COUNTA($F746:$H746)=3),1,0)))</f>
        <v>1</v>
      </c>
      <c r="V746" s="129" t="str" cm="1">
        <f t="array" ref="V746">_xlfn.IFS(T746=4,"A",T746=3,"B",T746=2,"C",T746=1,"D")</f>
        <v>D</v>
      </c>
      <c r="W746" s="255"/>
    </row>
    <row r="747" spans="1:23" s="99" customFormat="1">
      <c r="A747" s="11"/>
      <c r="B747" s="95"/>
      <c r="C747" s="96"/>
      <c r="D747" s="97"/>
      <c r="E747" s="100" t="s">
        <v>129</v>
      </c>
      <c r="F747" s="446"/>
      <c r="G747" s="441"/>
      <c r="H747" s="441"/>
      <c r="I747" s="98"/>
      <c r="J747" s="11"/>
      <c r="M747" s="11"/>
      <c r="N747" s="11"/>
      <c r="O747" s="11"/>
      <c r="P747" s="11"/>
      <c r="Q747" s="11"/>
      <c r="R747" s="129">
        <f t="shared" si="217"/>
        <v>0</v>
      </c>
      <c r="S747" s="129" t="str">
        <f t="shared" si="218"/>
        <v/>
      </c>
      <c r="T747" s="129">
        <f t="shared" si="216"/>
        <v>1</v>
      </c>
      <c r="U747" s="129">
        <f>IF(E747="",1,IF(AND(E747="〇〇(合意形成対象者名に書き換え)",COUNTA($F747:$H747)=0),1,IF(AND(E747&lt;&gt;"〇〇(合意形成対象者名に書き換え)",COUNTA($F747:$H747)=3),1,0)))</f>
        <v>1</v>
      </c>
      <c r="V747" s="129" t="str" cm="1">
        <f t="array" ref="V747">_xlfn.IFS(T747=4,"A",T747=3,"B",T747=2,"C",T747=1,"D")</f>
        <v>D</v>
      </c>
      <c r="W747" s="129"/>
    </row>
    <row r="748" spans="1:23" customFormat="1" ht="7.5" customHeight="1">
      <c r="B748" s="65"/>
      <c r="C748" s="4"/>
      <c r="D748" s="4"/>
      <c r="E748" s="4"/>
      <c r="F748" s="4"/>
      <c r="G748" s="4"/>
      <c r="H748" s="4"/>
      <c r="I748" s="9"/>
      <c r="J748" s="2"/>
      <c r="K748" s="2"/>
      <c r="L748" s="2"/>
      <c r="R748" s="129">
        <f t="shared" si="217"/>
        <v>0</v>
      </c>
      <c r="S748" s="129" t="str">
        <f t="shared" si="218"/>
        <v/>
      </c>
      <c r="T748" s="129">
        <f t="shared" si="216"/>
        <v>1</v>
      </c>
      <c r="U748" s="129">
        <f t="shared" ref="U748:U749" si="219">IF(E748="",1,IF(AND(E748="〇〇(合意形成対象者名に書き換え)",COUNTA($F748:$H748)=0),1,IF(AND(E748&lt;&gt;"〇〇(合意形成対象者名に書き換え)",COUNTA($F748:$H748)=3),1,0)))</f>
        <v>1</v>
      </c>
      <c r="V748" s="129" t="str" cm="1">
        <f t="array" ref="V748">_xlfn.IFS(T748=4,"A",T748=3,"B",T748=2,"C",T748=1,"D")</f>
        <v>D</v>
      </c>
      <c r="W748" s="175"/>
    </row>
    <row r="749" spans="1:23" customFormat="1" ht="6" customHeight="1">
      <c r="J749" s="2"/>
      <c r="K749" s="2"/>
      <c r="L749" s="2"/>
      <c r="R749" s="129">
        <f t="shared" si="217"/>
        <v>0</v>
      </c>
      <c r="S749" s="129" t="str">
        <f t="shared" si="218"/>
        <v/>
      </c>
      <c r="T749" s="129">
        <f t="shared" si="216"/>
        <v>1</v>
      </c>
      <c r="U749" s="129">
        <f t="shared" si="219"/>
        <v>1</v>
      </c>
      <c r="V749" s="129" t="str" cm="1">
        <f t="array" ref="V749">_xlfn.IFS(T749=4,"A",T749=3,"B",T749=2,"C",T749=1,"D")</f>
        <v>D</v>
      </c>
      <c r="W749" s="175"/>
    </row>
    <row r="750" spans="1:23" customFormat="1" ht="103.5" customHeight="1">
      <c r="C750" s="78"/>
      <c r="D750" s="79"/>
      <c r="E750" s="71" t="s">
        <v>236</v>
      </c>
      <c r="F750" s="1452"/>
      <c r="G750" s="1452"/>
      <c r="H750" s="1452"/>
      <c r="I750" s="80" t="s">
        <v>132</v>
      </c>
      <c r="J750" s="80"/>
    </row>
    <row r="751" spans="1:23" customFormat="1" ht="146.25" customHeight="1">
      <c r="C751" s="75"/>
      <c r="D751" s="68"/>
      <c r="E751" s="71" t="s">
        <v>235</v>
      </c>
      <c r="F751" s="1452"/>
      <c r="G751" s="1452"/>
      <c r="H751" s="1452"/>
      <c r="J751" s="2"/>
      <c r="K751" s="2"/>
      <c r="L751" s="2"/>
    </row>
    <row r="752" spans="1:23" customFormat="1" ht="13.5" customHeight="1" thickBot="1">
      <c r="A752" s="81"/>
      <c r="B752" s="81"/>
      <c r="C752" s="81"/>
      <c r="D752" s="81"/>
      <c r="E752" s="81"/>
      <c r="F752" s="81"/>
      <c r="G752" s="81"/>
      <c r="H752" s="81"/>
      <c r="I752" s="81"/>
      <c r="J752" s="82"/>
      <c r="K752" s="2"/>
      <c r="L752" s="2"/>
    </row>
    <row r="753" spans="1:23" customFormat="1" ht="13.5" customHeight="1">
      <c r="J753" s="2"/>
      <c r="K753" s="2"/>
      <c r="L753" s="2"/>
    </row>
    <row r="754" spans="1:23" customFormat="1" ht="15" customHeight="1">
      <c r="B754" s="10"/>
      <c r="C754" s="5"/>
      <c r="D754" s="5"/>
      <c r="E754" s="5"/>
      <c r="F754" s="5"/>
      <c r="G754" s="5"/>
      <c r="H754" s="5"/>
      <c r="I754" s="6"/>
      <c r="R754" s="11" t="str">
        <f>D755</f>
        <v>(選択してください)</v>
      </c>
    </row>
    <row r="755" spans="1:23" customFormat="1">
      <c r="B755" s="7"/>
      <c r="C755" s="77" t="str">
        <f ca="1">IFERROR(OFFSET('4.2民生電力需要量'!$C$8,MATCH(D755,'4.2民生電力需要量'!$E$9:$E$49,0),0),"")</f>
        <v/>
      </c>
      <c r="D755" s="94" t="s">
        <v>130</v>
      </c>
      <c r="E755" s="72" t="s">
        <v>131</v>
      </c>
      <c r="F755" s="1451" t="str">
        <f ca="1">IFERROR(OFFSET('4.2民生電力需要量'!$G$1,MATCH($D755,'4.2民生電力需要量'!$E:$E,0)-1,0),"")</f>
        <v/>
      </c>
      <c r="G755" s="1451"/>
      <c r="H755" s="1451"/>
      <c r="I755" s="8"/>
      <c r="R755" s="255" t="str">
        <f ca="1">IFERROR(OFFSET('4.2民生電力需要量'!$G$1,MATCH($D755,'4.2民生電力需要量'!$E:$E,0)-1,0),"")</f>
        <v/>
      </c>
      <c r="S755" s="515"/>
      <c r="T755" s="515"/>
      <c r="U755" s="515"/>
      <c r="V755" s="515"/>
      <c r="W755" s="175">
        <f ca="1">(F755=R755)*1</f>
        <v>1</v>
      </c>
    </row>
    <row r="756" spans="1:23" customFormat="1">
      <c r="B756" s="7"/>
      <c r="C756" s="915"/>
      <c r="D756" s="97"/>
      <c r="E756" s="72" t="s">
        <v>612</v>
      </c>
      <c r="F756" s="1447" t="str">
        <f ca="1">IFERROR(OFFSET('4.2民生電力需要量'!$L$1,MATCH($D755,'4.2民生電力需要量'!$E:$E,0)-1,0),"")</f>
        <v/>
      </c>
      <c r="G756" s="1448"/>
      <c r="H756" s="1449"/>
      <c r="I756" s="8"/>
      <c r="R756" s="255" t="str">
        <f ca="1">IFERROR(OFFSET('4.2民生電力需要量'!$L$1,MATCH($D755,'4.2民生電力需要量'!$E:$E,0)-1,0),"")</f>
        <v/>
      </c>
      <c r="S756" s="515"/>
      <c r="T756" s="515"/>
      <c r="U756" s="515"/>
      <c r="V756" s="515"/>
      <c r="W756" s="175">
        <f ca="1">(F756=R756)*1</f>
        <v>1</v>
      </c>
    </row>
    <row r="757" spans="1:23" customFormat="1">
      <c r="B757" s="7"/>
      <c r="C757" s="915"/>
      <c r="D757" s="97"/>
      <c r="E757" s="72" t="s">
        <v>613</v>
      </c>
      <c r="F757" s="1456"/>
      <c r="G757" s="1457"/>
      <c r="H757" s="1458"/>
      <c r="I757" s="8"/>
      <c r="R757" s="320"/>
      <c r="S757" s="515"/>
      <c r="T757" s="515"/>
      <c r="U757" s="515"/>
      <c r="V757" s="515"/>
      <c r="W757" s="515"/>
    </row>
    <row r="758" spans="1:23" customFormat="1">
      <c r="B758" s="7"/>
      <c r="C758" s="74"/>
      <c r="D758" s="66"/>
      <c r="E758" s="72" t="s">
        <v>220</v>
      </c>
      <c r="F758" s="1450" t="str">
        <f ca="1">IFERROR(OFFSET('4.2民生電力需要量'!$I$1,MATCH($D755,'4.2民生電力需要量'!$E:$E,0)-1,0),"")</f>
        <v/>
      </c>
      <c r="G758" s="1450"/>
      <c r="H758" s="1450"/>
      <c r="I758" s="8"/>
      <c r="R758" s="175" t="str">
        <f ca="1">IFERROR(OFFSET('4.2民生電力需要量'!$I$1,MATCH($D755,'4.2民生電力需要量'!$E:$E,0)-1,0),"")</f>
        <v/>
      </c>
      <c r="S758" s="515"/>
      <c r="T758" s="515"/>
      <c r="U758" s="515"/>
      <c r="V758" s="515"/>
      <c r="W758" s="175">
        <f t="shared" ref="W758:W759" ca="1" si="220">(F758=R758)*1</f>
        <v>1</v>
      </c>
    </row>
    <row r="759" spans="1:23" customFormat="1">
      <c r="B759" s="7"/>
      <c r="C759" s="74"/>
      <c r="D759" s="66"/>
      <c r="E759" s="72" t="s">
        <v>175</v>
      </c>
      <c r="F759" s="1453" t="str">
        <f>_xlfn.IFNA(R759,"")</f>
        <v/>
      </c>
      <c r="G759" s="1454"/>
      <c r="H759" s="1455"/>
      <c r="I759" s="8"/>
      <c r="R759" s="129" t="str">
        <f>IF(OR(COUNTIF($E761:$E766,"&lt;&gt;〇〇(合意形成対象者名に書き換え)")=3,COUNTIF($E761:$E766,"")&gt;3),"",IF(PRODUCT($U761:$U766)=1,V761,""))</f>
        <v/>
      </c>
      <c r="S759" s="515"/>
      <c r="T759" s="515"/>
      <c r="U759" s="515"/>
      <c r="V759" s="515"/>
      <c r="W759" s="175">
        <f t="shared" si="220"/>
        <v>1</v>
      </c>
    </row>
    <row r="760" spans="1:23" ht="63.75" customHeight="1">
      <c r="B760" s="95"/>
      <c r="C760" s="96"/>
      <c r="D760" s="97"/>
      <c r="E760" s="372"/>
      <c r="F760" s="313" t="s">
        <v>281</v>
      </c>
      <c r="G760" s="313" t="s">
        <v>282</v>
      </c>
      <c r="H760" s="313" t="s">
        <v>279</v>
      </c>
      <c r="I760" s="98"/>
      <c r="J760" s="11"/>
      <c r="R760" s="126" t="s">
        <v>270</v>
      </c>
      <c r="S760" s="126" t="s">
        <v>426</v>
      </c>
      <c r="T760" s="129" t="s">
        <v>402</v>
      </c>
      <c r="U760" s="129" t="s">
        <v>430</v>
      </c>
      <c r="V760" s="126" t="s">
        <v>425</v>
      </c>
      <c r="W760" s="255"/>
    </row>
    <row r="761" spans="1:23" hidden="1">
      <c r="B761" s="95"/>
      <c r="C761" s="96"/>
      <c r="D761" s="97"/>
      <c r="E761" s="442"/>
      <c r="F761" s="443"/>
      <c r="G761" s="439"/>
      <c r="H761" s="439"/>
      <c r="I761" s="98"/>
      <c r="J761" s="11"/>
      <c r="R761" s="129">
        <f>IF(AND(F761="実施済",G761="実施済",H761="完了"),3,0)</f>
        <v>0</v>
      </c>
      <c r="S761" s="129" t="str">
        <f>IF(OR(E761="〇〇(合意形成対象者名に書き換え)",E761=""),"",R761)</f>
        <v/>
      </c>
      <c r="T761" s="129">
        <f t="shared" ref="T761:T766" si="221">MIN($S$761:$S$766)+1</f>
        <v>1</v>
      </c>
      <c r="U761" s="129">
        <f>IF(E761="",1,IF(AND(E761="〇〇(合意形成対象者名に書き換え)",COUNTA($F761:$H761)=0),1,IF(AND(E761&lt;&gt;"〇〇(合意形成対象者名に書き換え)",COUNTA($F761:$H761)=3),1,0)))</f>
        <v>1</v>
      </c>
      <c r="V761" s="129" t="str" cm="1">
        <f t="array" ref="V761">_xlfn.IFS(T761=4,"A",T761=3,"B",T761=2,"C",T761=1,"D")</f>
        <v>D</v>
      </c>
      <c r="W761" s="255"/>
    </row>
    <row r="762" spans="1:23">
      <c r="B762" s="95"/>
      <c r="C762" s="96"/>
      <c r="D762" s="97"/>
      <c r="E762" s="100" t="s">
        <v>129</v>
      </c>
      <c r="F762" s="446"/>
      <c r="G762" s="441"/>
      <c r="H762" s="441"/>
      <c r="I762" s="98"/>
      <c r="J762" s="11"/>
      <c r="R762" s="129">
        <f t="shared" ref="R762:R766" si="222">IF(AND(F762="実施済",G762="実施済",H762="完了"),3,0)</f>
        <v>0</v>
      </c>
      <c r="S762" s="129" t="str">
        <f t="shared" ref="S762:S766" si="223">IF(OR(E762="〇〇(合意形成対象者名に書き換え)",E762=""),"",R762)</f>
        <v/>
      </c>
      <c r="T762" s="129">
        <f t="shared" si="221"/>
        <v>1</v>
      </c>
      <c r="U762" s="129">
        <f>IF(E762="",1,IF(AND(E762="〇〇(合意形成対象者名に書き換え)",COUNTA($F762:$H762)=0),1,IF(AND(E762&lt;&gt;"〇〇(合意形成対象者名に書き換え)",COUNTA($F762:$H762)=3),1,0)))</f>
        <v>1</v>
      </c>
      <c r="V762" s="129" t="str" cm="1">
        <f t="array" ref="V762">_xlfn.IFS(T762=4,"A",T762=3,"B",T762=2,"C",T762=1,"D")</f>
        <v>D</v>
      </c>
      <c r="W762" s="255"/>
    </row>
    <row r="763" spans="1:23">
      <c r="B763" s="95"/>
      <c r="C763" s="96"/>
      <c r="D763" s="97"/>
      <c r="E763" s="100" t="s">
        <v>129</v>
      </c>
      <c r="F763" s="446"/>
      <c r="G763" s="441"/>
      <c r="H763" s="441"/>
      <c r="I763" s="98"/>
      <c r="J763" s="11"/>
      <c r="R763" s="129">
        <f t="shared" si="222"/>
        <v>0</v>
      </c>
      <c r="S763" s="129" t="str">
        <f t="shared" si="223"/>
        <v/>
      </c>
      <c r="T763" s="129">
        <f t="shared" si="221"/>
        <v>1</v>
      </c>
      <c r="U763" s="129">
        <f>IF(E763="",1,IF(AND(E763="〇〇(合意形成対象者名に書き換え)",COUNTA($F763:$H763)=0),1,IF(AND(E763&lt;&gt;"〇〇(合意形成対象者名に書き換え)",COUNTA($F763:$H763)=3),1,0)))</f>
        <v>1</v>
      </c>
      <c r="V763" s="129" t="str" cm="1">
        <f t="array" ref="V763">_xlfn.IFS(T763=4,"A",T763=3,"B",T763=2,"C",T763=1,"D")</f>
        <v>D</v>
      </c>
      <c r="W763" s="255"/>
    </row>
    <row r="764" spans="1:23" s="99" customFormat="1">
      <c r="A764" s="11"/>
      <c r="B764" s="95"/>
      <c r="C764" s="96"/>
      <c r="D764" s="97"/>
      <c r="E764" s="100" t="s">
        <v>129</v>
      </c>
      <c r="F764" s="446"/>
      <c r="G764" s="441"/>
      <c r="H764" s="441"/>
      <c r="I764" s="98"/>
      <c r="J764" s="11"/>
      <c r="M764" s="11"/>
      <c r="N764" s="11"/>
      <c r="O764" s="11"/>
      <c r="P764" s="11"/>
      <c r="Q764" s="11"/>
      <c r="R764" s="129">
        <f t="shared" si="222"/>
        <v>0</v>
      </c>
      <c r="S764" s="129" t="str">
        <f t="shared" si="223"/>
        <v/>
      </c>
      <c r="T764" s="129">
        <f t="shared" si="221"/>
        <v>1</v>
      </c>
      <c r="U764" s="129">
        <f>IF(E764="",1,IF(AND(E764="〇〇(合意形成対象者名に書き換え)",COUNTA($F764:$H764)=0),1,IF(AND(E764&lt;&gt;"〇〇(合意形成対象者名に書き換え)",COUNTA($F764:$H764)=3),1,0)))</f>
        <v>1</v>
      </c>
      <c r="V764" s="129" t="str" cm="1">
        <f t="array" ref="V764">_xlfn.IFS(T764=4,"A",T764=3,"B",T764=2,"C",T764=1,"D")</f>
        <v>D</v>
      </c>
      <c r="W764" s="129"/>
    </row>
    <row r="765" spans="1:23" customFormat="1" ht="7.5" customHeight="1">
      <c r="B765" s="65"/>
      <c r="C765" s="4"/>
      <c r="D765" s="4"/>
      <c r="E765" s="4"/>
      <c r="F765" s="4"/>
      <c r="G765" s="4"/>
      <c r="H765" s="4"/>
      <c r="I765" s="9"/>
      <c r="J765" s="2"/>
      <c r="K765" s="2"/>
      <c r="L765" s="2"/>
      <c r="R765" s="129">
        <f t="shared" si="222"/>
        <v>0</v>
      </c>
      <c r="S765" s="129" t="str">
        <f t="shared" si="223"/>
        <v/>
      </c>
      <c r="T765" s="129">
        <f t="shared" si="221"/>
        <v>1</v>
      </c>
      <c r="U765" s="129">
        <f t="shared" ref="U765:U766" si="224">IF(E765="",1,IF(AND(E765="〇〇(合意形成対象者名に書き換え)",COUNTA($F765:$H765)=0),1,IF(AND(E765&lt;&gt;"〇〇(合意形成対象者名に書き換え)",COUNTA($F765:$H765)=3),1,0)))</f>
        <v>1</v>
      </c>
      <c r="V765" s="129" t="str" cm="1">
        <f t="array" ref="V765">_xlfn.IFS(T765=4,"A",T765=3,"B",T765=2,"C",T765=1,"D")</f>
        <v>D</v>
      </c>
      <c r="W765" s="175"/>
    </row>
    <row r="766" spans="1:23" customFormat="1" ht="6" customHeight="1">
      <c r="J766" s="2"/>
      <c r="K766" s="2"/>
      <c r="L766" s="2"/>
      <c r="R766" s="129">
        <f t="shared" si="222"/>
        <v>0</v>
      </c>
      <c r="S766" s="129" t="str">
        <f t="shared" si="223"/>
        <v/>
      </c>
      <c r="T766" s="129">
        <f t="shared" si="221"/>
        <v>1</v>
      </c>
      <c r="U766" s="129">
        <f t="shared" si="224"/>
        <v>1</v>
      </c>
      <c r="V766" s="129" t="str" cm="1">
        <f t="array" ref="V766">_xlfn.IFS(T766=4,"A",T766=3,"B",T766=2,"C",T766=1,"D")</f>
        <v>D</v>
      </c>
      <c r="W766" s="175"/>
    </row>
    <row r="767" spans="1:23" customFormat="1" ht="103.5" customHeight="1">
      <c r="C767" s="78"/>
      <c r="D767" s="79"/>
      <c r="E767" s="71" t="s">
        <v>236</v>
      </c>
      <c r="F767" s="1452"/>
      <c r="G767" s="1452"/>
      <c r="H767" s="1452"/>
      <c r="I767" s="80" t="s">
        <v>132</v>
      </c>
      <c r="J767" s="80"/>
    </row>
    <row r="768" spans="1:23" customFormat="1" ht="146.25" customHeight="1">
      <c r="C768" s="75"/>
      <c r="D768" s="68"/>
      <c r="E768" s="71" t="s">
        <v>235</v>
      </c>
      <c r="F768" s="1452"/>
      <c r="G768" s="1452"/>
      <c r="H768" s="1452"/>
      <c r="J768" s="2"/>
      <c r="K768" s="2"/>
      <c r="L768" s="2"/>
    </row>
    <row r="769" spans="1:23" customFormat="1" ht="13.5" customHeight="1" thickBot="1">
      <c r="A769" s="81"/>
      <c r="B769" s="81"/>
      <c r="C769" s="81"/>
      <c r="D769" s="81"/>
      <c r="E769" s="81"/>
      <c r="F769" s="81"/>
      <c r="G769" s="81"/>
      <c r="H769" s="81"/>
      <c r="I769" s="81"/>
      <c r="J769" s="82"/>
      <c r="K769" s="2"/>
      <c r="L769" s="2"/>
    </row>
    <row r="770" spans="1:23" customFormat="1" ht="13.5" customHeight="1">
      <c r="J770" s="2"/>
      <c r="K770" s="2"/>
      <c r="L770" s="2"/>
    </row>
    <row r="771" spans="1:23" customFormat="1" ht="15" customHeight="1">
      <c r="B771" s="10"/>
      <c r="C771" s="5"/>
      <c r="D771" s="5"/>
      <c r="E771" s="5"/>
      <c r="F771" s="5"/>
      <c r="G771" s="5"/>
      <c r="H771" s="5"/>
      <c r="I771" s="6"/>
      <c r="R771" s="11" t="str">
        <f>D772</f>
        <v>(選択してください)</v>
      </c>
    </row>
    <row r="772" spans="1:23" customFormat="1">
      <c r="B772" s="7"/>
      <c r="C772" s="77" t="str">
        <f ca="1">IFERROR(OFFSET('4.2民生電力需要量'!$C$8,MATCH(D772,'4.2民生電力需要量'!$E$9:$E$49,0),0),"")</f>
        <v/>
      </c>
      <c r="D772" s="94" t="s">
        <v>130</v>
      </c>
      <c r="E772" s="72" t="s">
        <v>131</v>
      </c>
      <c r="F772" s="1451" t="str">
        <f ca="1">IFERROR(OFFSET('4.2民生電力需要量'!$G$1,MATCH($D772,'4.2民生電力需要量'!$E:$E,0)-1,0),"")</f>
        <v/>
      </c>
      <c r="G772" s="1451"/>
      <c r="H772" s="1451"/>
      <c r="I772" s="8"/>
      <c r="R772" s="255" t="str">
        <f ca="1">IFERROR(OFFSET('4.2民生電力需要量'!$G$1,MATCH($D772,'4.2民生電力需要量'!$E:$E,0)-1,0),"")</f>
        <v/>
      </c>
      <c r="S772" s="515"/>
      <c r="T772" s="515"/>
      <c r="U772" s="515"/>
      <c r="V772" s="515"/>
      <c r="W772" s="175">
        <f ca="1">(F772=R772)*1</f>
        <v>1</v>
      </c>
    </row>
    <row r="773" spans="1:23" customFormat="1">
      <c r="B773" s="7"/>
      <c r="C773" s="915"/>
      <c r="D773" s="97"/>
      <c r="E773" s="72" t="s">
        <v>612</v>
      </c>
      <c r="F773" s="1447" t="str">
        <f ca="1">IFERROR(OFFSET('4.2民生電力需要量'!$L$1,MATCH($D772,'4.2民生電力需要量'!$E:$E,0)-1,0),"")</f>
        <v/>
      </c>
      <c r="G773" s="1448"/>
      <c r="H773" s="1449"/>
      <c r="I773" s="8"/>
      <c r="R773" s="255" t="str">
        <f ca="1">IFERROR(OFFSET('4.2民生電力需要量'!$L$1,MATCH($D772,'4.2民生電力需要量'!$E:$E,0)-1,0),"")</f>
        <v/>
      </c>
      <c r="S773" s="515"/>
      <c r="T773" s="515"/>
      <c r="U773" s="515"/>
      <c r="V773" s="515"/>
      <c r="W773" s="175">
        <f ca="1">(F773=R773)*1</f>
        <v>1</v>
      </c>
    </row>
    <row r="774" spans="1:23" customFormat="1">
      <c r="B774" s="7"/>
      <c r="C774" s="915"/>
      <c r="D774" s="97"/>
      <c r="E774" s="72" t="s">
        <v>613</v>
      </c>
      <c r="F774" s="1456"/>
      <c r="G774" s="1457"/>
      <c r="H774" s="1458"/>
      <c r="I774" s="8"/>
      <c r="R774" s="320"/>
      <c r="S774" s="515"/>
      <c r="T774" s="515"/>
      <c r="U774" s="515"/>
      <c r="V774" s="515"/>
      <c r="W774" s="515"/>
    </row>
    <row r="775" spans="1:23" customFormat="1">
      <c r="B775" s="7"/>
      <c r="C775" s="74"/>
      <c r="D775" s="66"/>
      <c r="E775" s="72" t="s">
        <v>220</v>
      </c>
      <c r="F775" s="1450" t="str">
        <f ca="1">IFERROR(OFFSET('4.2民生電力需要量'!$I$1,MATCH($D772,'4.2民生電力需要量'!$E:$E,0)-1,0),"")</f>
        <v/>
      </c>
      <c r="G775" s="1450"/>
      <c r="H775" s="1450"/>
      <c r="I775" s="8"/>
      <c r="R775" s="175" t="str">
        <f ca="1">IFERROR(OFFSET('4.2民生電力需要量'!$I$1,MATCH($D772,'4.2民生電力需要量'!$E:$E,0)-1,0),"")</f>
        <v/>
      </c>
      <c r="S775" s="515"/>
      <c r="T775" s="515"/>
      <c r="U775" s="515"/>
      <c r="V775" s="515"/>
      <c r="W775" s="175">
        <f t="shared" ref="W775:W776" ca="1" si="225">(F775=R775)*1</f>
        <v>1</v>
      </c>
    </row>
    <row r="776" spans="1:23" customFormat="1">
      <c r="B776" s="7"/>
      <c r="C776" s="74"/>
      <c r="D776" s="66"/>
      <c r="E776" s="72" t="s">
        <v>175</v>
      </c>
      <c r="F776" s="1453" t="str">
        <f>_xlfn.IFNA(R776,"")</f>
        <v/>
      </c>
      <c r="G776" s="1454"/>
      <c r="H776" s="1455"/>
      <c r="I776" s="8"/>
      <c r="R776" s="129" t="str">
        <f>IF(OR(COUNTIF($E778:$E783,"&lt;&gt;〇〇(合意形成対象者名に書き換え)")=3,COUNTIF($E778:$E783,"")&gt;3),"",IF(PRODUCT($U778:$U783)=1,V778,""))</f>
        <v/>
      </c>
      <c r="S776" s="515"/>
      <c r="T776" s="515"/>
      <c r="U776" s="515"/>
      <c r="V776" s="515"/>
      <c r="W776" s="175">
        <f t="shared" si="225"/>
        <v>1</v>
      </c>
    </row>
    <row r="777" spans="1:23" ht="63.75" customHeight="1">
      <c r="B777" s="95"/>
      <c r="C777" s="96"/>
      <c r="D777" s="97"/>
      <c r="E777" s="372"/>
      <c r="F777" s="313" t="s">
        <v>281</v>
      </c>
      <c r="G777" s="313" t="s">
        <v>282</v>
      </c>
      <c r="H777" s="313" t="s">
        <v>279</v>
      </c>
      <c r="I777" s="98"/>
      <c r="J777" s="11"/>
      <c r="R777" s="126" t="s">
        <v>270</v>
      </c>
      <c r="S777" s="126" t="s">
        <v>426</v>
      </c>
      <c r="T777" s="129" t="s">
        <v>402</v>
      </c>
      <c r="U777" s="129" t="s">
        <v>430</v>
      </c>
      <c r="V777" s="126" t="s">
        <v>425</v>
      </c>
      <c r="W777" s="255"/>
    </row>
    <row r="778" spans="1:23" hidden="1">
      <c r="B778" s="95"/>
      <c r="C778" s="96"/>
      <c r="D778" s="97"/>
      <c r="E778" s="442"/>
      <c r="F778" s="443"/>
      <c r="G778" s="439"/>
      <c r="H778" s="439"/>
      <c r="I778" s="98"/>
      <c r="J778" s="11"/>
      <c r="R778" s="129">
        <f>IF(AND(F778="実施済",G778="実施済",H778="完了"),3,0)</f>
        <v>0</v>
      </c>
      <c r="S778" s="129" t="str">
        <f>IF(OR(E778="〇〇(合意形成対象者名に書き換え)",E778=""),"",R778)</f>
        <v/>
      </c>
      <c r="T778" s="129">
        <f t="shared" ref="T778:T783" si="226">MIN($S$778:$S$783)+1</f>
        <v>1</v>
      </c>
      <c r="U778" s="129">
        <f>IF(E778="",1,IF(AND(E778="〇〇(合意形成対象者名に書き換え)",COUNTA($F778:$H778)=0),1,IF(AND(E778&lt;&gt;"〇〇(合意形成対象者名に書き換え)",COUNTA($F778:$H778)=3),1,0)))</f>
        <v>1</v>
      </c>
      <c r="V778" s="129" t="str" cm="1">
        <f t="array" ref="V778">_xlfn.IFS(T778=4,"A",T778=3,"B",T778=2,"C",T778=1,"D")</f>
        <v>D</v>
      </c>
      <c r="W778" s="255"/>
    </row>
    <row r="779" spans="1:23">
      <c r="B779" s="95"/>
      <c r="C779" s="96"/>
      <c r="D779" s="97"/>
      <c r="E779" s="100" t="s">
        <v>129</v>
      </c>
      <c r="F779" s="446"/>
      <c r="G779" s="441"/>
      <c r="H779" s="441"/>
      <c r="I779" s="98"/>
      <c r="J779" s="11"/>
      <c r="R779" s="129">
        <f t="shared" ref="R779:R783" si="227">IF(AND(F779="実施済",G779="実施済",H779="完了"),3,0)</f>
        <v>0</v>
      </c>
      <c r="S779" s="129" t="str">
        <f t="shared" ref="S779:S783" si="228">IF(OR(E779="〇〇(合意形成対象者名に書き換え)",E779=""),"",R779)</f>
        <v/>
      </c>
      <c r="T779" s="129">
        <f t="shared" si="226"/>
        <v>1</v>
      </c>
      <c r="U779" s="129">
        <f>IF(E779="",1,IF(AND(E779="〇〇(合意形成対象者名に書き換え)",COUNTA($F779:$H779)=0),1,IF(AND(E779&lt;&gt;"〇〇(合意形成対象者名に書き換え)",COUNTA($F779:$H779)=3),1,0)))</f>
        <v>1</v>
      </c>
      <c r="V779" s="129" t="str" cm="1">
        <f t="array" ref="V779">_xlfn.IFS(T779=4,"A",T779=3,"B",T779=2,"C",T779=1,"D")</f>
        <v>D</v>
      </c>
      <c r="W779" s="255"/>
    </row>
    <row r="780" spans="1:23">
      <c r="B780" s="95"/>
      <c r="C780" s="96"/>
      <c r="D780" s="97"/>
      <c r="E780" s="100" t="s">
        <v>129</v>
      </c>
      <c r="F780" s="446"/>
      <c r="G780" s="441"/>
      <c r="H780" s="441"/>
      <c r="I780" s="98"/>
      <c r="J780" s="11"/>
      <c r="R780" s="129">
        <f t="shared" si="227"/>
        <v>0</v>
      </c>
      <c r="S780" s="129" t="str">
        <f t="shared" si="228"/>
        <v/>
      </c>
      <c r="T780" s="129">
        <f t="shared" si="226"/>
        <v>1</v>
      </c>
      <c r="U780" s="129">
        <f>IF(E780="",1,IF(AND(E780="〇〇(合意形成対象者名に書き換え)",COUNTA($F780:$H780)=0),1,IF(AND(E780&lt;&gt;"〇〇(合意形成対象者名に書き換え)",COUNTA($F780:$H780)=3),1,0)))</f>
        <v>1</v>
      </c>
      <c r="V780" s="129" t="str" cm="1">
        <f t="array" ref="V780">_xlfn.IFS(T780=4,"A",T780=3,"B",T780=2,"C",T780=1,"D")</f>
        <v>D</v>
      </c>
      <c r="W780" s="255"/>
    </row>
    <row r="781" spans="1:23" s="99" customFormat="1">
      <c r="A781" s="11"/>
      <c r="B781" s="95"/>
      <c r="C781" s="96"/>
      <c r="D781" s="97"/>
      <c r="E781" s="100" t="s">
        <v>129</v>
      </c>
      <c r="F781" s="446"/>
      <c r="G781" s="441"/>
      <c r="H781" s="441"/>
      <c r="I781" s="98"/>
      <c r="J781" s="11"/>
      <c r="M781" s="11"/>
      <c r="N781" s="11"/>
      <c r="O781" s="11"/>
      <c r="P781" s="11"/>
      <c r="Q781" s="11"/>
      <c r="R781" s="129">
        <f t="shared" si="227"/>
        <v>0</v>
      </c>
      <c r="S781" s="129" t="str">
        <f t="shared" si="228"/>
        <v/>
      </c>
      <c r="T781" s="129">
        <f t="shared" si="226"/>
        <v>1</v>
      </c>
      <c r="U781" s="129">
        <f>IF(E781="",1,IF(AND(E781="〇〇(合意形成対象者名に書き換え)",COUNTA($F781:$H781)=0),1,IF(AND(E781&lt;&gt;"〇〇(合意形成対象者名に書き換え)",COUNTA($F781:$H781)=3),1,0)))</f>
        <v>1</v>
      </c>
      <c r="V781" s="129" t="str" cm="1">
        <f t="array" ref="V781">_xlfn.IFS(T781=4,"A",T781=3,"B",T781=2,"C",T781=1,"D")</f>
        <v>D</v>
      </c>
      <c r="W781" s="129"/>
    </row>
    <row r="782" spans="1:23" customFormat="1" ht="7.5" customHeight="1">
      <c r="B782" s="65"/>
      <c r="C782" s="4"/>
      <c r="D782" s="4"/>
      <c r="E782" s="4"/>
      <c r="F782" s="4"/>
      <c r="G782" s="4"/>
      <c r="H782" s="4"/>
      <c r="I782" s="9"/>
      <c r="J782" s="2"/>
      <c r="K782" s="2"/>
      <c r="L782" s="2"/>
      <c r="R782" s="129">
        <f t="shared" si="227"/>
        <v>0</v>
      </c>
      <c r="S782" s="129" t="str">
        <f t="shared" si="228"/>
        <v/>
      </c>
      <c r="T782" s="129">
        <f t="shared" si="226"/>
        <v>1</v>
      </c>
      <c r="U782" s="129">
        <f t="shared" ref="U782:U783" si="229">IF(E782="",1,IF(AND(E782="〇〇(合意形成対象者名に書き換え)",COUNTA($F782:$H782)=0),1,IF(AND(E782&lt;&gt;"〇〇(合意形成対象者名に書き換え)",COUNTA($F782:$H782)=3),1,0)))</f>
        <v>1</v>
      </c>
      <c r="V782" s="129" t="str" cm="1">
        <f t="array" ref="V782">_xlfn.IFS(T782=4,"A",T782=3,"B",T782=2,"C",T782=1,"D")</f>
        <v>D</v>
      </c>
      <c r="W782" s="175"/>
    </row>
    <row r="783" spans="1:23" customFormat="1" ht="6" customHeight="1">
      <c r="J783" s="2"/>
      <c r="K783" s="2"/>
      <c r="L783" s="2"/>
      <c r="R783" s="129">
        <f t="shared" si="227"/>
        <v>0</v>
      </c>
      <c r="S783" s="129" t="str">
        <f t="shared" si="228"/>
        <v/>
      </c>
      <c r="T783" s="129">
        <f t="shared" si="226"/>
        <v>1</v>
      </c>
      <c r="U783" s="129">
        <f t="shared" si="229"/>
        <v>1</v>
      </c>
      <c r="V783" s="129" t="str" cm="1">
        <f t="array" ref="V783">_xlfn.IFS(T783=4,"A",T783=3,"B",T783=2,"C",T783=1,"D")</f>
        <v>D</v>
      </c>
      <c r="W783" s="175"/>
    </row>
    <row r="784" spans="1:23" customFormat="1" ht="103.5" customHeight="1">
      <c r="C784" s="78"/>
      <c r="D784" s="79"/>
      <c r="E784" s="71" t="s">
        <v>236</v>
      </c>
      <c r="F784" s="1452"/>
      <c r="G784" s="1452"/>
      <c r="H784" s="1452"/>
      <c r="I784" s="80" t="s">
        <v>132</v>
      </c>
      <c r="J784" s="80"/>
    </row>
    <row r="785" spans="1:23" customFormat="1" ht="146.25" customHeight="1">
      <c r="C785" s="75"/>
      <c r="D785" s="68"/>
      <c r="E785" s="71" t="s">
        <v>235</v>
      </c>
      <c r="F785" s="1452"/>
      <c r="G785" s="1452"/>
      <c r="H785" s="1452"/>
      <c r="J785" s="2"/>
      <c r="K785" s="2"/>
      <c r="L785" s="2"/>
    </row>
    <row r="786" spans="1:23" customFormat="1" ht="13.5" customHeight="1" thickBot="1">
      <c r="A786" s="81"/>
      <c r="B786" s="81"/>
      <c r="C786" s="81"/>
      <c r="D786" s="81"/>
      <c r="E786" s="81"/>
      <c r="F786" s="81"/>
      <c r="G786" s="81"/>
      <c r="H786" s="81"/>
      <c r="I786" s="81"/>
      <c r="J786" s="82"/>
      <c r="K786" s="2"/>
      <c r="L786" s="2"/>
    </row>
    <row r="787" spans="1:23" customFormat="1" ht="13.5" customHeight="1">
      <c r="J787" s="2"/>
      <c r="K787" s="2"/>
      <c r="L787" s="2"/>
    </row>
    <row r="788" spans="1:23" customFormat="1" ht="15" customHeight="1">
      <c r="B788" s="10"/>
      <c r="C788" s="5"/>
      <c r="D788" s="5"/>
      <c r="E788" s="5"/>
      <c r="F788" s="5"/>
      <c r="G788" s="5"/>
      <c r="H788" s="5"/>
      <c r="I788" s="6"/>
      <c r="R788" s="11" t="str">
        <f>D789</f>
        <v>(選択してください)</v>
      </c>
    </row>
    <row r="789" spans="1:23" customFormat="1">
      <c r="B789" s="7"/>
      <c r="C789" s="77" t="str">
        <f ca="1">IFERROR(OFFSET('4.2民生電力需要量'!$C$8,MATCH(D789,'4.2民生電力需要量'!$E$9:$E$49,0),0),"")</f>
        <v/>
      </c>
      <c r="D789" s="94" t="s">
        <v>130</v>
      </c>
      <c r="E789" s="72" t="s">
        <v>131</v>
      </c>
      <c r="F789" s="1451" t="str">
        <f ca="1">IFERROR(OFFSET('4.2民生電力需要量'!$G$1,MATCH($D789,'4.2民生電力需要量'!$E:$E,0)-1,0),"")</f>
        <v/>
      </c>
      <c r="G789" s="1451"/>
      <c r="H789" s="1451"/>
      <c r="I789" s="8"/>
      <c r="R789" s="255" t="str">
        <f ca="1">IFERROR(OFFSET('4.2民生電力需要量'!$G$1,MATCH($D789,'4.2民生電力需要量'!$E:$E,0)-1,0),"")</f>
        <v/>
      </c>
      <c r="S789" s="515"/>
      <c r="T789" s="515"/>
      <c r="U789" s="515"/>
      <c r="V789" s="515"/>
      <c r="W789" s="175">
        <f ca="1">(F789=R789)*1</f>
        <v>1</v>
      </c>
    </row>
    <row r="790" spans="1:23" customFormat="1">
      <c r="B790" s="7"/>
      <c r="C790" s="915"/>
      <c r="D790" s="97"/>
      <c r="E790" s="72" t="s">
        <v>612</v>
      </c>
      <c r="F790" s="1447" t="str">
        <f ca="1">IFERROR(OFFSET('4.2民生電力需要量'!$L$1,MATCH($D789,'4.2民生電力需要量'!$E:$E,0)-1,0),"")</f>
        <v/>
      </c>
      <c r="G790" s="1448"/>
      <c r="H790" s="1449"/>
      <c r="I790" s="8"/>
      <c r="R790" s="255" t="str">
        <f ca="1">IFERROR(OFFSET('4.2民生電力需要量'!$L$1,MATCH($D789,'4.2民生電力需要量'!$E:$E,0)-1,0),"")</f>
        <v/>
      </c>
      <c r="S790" s="515"/>
      <c r="T790" s="515"/>
      <c r="U790" s="515"/>
      <c r="V790" s="515"/>
      <c r="W790" s="175">
        <f ca="1">(F790=R790)*1</f>
        <v>1</v>
      </c>
    </row>
    <row r="791" spans="1:23" customFormat="1">
      <c r="B791" s="7"/>
      <c r="C791" s="915"/>
      <c r="D791" s="97"/>
      <c r="E791" s="72" t="s">
        <v>613</v>
      </c>
      <c r="F791" s="1456"/>
      <c r="G791" s="1457"/>
      <c r="H791" s="1458"/>
      <c r="I791" s="8"/>
      <c r="R791" s="320"/>
      <c r="S791" s="515"/>
      <c r="T791" s="515"/>
      <c r="U791" s="515"/>
      <c r="V791" s="515"/>
      <c r="W791" s="515"/>
    </row>
    <row r="792" spans="1:23" customFormat="1">
      <c r="B792" s="7"/>
      <c r="C792" s="74"/>
      <c r="D792" s="66"/>
      <c r="E792" s="72" t="s">
        <v>220</v>
      </c>
      <c r="F792" s="1450" t="str">
        <f ca="1">IFERROR(OFFSET('4.2民生電力需要量'!$I$1,MATCH($D789,'4.2民生電力需要量'!$E:$E,0)-1,0),"")</f>
        <v/>
      </c>
      <c r="G792" s="1450"/>
      <c r="H792" s="1450"/>
      <c r="I792" s="8"/>
      <c r="R792" s="175" t="str">
        <f ca="1">IFERROR(OFFSET('4.2民生電力需要量'!$I$1,MATCH($D789,'4.2民生電力需要量'!$E:$E,0)-1,0),"")</f>
        <v/>
      </c>
      <c r="S792" s="515"/>
      <c r="T792" s="515"/>
      <c r="U792" s="515"/>
      <c r="V792" s="515"/>
      <c r="W792" s="175">
        <f t="shared" ref="W792:W793" ca="1" si="230">(F792=R792)*1</f>
        <v>1</v>
      </c>
    </row>
    <row r="793" spans="1:23" customFormat="1">
      <c r="B793" s="7"/>
      <c r="C793" s="74"/>
      <c r="D793" s="66"/>
      <c r="E793" s="72" t="s">
        <v>175</v>
      </c>
      <c r="F793" s="1453" t="str">
        <f>_xlfn.IFNA(R793,"")</f>
        <v/>
      </c>
      <c r="G793" s="1454"/>
      <c r="H793" s="1455"/>
      <c r="I793" s="8"/>
      <c r="R793" s="129" t="str">
        <f>IF(OR(COUNTIF($E795:$E800,"&lt;&gt;〇〇(合意形成対象者名に書き換え)")=3,COUNTIF($E795:$E800,"")&gt;3),"",IF(PRODUCT($U795:$U800)=1,V795,""))</f>
        <v/>
      </c>
      <c r="S793" s="515"/>
      <c r="T793" s="515"/>
      <c r="U793" s="515"/>
      <c r="V793" s="515"/>
      <c r="W793" s="175">
        <f t="shared" si="230"/>
        <v>1</v>
      </c>
    </row>
    <row r="794" spans="1:23" ht="63.75" customHeight="1">
      <c r="B794" s="95"/>
      <c r="C794" s="96"/>
      <c r="D794" s="97"/>
      <c r="E794" s="372"/>
      <c r="F794" s="313" t="s">
        <v>281</v>
      </c>
      <c r="G794" s="313" t="s">
        <v>282</v>
      </c>
      <c r="H794" s="313" t="s">
        <v>279</v>
      </c>
      <c r="I794" s="98"/>
      <c r="J794" s="11"/>
      <c r="R794" s="126" t="s">
        <v>270</v>
      </c>
      <c r="S794" s="126" t="s">
        <v>426</v>
      </c>
      <c r="T794" s="129" t="s">
        <v>402</v>
      </c>
      <c r="U794" s="129" t="s">
        <v>430</v>
      </c>
      <c r="V794" s="126" t="s">
        <v>425</v>
      </c>
      <c r="W794" s="255"/>
    </row>
    <row r="795" spans="1:23" hidden="1">
      <c r="B795" s="95"/>
      <c r="C795" s="96"/>
      <c r="D795" s="97"/>
      <c r="E795" s="442"/>
      <c r="F795" s="443"/>
      <c r="G795" s="439"/>
      <c r="H795" s="439"/>
      <c r="I795" s="98"/>
      <c r="J795" s="11"/>
      <c r="R795" s="129">
        <f>IF(AND(F795="実施済",G795="実施済",H795="完了"),3,0)</f>
        <v>0</v>
      </c>
      <c r="S795" s="129" t="str">
        <f>IF(OR(E795="〇〇(合意形成対象者名に書き換え)",E795=""),"",R795)</f>
        <v/>
      </c>
      <c r="T795" s="129">
        <f t="shared" ref="T795:T800" si="231">MIN($S$795:$S$800)+1</f>
        <v>1</v>
      </c>
      <c r="U795" s="129">
        <f>IF(E795="",1,IF(AND(E795="〇〇(合意形成対象者名に書き換え)",COUNTA($F795:$H795)=0),1,IF(AND(E795&lt;&gt;"〇〇(合意形成対象者名に書き換え)",COUNTA($F795:$H795)=3),1,0)))</f>
        <v>1</v>
      </c>
      <c r="V795" s="129" t="str" cm="1">
        <f t="array" ref="V795">_xlfn.IFS(T795=4,"A",T795=3,"B",T795=2,"C",T795=1,"D")</f>
        <v>D</v>
      </c>
      <c r="W795" s="255"/>
    </row>
    <row r="796" spans="1:23">
      <c r="B796" s="95"/>
      <c r="C796" s="96"/>
      <c r="D796" s="97"/>
      <c r="E796" s="100" t="s">
        <v>129</v>
      </c>
      <c r="F796" s="446"/>
      <c r="G796" s="441"/>
      <c r="H796" s="441"/>
      <c r="I796" s="98"/>
      <c r="J796" s="11"/>
      <c r="R796" s="129">
        <f t="shared" ref="R796:R800" si="232">IF(AND(F796="実施済",G796="実施済",H796="完了"),3,0)</f>
        <v>0</v>
      </c>
      <c r="S796" s="129" t="str">
        <f t="shared" ref="S796:S800" si="233">IF(OR(E796="〇〇(合意形成対象者名に書き換え)",E796=""),"",R796)</f>
        <v/>
      </c>
      <c r="T796" s="129">
        <f t="shared" si="231"/>
        <v>1</v>
      </c>
      <c r="U796" s="129">
        <f>IF(E796="",1,IF(AND(E796="〇〇(合意形成対象者名に書き換え)",COUNTA($F796:$H796)=0),1,IF(AND(E796&lt;&gt;"〇〇(合意形成対象者名に書き換え)",COUNTA($F796:$H796)=3),1,0)))</f>
        <v>1</v>
      </c>
      <c r="V796" s="129" t="str" cm="1">
        <f t="array" ref="V796">_xlfn.IFS(T796=4,"A",T796=3,"B",T796=2,"C",T796=1,"D")</f>
        <v>D</v>
      </c>
      <c r="W796" s="255"/>
    </row>
    <row r="797" spans="1:23">
      <c r="B797" s="95"/>
      <c r="C797" s="96"/>
      <c r="D797" s="97"/>
      <c r="E797" s="100" t="s">
        <v>129</v>
      </c>
      <c r="F797" s="446"/>
      <c r="G797" s="441"/>
      <c r="H797" s="441"/>
      <c r="I797" s="98"/>
      <c r="J797" s="11"/>
      <c r="R797" s="129">
        <f t="shared" si="232"/>
        <v>0</v>
      </c>
      <c r="S797" s="129" t="str">
        <f t="shared" si="233"/>
        <v/>
      </c>
      <c r="T797" s="129">
        <f t="shared" si="231"/>
        <v>1</v>
      </c>
      <c r="U797" s="129">
        <f>IF(E797="",1,IF(AND(E797="〇〇(合意形成対象者名に書き換え)",COUNTA($F797:$H797)=0),1,IF(AND(E797&lt;&gt;"〇〇(合意形成対象者名に書き換え)",COUNTA($F797:$H797)=3),1,0)))</f>
        <v>1</v>
      </c>
      <c r="V797" s="129" t="str" cm="1">
        <f t="array" ref="V797">_xlfn.IFS(T797=4,"A",T797=3,"B",T797=2,"C",T797=1,"D")</f>
        <v>D</v>
      </c>
      <c r="W797" s="255"/>
    </row>
    <row r="798" spans="1:23" s="99" customFormat="1">
      <c r="A798" s="11"/>
      <c r="B798" s="95"/>
      <c r="C798" s="96"/>
      <c r="D798" s="97"/>
      <c r="E798" s="100" t="s">
        <v>129</v>
      </c>
      <c r="F798" s="446"/>
      <c r="G798" s="441"/>
      <c r="H798" s="441"/>
      <c r="I798" s="98"/>
      <c r="J798" s="11"/>
      <c r="M798" s="11"/>
      <c r="N798" s="11"/>
      <c r="O798" s="11"/>
      <c r="P798" s="11"/>
      <c r="Q798" s="11"/>
      <c r="R798" s="129">
        <f t="shared" si="232"/>
        <v>0</v>
      </c>
      <c r="S798" s="129" t="str">
        <f t="shared" si="233"/>
        <v/>
      </c>
      <c r="T798" s="129">
        <f t="shared" si="231"/>
        <v>1</v>
      </c>
      <c r="U798" s="129">
        <f>IF(E798="",1,IF(AND(E798="〇〇(合意形成対象者名に書き換え)",COUNTA($F798:$H798)=0),1,IF(AND(E798&lt;&gt;"〇〇(合意形成対象者名に書き換え)",COUNTA($F798:$H798)=3),1,0)))</f>
        <v>1</v>
      </c>
      <c r="V798" s="129" t="str" cm="1">
        <f t="array" ref="V798">_xlfn.IFS(T798=4,"A",T798=3,"B",T798=2,"C",T798=1,"D")</f>
        <v>D</v>
      </c>
      <c r="W798" s="129"/>
    </row>
    <row r="799" spans="1:23" customFormat="1" ht="7.5" customHeight="1">
      <c r="B799" s="65"/>
      <c r="C799" s="4"/>
      <c r="D799" s="4"/>
      <c r="E799" s="4"/>
      <c r="F799" s="4"/>
      <c r="G799" s="4"/>
      <c r="H799" s="4"/>
      <c r="I799" s="9"/>
      <c r="J799" s="2"/>
      <c r="K799" s="2"/>
      <c r="L799" s="2"/>
      <c r="R799" s="129">
        <f t="shared" si="232"/>
        <v>0</v>
      </c>
      <c r="S799" s="129" t="str">
        <f t="shared" si="233"/>
        <v/>
      </c>
      <c r="T799" s="129">
        <f t="shared" si="231"/>
        <v>1</v>
      </c>
      <c r="U799" s="129">
        <f t="shared" ref="U799:U800" si="234">IF(E799="",1,IF(AND(E799="〇〇(合意形成対象者名に書き換え)",COUNTA($F799:$H799)=0),1,IF(AND(E799&lt;&gt;"〇〇(合意形成対象者名に書き換え)",COUNTA($F799:$H799)=3),1,0)))</f>
        <v>1</v>
      </c>
      <c r="V799" s="129" t="str" cm="1">
        <f t="array" ref="V799">_xlfn.IFS(T799=4,"A",T799=3,"B",T799=2,"C",T799=1,"D")</f>
        <v>D</v>
      </c>
      <c r="W799" s="175"/>
    </row>
    <row r="800" spans="1:23" customFormat="1" ht="6" customHeight="1">
      <c r="J800" s="2"/>
      <c r="K800" s="2"/>
      <c r="L800" s="2"/>
      <c r="R800" s="129">
        <f t="shared" si="232"/>
        <v>0</v>
      </c>
      <c r="S800" s="129" t="str">
        <f t="shared" si="233"/>
        <v/>
      </c>
      <c r="T800" s="129">
        <f t="shared" si="231"/>
        <v>1</v>
      </c>
      <c r="U800" s="129">
        <f t="shared" si="234"/>
        <v>1</v>
      </c>
      <c r="V800" s="129" t="str" cm="1">
        <f t="array" ref="V800">_xlfn.IFS(T800=4,"A",T800=3,"B",T800=2,"C",T800=1,"D")</f>
        <v>D</v>
      </c>
      <c r="W800" s="175"/>
    </row>
    <row r="801" spans="1:23" customFormat="1" ht="103.5" customHeight="1">
      <c r="C801" s="78"/>
      <c r="D801" s="79"/>
      <c r="E801" s="71" t="s">
        <v>236</v>
      </c>
      <c r="F801" s="1452"/>
      <c r="G801" s="1452"/>
      <c r="H801" s="1452"/>
      <c r="I801" s="80" t="s">
        <v>132</v>
      </c>
      <c r="J801" s="80"/>
    </row>
    <row r="802" spans="1:23" customFormat="1" ht="146.25" customHeight="1">
      <c r="C802" s="75"/>
      <c r="D802" s="68"/>
      <c r="E802" s="71" t="s">
        <v>235</v>
      </c>
      <c r="F802" s="1452"/>
      <c r="G802" s="1452"/>
      <c r="H802" s="1452"/>
      <c r="J802" s="2"/>
      <c r="K802" s="2"/>
      <c r="L802" s="2"/>
    </row>
    <row r="803" spans="1:23" customFormat="1" ht="13.5" customHeight="1" thickBot="1">
      <c r="A803" s="81"/>
      <c r="B803" s="81"/>
      <c r="C803" s="81"/>
      <c r="D803" s="81"/>
      <c r="E803" s="81"/>
      <c r="F803" s="81"/>
      <c r="G803" s="81"/>
      <c r="H803" s="81"/>
      <c r="I803" s="81"/>
      <c r="J803" s="82"/>
      <c r="K803" s="2"/>
      <c r="L803" s="2"/>
    </row>
    <row r="804" spans="1:23" customFormat="1" ht="13.5" customHeight="1">
      <c r="J804" s="2"/>
      <c r="K804" s="2"/>
      <c r="L804" s="2"/>
    </row>
    <row r="805" spans="1:23" customFormat="1" ht="15" customHeight="1">
      <c r="B805" s="10"/>
      <c r="C805" s="5"/>
      <c r="D805" s="5"/>
      <c r="E805" s="5"/>
      <c r="F805" s="5"/>
      <c r="G805" s="5"/>
      <c r="H805" s="5"/>
      <c r="I805" s="6"/>
      <c r="R805" s="11" t="str">
        <f>D806</f>
        <v>(選択してください)</v>
      </c>
    </row>
    <row r="806" spans="1:23" customFormat="1">
      <c r="B806" s="7"/>
      <c r="C806" s="77" t="str">
        <f ca="1">IFERROR(OFFSET('4.2民生電力需要量'!$C$8,MATCH(D806,'4.2民生電力需要量'!$E$9:$E$49,0),0),"")</f>
        <v/>
      </c>
      <c r="D806" s="94" t="s">
        <v>130</v>
      </c>
      <c r="E806" s="72" t="s">
        <v>131</v>
      </c>
      <c r="F806" s="1451" t="str">
        <f ca="1">IFERROR(OFFSET('4.2民生電力需要量'!$G$1,MATCH($D806,'4.2民生電力需要量'!$E:$E,0)-1,0),"")</f>
        <v/>
      </c>
      <c r="G806" s="1451"/>
      <c r="H806" s="1451"/>
      <c r="I806" s="8"/>
      <c r="R806" s="255" t="str">
        <f ca="1">IFERROR(OFFSET('4.2民生電力需要量'!$G$1,MATCH($D806,'4.2民生電力需要量'!$E:$E,0)-1,0),"")</f>
        <v/>
      </c>
      <c r="S806" s="515"/>
      <c r="T806" s="515"/>
      <c r="U806" s="515"/>
      <c r="V806" s="515"/>
      <c r="W806" s="175">
        <f ca="1">(F806=R806)*1</f>
        <v>1</v>
      </c>
    </row>
    <row r="807" spans="1:23" customFormat="1">
      <c r="B807" s="7"/>
      <c r="C807" s="915"/>
      <c r="D807" s="97"/>
      <c r="E807" s="72" t="s">
        <v>612</v>
      </c>
      <c r="F807" s="1447" t="str">
        <f ca="1">IFERROR(OFFSET('4.2民生電力需要量'!$L$1,MATCH($D806,'4.2民生電力需要量'!$E:$E,0)-1,0),"")</f>
        <v/>
      </c>
      <c r="G807" s="1448"/>
      <c r="H807" s="1449"/>
      <c r="I807" s="8"/>
      <c r="R807" s="255" t="str">
        <f ca="1">IFERROR(OFFSET('4.2民生電力需要量'!$L$1,MATCH($D806,'4.2民生電力需要量'!$E:$E,0)-1,0),"")</f>
        <v/>
      </c>
      <c r="S807" s="515"/>
      <c r="T807" s="515"/>
      <c r="U807" s="515"/>
      <c r="V807" s="515"/>
      <c r="W807" s="175">
        <f ca="1">(F807=R807)*1</f>
        <v>1</v>
      </c>
    </row>
    <row r="808" spans="1:23" customFormat="1">
      <c r="B808" s="7"/>
      <c r="C808" s="915"/>
      <c r="D808" s="97"/>
      <c r="E808" s="72" t="s">
        <v>613</v>
      </c>
      <c r="F808" s="1456"/>
      <c r="G808" s="1457"/>
      <c r="H808" s="1458"/>
      <c r="I808" s="8"/>
      <c r="R808" s="320"/>
      <c r="S808" s="515"/>
      <c r="T808" s="515"/>
      <c r="U808" s="515"/>
      <c r="V808" s="515"/>
      <c r="W808" s="515"/>
    </row>
    <row r="809" spans="1:23" customFormat="1">
      <c r="B809" s="7"/>
      <c r="C809" s="74"/>
      <c r="D809" s="66"/>
      <c r="E809" s="72" t="s">
        <v>220</v>
      </c>
      <c r="F809" s="1450" t="str">
        <f ca="1">IFERROR(OFFSET('4.2民生電力需要量'!$I$1,MATCH($D806,'4.2民生電力需要量'!$E:$E,0)-1,0),"")</f>
        <v/>
      </c>
      <c r="G809" s="1450"/>
      <c r="H809" s="1450"/>
      <c r="I809" s="8"/>
      <c r="R809" s="175" t="str">
        <f ca="1">IFERROR(OFFSET('4.2民生電力需要量'!$I$1,MATCH($D806,'4.2民生電力需要量'!$E:$E,0)-1,0),"")</f>
        <v/>
      </c>
      <c r="S809" s="515"/>
      <c r="T809" s="515"/>
      <c r="U809" s="515"/>
      <c r="V809" s="515"/>
      <c r="W809" s="175">
        <f t="shared" ref="W809:W810" ca="1" si="235">(F809=R809)*1</f>
        <v>1</v>
      </c>
    </row>
    <row r="810" spans="1:23" customFormat="1">
      <c r="B810" s="7"/>
      <c r="C810" s="74"/>
      <c r="D810" s="66"/>
      <c r="E810" s="72" t="s">
        <v>175</v>
      </c>
      <c r="F810" s="1453" t="str">
        <f>_xlfn.IFNA(R810,"")</f>
        <v/>
      </c>
      <c r="G810" s="1454"/>
      <c r="H810" s="1455"/>
      <c r="I810" s="8"/>
      <c r="R810" s="129" t="str">
        <f>IF(OR(COUNTIF($E812:$E817,"&lt;&gt;〇〇(合意形成対象者名に書き換え)")=3,COUNTIF($E812:$E817,"")&gt;3),"",IF(PRODUCT($U812:$U817)=1,V812,""))</f>
        <v/>
      </c>
      <c r="S810" s="515"/>
      <c r="T810" s="515"/>
      <c r="U810" s="515"/>
      <c r="V810" s="515"/>
      <c r="W810" s="175">
        <f t="shared" si="235"/>
        <v>1</v>
      </c>
    </row>
    <row r="811" spans="1:23" ht="63.75" customHeight="1">
      <c r="B811" s="95"/>
      <c r="C811" s="96"/>
      <c r="D811" s="97"/>
      <c r="E811" s="372"/>
      <c r="F811" s="313" t="s">
        <v>281</v>
      </c>
      <c r="G811" s="313" t="s">
        <v>282</v>
      </c>
      <c r="H811" s="313" t="s">
        <v>279</v>
      </c>
      <c r="I811" s="98"/>
      <c r="J811" s="11"/>
      <c r="R811" s="126" t="s">
        <v>270</v>
      </c>
      <c r="S811" s="126" t="s">
        <v>426</v>
      </c>
      <c r="T811" s="129" t="s">
        <v>402</v>
      </c>
      <c r="U811" s="129" t="s">
        <v>430</v>
      </c>
      <c r="V811" s="126" t="s">
        <v>425</v>
      </c>
      <c r="W811" s="255"/>
    </row>
    <row r="812" spans="1:23" hidden="1">
      <c r="B812" s="95"/>
      <c r="C812" s="96"/>
      <c r="D812" s="97"/>
      <c r="E812" s="442"/>
      <c r="F812" s="443"/>
      <c r="G812" s="439"/>
      <c r="H812" s="439"/>
      <c r="I812" s="98"/>
      <c r="J812" s="11"/>
      <c r="R812" s="129">
        <f>IF(AND(F812="実施済",G812="実施済",H812="完了"),3,0)</f>
        <v>0</v>
      </c>
      <c r="S812" s="129" t="str">
        <f>IF(OR(E812="〇〇(合意形成対象者名に書き換え)",E812=""),"",R812)</f>
        <v/>
      </c>
      <c r="T812" s="129">
        <f t="shared" ref="T812:T817" si="236">MIN($S$812:$S$817)+1</f>
        <v>1</v>
      </c>
      <c r="U812" s="129">
        <f>IF(E812="",1,IF(AND(E812="〇〇(合意形成対象者名に書き換え)",COUNTA($F812:$H812)=0),1,IF(AND(E812&lt;&gt;"〇〇(合意形成対象者名に書き換え)",COUNTA($F812:$H812)=3),1,0)))</f>
        <v>1</v>
      </c>
      <c r="V812" s="129" t="str" cm="1">
        <f t="array" ref="V812">_xlfn.IFS(T812=4,"A",T812=3,"B",T812=2,"C",T812=1,"D")</f>
        <v>D</v>
      </c>
      <c r="W812" s="255"/>
    </row>
    <row r="813" spans="1:23">
      <c r="B813" s="95"/>
      <c r="C813" s="96"/>
      <c r="D813" s="97"/>
      <c r="E813" s="100" t="s">
        <v>129</v>
      </c>
      <c r="F813" s="446"/>
      <c r="G813" s="441"/>
      <c r="H813" s="441"/>
      <c r="I813" s="98"/>
      <c r="J813" s="11"/>
      <c r="R813" s="129">
        <f t="shared" ref="R813:R817" si="237">IF(AND(F813="実施済",G813="実施済",H813="完了"),3,0)</f>
        <v>0</v>
      </c>
      <c r="S813" s="129" t="str">
        <f t="shared" ref="S813:S817" si="238">IF(OR(E813="〇〇(合意形成対象者名に書き換え)",E813=""),"",R813)</f>
        <v/>
      </c>
      <c r="T813" s="129">
        <f t="shared" si="236"/>
        <v>1</v>
      </c>
      <c r="U813" s="129">
        <f>IF(E813="",1,IF(AND(E813="〇〇(合意形成対象者名に書き換え)",COUNTA($F813:$H813)=0),1,IF(AND(E813&lt;&gt;"〇〇(合意形成対象者名に書き換え)",COUNTA($F813:$H813)=3),1,0)))</f>
        <v>1</v>
      </c>
      <c r="V813" s="129" t="str" cm="1">
        <f t="array" ref="V813">_xlfn.IFS(T813=4,"A",T813=3,"B",T813=2,"C",T813=1,"D")</f>
        <v>D</v>
      </c>
      <c r="W813" s="255"/>
    </row>
    <row r="814" spans="1:23">
      <c r="B814" s="95"/>
      <c r="C814" s="96"/>
      <c r="D814" s="97"/>
      <c r="E814" s="100" t="s">
        <v>129</v>
      </c>
      <c r="F814" s="446"/>
      <c r="G814" s="441"/>
      <c r="H814" s="441"/>
      <c r="I814" s="98"/>
      <c r="J814" s="11"/>
      <c r="R814" s="129">
        <f t="shared" si="237"/>
        <v>0</v>
      </c>
      <c r="S814" s="129" t="str">
        <f t="shared" si="238"/>
        <v/>
      </c>
      <c r="T814" s="129">
        <f t="shared" si="236"/>
        <v>1</v>
      </c>
      <c r="U814" s="129">
        <f>IF(E814="",1,IF(AND(E814="〇〇(合意形成対象者名に書き換え)",COUNTA($F814:$H814)=0),1,IF(AND(E814&lt;&gt;"〇〇(合意形成対象者名に書き換え)",COUNTA($F814:$H814)=3),1,0)))</f>
        <v>1</v>
      </c>
      <c r="V814" s="129" t="str" cm="1">
        <f t="array" ref="V814">_xlfn.IFS(T814=4,"A",T814=3,"B",T814=2,"C",T814=1,"D")</f>
        <v>D</v>
      </c>
      <c r="W814" s="255"/>
    </row>
    <row r="815" spans="1:23" s="99" customFormat="1">
      <c r="A815" s="11"/>
      <c r="B815" s="95"/>
      <c r="C815" s="96"/>
      <c r="D815" s="97"/>
      <c r="E815" s="100" t="s">
        <v>129</v>
      </c>
      <c r="F815" s="446"/>
      <c r="G815" s="441"/>
      <c r="H815" s="441"/>
      <c r="I815" s="98"/>
      <c r="J815" s="11"/>
      <c r="M815" s="11"/>
      <c r="N815" s="11"/>
      <c r="O815" s="11"/>
      <c r="P815" s="11"/>
      <c r="Q815" s="11"/>
      <c r="R815" s="129">
        <f t="shared" si="237"/>
        <v>0</v>
      </c>
      <c r="S815" s="129" t="str">
        <f t="shared" si="238"/>
        <v/>
      </c>
      <c r="T815" s="129">
        <f t="shared" si="236"/>
        <v>1</v>
      </c>
      <c r="U815" s="129">
        <f>IF(E815="",1,IF(AND(E815="〇〇(合意形成対象者名に書き換え)",COUNTA($F815:$H815)=0),1,IF(AND(E815&lt;&gt;"〇〇(合意形成対象者名に書き換え)",COUNTA($F815:$H815)=3),1,0)))</f>
        <v>1</v>
      </c>
      <c r="V815" s="129" t="str" cm="1">
        <f t="array" ref="V815">_xlfn.IFS(T815=4,"A",T815=3,"B",T815=2,"C",T815=1,"D")</f>
        <v>D</v>
      </c>
      <c r="W815" s="129"/>
    </row>
    <row r="816" spans="1:23" customFormat="1" ht="7.5" customHeight="1">
      <c r="B816" s="65"/>
      <c r="C816" s="4"/>
      <c r="D816" s="4"/>
      <c r="E816" s="4"/>
      <c r="F816" s="4"/>
      <c r="G816" s="4"/>
      <c r="H816" s="4"/>
      <c r="I816" s="9"/>
      <c r="J816" s="2"/>
      <c r="K816" s="2"/>
      <c r="L816" s="2"/>
      <c r="R816" s="129">
        <f t="shared" si="237"/>
        <v>0</v>
      </c>
      <c r="S816" s="129" t="str">
        <f t="shared" si="238"/>
        <v/>
      </c>
      <c r="T816" s="129">
        <f t="shared" si="236"/>
        <v>1</v>
      </c>
      <c r="U816" s="129">
        <f t="shared" ref="U816:U817" si="239">IF(E816="",1,IF(AND(E816="〇〇(合意形成対象者名に書き換え)",COUNTA($F816:$H816)=0),1,IF(AND(E816&lt;&gt;"〇〇(合意形成対象者名に書き換え)",COUNTA($F816:$H816)=3),1,0)))</f>
        <v>1</v>
      </c>
      <c r="V816" s="129" t="str" cm="1">
        <f t="array" ref="V816">_xlfn.IFS(T816=4,"A",T816=3,"B",T816=2,"C",T816=1,"D")</f>
        <v>D</v>
      </c>
      <c r="W816" s="175"/>
    </row>
    <row r="817" spans="1:23" customFormat="1" ht="6" customHeight="1">
      <c r="J817" s="2"/>
      <c r="K817" s="2"/>
      <c r="L817" s="2"/>
      <c r="R817" s="129">
        <f t="shared" si="237"/>
        <v>0</v>
      </c>
      <c r="S817" s="129" t="str">
        <f t="shared" si="238"/>
        <v/>
      </c>
      <c r="T817" s="129">
        <f t="shared" si="236"/>
        <v>1</v>
      </c>
      <c r="U817" s="129">
        <f t="shared" si="239"/>
        <v>1</v>
      </c>
      <c r="V817" s="129" t="str" cm="1">
        <f t="array" ref="V817">_xlfn.IFS(T817=4,"A",T817=3,"B",T817=2,"C",T817=1,"D")</f>
        <v>D</v>
      </c>
      <c r="W817" s="175"/>
    </row>
    <row r="818" spans="1:23" customFormat="1" ht="103.5" customHeight="1">
      <c r="C818" s="78"/>
      <c r="D818" s="79"/>
      <c r="E818" s="71" t="s">
        <v>236</v>
      </c>
      <c r="F818" s="1452"/>
      <c r="G818" s="1452"/>
      <c r="H818" s="1452"/>
      <c r="I818" s="80" t="s">
        <v>132</v>
      </c>
      <c r="J818" s="80"/>
    </row>
    <row r="819" spans="1:23" customFormat="1" ht="146.25" customHeight="1">
      <c r="C819" s="75"/>
      <c r="D819" s="68"/>
      <c r="E819" s="71" t="s">
        <v>235</v>
      </c>
      <c r="F819" s="1452"/>
      <c r="G819" s="1452"/>
      <c r="H819" s="1452"/>
      <c r="J819" s="2"/>
      <c r="K819" s="2"/>
      <c r="L819" s="2"/>
    </row>
    <row r="820" spans="1:23" customFormat="1" ht="13.5" customHeight="1" thickBot="1">
      <c r="A820" s="81"/>
      <c r="B820" s="81"/>
      <c r="C820" s="81"/>
      <c r="D820" s="81"/>
      <c r="E820" s="81"/>
      <c r="F820" s="81"/>
      <c r="G820" s="81"/>
      <c r="H820" s="81"/>
      <c r="I820" s="81"/>
      <c r="J820" s="82"/>
      <c r="K820" s="2"/>
      <c r="L820" s="2"/>
    </row>
    <row r="821" spans="1:23" customFormat="1" ht="13.5" customHeight="1">
      <c r="J821" s="2"/>
      <c r="K821" s="2"/>
      <c r="L821" s="2"/>
    </row>
    <row r="822" spans="1:23" customFormat="1" ht="15" customHeight="1">
      <c r="B822" s="10"/>
      <c r="C822" s="5"/>
      <c r="D822" s="5"/>
      <c r="E822" s="5"/>
      <c r="F822" s="5"/>
      <c r="G822" s="5"/>
      <c r="H822" s="5"/>
      <c r="I822" s="6"/>
      <c r="R822" s="11" t="str">
        <f>D823</f>
        <v>(選択してください)</v>
      </c>
    </row>
    <row r="823" spans="1:23" customFormat="1">
      <c r="B823" s="7"/>
      <c r="C823" s="77" t="str">
        <f ca="1">IFERROR(OFFSET('4.2民生電力需要量'!$C$8,MATCH(D823,'4.2民生電力需要量'!$E$9:$E$49,0),0),"")</f>
        <v/>
      </c>
      <c r="D823" s="94" t="s">
        <v>130</v>
      </c>
      <c r="E823" s="72" t="s">
        <v>131</v>
      </c>
      <c r="F823" s="1451" t="str">
        <f ca="1">IFERROR(OFFSET('4.2民生電力需要量'!$G$1,MATCH($D823,'4.2民生電力需要量'!$E:$E,0)-1,0),"")</f>
        <v/>
      </c>
      <c r="G823" s="1451"/>
      <c r="H823" s="1451"/>
      <c r="I823" s="8"/>
      <c r="R823" s="255" t="str">
        <f ca="1">IFERROR(OFFSET('4.2民生電力需要量'!$G$1,MATCH($D823,'4.2民生電力需要量'!$E:$E,0)-1,0),"")</f>
        <v/>
      </c>
      <c r="S823" s="515"/>
      <c r="T823" s="515"/>
      <c r="U823" s="515"/>
      <c r="V823" s="515"/>
      <c r="W823" s="175">
        <f ca="1">(F823=R823)*1</f>
        <v>1</v>
      </c>
    </row>
    <row r="824" spans="1:23" customFormat="1">
      <c r="B824" s="7"/>
      <c r="C824" s="915"/>
      <c r="D824" s="97"/>
      <c r="E824" s="72" t="s">
        <v>612</v>
      </c>
      <c r="F824" s="1447" t="str">
        <f ca="1">IFERROR(OFFSET('4.2民生電力需要量'!$L$1,MATCH($D823,'4.2民生電力需要量'!$E:$E,0)-1,0),"")</f>
        <v/>
      </c>
      <c r="G824" s="1448"/>
      <c r="H824" s="1449"/>
      <c r="I824" s="8"/>
      <c r="R824" s="255" t="str">
        <f ca="1">IFERROR(OFFSET('4.2民生電力需要量'!$L$1,MATCH($D823,'4.2民生電力需要量'!$E:$E,0)-1,0),"")</f>
        <v/>
      </c>
      <c r="S824" s="515"/>
      <c r="T824" s="515"/>
      <c r="U824" s="515"/>
      <c r="V824" s="515"/>
      <c r="W824" s="175">
        <f ca="1">(F824=R824)*1</f>
        <v>1</v>
      </c>
    </row>
    <row r="825" spans="1:23" customFormat="1">
      <c r="B825" s="7"/>
      <c r="C825" s="915"/>
      <c r="D825" s="97"/>
      <c r="E825" s="72" t="s">
        <v>613</v>
      </c>
      <c r="F825" s="1456"/>
      <c r="G825" s="1457"/>
      <c r="H825" s="1458"/>
      <c r="I825" s="8"/>
      <c r="R825" s="320"/>
      <c r="S825" s="515"/>
      <c r="T825" s="515"/>
      <c r="U825" s="515"/>
      <c r="V825" s="515"/>
      <c r="W825" s="515"/>
    </row>
    <row r="826" spans="1:23" customFormat="1">
      <c r="B826" s="7"/>
      <c r="C826" s="74"/>
      <c r="D826" s="66"/>
      <c r="E826" s="72" t="s">
        <v>220</v>
      </c>
      <c r="F826" s="1450" t="str">
        <f ca="1">IFERROR(OFFSET('4.2民生電力需要量'!$I$1,MATCH($D823,'4.2民生電力需要量'!$E:$E,0)-1,0),"")</f>
        <v/>
      </c>
      <c r="G826" s="1450"/>
      <c r="H826" s="1450"/>
      <c r="I826" s="8"/>
      <c r="R826" s="175" t="str">
        <f ca="1">IFERROR(OFFSET('4.2民生電力需要量'!$I$1,MATCH($D823,'4.2民生電力需要量'!$E:$E,0)-1,0),"")</f>
        <v/>
      </c>
      <c r="S826" s="515"/>
      <c r="T826" s="515"/>
      <c r="U826" s="515"/>
      <c r="V826" s="515"/>
      <c r="W826" s="175">
        <f t="shared" ref="W826:W827" ca="1" si="240">(F826=R826)*1</f>
        <v>1</v>
      </c>
    </row>
    <row r="827" spans="1:23" customFormat="1">
      <c r="B827" s="7"/>
      <c r="C827" s="74"/>
      <c r="D827" s="66"/>
      <c r="E827" s="72" t="s">
        <v>175</v>
      </c>
      <c r="F827" s="1453" t="str">
        <f>_xlfn.IFNA(R827,"")</f>
        <v/>
      </c>
      <c r="G827" s="1454"/>
      <c r="H827" s="1455"/>
      <c r="I827" s="8"/>
      <c r="R827" s="129" t="str">
        <f>IF(OR(COUNTIF($E829:$E834,"&lt;&gt;〇〇(合意形成対象者名に書き換え)")=3,COUNTIF($E829:$E834,"")&gt;3),"",IF(PRODUCT($U829:$U834)=1,V829,""))</f>
        <v/>
      </c>
      <c r="S827" s="515"/>
      <c r="T827" s="515"/>
      <c r="U827" s="515"/>
      <c r="V827" s="515"/>
      <c r="W827" s="175">
        <f t="shared" si="240"/>
        <v>1</v>
      </c>
    </row>
    <row r="828" spans="1:23" ht="63.75" customHeight="1">
      <c r="B828" s="95"/>
      <c r="C828" s="96"/>
      <c r="D828" s="97"/>
      <c r="E828" s="372"/>
      <c r="F828" s="313" t="s">
        <v>281</v>
      </c>
      <c r="G828" s="313" t="s">
        <v>282</v>
      </c>
      <c r="H828" s="313" t="s">
        <v>279</v>
      </c>
      <c r="I828" s="98"/>
      <c r="J828" s="11"/>
      <c r="R828" s="126" t="s">
        <v>270</v>
      </c>
      <c r="S828" s="126" t="s">
        <v>426</v>
      </c>
      <c r="T828" s="129" t="s">
        <v>402</v>
      </c>
      <c r="U828" s="129" t="s">
        <v>430</v>
      </c>
      <c r="V828" s="126" t="s">
        <v>425</v>
      </c>
      <c r="W828" s="255"/>
    </row>
    <row r="829" spans="1:23" hidden="1">
      <c r="B829" s="95"/>
      <c r="C829" s="96"/>
      <c r="D829" s="97"/>
      <c r="E829" s="442"/>
      <c r="F829" s="443"/>
      <c r="G829" s="439"/>
      <c r="H829" s="439"/>
      <c r="I829" s="98"/>
      <c r="J829" s="11"/>
      <c r="R829" s="129">
        <f>IF(AND(F829="実施済",G829="実施済",H829="完了"),3,0)</f>
        <v>0</v>
      </c>
      <c r="S829" s="129" t="str">
        <f>IF(OR(E829="〇〇(合意形成対象者名に書き換え)",E829=""),"",R829)</f>
        <v/>
      </c>
      <c r="T829" s="129">
        <f t="shared" ref="T829:T834" si="241">MIN($S$829:$S$834)+1</f>
        <v>1</v>
      </c>
      <c r="U829" s="129">
        <f>IF(E829="",1,IF(AND(E829="〇〇(合意形成対象者名に書き換え)",COUNTA($F829:$H829)=0),1,IF(AND(E829&lt;&gt;"〇〇(合意形成対象者名に書き換え)",COUNTA($F829:$H829)=3),1,0)))</f>
        <v>1</v>
      </c>
      <c r="V829" s="129" t="str" cm="1">
        <f t="array" ref="V829">_xlfn.IFS(T829=4,"A",T829=3,"B",T829=2,"C",T829=1,"D")</f>
        <v>D</v>
      </c>
      <c r="W829" s="255"/>
    </row>
    <row r="830" spans="1:23">
      <c r="B830" s="95"/>
      <c r="C830" s="96"/>
      <c r="D830" s="97"/>
      <c r="E830" s="100" t="s">
        <v>129</v>
      </c>
      <c r="F830" s="446"/>
      <c r="G830" s="441"/>
      <c r="H830" s="441"/>
      <c r="I830" s="98"/>
      <c r="J830" s="11"/>
      <c r="R830" s="129">
        <f t="shared" ref="R830:R834" si="242">IF(AND(F830="実施済",G830="実施済",H830="完了"),3,0)</f>
        <v>0</v>
      </c>
      <c r="S830" s="129" t="str">
        <f t="shared" ref="S830:S834" si="243">IF(OR(E830="〇〇(合意形成対象者名に書き換え)",E830=""),"",R830)</f>
        <v/>
      </c>
      <c r="T830" s="129">
        <f t="shared" si="241"/>
        <v>1</v>
      </c>
      <c r="U830" s="129">
        <f>IF(E830="",1,IF(AND(E830="〇〇(合意形成対象者名に書き換え)",COUNTA($F830:$H830)=0),1,IF(AND(E830&lt;&gt;"〇〇(合意形成対象者名に書き換え)",COUNTA($F830:$H830)=3),1,0)))</f>
        <v>1</v>
      </c>
      <c r="V830" s="129" t="str" cm="1">
        <f t="array" ref="V830">_xlfn.IFS(T830=4,"A",T830=3,"B",T830=2,"C",T830=1,"D")</f>
        <v>D</v>
      </c>
      <c r="W830" s="255"/>
    </row>
    <row r="831" spans="1:23">
      <c r="B831" s="95"/>
      <c r="C831" s="96"/>
      <c r="D831" s="97"/>
      <c r="E831" s="100" t="s">
        <v>129</v>
      </c>
      <c r="F831" s="446"/>
      <c r="G831" s="441"/>
      <c r="H831" s="441"/>
      <c r="I831" s="98"/>
      <c r="J831" s="11"/>
      <c r="R831" s="129">
        <f t="shared" si="242"/>
        <v>0</v>
      </c>
      <c r="S831" s="129" t="str">
        <f t="shared" si="243"/>
        <v/>
      </c>
      <c r="T831" s="129">
        <f t="shared" si="241"/>
        <v>1</v>
      </c>
      <c r="U831" s="129">
        <f>IF(E831="",1,IF(AND(E831="〇〇(合意形成対象者名に書き換え)",COUNTA($F831:$H831)=0),1,IF(AND(E831&lt;&gt;"〇〇(合意形成対象者名に書き換え)",COUNTA($F831:$H831)=3),1,0)))</f>
        <v>1</v>
      </c>
      <c r="V831" s="129" t="str" cm="1">
        <f t="array" ref="V831">_xlfn.IFS(T831=4,"A",T831=3,"B",T831=2,"C",T831=1,"D")</f>
        <v>D</v>
      </c>
      <c r="W831" s="255"/>
    </row>
    <row r="832" spans="1:23" s="99" customFormat="1">
      <c r="A832" s="11"/>
      <c r="B832" s="95"/>
      <c r="C832" s="96"/>
      <c r="D832" s="97"/>
      <c r="E832" s="100" t="s">
        <v>129</v>
      </c>
      <c r="F832" s="446"/>
      <c r="G832" s="441"/>
      <c r="H832" s="441"/>
      <c r="I832" s="98"/>
      <c r="J832" s="11"/>
      <c r="M832" s="11"/>
      <c r="N832" s="11"/>
      <c r="O832" s="11"/>
      <c r="P832" s="11"/>
      <c r="Q832" s="11"/>
      <c r="R832" s="129">
        <f t="shared" si="242"/>
        <v>0</v>
      </c>
      <c r="S832" s="129" t="str">
        <f t="shared" si="243"/>
        <v/>
      </c>
      <c r="T832" s="129">
        <f t="shared" si="241"/>
        <v>1</v>
      </c>
      <c r="U832" s="129">
        <f>IF(E832="",1,IF(AND(E832="〇〇(合意形成対象者名に書き換え)",COUNTA($F832:$H832)=0),1,IF(AND(E832&lt;&gt;"〇〇(合意形成対象者名に書き換え)",COUNTA($F832:$H832)=3),1,0)))</f>
        <v>1</v>
      </c>
      <c r="V832" s="129" t="str" cm="1">
        <f t="array" ref="V832">_xlfn.IFS(T832=4,"A",T832=3,"B",T832=2,"C",T832=1,"D")</f>
        <v>D</v>
      </c>
      <c r="W832" s="129"/>
    </row>
    <row r="833" spans="1:23" customFormat="1" ht="7.5" customHeight="1">
      <c r="B833" s="65"/>
      <c r="C833" s="4"/>
      <c r="D833" s="4"/>
      <c r="E833" s="4"/>
      <c r="F833" s="4"/>
      <c r="G833" s="4"/>
      <c r="H833" s="4"/>
      <c r="I833" s="9"/>
      <c r="J833" s="2"/>
      <c r="K833" s="2"/>
      <c r="L833" s="2"/>
      <c r="R833" s="129">
        <f t="shared" si="242"/>
        <v>0</v>
      </c>
      <c r="S833" s="129" t="str">
        <f t="shared" si="243"/>
        <v/>
      </c>
      <c r="T833" s="129">
        <f t="shared" si="241"/>
        <v>1</v>
      </c>
      <c r="U833" s="129">
        <f t="shared" ref="U833:U834" si="244">IF(E833="",1,IF(AND(E833="〇〇(合意形成対象者名に書き換え)",COUNTA($F833:$H833)=0),1,IF(AND(E833&lt;&gt;"〇〇(合意形成対象者名に書き換え)",COUNTA($F833:$H833)=3),1,0)))</f>
        <v>1</v>
      </c>
      <c r="V833" s="129" t="str" cm="1">
        <f t="array" ref="V833">_xlfn.IFS(T833=4,"A",T833=3,"B",T833=2,"C",T833=1,"D")</f>
        <v>D</v>
      </c>
      <c r="W833" s="175"/>
    </row>
    <row r="834" spans="1:23" customFormat="1" ht="6" customHeight="1">
      <c r="J834" s="2"/>
      <c r="K834" s="2"/>
      <c r="L834" s="2"/>
      <c r="R834" s="129">
        <f t="shared" si="242"/>
        <v>0</v>
      </c>
      <c r="S834" s="129" t="str">
        <f t="shared" si="243"/>
        <v/>
      </c>
      <c r="T834" s="129">
        <f t="shared" si="241"/>
        <v>1</v>
      </c>
      <c r="U834" s="129">
        <f t="shared" si="244"/>
        <v>1</v>
      </c>
      <c r="V834" s="129" t="str" cm="1">
        <f t="array" ref="V834">_xlfn.IFS(T834=4,"A",T834=3,"B",T834=2,"C",T834=1,"D")</f>
        <v>D</v>
      </c>
      <c r="W834" s="175"/>
    </row>
    <row r="835" spans="1:23" customFormat="1" ht="103.5" customHeight="1">
      <c r="C835" s="78"/>
      <c r="D835" s="79"/>
      <c r="E835" s="71" t="s">
        <v>236</v>
      </c>
      <c r="F835" s="1452"/>
      <c r="G835" s="1452"/>
      <c r="H835" s="1452"/>
      <c r="I835" s="80" t="s">
        <v>132</v>
      </c>
      <c r="J835" s="80"/>
    </row>
    <row r="836" spans="1:23" customFormat="1" ht="146.25" customHeight="1">
      <c r="C836" s="75"/>
      <c r="D836" s="68"/>
      <c r="E836" s="71" t="s">
        <v>235</v>
      </c>
      <c r="F836" s="1452"/>
      <c r="G836" s="1452"/>
      <c r="H836" s="1452"/>
      <c r="J836" s="2"/>
      <c r="K836" s="2"/>
      <c r="L836" s="2"/>
    </row>
    <row r="837" spans="1:23" customFormat="1" ht="13.5" customHeight="1" thickBot="1">
      <c r="A837" s="81"/>
      <c r="B837" s="81"/>
      <c r="C837" s="81"/>
      <c r="D837" s="81"/>
      <c r="E837" s="81"/>
      <c r="F837" s="81"/>
      <c r="G837" s="81"/>
      <c r="H837" s="81"/>
      <c r="I837" s="81"/>
      <c r="J837" s="82"/>
      <c r="K837" s="2"/>
      <c r="L837" s="2"/>
    </row>
    <row r="838" spans="1:23" customFormat="1" ht="13.5" customHeight="1">
      <c r="J838" s="2"/>
      <c r="K838" s="2"/>
      <c r="L838" s="2"/>
    </row>
    <row r="839" spans="1:23" customFormat="1" ht="15" customHeight="1">
      <c r="B839" s="10"/>
      <c r="C839" s="5"/>
      <c r="D839" s="5"/>
      <c r="E839" s="5"/>
      <c r="F839" s="5"/>
      <c r="G839" s="5"/>
      <c r="H839" s="5"/>
      <c r="I839" s="6"/>
      <c r="R839" s="11" t="str">
        <f>D840</f>
        <v>(選択してください)</v>
      </c>
    </row>
    <row r="840" spans="1:23" customFormat="1">
      <c r="B840" s="7"/>
      <c r="C840" s="77" t="str">
        <f ca="1">IFERROR(OFFSET('4.2民生電力需要量'!$C$8,MATCH(D840,'4.2民生電力需要量'!$E$9:$E$49,0),0),"")</f>
        <v/>
      </c>
      <c r="D840" s="94" t="s">
        <v>130</v>
      </c>
      <c r="E840" s="72" t="s">
        <v>131</v>
      </c>
      <c r="F840" s="1451" t="str">
        <f ca="1">IFERROR(OFFSET('4.2民生電力需要量'!$G$1,MATCH($D840,'4.2民生電力需要量'!$E:$E,0)-1,0),"")</f>
        <v/>
      </c>
      <c r="G840" s="1451"/>
      <c r="H840" s="1451"/>
      <c r="I840" s="8"/>
      <c r="R840" s="255" t="str">
        <f ca="1">IFERROR(OFFSET('4.2民生電力需要量'!$G$1,MATCH($D840,'4.2民生電力需要量'!$E:$E,0)-1,0),"")</f>
        <v/>
      </c>
      <c r="S840" s="515"/>
      <c r="T840" s="515"/>
      <c r="U840" s="515"/>
      <c r="V840" s="515"/>
      <c r="W840" s="175">
        <f ca="1">(F840=R840)*1</f>
        <v>1</v>
      </c>
    </row>
    <row r="841" spans="1:23" customFormat="1">
      <c r="B841" s="7"/>
      <c r="C841" s="915"/>
      <c r="D841" s="97"/>
      <c r="E841" s="72" t="s">
        <v>612</v>
      </c>
      <c r="F841" s="1447" t="str">
        <f ca="1">IFERROR(OFFSET('4.2民生電力需要量'!$L$1,MATCH($D840,'4.2民生電力需要量'!$E:$E,0)-1,0),"")</f>
        <v/>
      </c>
      <c r="G841" s="1448"/>
      <c r="H841" s="1449"/>
      <c r="I841" s="8"/>
      <c r="R841" s="255" t="str">
        <f ca="1">IFERROR(OFFSET('4.2民生電力需要量'!$L$1,MATCH($D840,'4.2民生電力需要量'!$E:$E,0)-1,0),"")</f>
        <v/>
      </c>
      <c r="S841" s="515"/>
      <c r="T841" s="515"/>
      <c r="U841" s="515"/>
      <c r="V841" s="515"/>
      <c r="W841" s="175">
        <f ca="1">(F841=R841)*1</f>
        <v>1</v>
      </c>
    </row>
    <row r="842" spans="1:23" customFormat="1">
      <c r="B842" s="7"/>
      <c r="C842" s="915"/>
      <c r="D842" s="97"/>
      <c r="E842" s="72" t="s">
        <v>613</v>
      </c>
      <c r="F842" s="1456"/>
      <c r="G842" s="1457"/>
      <c r="H842" s="1458"/>
      <c r="I842" s="8"/>
      <c r="R842" s="320"/>
      <c r="S842" s="515"/>
      <c r="T842" s="515"/>
      <c r="U842" s="515"/>
      <c r="V842" s="515"/>
      <c r="W842" s="515"/>
    </row>
    <row r="843" spans="1:23" customFormat="1">
      <c r="B843" s="7"/>
      <c r="C843" s="74"/>
      <c r="D843" s="66"/>
      <c r="E843" s="72" t="s">
        <v>220</v>
      </c>
      <c r="F843" s="1450" t="str">
        <f ca="1">IFERROR(OFFSET('4.2民生電力需要量'!$I$1,MATCH($D840,'4.2民生電力需要量'!$E:$E,0)-1,0),"")</f>
        <v/>
      </c>
      <c r="G843" s="1450"/>
      <c r="H843" s="1450"/>
      <c r="I843" s="8"/>
      <c r="R843" s="175" t="str">
        <f ca="1">IFERROR(OFFSET('4.2民生電力需要量'!$I$1,MATCH($D840,'4.2民生電力需要量'!$E:$E,0)-1,0),"")</f>
        <v/>
      </c>
      <c r="S843" s="515"/>
      <c r="T843" s="515"/>
      <c r="U843" s="515"/>
      <c r="V843" s="515"/>
      <c r="W843" s="175">
        <f t="shared" ref="W843:W844" ca="1" si="245">(F843=R843)*1</f>
        <v>1</v>
      </c>
    </row>
    <row r="844" spans="1:23" customFormat="1">
      <c r="B844" s="7"/>
      <c r="C844" s="74"/>
      <c r="D844" s="66"/>
      <c r="E844" s="72" t="s">
        <v>175</v>
      </c>
      <c r="F844" s="1453" t="str">
        <f>_xlfn.IFNA(R844,"")</f>
        <v/>
      </c>
      <c r="G844" s="1454"/>
      <c r="H844" s="1455"/>
      <c r="I844" s="8"/>
      <c r="R844" s="129" t="str">
        <f>IF(OR(COUNTIF($E846:$E851,"&lt;&gt;〇〇(合意形成対象者名に書き換え)")=3,COUNTIF($E846:$E851,"")&gt;3),"",IF(PRODUCT($U846:$U851)=1,V846,""))</f>
        <v/>
      </c>
      <c r="S844" s="515"/>
      <c r="T844" s="515"/>
      <c r="U844" s="515"/>
      <c r="V844" s="515"/>
      <c r="W844" s="175">
        <f t="shared" si="245"/>
        <v>1</v>
      </c>
    </row>
    <row r="845" spans="1:23" ht="63.75" customHeight="1">
      <c r="B845" s="95"/>
      <c r="C845" s="96"/>
      <c r="D845" s="97"/>
      <c r="E845" s="372"/>
      <c r="F845" s="313" t="s">
        <v>281</v>
      </c>
      <c r="G845" s="313" t="s">
        <v>282</v>
      </c>
      <c r="H845" s="313" t="s">
        <v>279</v>
      </c>
      <c r="I845" s="98"/>
      <c r="J845" s="11"/>
      <c r="R845" s="126" t="s">
        <v>270</v>
      </c>
      <c r="S845" s="126" t="s">
        <v>426</v>
      </c>
      <c r="T845" s="129" t="s">
        <v>402</v>
      </c>
      <c r="U845" s="129" t="s">
        <v>430</v>
      </c>
      <c r="V845" s="126" t="s">
        <v>425</v>
      </c>
      <c r="W845" s="255"/>
    </row>
    <row r="846" spans="1:23" hidden="1">
      <c r="B846" s="95"/>
      <c r="C846" s="96"/>
      <c r="D846" s="97"/>
      <c r="E846" s="442"/>
      <c r="F846" s="443"/>
      <c r="G846" s="439"/>
      <c r="H846" s="439"/>
      <c r="I846" s="98"/>
      <c r="J846" s="11"/>
      <c r="R846" s="129">
        <f>IF(AND(F846="実施済",G846="実施済",H846="完了"),3,0)</f>
        <v>0</v>
      </c>
      <c r="S846" s="129" t="str">
        <f>IF(OR(E846="〇〇(合意形成対象者名に書き換え)",E846=""),"",R846)</f>
        <v/>
      </c>
      <c r="T846" s="129">
        <f t="shared" ref="T846:T851" si="246">MIN($S$846:$S$851)+1</f>
        <v>1</v>
      </c>
      <c r="U846" s="129">
        <f>IF(E846="",1,IF(AND(E846="〇〇(合意形成対象者名に書き換え)",COUNTA($F846:$H846)=0),1,IF(AND(E846&lt;&gt;"〇〇(合意形成対象者名に書き換え)",COUNTA($F846:$H846)=3),1,0)))</f>
        <v>1</v>
      </c>
      <c r="V846" s="129" t="str" cm="1">
        <f t="array" ref="V846">_xlfn.IFS(T846=4,"A",T846=3,"B",T846=2,"C",T846=1,"D")</f>
        <v>D</v>
      </c>
      <c r="W846" s="255"/>
    </row>
    <row r="847" spans="1:23">
      <c r="B847" s="95"/>
      <c r="C847" s="96"/>
      <c r="D847" s="97"/>
      <c r="E847" s="100" t="s">
        <v>129</v>
      </c>
      <c r="F847" s="446"/>
      <c r="G847" s="441"/>
      <c r="H847" s="441"/>
      <c r="I847" s="98"/>
      <c r="J847" s="11"/>
      <c r="R847" s="129">
        <f t="shared" ref="R847:R851" si="247">IF(AND(F847="実施済",G847="実施済",H847="完了"),3,0)</f>
        <v>0</v>
      </c>
      <c r="S847" s="129" t="str">
        <f t="shared" ref="S847:S851" si="248">IF(OR(E847="〇〇(合意形成対象者名に書き換え)",E847=""),"",R847)</f>
        <v/>
      </c>
      <c r="T847" s="129">
        <f t="shared" si="246"/>
        <v>1</v>
      </c>
      <c r="U847" s="129">
        <f>IF(E847="",1,IF(AND(E847="〇〇(合意形成対象者名に書き換え)",COUNTA($F847:$H847)=0),1,IF(AND(E847&lt;&gt;"〇〇(合意形成対象者名に書き換え)",COUNTA($F847:$H847)=3),1,0)))</f>
        <v>1</v>
      </c>
      <c r="V847" s="129" t="str" cm="1">
        <f t="array" ref="V847">_xlfn.IFS(T847=4,"A",T847=3,"B",T847=2,"C",T847=1,"D")</f>
        <v>D</v>
      </c>
      <c r="W847" s="255"/>
    </row>
    <row r="848" spans="1:23">
      <c r="B848" s="95"/>
      <c r="C848" s="96"/>
      <c r="D848" s="97"/>
      <c r="E848" s="100" t="s">
        <v>129</v>
      </c>
      <c r="F848" s="446"/>
      <c r="G848" s="441"/>
      <c r="H848" s="441"/>
      <c r="I848" s="98"/>
      <c r="J848" s="11"/>
      <c r="R848" s="129">
        <f t="shared" si="247"/>
        <v>0</v>
      </c>
      <c r="S848" s="129" t="str">
        <f t="shared" si="248"/>
        <v/>
      </c>
      <c r="T848" s="129">
        <f t="shared" si="246"/>
        <v>1</v>
      </c>
      <c r="U848" s="129">
        <f>IF(E848="",1,IF(AND(E848="〇〇(合意形成対象者名に書き換え)",COUNTA($F848:$H848)=0),1,IF(AND(E848&lt;&gt;"〇〇(合意形成対象者名に書き換え)",COUNTA($F848:$H848)=3),1,0)))</f>
        <v>1</v>
      </c>
      <c r="V848" s="129" t="str" cm="1">
        <f t="array" ref="V848">_xlfn.IFS(T848=4,"A",T848=3,"B",T848=2,"C",T848=1,"D")</f>
        <v>D</v>
      </c>
      <c r="W848" s="255"/>
    </row>
    <row r="849" spans="1:23" s="99" customFormat="1">
      <c r="A849" s="11"/>
      <c r="B849" s="95"/>
      <c r="C849" s="96"/>
      <c r="D849" s="97"/>
      <c r="E849" s="100" t="s">
        <v>129</v>
      </c>
      <c r="F849" s="446"/>
      <c r="G849" s="441"/>
      <c r="H849" s="441"/>
      <c r="I849" s="98"/>
      <c r="J849" s="11"/>
      <c r="M849" s="11"/>
      <c r="N849" s="11"/>
      <c r="O849" s="11"/>
      <c r="P849" s="11"/>
      <c r="Q849" s="11"/>
      <c r="R849" s="129">
        <f t="shared" si="247"/>
        <v>0</v>
      </c>
      <c r="S849" s="129" t="str">
        <f t="shared" si="248"/>
        <v/>
      </c>
      <c r="T849" s="129">
        <f t="shared" si="246"/>
        <v>1</v>
      </c>
      <c r="U849" s="129">
        <f>IF(E849="",1,IF(AND(E849="〇〇(合意形成対象者名に書き換え)",COUNTA($F849:$H849)=0),1,IF(AND(E849&lt;&gt;"〇〇(合意形成対象者名に書き換え)",COUNTA($F849:$H849)=3),1,0)))</f>
        <v>1</v>
      </c>
      <c r="V849" s="129" t="str" cm="1">
        <f t="array" ref="V849">_xlfn.IFS(T849=4,"A",T849=3,"B",T849=2,"C",T849=1,"D")</f>
        <v>D</v>
      </c>
      <c r="W849" s="129"/>
    </row>
    <row r="850" spans="1:23" customFormat="1" ht="7.5" customHeight="1">
      <c r="B850" s="65"/>
      <c r="C850" s="4"/>
      <c r="D850" s="4"/>
      <c r="E850" s="4"/>
      <c r="F850" s="4"/>
      <c r="G850" s="4"/>
      <c r="H850" s="4"/>
      <c r="I850" s="9"/>
      <c r="J850" s="2"/>
      <c r="K850" s="2"/>
      <c r="L850" s="2"/>
      <c r="R850" s="129">
        <f t="shared" si="247"/>
        <v>0</v>
      </c>
      <c r="S850" s="129" t="str">
        <f t="shared" si="248"/>
        <v/>
      </c>
      <c r="T850" s="129">
        <f t="shared" si="246"/>
        <v>1</v>
      </c>
      <c r="U850" s="129">
        <f t="shared" ref="U850:U851" si="249">IF(E850="",1,IF(AND(E850="〇〇(合意形成対象者名に書き換え)",COUNTA($F850:$H850)=0),1,IF(AND(E850&lt;&gt;"〇〇(合意形成対象者名に書き換え)",COUNTA($F850:$H850)=3),1,0)))</f>
        <v>1</v>
      </c>
      <c r="V850" s="129" t="str" cm="1">
        <f t="array" ref="V850">_xlfn.IFS(T850=4,"A",T850=3,"B",T850=2,"C",T850=1,"D")</f>
        <v>D</v>
      </c>
      <c r="W850" s="175"/>
    </row>
    <row r="851" spans="1:23" customFormat="1" ht="6" customHeight="1">
      <c r="J851" s="2"/>
      <c r="K851" s="2"/>
      <c r="L851" s="2"/>
      <c r="R851" s="129">
        <f t="shared" si="247"/>
        <v>0</v>
      </c>
      <c r="S851" s="129" t="str">
        <f t="shared" si="248"/>
        <v/>
      </c>
      <c r="T851" s="129">
        <f t="shared" si="246"/>
        <v>1</v>
      </c>
      <c r="U851" s="129">
        <f t="shared" si="249"/>
        <v>1</v>
      </c>
      <c r="V851" s="129" t="str" cm="1">
        <f t="array" ref="V851">_xlfn.IFS(T851=4,"A",T851=3,"B",T851=2,"C",T851=1,"D")</f>
        <v>D</v>
      </c>
      <c r="W851" s="175"/>
    </row>
    <row r="852" spans="1:23" customFormat="1" ht="103.5" customHeight="1">
      <c r="C852" s="78"/>
      <c r="D852" s="79"/>
      <c r="E852" s="71" t="s">
        <v>236</v>
      </c>
      <c r="F852" s="1452"/>
      <c r="G852" s="1452"/>
      <c r="H852" s="1452"/>
      <c r="I852" s="80" t="s">
        <v>132</v>
      </c>
      <c r="J852" s="80"/>
    </row>
    <row r="853" spans="1:23" customFormat="1" ht="146.25" customHeight="1">
      <c r="C853" s="75"/>
      <c r="D853" s="68"/>
      <c r="E853" s="71" t="s">
        <v>235</v>
      </c>
      <c r="F853" s="1452"/>
      <c r="G853" s="1452"/>
      <c r="H853" s="1452"/>
      <c r="J853" s="2"/>
      <c r="K853" s="2"/>
      <c r="L853" s="2"/>
    </row>
    <row r="854" spans="1:23" customFormat="1" ht="13.5" customHeight="1" thickBot="1">
      <c r="A854" s="81"/>
      <c r="B854" s="81"/>
      <c r="C854" s="81"/>
      <c r="D854" s="81"/>
      <c r="E854" s="81"/>
      <c r="F854" s="81"/>
      <c r="G854" s="81"/>
      <c r="H854" s="81"/>
      <c r="I854" s="81"/>
      <c r="J854" s="82"/>
      <c r="K854" s="2"/>
      <c r="L854" s="2"/>
    </row>
  </sheetData>
  <sheetProtection algorithmName="SHA-512" hashValue="iu9pXfqlSFpxl2XqKz9lhAAgYbSD5UWNM0kbU7gTBGCCanBJ1xAnumcNSazPfOVC2z2MymshSJmwJ26+R3x57w==" saltValue="MEEOqeI4OHAEv6esDZrPDQ==" spinCount="100000" sheet="1" formatCells="0" insertRows="0" deleteRows="0"/>
  <mergeCells count="350">
    <mergeCell ref="F853:H853"/>
    <mergeCell ref="F827:H827"/>
    <mergeCell ref="F835:H835"/>
    <mergeCell ref="F836:H836"/>
    <mergeCell ref="F840:H840"/>
    <mergeCell ref="F841:H841"/>
    <mergeCell ref="F842:H842"/>
    <mergeCell ref="F843:H843"/>
    <mergeCell ref="F844:H844"/>
    <mergeCell ref="F852:H852"/>
    <mergeCell ref="F808:H808"/>
    <mergeCell ref="F809:H809"/>
    <mergeCell ref="F810:H810"/>
    <mergeCell ref="F818:H818"/>
    <mergeCell ref="F819:H819"/>
    <mergeCell ref="F823:H823"/>
    <mergeCell ref="F824:H824"/>
    <mergeCell ref="F825:H825"/>
    <mergeCell ref="F826:H826"/>
    <mergeCell ref="F789:H789"/>
    <mergeCell ref="F790:H790"/>
    <mergeCell ref="F791:H791"/>
    <mergeCell ref="F792:H792"/>
    <mergeCell ref="F793:H793"/>
    <mergeCell ref="F801:H801"/>
    <mergeCell ref="F802:H802"/>
    <mergeCell ref="F806:H806"/>
    <mergeCell ref="F807:H807"/>
    <mergeCell ref="F767:H767"/>
    <mergeCell ref="F768:H768"/>
    <mergeCell ref="F772:H772"/>
    <mergeCell ref="F773:H773"/>
    <mergeCell ref="F774:H774"/>
    <mergeCell ref="F775:H775"/>
    <mergeCell ref="F776:H776"/>
    <mergeCell ref="F784:H784"/>
    <mergeCell ref="F785:H785"/>
    <mergeCell ref="F741:H741"/>
    <mergeCell ref="F742:H742"/>
    <mergeCell ref="F750:H750"/>
    <mergeCell ref="F751:H751"/>
    <mergeCell ref="F755:H755"/>
    <mergeCell ref="F756:H756"/>
    <mergeCell ref="F757:H757"/>
    <mergeCell ref="F758:H758"/>
    <mergeCell ref="F759:H759"/>
    <mergeCell ref="F722:H722"/>
    <mergeCell ref="F723:H723"/>
    <mergeCell ref="F724:H724"/>
    <mergeCell ref="F725:H725"/>
    <mergeCell ref="F733:H733"/>
    <mergeCell ref="F734:H734"/>
    <mergeCell ref="F738:H738"/>
    <mergeCell ref="F739:H739"/>
    <mergeCell ref="F740:H740"/>
    <mergeCell ref="F700:H700"/>
    <mergeCell ref="F704:H704"/>
    <mergeCell ref="F705:H705"/>
    <mergeCell ref="F706:H706"/>
    <mergeCell ref="F707:H707"/>
    <mergeCell ref="F708:H708"/>
    <mergeCell ref="F716:H716"/>
    <mergeCell ref="F717:H717"/>
    <mergeCell ref="F721:H721"/>
    <mergeCell ref="F674:H674"/>
    <mergeCell ref="F682:H682"/>
    <mergeCell ref="F683:H683"/>
    <mergeCell ref="F687:H687"/>
    <mergeCell ref="F688:H688"/>
    <mergeCell ref="F689:H689"/>
    <mergeCell ref="F690:H690"/>
    <mergeCell ref="F691:H691"/>
    <mergeCell ref="F699:H699"/>
    <mergeCell ref="F655:H655"/>
    <mergeCell ref="F656:H656"/>
    <mergeCell ref="F657:H657"/>
    <mergeCell ref="F665:H665"/>
    <mergeCell ref="F666:H666"/>
    <mergeCell ref="F670:H670"/>
    <mergeCell ref="F671:H671"/>
    <mergeCell ref="F672:H672"/>
    <mergeCell ref="F673:H673"/>
    <mergeCell ref="F636:H636"/>
    <mergeCell ref="F637:H637"/>
    <mergeCell ref="F638:H638"/>
    <mergeCell ref="F639:H639"/>
    <mergeCell ref="F640:H640"/>
    <mergeCell ref="F648:H648"/>
    <mergeCell ref="F649:H649"/>
    <mergeCell ref="F653:H653"/>
    <mergeCell ref="F654:H654"/>
    <mergeCell ref="F614:H614"/>
    <mergeCell ref="F615:H615"/>
    <mergeCell ref="F619:H619"/>
    <mergeCell ref="F620:H620"/>
    <mergeCell ref="F621:H621"/>
    <mergeCell ref="F622:H622"/>
    <mergeCell ref="F623:H623"/>
    <mergeCell ref="F631:H631"/>
    <mergeCell ref="F632:H632"/>
    <mergeCell ref="F588:H588"/>
    <mergeCell ref="F589:H589"/>
    <mergeCell ref="F597:H597"/>
    <mergeCell ref="F598:H598"/>
    <mergeCell ref="F602:H602"/>
    <mergeCell ref="F603:H603"/>
    <mergeCell ref="F604:H604"/>
    <mergeCell ref="F605:H605"/>
    <mergeCell ref="F606:H606"/>
    <mergeCell ref="F569:H569"/>
    <mergeCell ref="F570:H570"/>
    <mergeCell ref="F571:H571"/>
    <mergeCell ref="F572:H572"/>
    <mergeCell ref="F580:H580"/>
    <mergeCell ref="F581:H581"/>
    <mergeCell ref="F585:H585"/>
    <mergeCell ref="F586:H586"/>
    <mergeCell ref="F587:H587"/>
    <mergeCell ref="F547:H547"/>
    <mergeCell ref="F551:H551"/>
    <mergeCell ref="F552:H552"/>
    <mergeCell ref="F553:H553"/>
    <mergeCell ref="F554:H554"/>
    <mergeCell ref="F555:H555"/>
    <mergeCell ref="F563:H563"/>
    <mergeCell ref="F564:H564"/>
    <mergeCell ref="F568:H568"/>
    <mergeCell ref="F521:H521"/>
    <mergeCell ref="F529:H529"/>
    <mergeCell ref="F530:H530"/>
    <mergeCell ref="F534:H534"/>
    <mergeCell ref="F535:H535"/>
    <mergeCell ref="F536:H536"/>
    <mergeCell ref="F537:H537"/>
    <mergeCell ref="F538:H538"/>
    <mergeCell ref="F546:H546"/>
    <mergeCell ref="F502:H502"/>
    <mergeCell ref="F503:H503"/>
    <mergeCell ref="F504:H504"/>
    <mergeCell ref="F512:H512"/>
    <mergeCell ref="F513:H513"/>
    <mergeCell ref="F517:H517"/>
    <mergeCell ref="F518:H518"/>
    <mergeCell ref="F519:H519"/>
    <mergeCell ref="F520:H520"/>
    <mergeCell ref="F483:H483"/>
    <mergeCell ref="F484:H484"/>
    <mergeCell ref="F485:H485"/>
    <mergeCell ref="F486:H486"/>
    <mergeCell ref="F487:H487"/>
    <mergeCell ref="F495:H495"/>
    <mergeCell ref="F496:H496"/>
    <mergeCell ref="F500:H500"/>
    <mergeCell ref="F501:H501"/>
    <mergeCell ref="F461:H461"/>
    <mergeCell ref="F462:H462"/>
    <mergeCell ref="F466:H466"/>
    <mergeCell ref="F467:H467"/>
    <mergeCell ref="F468:H468"/>
    <mergeCell ref="F469:H469"/>
    <mergeCell ref="F470:H470"/>
    <mergeCell ref="F478:H478"/>
    <mergeCell ref="F479:H479"/>
    <mergeCell ref="F449:H449"/>
    <mergeCell ref="F450:H450"/>
    <mergeCell ref="F451:H451"/>
    <mergeCell ref="F452:H452"/>
    <mergeCell ref="F453:H453"/>
    <mergeCell ref="F410:H410"/>
    <mergeCell ref="F415:H415"/>
    <mergeCell ref="F416:H416"/>
    <mergeCell ref="F399:H399"/>
    <mergeCell ref="F400:H400"/>
    <mergeCell ref="F401:H401"/>
    <mergeCell ref="F444:H444"/>
    <mergeCell ref="F445:H445"/>
    <mergeCell ref="F427:H427"/>
    <mergeCell ref="F428:H428"/>
    <mergeCell ref="F432:H432"/>
    <mergeCell ref="F433:H433"/>
    <mergeCell ref="F434:H434"/>
    <mergeCell ref="F435:H435"/>
    <mergeCell ref="F436:H436"/>
    <mergeCell ref="F398:H398"/>
    <mergeCell ref="F402:H402"/>
    <mergeCell ref="F411:H411"/>
    <mergeCell ref="F417:H417"/>
    <mergeCell ref="F418:H418"/>
    <mergeCell ref="F419:H419"/>
    <mergeCell ref="F384:H384"/>
    <mergeCell ref="F385:H385"/>
    <mergeCell ref="F394:H394"/>
    <mergeCell ref="F393:H393"/>
    <mergeCell ref="F365:H365"/>
    <mergeCell ref="F366:H366"/>
    <mergeCell ref="F367:H367"/>
    <mergeCell ref="F368:H368"/>
    <mergeCell ref="F376:H376"/>
    <mergeCell ref="F377:H377"/>
    <mergeCell ref="F381:H381"/>
    <mergeCell ref="F382:H382"/>
    <mergeCell ref="F383:H383"/>
    <mergeCell ref="F350:H350"/>
    <mergeCell ref="F364:H364"/>
    <mergeCell ref="F349:H349"/>
    <mergeCell ref="F342:H342"/>
    <mergeCell ref="F343:H343"/>
    <mergeCell ref="F347:H347"/>
    <mergeCell ref="F348:H348"/>
    <mergeCell ref="F351:H351"/>
    <mergeCell ref="F359:H359"/>
    <mergeCell ref="F360:H360"/>
    <mergeCell ref="F291:H291"/>
    <mergeCell ref="F292:H292"/>
    <mergeCell ref="F325:H325"/>
    <mergeCell ref="F326:H326"/>
    <mergeCell ref="F334:H334"/>
    <mergeCell ref="F309:H309"/>
    <mergeCell ref="F308:H308"/>
    <mergeCell ref="F313:H313"/>
    <mergeCell ref="F314:H314"/>
    <mergeCell ref="F315:H315"/>
    <mergeCell ref="F316:H316"/>
    <mergeCell ref="F317:H317"/>
    <mergeCell ref="F330:H330"/>
    <mergeCell ref="F331:H331"/>
    <mergeCell ref="F332:H332"/>
    <mergeCell ref="F333:H333"/>
    <mergeCell ref="F297:H297"/>
    <mergeCell ref="F298:H298"/>
    <mergeCell ref="F299:H299"/>
    <mergeCell ref="F300:H300"/>
    <mergeCell ref="F296:H296"/>
    <mergeCell ref="F245:H245"/>
    <mergeCell ref="F249:H249"/>
    <mergeCell ref="F246:H246"/>
    <mergeCell ref="F247:H247"/>
    <mergeCell ref="F248:H248"/>
    <mergeCell ref="F257:H257"/>
    <mergeCell ref="F258:H258"/>
    <mergeCell ref="F262:H262"/>
    <mergeCell ref="F263:H263"/>
    <mergeCell ref="F275:H275"/>
    <mergeCell ref="F279:H279"/>
    <mergeCell ref="F280:H280"/>
    <mergeCell ref="F281:H281"/>
    <mergeCell ref="F282:H282"/>
    <mergeCell ref="F283:H283"/>
    <mergeCell ref="F241:H241"/>
    <mergeCell ref="F206:H206"/>
    <mergeCell ref="F214:H214"/>
    <mergeCell ref="F212:H212"/>
    <mergeCell ref="F213:H213"/>
    <mergeCell ref="F230:H230"/>
    <mergeCell ref="F215:H215"/>
    <mergeCell ref="F229:H229"/>
    <mergeCell ref="F223:H223"/>
    <mergeCell ref="F224:H224"/>
    <mergeCell ref="F228:H228"/>
    <mergeCell ref="F231:H231"/>
    <mergeCell ref="F232:H232"/>
    <mergeCell ref="F240:H240"/>
    <mergeCell ref="F264:H264"/>
    <mergeCell ref="F265:H265"/>
    <mergeCell ref="F266:H266"/>
    <mergeCell ref="F274:H274"/>
    <mergeCell ref="F189:H189"/>
    <mergeCell ref="F190:H190"/>
    <mergeCell ref="F194:H194"/>
    <mergeCell ref="F195:H195"/>
    <mergeCell ref="F196:H196"/>
    <mergeCell ref="F197:H197"/>
    <mergeCell ref="F198:H198"/>
    <mergeCell ref="F207:H207"/>
    <mergeCell ref="F211:H211"/>
    <mergeCell ref="F177:H177"/>
    <mergeCell ref="F178:H178"/>
    <mergeCell ref="F179:H179"/>
    <mergeCell ref="F180:H180"/>
    <mergeCell ref="F181:H181"/>
    <mergeCell ref="F144:H144"/>
    <mergeCell ref="F145:H145"/>
    <mergeCell ref="F146:H146"/>
    <mergeCell ref="F129:H129"/>
    <mergeCell ref="F130:H130"/>
    <mergeCell ref="F139:H139"/>
    <mergeCell ref="F155:H155"/>
    <mergeCell ref="F160:H160"/>
    <mergeCell ref="F161:H161"/>
    <mergeCell ref="F156:H156"/>
    <mergeCell ref="F162:H162"/>
    <mergeCell ref="F163:H163"/>
    <mergeCell ref="F164:H164"/>
    <mergeCell ref="F172:H172"/>
    <mergeCell ref="F173:H173"/>
    <mergeCell ref="F126:H126"/>
    <mergeCell ref="F127:H127"/>
    <mergeCell ref="F128:H128"/>
    <mergeCell ref="F138:H138"/>
    <mergeCell ref="F143:H143"/>
    <mergeCell ref="F147:H147"/>
    <mergeCell ref="F110:H110"/>
    <mergeCell ref="F95:H95"/>
    <mergeCell ref="F109:H109"/>
    <mergeCell ref="F96:H96"/>
    <mergeCell ref="F104:H104"/>
    <mergeCell ref="F105:H105"/>
    <mergeCell ref="F111:H111"/>
    <mergeCell ref="F112:H112"/>
    <mergeCell ref="F113:H113"/>
    <mergeCell ref="F121:H121"/>
    <mergeCell ref="F122:H122"/>
    <mergeCell ref="F94:H94"/>
    <mergeCell ref="F70:H70"/>
    <mergeCell ref="F71:H71"/>
    <mergeCell ref="F79:H79"/>
    <mergeCell ref="F75:H75"/>
    <mergeCell ref="F76:H76"/>
    <mergeCell ref="F77:H77"/>
    <mergeCell ref="F78:H78"/>
    <mergeCell ref="F87:H87"/>
    <mergeCell ref="F88:H88"/>
    <mergeCell ref="F92:H92"/>
    <mergeCell ref="F93:H93"/>
    <mergeCell ref="F59:H59"/>
    <mergeCell ref="F60:H60"/>
    <mergeCell ref="F61:H61"/>
    <mergeCell ref="F62:H62"/>
    <mergeCell ref="F24:H24"/>
    <mergeCell ref="F25:H25"/>
    <mergeCell ref="F26:H26"/>
    <mergeCell ref="F20:H20"/>
    <mergeCell ref="F54:H54"/>
    <mergeCell ref="F41:H41"/>
    <mergeCell ref="F36:H36"/>
    <mergeCell ref="F37:H37"/>
    <mergeCell ref="F42:H42"/>
    <mergeCell ref="F43:H43"/>
    <mergeCell ref="F44:H44"/>
    <mergeCell ref="F45:H45"/>
    <mergeCell ref="F53:H53"/>
    <mergeCell ref="F7:H7"/>
    <mergeCell ref="F10:H10"/>
    <mergeCell ref="F11:H11"/>
    <mergeCell ref="F19:H19"/>
    <mergeCell ref="F8:H8"/>
    <mergeCell ref="F9:H9"/>
    <mergeCell ref="F27:H27"/>
    <mergeCell ref="F28:H28"/>
    <mergeCell ref="F58:H58"/>
  </mergeCells>
  <phoneticPr fontId="1"/>
  <conditionalFormatting sqref="C17:D17">
    <cfRule type="expression" dxfId="1107" priority="774">
      <formula>$E19="懸念事項"</formula>
    </cfRule>
  </conditionalFormatting>
  <conditionalFormatting sqref="C34:D34">
    <cfRule type="expression" dxfId="1106" priority="530">
      <formula>$E36="懸念事項"</formula>
    </cfRule>
  </conditionalFormatting>
  <conditionalFormatting sqref="C51:D51">
    <cfRule type="expression" dxfId="1105" priority="519">
      <formula>$E53="懸念事項"</formula>
    </cfRule>
  </conditionalFormatting>
  <conditionalFormatting sqref="C68:D68">
    <cfRule type="expression" dxfId="1104" priority="508">
      <formula>$E70="懸念事項"</formula>
    </cfRule>
  </conditionalFormatting>
  <conditionalFormatting sqref="C85:D85">
    <cfRule type="expression" dxfId="1103" priority="497">
      <formula>$E87="懸念事項"</formula>
    </cfRule>
  </conditionalFormatting>
  <conditionalFormatting sqref="C102:D102">
    <cfRule type="expression" dxfId="1102" priority="486">
      <formula>$E104="懸念事項"</formula>
    </cfRule>
  </conditionalFormatting>
  <conditionalFormatting sqref="C119:D119">
    <cfRule type="expression" dxfId="1101" priority="475">
      <formula>$E121="懸念事項"</formula>
    </cfRule>
  </conditionalFormatting>
  <conditionalFormatting sqref="C136:D136">
    <cfRule type="expression" dxfId="1100" priority="464">
      <formula>$E138="懸念事項"</formula>
    </cfRule>
  </conditionalFormatting>
  <conditionalFormatting sqref="C153:D153">
    <cfRule type="expression" dxfId="1099" priority="453">
      <formula>$E155="懸念事項"</formula>
    </cfRule>
  </conditionalFormatting>
  <conditionalFormatting sqref="C170:D170">
    <cfRule type="expression" dxfId="1098" priority="442">
      <formula>$E172="懸念事項"</formula>
    </cfRule>
  </conditionalFormatting>
  <conditionalFormatting sqref="C187:D187">
    <cfRule type="expression" dxfId="1097" priority="431">
      <formula>$E189="懸念事項"</formula>
    </cfRule>
  </conditionalFormatting>
  <conditionalFormatting sqref="C204:D204">
    <cfRule type="expression" dxfId="1096" priority="420">
      <formula>$E206="懸念事項"</formula>
    </cfRule>
  </conditionalFormatting>
  <conditionalFormatting sqref="C221:D221">
    <cfRule type="expression" dxfId="1095" priority="409">
      <formula>$E223="懸念事項"</formula>
    </cfRule>
  </conditionalFormatting>
  <conditionalFormatting sqref="C238:D238">
    <cfRule type="expression" dxfId="1094" priority="398">
      <formula>$E240="懸念事項"</formula>
    </cfRule>
  </conditionalFormatting>
  <conditionalFormatting sqref="C255:D255">
    <cfRule type="expression" dxfId="1093" priority="387">
      <formula>$E257="懸念事項"</formula>
    </cfRule>
  </conditionalFormatting>
  <conditionalFormatting sqref="C272:D272">
    <cfRule type="expression" dxfId="1092" priority="376">
      <formula>$E274="懸念事項"</formula>
    </cfRule>
  </conditionalFormatting>
  <conditionalFormatting sqref="C289:D289">
    <cfRule type="expression" dxfId="1091" priority="365">
      <formula>$E291="懸念事項"</formula>
    </cfRule>
  </conditionalFormatting>
  <conditionalFormatting sqref="C306:D306">
    <cfRule type="expression" dxfId="1090" priority="354">
      <formula>$E308="懸念事項"</formula>
    </cfRule>
  </conditionalFormatting>
  <conditionalFormatting sqref="C323:D323">
    <cfRule type="expression" dxfId="1089" priority="343">
      <formula>$E325="懸念事項"</formula>
    </cfRule>
  </conditionalFormatting>
  <conditionalFormatting sqref="C340:D340">
    <cfRule type="expression" dxfId="1088" priority="332">
      <formula>$E342="懸念事項"</formula>
    </cfRule>
  </conditionalFormatting>
  <conditionalFormatting sqref="C357:D357">
    <cfRule type="expression" dxfId="1087" priority="321">
      <formula>$E359="懸念事項"</formula>
    </cfRule>
  </conditionalFormatting>
  <conditionalFormatting sqref="C374:D374">
    <cfRule type="expression" dxfId="1086" priority="310">
      <formula>$E376="懸念事項"</formula>
    </cfRule>
  </conditionalFormatting>
  <conditionalFormatting sqref="C391:D391">
    <cfRule type="expression" dxfId="1085" priority="299">
      <formula>$E393="懸念事項"</formula>
    </cfRule>
  </conditionalFormatting>
  <conditionalFormatting sqref="C408:D408">
    <cfRule type="expression" dxfId="1084" priority="288">
      <formula>$E410="懸念事項"</formula>
    </cfRule>
  </conditionalFormatting>
  <conditionalFormatting sqref="C425:D425">
    <cfRule type="expression" dxfId="1083" priority="277">
      <formula>$E427="懸念事項"</formula>
    </cfRule>
  </conditionalFormatting>
  <conditionalFormatting sqref="C442:D442">
    <cfRule type="expression" dxfId="1082" priority="266">
      <formula>$E444="懸念事項"</formula>
    </cfRule>
  </conditionalFormatting>
  <conditionalFormatting sqref="C459:D459">
    <cfRule type="expression" dxfId="1081" priority="255">
      <formula>$E461="懸念事項"</formula>
    </cfRule>
  </conditionalFormatting>
  <conditionalFormatting sqref="C476:D476">
    <cfRule type="expression" dxfId="1080" priority="244">
      <formula>$E478="懸念事項"</formula>
    </cfRule>
  </conditionalFormatting>
  <conditionalFormatting sqref="C493:D493">
    <cfRule type="expression" dxfId="1079" priority="233">
      <formula>$E495="懸念事項"</formula>
    </cfRule>
  </conditionalFormatting>
  <conditionalFormatting sqref="C510:D510">
    <cfRule type="expression" dxfId="1078" priority="222">
      <formula>$E512="懸念事項"</formula>
    </cfRule>
  </conditionalFormatting>
  <conditionalFormatting sqref="C527:D527">
    <cfRule type="expression" dxfId="1077" priority="211">
      <formula>$E529="懸念事項"</formula>
    </cfRule>
  </conditionalFormatting>
  <conditionalFormatting sqref="C544:D544">
    <cfRule type="expression" dxfId="1076" priority="200">
      <formula>$E546="懸念事項"</formula>
    </cfRule>
  </conditionalFormatting>
  <conditionalFormatting sqref="C561:D561">
    <cfRule type="expression" dxfId="1075" priority="189">
      <formula>$E563="懸念事項"</formula>
    </cfRule>
  </conditionalFormatting>
  <conditionalFormatting sqref="C578:D578">
    <cfRule type="expression" dxfId="1074" priority="178">
      <formula>$E580="懸念事項"</formula>
    </cfRule>
  </conditionalFormatting>
  <conditionalFormatting sqref="C595:D595">
    <cfRule type="expression" dxfId="1073" priority="167">
      <formula>$E597="懸念事項"</formula>
    </cfRule>
  </conditionalFormatting>
  <conditionalFormatting sqref="C612:D612">
    <cfRule type="expression" dxfId="1072" priority="156">
      <formula>$E614="懸念事項"</formula>
    </cfRule>
  </conditionalFormatting>
  <conditionalFormatting sqref="C629:D629">
    <cfRule type="expression" dxfId="1071" priority="145">
      <formula>$E631="懸念事項"</formula>
    </cfRule>
  </conditionalFormatting>
  <conditionalFormatting sqref="C646:D646">
    <cfRule type="expression" dxfId="1070" priority="134">
      <formula>$E648="懸念事項"</formula>
    </cfRule>
  </conditionalFormatting>
  <conditionalFormatting sqref="C663:D663">
    <cfRule type="expression" dxfId="1069" priority="123">
      <formula>$E665="懸念事項"</formula>
    </cfRule>
  </conditionalFormatting>
  <conditionalFormatting sqref="C680:D680">
    <cfRule type="expression" dxfId="1068" priority="112">
      <formula>$E682="懸念事項"</formula>
    </cfRule>
  </conditionalFormatting>
  <conditionalFormatting sqref="C697:D697">
    <cfRule type="expression" dxfId="1067" priority="101">
      <formula>$E699="懸念事項"</formula>
    </cfRule>
  </conditionalFormatting>
  <conditionalFormatting sqref="C714:D714">
    <cfRule type="expression" dxfId="1066" priority="90">
      <formula>$E716="懸念事項"</formula>
    </cfRule>
  </conditionalFormatting>
  <conditionalFormatting sqref="C731:D731">
    <cfRule type="expression" dxfId="1065" priority="79">
      <formula>$E733="懸念事項"</formula>
    </cfRule>
  </conditionalFormatting>
  <conditionalFormatting sqref="C748:D748">
    <cfRule type="expression" dxfId="1064" priority="68">
      <formula>$E750="懸念事項"</formula>
    </cfRule>
  </conditionalFormatting>
  <conditionalFormatting sqref="C765:D765">
    <cfRule type="expression" dxfId="1063" priority="57">
      <formula>$E767="懸念事項"</formula>
    </cfRule>
  </conditionalFormatting>
  <conditionalFormatting sqref="C782:D782">
    <cfRule type="expression" dxfId="1062" priority="46">
      <formula>$E784="懸念事項"</formula>
    </cfRule>
  </conditionalFormatting>
  <conditionalFormatting sqref="C799:D799">
    <cfRule type="expression" dxfId="1061" priority="35">
      <formula>$E801="懸念事項"</formula>
    </cfRule>
  </conditionalFormatting>
  <conditionalFormatting sqref="C816:D816">
    <cfRule type="expression" dxfId="1060" priority="24">
      <formula>$E818="懸念事項"</formula>
    </cfRule>
  </conditionalFormatting>
  <conditionalFormatting sqref="C833:D833">
    <cfRule type="expression" dxfId="1059" priority="13">
      <formula>$E835="懸念事項"</formula>
    </cfRule>
  </conditionalFormatting>
  <conditionalFormatting sqref="C850:D850">
    <cfRule type="expression" dxfId="1058" priority="2">
      <formula>$E852="懸念事項"</formula>
    </cfRule>
  </conditionalFormatting>
  <conditionalFormatting sqref="C12:H17">
    <cfRule type="expression" dxfId="1057" priority="1313">
      <formula>$R12=""</formula>
    </cfRule>
  </conditionalFormatting>
  <conditionalFormatting sqref="C29:H34">
    <cfRule type="expression" dxfId="1056" priority="531">
      <formula>$R29=""</formula>
    </cfRule>
  </conditionalFormatting>
  <conditionalFormatting sqref="C46:H51">
    <cfRule type="expression" dxfId="1055" priority="520">
      <formula>$R46=""</formula>
    </cfRule>
  </conditionalFormatting>
  <conditionalFormatting sqref="C63:H68">
    <cfRule type="expression" dxfId="1054" priority="509">
      <formula>$R63=""</formula>
    </cfRule>
  </conditionalFormatting>
  <conditionalFormatting sqref="C80:H85">
    <cfRule type="expression" dxfId="1053" priority="498">
      <formula>$R80=""</formula>
    </cfRule>
  </conditionalFormatting>
  <conditionalFormatting sqref="C97:H102">
    <cfRule type="expression" dxfId="1052" priority="487">
      <formula>$R97=""</formula>
    </cfRule>
  </conditionalFormatting>
  <conditionalFormatting sqref="C114:H119">
    <cfRule type="expression" dxfId="1051" priority="476">
      <formula>$R114=""</formula>
    </cfRule>
  </conditionalFormatting>
  <conditionalFormatting sqref="C131:H136">
    <cfRule type="expression" dxfId="1050" priority="465">
      <formula>$R131=""</formula>
    </cfRule>
  </conditionalFormatting>
  <conditionalFormatting sqref="C148:H153">
    <cfRule type="expression" dxfId="1049" priority="454">
      <formula>$R148=""</formula>
    </cfRule>
  </conditionalFormatting>
  <conditionalFormatting sqref="C165:H170">
    <cfRule type="expression" dxfId="1048" priority="443">
      <formula>$R165=""</formula>
    </cfRule>
  </conditionalFormatting>
  <conditionalFormatting sqref="C182:H187">
    <cfRule type="expression" dxfId="1047" priority="432">
      <formula>$R182=""</formula>
    </cfRule>
  </conditionalFormatting>
  <conditionalFormatting sqref="C199:H204">
    <cfRule type="expression" dxfId="1046" priority="421">
      <formula>$R199=""</formula>
    </cfRule>
  </conditionalFormatting>
  <conditionalFormatting sqref="C216:H221">
    <cfRule type="expression" dxfId="1045" priority="410">
      <formula>$R216=""</formula>
    </cfRule>
  </conditionalFormatting>
  <conditionalFormatting sqref="C233:H238">
    <cfRule type="expression" dxfId="1044" priority="399">
      <formula>$R233=""</formula>
    </cfRule>
  </conditionalFormatting>
  <conditionalFormatting sqref="C250:H255">
    <cfRule type="expression" dxfId="1043" priority="388">
      <formula>$R250=""</formula>
    </cfRule>
  </conditionalFormatting>
  <conditionalFormatting sqref="C267:H272">
    <cfRule type="expression" dxfId="1042" priority="377">
      <formula>$R267=""</formula>
    </cfRule>
  </conditionalFormatting>
  <conditionalFormatting sqref="C284:H289">
    <cfRule type="expression" dxfId="1041" priority="366">
      <formula>$R284=""</formula>
    </cfRule>
  </conditionalFormatting>
  <conditionalFormatting sqref="C301:H306">
    <cfRule type="expression" dxfId="1040" priority="355">
      <formula>$R301=""</formula>
    </cfRule>
  </conditionalFormatting>
  <conditionalFormatting sqref="C318:H323">
    <cfRule type="expression" dxfId="1039" priority="344">
      <formula>$R318=""</formula>
    </cfRule>
  </conditionalFormatting>
  <conditionalFormatting sqref="C335:H340">
    <cfRule type="expression" dxfId="1038" priority="333">
      <formula>$R335=""</formula>
    </cfRule>
  </conditionalFormatting>
  <conditionalFormatting sqref="C352:H357">
    <cfRule type="expression" dxfId="1037" priority="322">
      <formula>$R352=""</formula>
    </cfRule>
  </conditionalFormatting>
  <conditionalFormatting sqref="C369:H374">
    <cfRule type="expression" dxfId="1036" priority="311">
      <formula>$R369=""</formula>
    </cfRule>
  </conditionalFormatting>
  <conditionalFormatting sqref="C386:H391">
    <cfRule type="expression" dxfId="1035" priority="300">
      <formula>$R386=""</formula>
    </cfRule>
  </conditionalFormatting>
  <conditionalFormatting sqref="C403:H408">
    <cfRule type="expression" dxfId="1034" priority="289">
      <formula>$R403=""</formula>
    </cfRule>
  </conditionalFormatting>
  <conditionalFormatting sqref="C420:H425">
    <cfRule type="expression" dxfId="1033" priority="278">
      <formula>$R420=""</formula>
    </cfRule>
  </conditionalFormatting>
  <conditionalFormatting sqref="C437:H442">
    <cfRule type="expression" dxfId="1032" priority="267">
      <formula>$R437=""</formula>
    </cfRule>
  </conditionalFormatting>
  <conditionalFormatting sqref="C454:H459">
    <cfRule type="expression" dxfId="1031" priority="256">
      <formula>$R454=""</formula>
    </cfRule>
  </conditionalFormatting>
  <conditionalFormatting sqref="C471:H476">
    <cfRule type="expression" dxfId="1030" priority="245">
      <formula>$R471=""</formula>
    </cfRule>
  </conditionalFormatting>
  <conditionalFormatting sqref="C488:H493">
    <cfRule type="expression" dxfId="1029" priority="234">
      <formula>$R488=""</formula>
    </cfRule>
  </conditionalFormatting>
  <conditionalFormatting sqref="C505:H510">
    <cfRule type="expression" dxfId="1028" priority="223">
      <formula>$R505=""</formula>
    </cfRule>
  </conditionalFormatting>
  <conditionalFormatting sqref="C522:H527">
    <cfRule type="expression" dxfId="1027" priority="212">
      <formula>$R522=""</formula>
    </cfRule>
  </conditionalFormatting>
  <conditionalFormatting sqref="C539:H544">
    <cfRule type="expression" dxfId="1026" priority="201">
      <formula>$R539=""</formula>
    </cfRule>
  </conditionalFormatting>
  <conditionalFormatting sqref="C556:H561">
    <cfRule type="expression" dxfId="1025" priority="190">
      <formula>$R556=""</formula>
    </cfRule>
  </conditionalFormatting>
  <conditionalFormatting sqref="C573:H578">
    <cfRule type="expression" dxfId="1024" priority="179">
      <formula>$R573=""</formula>
    </cfRule>
  </conditionalFormatting>
  <conditionalFormatting sqref="C590:H595">
    <cfRule type="expression" dxfId="1023" priority="168">
      <formula>$R590=""</formula>
    </cfRule>
  </conditionalFormatting>
  <conditionalFormatting sqref="C607:H612">
    <cfRule type="expression" dxfId="1022" priority="157">
      <formula>$R607=""</formula>
    </cfRule>
  </conditionalFormatting>
  <conditionalFormatting sqref="C624:H629">
    <cfRule type="expression" dxfId="1021" priority="146">
      <formula>$R624=""</formula>
    </cfRule>
  </conditionalFormatting>
  <conditionalFormatting sqref="C641:H646">
    <cfRule type="expression" dxfId="1020" priority="135">
      <formula>$R641=""</formula>
    </cfRule>
  </conditionalFormatting>
  <conditionalFormatting sqref="C658:H663">
    <cfRule type="expression" dxfId="1019" priority="124">
      <formula>$R658=""</formula>
    </cfRule>
  </conditionalFormatting>
  <conditionalFormatting sqref="C675:H680">
    <cfRule type="expression" dxfId="1018" priority="113">
      <formula>$R675=""</formula>
    </cfRule>
  </conditionalFormatting>
  <conditionalFormatting sqref="C692:H697">
    <cfRule type="expression" dxfId="1017" priority="102">
      <formula>$R692=""</formula>
    </cfRule>
  </conditionalFormatting>
  <conditionalFormatting sqref="C709:H714">
    <cfRule type="expression" dxfId="1016" priority="91">
      <formula>$R709=""</formula>
    </cfRule>
  </conditionalFormatting>
  <conditionalFormatting sqref="C726:H731">
    <cfRule type="expression" dxfId="1015" priority="80">
      <formula>$R726=""</formula>
    </cfRule>
  </conditionalFormatting>
  <conditionalFormatting sqref="C743:H748">
    <cfRule type="expression" dxfId="1014" priority="69">
      <formula>$R743=""</formula>
    </cfRule>
  </conditionalFormatting>
  <conditionalFormatting sqref="C760:H765">
    <cfRule type="expression" dxfId="1013" priority="58">
      <formula>$R760=""</formula>
    </cfRule>
  </conditionalFormatting>
  <conditionalFormatting sqref="C777:H782">
    <cfRule type="expression" dxfId="1012" priority="47">
      <formula>$R777=""</formula>
    </cfRule>
  </conditionalFormatting>
  <conditionalFormatting sqref="C794:H799">
    <cfRule type="expression" dxfId="1011" priority="36">
      <formula>$R794=""</formula>
    </cfRule>
  </conditionalFormatting>
  <conditionalFormatting sqref="C811:H816">
    <cfRule type="expression" dxfId="1010" priority="25">
      <formula>$R811=""</formula>
    </cfRule>
  </conditionalFormatting>
  <conditionalFormatting sqref="C828:H833">
    <cfRule type="expression" dxfId="1009" priority="14">
      <formula>$R828=""</formula>
    </cfRule>
  </conditionalFormatting>
  <conditionalFormatting sqref="C845:H850">
    <cfRule type="expression" dxfId="1008" priority="3">
      <formula>$R845=""</formula>
    </cfRule>
  </conditionalFormatting>
  <conditionalFormatting sqref="D7:D9">
    <cfRule type="containsText" dxfId="1007" priority="1340" operator="containsText" text="選択してください">
      <formula>NOT(ISERROR(SEARCH("選択してください",D7)))</formula>
    </cfRule>
  </conditionalFormatting>
  <conditionalFormatting sqref="D24:D26">
    <cfRule type="containsText" dxfId="1006" priority="533" operator="containsText" text="選択してください">
      <formula>NOT(ISERROR(SEARCH("選択してください",D24)))</formula>
    </cfRule>
  </conditionalFormatting>
  <conditionalFormatting sqref="D41:D43">
    <cfRule type="containsText" dxfId="1005" priority="522" operator="containsText" text="選択してください">
      <formula>NOT(ISERROR(SEARCH("選択してください",D41)))</formula>
    </cfRule>
  </conditionalFormatting>
  <conditionalFormatting sqref="D58:D60">
    <cfRule type="containsText" dxfId="1004" priority="511" operator="containsText" text="選択してください">
      <formula>NOT(ISERROR(SEARCH("選択してください",D58)))</formula>
    </cfRule>
  </conditionalFormatting>
  <conditionalFormatting sqref="D75:D77">
    <cfRule type="containsText" dxfId="1003" priority="500" operator="containsText" text="選択してください">
      <formula>NOT(ISERROR(SEARCH("選択してください",D75)))</formula>
    </cfRule>
  </conditionalFormatting>
  <conditionalFormatting sqref="D92:D94">
    <cfRule type="containsText" dxfId="1002" priority="489" operator="containsText" text="選択してください">
      <formula>NOT(ISERROR(SEARCH("選択してください",D92)))</formula>
    </cfRule>
  </conditionalFormatting>
  <conditionalFormatting sqref="D109:D111">
    <cfRule type="containsText" dxfId="1001" priority="478" operator="containsText" text="選択してください">
      <formula>NOT(ISERROR(SEARCH("選択してください",D109)))</formula>
    </cfRule>
  </conditionalFormatting>
  <conditionalFormatting sqref="D126:D128">
    <cfRule type="containsText" dxfId="1000" priority="467" operator="containsText" text="選択してください">
      <formula>NOT(ISERROR(SEARCH("選択してください",D126)))</formula>
    </cfRule>
  </conditionalFormatting>
  <conditionalFormatting sqref="D143:D145">
    <cfRule type="containsText" dxfId="999" priority="456" operator="containsText" text="選択してください">
      <formula>NOT(ISERROR(SEARCH("選択してください",D143)))</formula>
    </cfRule>
  </conditionalFormatting>
  <conditionalFormatting sqref="D160:D162">
    <cfRule type="containsText" dxfId="998" priority="445" operator="containsText" text="選択してください">
      <formula>NOT(ISERROR(SEARCH("選択してください",D160)))</formula>
    </cfRule>
  </conditionalFormatting>
  <conditionalFormatting sqref="D177:D179">
    <cfRule type="containsText" dxfId="997" priority="434" operator="containsText" text="選択してください">
      <formula>NOT(ISERROR(SEARCH("選択してください",D177)))</formula>
    </cfRule>
  </conditionalFormatting>
  <conditionalFormatting sqref="D194:D196">
    <cfRule type="containsText" dxfId="996" priority="423" operator="containsText" text="選択してください">
      <formula>NOT(ISERROR(SEARCH("選択してください",D194)))</formula>
    </cfRule>
  </conditionalFormatting>
  <conditionalFormatting sqref="D211:D213">
    <cfRule type="containsText" dxfId="995" priority="412" operator="containsText" text="選択してください">
      <formula>NOT(ISERROR(SEARCH("選択してください",D211)))</formula>
    </cfRule>
  </conditionalFormatting>
  <conditionalFormatting sqref="D228:D230">
    <cfRule type="containsText" dxfId="994" priority="401" operator="containsText" text="選択してください">
      <formula>NOT(ISERROR(SEARCH("選択してください",D228)))</formula>
    </cfRule>
  </conditionalFormatting>
  <conditionalFormatting sqref="D245:D247">
    <cfRule type="containsText" dxfId="993" priority="390" operator="containsText" text="選択してください">
      <formula>NOT(ISERROR(SEARCH("選択してください",D245)))</formula>
    </cfRule>
  </conditionalFormatting>
  <conditionalFormatting sqref="D262:D264">
    <cfRule type="containsText" dxfId="992" priority="379" operator="containsText" text="選択してください">
      <formula>NOT(ISERROR(SEARCH("選択してください",D262)))</formula>
    </cfRule>
  </conditionalFormatting>
  <conditionalFormatting sqref="D279:D281">
    <cfRule type="containsText" dxfId="991" priority="368" operator="containsText" text="選択してください">
      <formula>NOT(ISERROR(SEARCH("選択してください",D279)))</formula>
    </cfRule>
  </conditionalFormatting>
  <conditionalFormatting sqref="D296:D298">
    <cfRule type="containsText" dxfId="990" priority="357" operator="containsText" text="選択してください">
      <formula>NOT(ISERROR(SEARCH("選択してください",D296)))</formula>
    </cfRule>
  </conditionalFormatting>
  <conditionalFormatting sqref="D313:D315">
    <cfRule type="containsText" dxfId="989" priority="346" operator="containsText" text="選択してください">
      <formula>NOT(ISERROR(SEARCH("選択してください",D313)))</formula>
    </cfRule>
  </conditionalFormatting>
  <conditionalFormatting sqref="D330:D332">
    <cfRule type="containsText" dxfId="988" priority="335" operator="containsText" text="選択してください">
      <formula>NOT(ISERROR(SEARCH("選択してください",D330)))</formula>
    </cfRule>
  </conditionalFormatting>
  <conditionalFormatting sqref="D347:D349">
    <cfRule type="containsText" dxfId="987" priority="324" operator="containsText" text="選択してください">
      <formula>NOT(ISERROR(SEARCH("選択してください",D347)))</formula>
    </cfRule>
  </conditionalFormatting>
  <conditionalFormatting sqref="D364:D366">
    <cfRule type="containsText" dxfId="986" priority="313" operator="containsText" text="選択してください">
      <formula>NOT(ISERROR(SEARCH("選択してください",D364)))</formula>
    </cfRule>
  </conditionalFormatting>
  <conditionalFormatting sqref="D381:D383">
    <cfRule type="containsText" dxfId="985" priority="302" operator="containsText" text="選択してください">
      <formula>NOT(ISERROR(SEARCH("選択してください",D381)))</formula>
    </cfRule>
  </conditionalFormatting>
  <conditionalFormatting sqref="D398:D400">
    <cfRule type="containsText" dxfId="984" priority="291" operator="containsText" text="選択してください">
      <formula>NOT(ISERROR(SEARCH("選択してください",D398)))</formula>
    </cfRule>
  </conditionalFormatting>
  <conditionalFormatting sqref="D415:D417">
    <cfRule type="containsText" dxfId="983" priority="280" operator="containsText" text="選択してください">
      <formula>NOT(ISERROR(SEARCH("選択してください",D415)))</formula>
    </cfRule>
  </conditionalFormatting>
  <conditionalFormatting sqref="D432:D434">
    <cfRule type="containsText" dxfId="982" priority="269" operator="containsText" text="選択してください">
      <formula>NOT(ISERROR(SEARCH("選択してください",D432)))</formula>
    </cfRule>
  </conditionalFormatting>
  <conditionalFormatting sqref="D449:D451">
    <cfRule type="containsText" dxfId="981" priority="258" operator="containsText" text="選択してください">
      <formula>NOT(ISERROR(SEARCH("選択してください",D449)))</formula>
    </cfRule>
  </conditionalFormatting>
  <conditionalFormatting sqref="D466:D468">
    <cfRule type="containsText" dxfId="980" priority="247" operator="containsText" text="選択してください">
      <formula>NOT(ISERROR(SEARCH("選択してください",D466)))</formula>
    </cfRule>
  </conditionalFormatting>
  <conditionalFormatting sqref="D483:D485">
    <cfRule type="containsText" dxfId="979" priority="236" operator="containsText" text="選択してください">
      <formula>NOT(ISERROR(SEARCH("選択してください",D483)))</formula>
    </cfRule>
  </conditionalFormatting>
  <conditionalFormatting sqref="D500:D502">
    <cfRule type="containsText" dxfId="978" priority="225" operator="containsText" text="選択してください">
      <formula>NOT(ISERROR(SEARCH("選択してください",D500)))</formula>
    </cfRule>
  </conditionalFormatting>
  <conditionalFormatting sqref="D517:D519">
    <cfRule type="containsText" dxfId="977" priority="214" operator="containsText" text="選択してください">
      <formula>NOT(ISERROR(SEARCH("選択してください",D517)))</formula>
    </cfRule>
  </conditionalFormatting>
  <conditionalFormatting sqref="D534:D536">
    <cfRule type="containsText" dxfId="976" priority="203" operator="containsText" text="選択してください">
      <formula>NOT(ISERROR(SEARCH("選択してください",D534)))</formula>
    </cfRule>
  </conditionalFormatting>
  <conditionalFormatting sqref="D551:D553">
    <cfRule type="containsText" dxfId="975" priority="192" operator="containsText" text="選択してください">
      <formula>NOT(ISERROR(SEARCH("選択してください",D551)))</formula>
    </cfRule>
  </conditionalFormatting>
  <conditionalFormatting sqref="D568:D570">
    <cfRule type="containsText" dxfId="974" priority="181" operator="containsText" text="選択してください">
      <formula>NOT(ISERROR(SEARCH("選択してください",D568)))</formula>
    </cfRule>
  </conditionalFormatting>
  <conditionalFormatting sqref="D585:D587">
    <cfRule type="containsText" dxfId="973" priority="170" operator="containsText" text="選択してください">
      <formula>NOT(ISERROR(SEARCH("選択してください",D585)))</formula>
    </cfRule>
  </conditionalFormatting>
  <conditionalFormatting sqref="D602:D604">
    <cfRule type="containsText" dxfId="972" priority="159" operator="containsText" text="選択してください">
      <formula>NOT(ISERROR(SEARCH("選択してください",D602)))</formula>
    </cfRule>
  </conditionalFormatting>
  <conditionalFormatting sqref="D619:D621">
    <cfRule type="containsText" dxfId="971" priority="148" operator="containsText" text="選択してください">
      <formula>NOT(ISERROR(SEARCH("選択してください",D619)))</formula>
    </cfRule>
  </conditionalFormatting>
  <conditionalFormatting sqref="D636:D638">
    <cfRule type="containsText" dxfId="970" priority="137" operator="containsText" text="選択してください">
      <formula>NOT(ISERROR(SEARCH("選択してください",D636)))</formula>
    </cfRule>
  </conditionalFormatting>
  <conditionalFormatting sqref="D653:D655">
    <cfRule type="containsText" dxfId="969" priority="126" operator="containsText" text="選択してください">
      <formula>NOT(ISERROR(SEARCH("選択してください",D653)))</formula>
    </cfRule>
  </conditionalFormatting>
  <conditionalFormatting sqref="D670:D672">
    <cfRule type="containsText" dxfId="968" priority="115" operator="containsText" text="選択してください">
      <formula>NOT(ISERROR(SEARCH("選択してください",D670)))</formula>
    </cfRule>
  </conditionalFormatting>
  <conditionalFormatting sqref="D687:D689">
    <cfRule type="containsText" dxfId="967" priority="104" operator="containsText" text="選択してください">
      <formula>NOT(ISERROR(SEARCH("選択してください",D687)))</formula>
    </cfRule>
  </conditionalFormatting>
  <conditionalFormatting sqref="D704:D706">
    <cfRule type="containsText" dxfId="966" priority="93" operator="containsText" text="選択してください">
      <formula>NOT(ISERROR(SEARCH("選択してください",D704)))</formula>
    </cfRule>
  </conditionalFormatting>
  <conditionalFormatting sqref="D721:D723">
    <cfRule type="containsText" dxfId="965" priority="82" operator="containsText" text="選択してください">
      <formula>NOT(ISERROR(SEARCH("選択してください",D721)))</formula>
    </cfRule>
  </conditionalFormatting>
  <conditionalFormatting sqref="D738:D740">
    <cfRule type="containsText" dxfId="964" priority="71" operator="containsText" text="選択してください">
      <formula>NOT(ISERROR(SEARCH("選択してください",D738)))</formula>
    </cfRule>
  </conditionalFormatting>
  <conditionalFormatting sqref="D755:D757">
    <cfRule type="containsText" dxfId="963" priority="60" operator="containsText" text="選択してください">
      <formula>NOT(ISERROR(SEARCH("選択してください",D755)))</formula>
    </cfRule>
  </conditionalFormatting>
  <conditionalFormatting sqref="D772:D774">
    <cfRule type="containsText" dxfId="962" priority="49" operator="containsText" text="選択してください">
      <formula>NOT(ISERROR(SEARCH("選択してください",D772)))</formula>
    </cfRule>
  </conditionalFormatting>
  <conditionalFormatting sqref="D789:D791">
    <cfRule type="containsText" dxfId="961" priority="38" operator="containsText" text="選択してください">
      <formula>NOT(ISERROR(SEARCH("選択してください",D789)))</formula>
    </cfRule>
  </conditionalFormatting>
  <conditionalFormatting sqref="D806:D808">
    <cfRule type="containsText" dxfId="960" priority="27" operator="containsText" text="選択してください">
      <formula>NOT(ISERROR(SEARCH("選択してください",D806)))</formula>
    </cfRule>
  </conditionalFormatting>
  <conditionalFormatting sqref="D823:D825">
    <cfRule type="containsText" dxfId="959" priority="16" operator="containsText" text="選択してください">
      <formula>NOT(ISERROR(SEARCH("選択してください",D823)))</formula>
    </cfRule>
  </conditionalFormatting>
  <conditionalFormatting sqref="D840:D842">
    <cfRule type="containsText" dxfId="958" priority="5" operator="containsText" text="選択してください">
      <formula>NOT(ISERROR(SEARCH("選択してください",D840)))</formula>
    </cfRule>
  </conditionalFormatting>
  <conditionalFormatting sqref="E13:E17">
    <cfRule type="containsText" dxfId="957" priority="1320" operator="containsText" text="合意形成対象者">
      <formula>NOT(ISERROR(SEARCH("合意形成対象者",E13)))</formula>
    </cfRule>
  </conditionalFormatting>
  <conditionalFormatting sqref="E30:E34">
    <cfRule type="containsText" dxfId="956" priority="532" operator="containsText" text="合意形成対象者">
      <formula>NOT(ISERROR(SEARCH("合意形成対象者",E30)))</formula>
    </cfRule>
  </conditionalFormatting>
  <conditionalFormatting sqref="E47:E51">
    <cfRule type="containsText" dxfId="955" priority="521" operator="containsText" text="合意形成対象者">
      <formula>NOT(ISERROR(SEARCH("合意形成対象者",E47)))</formula>
    </cfRule>
  </conditionalFormatting>
  <conditionalFormatting sqref="E64:E68">
    <cfRule type="containsText" dxfId="954" priority="510" operator="containsText" text="合意形成対象者">
      <formula>NOT(ISERROR(SEARCH("合意形成対象者",E64)))</formula>
    </cfRule>
  </conditionalFormatting>
  <conditionalFormatting sqref="E81:E85">
    <cfRule type="containsText" dxfId="953" priority="499" operator="containsText" text="合意形成対象者">
      <formula>NOT(ISERROR(SEARCH("合意形成対象者",E81)))</formula>
    </cfRule>
  </conditionalFormatting>
  <conditionalFormatting sqref="E98:E102">
    <cfRule type="containsText" dxfId="952" priority="488" operator="containsText" text="合意形成対象者">
      <formula>NOT(ISERROR(SEARCH("合意形成対象者",E98)))</formula>
    </cfRule>
  </conditionalFormatting>
  <conditionalFormatting sqref="E115:E119">
    <cfRule type="containsText" dxfId="951" priority="477" operator="containsText" text="合意形成対象者">
      <formula>NOT(ISERROR(SEARCH("合意形成対象者",E115)))</formula>
    </cfRule>
  </conditionalFormatting>
  <conditionalFormatting sqref="E132:E136">
    <cfRule type="containsText" dxfId="950" priority="466" operator="containsText" text="合意形成対象者">
      <formula>NOT(ISERROR(SEARCH("合意形成対象者",E132)))</formula>
    </cfRule>
  </conditionalFormatting>
  <conditionalFormatting sqref="E149:E153">
    <cfRule type="containsText" dxfId="949" priority="455" operator="containsText" text="合意形成対象者">
      <formula>NOT(ISERROR(SEARCH("合意形成対象者",E149)))</formula>
    </cfRule>
  </conditionalFormatting>
  <conditionalFormatting sqref="E166:E170">
    <cfRule type="containsText" dxfId="948" priority="444" operator="containsText" text="合意形成対象者">
      <formula>NOT(ISERROR(SEARCH("合意形成対象者",E166)))</formula>
    </cfRule>
  </conditionalFormatting>
  <conditionalFormatting sqref="E183:E187">
    <cfRule type="containsText" dxfId="947" priority="433" operator="containsText" text="合意形成対象者">
      <formula>NOT(ISERROR(SEARCH("合意形成対象者",E183)))</formula>
    </cfRule>
  </conditionalFormatting>
  <conditionalFormatting sqref="E200:E204">
    <cfRule type="containsText" dxfId="946" priority="422" operator="containsText" text="合意形成対象者">
      <formula>NOT(ISERROR(SEARCH("合意形成対象者",E200)))</formula>
    </cfRule>
  </conditionalFormatting>
  <conditionalFormatting sqref="E217:E221">
    <cfRule type="containsText" dxfId="945" priority="411" operator="containsText" text="合意形成対象者">
      <formula>NOT(ISERROR(SEARCH("合意形成対象者",E217)))</formula>
    </cfRule>
  </conditionalFormatting>
  <conditionalFormatting sqref="E234:E238">
    <cfRule type="containsText" dxfId="944" priority="400" operator="containsText" text="合意形成対象者">
      <formula>NOT(ISERROR(SEARCH("合意形成対象者",E234)))</formula>
    </cfRule>
  </conditionalFormatting>
  <conditionalFormatting sqref="E251:E255">
    <cfRule type="containsText" dxfId="943" priority="389" operator="containsText" text="合意形成対象者">
      <formula>NOT(ISERROR(SEARCH("合意形成対象者",E251)))</formula>
    </cfRule>
  </conditionalFormatting>
  <conditionalFormatting sqref="E268:E272">
    <cfRule type="containsText" dxfId="942" priority="378" operator="containsText" text="合意形成対象者">
      <formula>NOT(ISERROR(SEARCH("合意形成対象者",E268)))</formula>
    </cfRule>
  </conditionalFormatting>
  <conditionalFormatting sqref="E285:E289">
    <cfRule type="containsText" dxfId="941" priority="367" operator="containsText" text="合意形成対象者">
      <formula>NOT(ISERROR(SEARCH("合意形成対象者",E285)))</formula>
    </cfRule>
  </conditionalFormatting>
  <conditionalFormatting sqref="E302:E306">
    <cfRule type="containsText" dxfId="940" priority="356" operator="containsText" text="合意形成対象者">
      <formula>NOT(ISERROR(SEARCH("合意形成対象者",E302)))</formula>
    </cfRule>
  </conditionalFormatting>
  <conditionalFormatting sqref="E319:E323">
    <cfRule type="containsText" dxfId="939" priority="345" operator="containsText" text="合意形成対象者">
      <formula>NOT(ISERROR(SEARCH("合意形成対象者",E319)))</formula>
    </cfRule>
  </conditionalFormatting>
  <conditionalFormatting sqref="E336:E340">
    <cfRule type="containsText" dxfId="938" priority="334" operator="containsText" text="合意形成対象者">
      <formula>NOT(ISERROR(SEARCH("合意形成対象者",E336)))</formula>
    </cfRule>
  </conditionalFormatting>
  <conditionalFormatting sqref="E353:E357">
    <cfRule type="containsText" dxfId="937" priority="323" operator="containsText" text="合意形成対象者">
      <formula>NOT(ISERROR(SEARCH("合意形成対象者",E353)))</formula>
    </cfRule>
  </conditionalFormatting>
  <conditionalFormatting sqref="E370:E374">
    <cfRule type="containsText" dxfId="936" priority="312" operator="containsText" text="合意形成対象者">
      <formula>NOT(ISERROR(SEARCH("合意形成対象者",E370)))</formula>
    </cfRule>
  </conditionalFormatting>
  <conditionalFormatting sqref="E387:E391">
    <cfRule type="containsText" dxfId="935" priority="301" operator="containsText" text="合意形成対象者">
      <formula>NOT(ISERROR(SEARCH("合意形成対象者",E387)))</formula>
    </cfRule>
  </conditionalFormatting>
  <conditionalFormatting sqref="E404:E408">
    <cfRule type="containsText" dxfId="934" priority="290" operator="containsText" text="合意形成対象者">
      <formula>NOT(ISERROR(SEARCH("合意形成対象者",E404)))</formula>
    </cfRule>
  </conditionalFormatting>
  <conditionalFormatting sqref="E421:E425">
    <cfRule type="containsText" dxfId="933" priority="279" operator="containsText" text="合意形成対象者">
      <formula>NOT(ISERROR(SEARCH("合意形成対象者",E421)))</formula>
    </cfRule>
  </conditionalFormatting>
  <conditionalFormatting sqref="E438:E442">
    <cfRule type="containsText" dxfId="932" priority="268" operator="containsText" text="合意形成対象者">
      <formula>NOT(ISERROR(SEARCH("合意形成対象者",E438)))</formula>
    </cfRule>
  </conditionalFormatting>
  <conditionalFormatting sqref="E455:E459">
    <cfRule type="containsText" dxfId="931" priority="257" operator="containsText" text="合意形成対象者">
      <formula>NOT(ISERROR(SEARCH("合意形成対象者",E455)))</formula>
    </cfRule>
  </conditionalFormatting>
  <conditionalFormatting sqref="E472:E476">
    <cfRule type="containsText" dxfId="930" priority="246" operator="containsText" text="合意形成対象者">
      <formula>NOT(ISERROR(SEARCH("合意形成対象者",E472)))</formula>
    </cfRule>
  </conditionalFormatting>
  <conditionalFormatting sqref="E489:E493">
    <cfRule type="containsText" dxfId="929" priority="235" operator="containsText" text="合意形成対象者">
      <formula>NOT(ISERROR(SEARCH("合意形成対象者",E489)))</formula>
    </cfRule>
  </conditionalFormatting>
  <conditionalFormatting sqref="E506:E510">
    <cfRule type="containsText" dxfId="928" priority="224" operator="containsText" text="合意形成対象者">
      <formula>NOT(ISERROR(SEARCH("合意形成対象者",E506)))</formula>
    </cfRule>
  </conditionalFormatting>
  <conditionalFormatting sqref="E523:E527">
    <cfRule type="containsText" dxfId="927" priority="213" operator="containsText" text="合意形成対象者">
      <formula>NOT(ISERROR(SEARCH("合意形成対象者",E523)))</formula>
    </cfRule>
  </conditionalFormatting>
  <conditionalFormatting sqref="E540:E544">
    <cfRule type="containsText" dxfId="926" priority="202" operator="containsText" text="合意形成対象者">
      <formula>NOT(ISERROR(SEARCH("合意形成対象者",E540)))</formula>
    </cfRule>
  </conditionalFormatting>
  <conditionalFormatting sqref="E557:E561">
    <cfRule type="containsText" dxfId="925" priority="191" operator="containsText" text="合意形成対象者">
      <formula>NOT(ISERROR(SEARCH("合意形成対象者",E557)))</formula>
    </cfRule>
  </conditionalFormatting>
  <conditionalFormatting sqref="E574:E578">
    <cfRule type="containsText" dxfId="924" priority="180" operator="containsText" text="合意形成対象者">
      <formula>NOT(ISERROR(SEARCH("合意形成対象者",E574)))</formula>
    </cfRule>
  </conditionalFormatting>
  <conditionalFormatting sqref="E591:E595">
    <cfRule type="containsText" dxfId="923" priority="169" operator="containsText" text="合意形成対象者">
      <formula>NOT(ISERROR(SEARCH("合意形成対象者",E591)))</formula>
    </cfRule>
  </conditionalFormatting>
  <conditionalFormatting sqref="E608:E612">
    <cfRule type="containsText" dxfId="922" priority="158" operator="containsText" text="合意形成対象者">
      <formula>NOT(ISERROR(SEARCH("合意形成対象者",E608)))</formula>
    </cfRule>
  </conditionalFormatting>
  <conditionalFormatting sqref="E625:E629">
    <cfRule type="containsText" dxfId="921" priority="147" operator="containsText" text="合意形成対象者">
      <formula>NOT(ISERROR(SEARCH("合意形成対象者",E625)))</formula>
    </cfRule>
  </conditionalFormatting>
  <conditionalFormatting sqref="E642:E646">
    <cfRule type="containsText" dxfId="920" priority="136" operator="containsText" text="合意形成対象者">
      <formula>NOT(ISERROR(SEARCH("合意形成対象者",E642)))</formula>
    </cfRule>
  </conditionalFormatting>
  <conditionalFormatting sqref="E659:E663">
    <cfRule type="containsText" dxfId="919" priority="125" operator="containsText" text="合意形成対象者">
      <formula>NOT(ISERROR(SEARCH("合意形成対象者",E659)))</formula>
    </cfRule>
  </conditionalFormatting>
  <conditionalFormatting sqref="E676:E680">
    <cfRule type="containsText" dxfId="918" priority="114" operator="containsText" text="合意形成対象者">
      <formula>NOT(ISERROR(SEARCH("合意形成対象者",E676)))</formula>
    </cfRule>
  </conditionalFormatting>
  <conditionalFormatting sqref="E693:E697">
    <cfRule type="containsText" dxfId="917" priority="103" operator="containsText" text="合意形成対象者">
      <formula>NOT(ISERROR(SEARCH("合意形成対象者",E693)))</formula>
    </cfRule>
  </conditionalFormatting>
  <conditionalFormatting sqref="E710:E714">
    <cfRule type="containsText" dxfId="916" priority="92" operator="containsText" text="合意形成対象者">
      <formula>NOT(ISERROR(SEARCH("合意形成対象者",E710)))</formula>
    </cfRule>
  </conditionalFormatting>
  <conditionalFormatting sqref="E727:E731">
    <cfRule type="containsText" dxfId="915" priority="81" operator="containsText" text="合意形成対象者">
      <formula>NOT(ISERROR(SEARCH("合意形成対象者",E727)))</formula>
    </cfRule>
  </conditionalFormatting>
  <conditionalFormatting sqref="E744:E748">
    <cfRule type="containsText" dxfId="914" priority="70" operator="containsText" text="合意形成対象者">
      <formula>NOT(ISERROR(SEARCH("合意形成対象者",E744)))</formula>
    </cfRule>
  </conditionalFormatting>
  <conditionalFormatting sqref="E761:E765">
    <cfRule type="containsText" dxfId="913" priority="59" operator="containsText" text="合意形成対象者">
      <formula>NOT(ISERROR(SEARCH("合意形成対象者",E761)))</formula>
    </cfRule>
  </conditionalFormatting>
  <conditionalFormatting sqref="E778:E782">
    <cfRule type="containsText" dxfId="912" priority="48" operator="containsText" text="合意形成対象者">
      <formula>NOT(ISERROR(SEARCH("合意形成対象者",E778)))</formula>
    </cfRule>
  </conditionalFormatting>
  <conditionalFormatting sqref="E795:E799">
    <cfRule type="containsText" dxfId="911" priority="37" operator="containsText" text="合意形成対象者">
      <formula>NOT(ISERROR(SEARCH("合意形成対象者",E795)))</formula>
    </cfRule>
  </conditionalFormatting>
  <conditionalFormatting sqref="E812:E816">
    <cfRule type="containsText" dxfId="910" priority="26" operator="containsText" text="合意形成対象者">
      <formula>NOT(ISERROR(SEARCH("合意形成対象者",E812)))</formula>
    </cfRule>
  </conditionalFormatting>
  <conditionalFormatting sqref="E829:E833">
    <cfRule type="containsText" dxfId="909" priority="15" operator="containsText" text="合意形成対象者">
      <formula>NOT(ISERROR(SEARCH("合意形成対象者",E829)))</formula>
    </cfRule>
  </conditionalFormatting>
  <conditionalFormatting sqref="E846:E850">
    <cfRule type="containsText" dxfId="908" priority="4" operator="containsText" text="合意形成対象者">
      <formula>NOT(ISERROR(SEARCH("合意形成対象者",E846)))</formula>
    </cfRule>
  </conditionalFormatting>
  <conditionalFormatting sqref="E13:H17">
    <cfRule type="notContainsBlanks" dxfId="907" priority="2462">
      <formula>LEN(TRIM(E13))&gt;0</formula>
    </cfRule>
  </conditionalFormatting>
  <conditionalFormatting sqref="E30:H34">
    <cfRule type="notContainsBlanks" dxfId="906" priority="539">
      <formula>LEN(TRIM(E30))&gt;0</formula>
    </cfRule>
  </conditionalFormatting>
  <conditionalFormatting sqref="E47:H51">
    <cfRule type="notContainsBlanks" dxfId="905" priority="528">
      <formula>LEN(TRIM(E47))&gt;0</formula>
    </cfRule>
  </conditionalFormatting>
  <conditionalFormatting sqref="E64:H68">
    <cfRule type="notContainsBlanks" dxfId="904" priority="517">
      <formula>LEN(TRIM(E64))&gt;0</formula>
    </cfRule>
  </conditionalFormatting>
  <conditionalFormatting sqref="E81:H85">
    <cfRule type="notContainsBlanks" dxfId="903" priority="506">
      <formula>LEN(TRIM(E81))&gt;0</formula>
    </cfRule>
  </conditionalFormatting>
  <conditionalFormatting sqref="E98:H102">
    <cfRule type="notContainsBlanks" dxfId="902" priority="495">
      <formula>LEN(TRIM(E98))&gt;0</formula>
    </cfRule>
  </conditionalFormatting>
  <conditionalFormatting sqref="E115:H119">
    <cfRule type="notContainsBlanks" dxfId="901" priority="484">
      <formula>LEN(TRIM(E115))&gt;0</formula>
    </cfRule>
  </conditionalFormatting>
  <conditionalFormatting sqref="E132:H136">
    <cfRule type="notContainsBlanks" dxfId="900" priority="473">
      <formula>LEN(TRIM(E132))&gt;0</formula>
    </cfRule>
  </conditionalFormatting>
  <conditionalFormatting sqref="E149:H153">
    <cfRule type="notContainsBlanks" dxfId="899" priority="462">
      <formula>LEN(TRIM(E149))&gt;0</formula>
    </cfRule>
  </conditionalFormatting>
  <conditionalFormatting sqref="E166:H170">
    <cfRule type="notContainsBlanks" dxfId="898" priority="451">
      <formula>LEN(TRIM(E166))&gt;0</formula>
    </cfRule>
  </conditionalFormatting>
  <conditionalFormatting sqref="E183:H187">
    <cfRule type="notContainsBlanks" dxfId="897" priority="440">
      <formula>LEN(TRIM(E183))&gt;0</formula>
    </cfRule>
  </conditionalFormatting>
  <conditionalFormatting sqref="E200:H204">
    <cfRule type="notContainsBlanks" dxfId="896" priority="429">
      <formula>LEN(TRIM(E200))&gt;0</formula>
    </cfRule>
  </conditionalFormatting>
  <conditionalFormatting sqref="E217:H221">
    <cfRule type="notContainsBlanks" dxfId="895" priority="418">
      <formula>LEN(TRIM(E217))&gt;0</formula>
    </cfRule>
  </conditionalFormatting>
  <conditionalFormatting sqref="E234:H238">
    <cfRule type="notContainsBlanks" dxfId="894" priority="407">
      <formula>LEN(TRIM(E234))&gt;0</formula>
    </cfRule>
  </conditionalFormatting>
  <conditionalFormatting sqref="E251:H255">
    <cfRule type="notContainsBlanks" dxfId="893" priority="396">
      <formula>LEN(TRIM(E251))&gt;0</formula>
    </cfRule>
  </conditionalFormatting>
  <conditionalFormatting sqref="E268:H272">
    <cfRule type="notContainsBlanks" dxfId="892" priority="385">
      <formula>LEN(TRIM(E268))&gt;0</formula>
    </cfRule>
  </conditionalFormatting>
  <conditionalFormatting sqref="E285:H289">
    <cfRule type="notContainsBlanks" dxfId="891" priority="374">
      <formula>LEN(TRIM(E285))&gt;0</formula>
    </cfRule>
  </conditionalFormatting>
  <conditionalFormatting sqref="E302:H306">
    <cfRule type="notContainsBlanks" dxfId="890" priority="363">
      <formula>LEN(TRIM(E302))&gt;0</formula>
    </cfRule>
  </conditionalFormatting>
  <conditionalFormatting sqref="E319:H323">
    <cfRule type="notContainsBlanks" dxfId="889" priority="352">
      <formula>LEN(TRIM(E319))&gt;0</formula>
    </cfRule>
  </conditionalFormatting>
  <conditionalFormatting sqref="E336:H340">
    <cfRule type="notContainsBlanks" dxfId="888" priority="341">
      <formula>LEN(TRIM(E336))&gt;0</formula>
    </cfRule>
  </conditionalFormatting>
  <conditionalFormatting sqref="E353:H357">
    <cfRule type="notContainsBlanks" dxfId="887" priority="330">
      <formula>LEN(TRIM(E353))&gt;0</formula>
    </cfRule>
  </conditionalFormatting>
  <conditionalFormatting sqref="E370:H374">
    <cfRule type="notContainsBlanks" dxfId="886" priority="319">
      <formula>LEN(TRIM(E370))&gt;0</formula>
    </cfRule>
  </conditionalFormatting>
  <conditionalFormatting sqref="E387:H391">
    <cfRule type="notContainsBlanks" dxfId="885" priority="308">
      <formula>LEN(TRIM(E387))&gt;0</formula>
    </cfRule>
  </conditionalFormatting>
  <conditionalFormatting sqref="E404:H408">
    <cfRule type="notContainsBlanks" dxfId="884" priority="297">
      <formula>LEN(TRIM(E404))&gt;0</formula>
    </cfRule>
  </conditionalFormatting>
  <conditionalFormatting sqref="E421:H425">
    <cfRule type="notContainsBlanks" dxfId="883" priority="286">
      <formula>LEN(TRIM(E421))&gt;0</formula>
    </cfRule>
  </conditionalFormatting>
  <conditionalFormatting sqref="E438:H442">
    <cfRule type="notContainsBlanks" dxfId="882" priority="275">
      <formula>LEN(TRIM(E438))&gt;0</formula>
    </cfRule>
  </conditionalFormatting>
  <conditionalFormatting sqref="E455:H459">
    <cfRule type="notContainsBlanks" dxfId="881" priority="264">
      <formula>LEN(TRIM(E455))&gt;0</formula>
    </cfRule>
  </conditionalFormatting>
  <conditionalFormatting sqref="E472:H476">
    <cfRule type="notContainsBlanks" dxfId="880" priority="253">
      <formula>LEN(TRIM(E472))&gt;0</formula>
    </cfRule>
  </conditionalFormatting>
  <conditionalFormatting sqref="E489:H493">
    <cfRule type="notContainsBlanks" dxfId="879" priority="242">
      <formula>LEN(TRIM(E489))&gt;0</formula>
    </cfRule>
  </conditionalFormatting>
  <conditionalFormatting sqref="E506:H510">
    <cfRule type="notContainsBlanks" dxfId="878" priority="231">
      <formula>LEN(TRIM(E506))&gt;0</formula>
    </cfRule>
  </conditionalFormatting>
  <conditionalFormatting sqref="E523:H527">
    <cfRule type="notContainsBlanks" dxfId="877" priority="220">
      <formula>LEN(TRIM(E523))&gt;0</formula>
    </cfRule>
  </conditionalFormatting>
  <conditionalFormatting sqref="E540:H544">
    <cfRule type="notContainsBlanks" dxfId="876" priority="209">
      <formula>LEN(TRIM(E540))&gt;0</formula>
    </cfRule>
  </conditionalFormatting>
  <conditionalFormatting sqref="E557:H561">
    <cfRule type="notContainsBlanks" dxfId="875" priority="198">
      <formula>LEN(TRIM(E557))&gt;0</formula>
    </cfRule>
  </conditionalFormatting>
  <conditionalFormatting sqref="E574:H578">
    <cfRule type="notContainsBlanks" dxfId="874" priority="187">
      <formula>LEN(TRIM(E574))&gt;0</formula>
    </cfRule>
  </conditionalFormatting>
  <conditionalFormatting sqref="E591:H595">
    <cfRule type="notContainsBlanks" dxfId="873" priority="176">
      <formula>LEN(TRIM(E591))&gt;0</formula>
    </cfRule>
  </conditionalFormatting>
  <conditionalFormatting sqref="E608:H612">
    <cfRule type="notContainsBlanks" dxfId="872" priority="165">
      <formula>LEN(TRIM(E608))&gt;0</formula>
    </cfRule>
  </conditionalFormatting>
  <conditionalFormatting sqref="E625:H629">
    <cfRule type="notContainsBlanks" dxfId="871" priority="154">
      <formula>LEN(TRIM(E625))&gt;0</formula>
    </cfRule>
  </conditionalFormatting>
  <conditionalFormatting sqref="E642:H646">
    <cfRule type="notContainsBlanks" dxfId="870" priority="143">
      <formula>LEN(TRIM(E642))&gt;0</formula>
    </cfRule>
  </conditionalFormatting>
  <conditionalFormatting sqref="E659:H663">
    <cfRule type="notContainsBlanks" dxfId="869" priority="132">
      <formula>LEN(TRIM(E659))&gt;0</formula>
    </cfRule>
  </conditionalFormatting>
  <conditionalFormatting sqref="E676:H680">
    <cfRule type="notContainsBlanks" dxfId="868" priority="121">
      <formula>LEN(TRIM(E676))&gt;0</formula>
    </cfRule>
  </conditionalFormatting>
  <conditionalFormatting sqref="E693:H697">
    <cfRule type="notContainsBlanks" dxfId="867" priority="110">
      <formula>LEN(TRIM(E693))&gt;0</formula>
    </cfRule>
  </conditionalFormatting>
  <conditionalFormatting sqref="E710:H714">
    <cfRule type="notContainsBlanks" dxfId="866" priority="99">
      <formula>LEN(TRIM(E710))&gt;0</formula>
    </cfRule>
  </conditionalFormatting>
  <conditionalFormatting sqref="E727:H731">
    <cfRule type="notContainsBlanks" dxfId="865" priority="88">
      <formula>LEN(TRIM(E727))&gt;0</formula>
    </cfRule>
  </conditionalFormatting>
  <conditionalFormatting sqref="E744:H748">
    <cfRule type="notContainsBlanks" dxfId="864" priority="77">
      <formula>LEN(TRIM(E744))&gt;0</formula>
    </cfRule>
  </conditionalFormatting>
  <conditionalFormatting sqref="E761:H765">
    <cfRule type="notContainsBlanks" dxfId="863" priority="66">
      <formula>LEN(TRIM(E761))&gt;0</formula>
    </cfRule>
  </conditionalFormatting>
  <conditionalFormatting sqref="E778:H782">
    <cfRule type="notContainsBlanks" dxfId="862" priority="55">
      <formula>LEN(TRIM(E778))&gt;0</formula>
    </cfRule>
  </conditionalFormatting>
  <conditionalFormatting sqref="E795:H799">
    <cfRule type="notContainsBlanks" dxfId="861" priority="44">
      <formula>LEN(TRIM(E795))&gt;0</formula>
    </cfRule>
  </conditionalFormatting>
  <conditionalFormatting sqref="E812:H816">
    <cfRule type="notContainsBlanks" dxfId="860" priority="33">
      <formula>LEN(TRIM(E812))&gt;0</formula>
    </cfRule>
  </conditionalFormatting>
  <conditionalFormatting sqref="E829:H833">
    <cfRule type="notContainsBlanks" dxfId="859" priority="22">
      <formula>LEN(TRIM(E829))&gt;0</formula>
    </cfRule>
  </conditionalFormatting>
  <conditionalFormatting sqref="E846:H850">
    <cfRule type="notContainsBlanks" dxfId="858" priority="11">
      <formula>LEN(TRIM(E846))&gt;0</formula>
    </cfRule>
  </conditionalFormatting>
  <conditionalFormatting sqref="F7:H7 F8 F10:H11">
    <cfRule type="expression" dxfId="857" priority="1796">
      <formula>$F7&lt;&gt;$R7</formula>
    </cfRule>
  </conditionalFormatting>
  <conditionalFormatting sqref="F7:H8 F10:H11 C7">
    <cfRule type="containsBlanks" dxfId="856" priority="2461">
      <formula>LEN(TRIM(C7))=0</formula>
    </cfRule>
  </conditionalFormatting>
  <conditionalFormatting sqref="F9:H9">
    <cfRule type="notContainsBlanks" dxfId="855" priority="595">
      <formula>LEN(TRIM(F9))&gt;0</formula>
    </cfRule>
  </conditionalFormatting>
  <conditionalFormatting sqref="F19:H19">
    <cfRule type="expression" dxfId="854" priority="2451">
      <formula>$C7&lt;&gt;""</formula>
    </cfRule>
  </conditionalFormatting>
  <conditionalFormatting sqref="F19:H20">
    <cfRule type="notContainsBlanks" dxfId="853" priority="2448">
      <formula>LEN(TRIM(F19))&gt;0</formula>
    </cfRule>
  </conditionalFormatting>
  <conditionalFormatting sqref="F20:H20">
    <cfRule type="expression" dxfId="852" priority="2450">
      <formula>$C7&lt;&gt;""</formula>
    </cfRule>
  </conditionalFormatting>
  <conditionalFormatting sqref="F24:H24 F25 F27:H28">
    <cfRule type="expression" dxfId="851" priority="534">
      <formula>$F24&lt;&gt;$R24</formula>
    </cfRule>
  </conditionalFormatting>
  <conditionalFormatting sqref="F24:H25 F27:H28 C24">
    <cfRule type="containsBlanks" dxfId="850" priority="538">
      <formula>LEN(TRIM(C24))=0</formula>
    </cfRule>
  </conditionalFormatting>
  <conditionalFormatting sqref="F26:H26">
    <cfRule type="notContainsBlanks" dxfId="849" priority="529">
      <formula>LEN(TRIM(F26))&gt;0</formula>
    </cfRule>
  </conditionalFormatting>
  <conditionalFormatting sqref="F36:H36">
    <cfRule type="expression" dxfId="848" priority="537">
      <formula>$C24&lt;&gt;""</formula>
    </cfRule>
  </conditionalFormatting>
  <conditionalFormatting sqref="F36:H37">
    <cfRule type="notContainsBlanks" dxfId="847" priority="535">
      <formula>LEN(TRIM(F36))&gt;0</formula>
    </cfRule>
  </conditionalFormatting>
  <conditionalFormatting sqref="F37:H37">
    <cfRule type="expression" dxfId="846" priority="536">
      <formula>$C24&lt;&gt;""</formula>
    </cfRule>
  </conditionalFormatting>
  <conditionalFormatting sqref="F41:H41 F42 F44:H45">
    <cfRule type="expression" dxfId="845" priority="523">
      <formula>$F41&lt;&gt;$R41</formula>
    </cfRule>
  </conditionalFormatting>
  <conditionalFormatting sqref="F41:H42 F44:H45 C41">
    <cfRule type="containsBlanks" dxfId="844" priority="527">
      <formula>LEN(TRIM(C41))=0</formula>
    </cfRule>
  </conditionalFormatting>
  <conditionalFormatting sqref="F43:H43">
    <cfRule type="notContainsBlanks" dxfId="843" priority="518">
      <formula>LEN(TRIM(F43))&gt;0</formula>
    </cfRule>
  </conditionalFormatting>
  <conditionalFormatting sqref="F53:H53">
    <cfRule type="expression" dxfId="842" priority="526">
      <formula>$C41&lt;&gt;""</formula>
    </cfRule>
  </conditionalFormatting>
  <conditionalFormatting sqref="F53:H54">
    <cfRule type="notContainsBlanks" dxfId="841" priority="524">
      <formula>LEN(TRIM(F53))&gt;0</formula>
    </cfRule>
  </conditionalFormatting>
  <conditionalFormatting sqref="F54:H54">
    <cfRule type="expression" dxfId="840" priority="525">
      <formula>$C41&lt;&gt;""</formula>
    </cfRule>
  </conditionalFormatting>
  <conditionalFormatting sqref="F58:H58 F59 F61:H62">
    <cfRule type="expression" dxfId="839" priority="512">
      <formula>$F58&lt;&gt;$R58</formula>
    </cfRule>
  </conditionalFormatting>
  <conditionalFormatting sqref="F58:H59 F61:H62 C58">
    <cfRule type="containsBlanks" dxfId="838" priority="516">
      <formula>LEN(TRIM(C58))=0</formula>
    </cfRule>
  </conditionalFormatting>
  <conditionalFormatting sqref="F60:H60">
    <cfRule type="notContainsBlanks" dxfId="837" priority="507">
      <formula>LEN(TRIM(F60))&gt;0</formula>
    </cfRule>
  </conditionalFormatting>
  <conditionalFormatting sqref="F70:H70">
    <cfRule type="expression" dxfId="836" priority="515">
      <formula>$C58&lt;&gt;""</formula>
    </cfRule>
  </conditionalFormatting>
  <conditionalFormatting sqref="F70:H71">
    <cfRule type="notContainsBlanks" dxfId="835" priority="513">
      <formula>LEN(TRIM(F70))&gt;0</formula>
    </cfRule>
  </conditionalFormatting>
  <conditionalFormatting sqref="F71:H71">
    <cfRule type="expression" dxfId="834" priority="514">
      <formula>$C58&lt;&gt;""</formula>
    </cfRule>
  </conditionalFormatting>
  <conditionalFormatting sqref="F75:H75 F76 F78:H79">
    <cfRule type="expression" dxfId="833" priority="501">
      <formula>$F75&lt;&gt;$R75</formula>
    </cfRule>
  </conditionalFormatting>
  <conditionalFormatting sqref="F75:H76 F78:H79 C75">
    <cfRule type="containsBlanks" dxfId="832" priority="505">
      <formula>LEN(TRIM(C75))=0</formula>
    </cfRule>
  </conditionalFormatting>
  <conditionalFormatting sqref="F77:H77">
    <cfRule type="notContainsBlanks" dxfId="831" priority="496">
      <formula>LEN(TRIM(F77))&gt;0</formula>
    </cfRule>
  </conditionalFormatting>
  <conditionalFormatting sqref="F87:H87">
    <cfRule type="expression" dxfId="830" priority="504">
      <formula>$C75&lt;&gt;""</formula>
    </cfRule>
  </conditionalFormatting>
  <conditionalFormatting sqref="F87:H88">
    <cfRule type="notContainsBlanks" dxfId="829" priority="502">
      <formula>LEN(TRIM(F87))&gt;0</formula>
    </cfRule>
  </conditionalFormatting>
  <conditionalFormatting sqref="F88:H88">
    <cfRule type="expression" dxfId="828" priority="503">
      <formula>$C75&lt;&gt;""</formula>
    </cfRule>
  </conditionalFormatting>
  <conditionalFormatting sqref="F92:H92 F93 F95:H96">
    <cfRule type="expression" dxfId="827" priority="490">
      <formula>$F92&lt;&gt;$R92</formula>
    </cfRule>
  </conditionalFormatting>
  <conditionalFormatting sqref="F92:H93 F95:H96 C92">
    <cfRule type="containsBlanks" dxfId="826" priority="494">
      <formula>LEN(TRIM(C92))=0</formula>
    </cfRule>
  </conditionalFormatting>
  <conditionalFormatting sqref="F94:H94">
    <cfRule type="notContainsBlanks" dxfId="825" priority="485">
      <formula>LEN(TRIM(F94))&gt;0</formula>
    </cfRule>
  </conditionalFormatting>
  <conditionalFormatting sqref="F104:H104">
    <cfRule type="expression" dxfId="824" priority="493">
      <formula>$C92&lt;&gt;""</formula>
    </cfRule>
  </conditionalFormatting>
  <conditionalFormatting sqref="F104:H105">
    <cfRule type="notContainsBlanks" dxfId="823" priority="491">
      <formula>LEN(TRIM(F104))&gt;0</formula>
    </cfRule>
  </conditionalFormatting>
  <conditionalFormatting sqref="F105:H105">
    <cfRule type="expression" dxfId="822" priority="492">
      <formula>$C92&lt;&gt;""</formula>
    </cfRule>
  </conditionalFormatting>
  <conditionalFormatting sqref="F109:H109 F110 F112:H113">
    <cfRule type="expression" dxfId="821" priority="479">
      <formula>$F109&lt;&gt;$R109</formula>
    </cfRule>
  </conditionalFormatting>
  <conditionalFormatting sqref="F109:H110 F112:H113 C109">
    <cfRule type="containsBlanks" dxfId="820" priority="483">
      <formula>LEN(TRIM(C109))=0</formula>
    </cfRule>
  </conditionalFormatting>
  <conditionalFormatting sqref="F111:H111">
    <cfRule type="notContainsBlanks" dxfId="819" priority="474">
      <formula>LEN(TRIM(F111))&gt;0</formula>
    </cfRule>
  </conditionalFormatting>
  <conditionalFormatting sqref="F121:H121">
    <cfRule type="expression" dxfId="818" priority="482">
      <formula>$C109&lt;&gt;""</formula>
    </cfRule>
  </conditionalFormatting>
  <conditionalFormatting sqref="F121:H122">
    <cfRule type="notContainsBlanks" dxfId="817" priority="480">
      <formula>LEN(TRIM(F121))&gt;0</formula>
    </cfRule>
  </conditionalFormatting>
  <conditionalFormatting sqref="F122:H122">
    <cfRule type="expression" dxfId="816" priority="481">
      <formula>$C109&lt;&gt;""</formula>
    </cfRule>
  </conditionalFormatting>
  <conditionalFormatting sqref="F126:H126 F127 F129:H130">
    <cfRule type="expression" dxfId="815" priority="468">
      <formula>$F126&lt;&gt;$R126</formula>
    </cfRule>
  </conditionalFormatting>
  <conditionalFormatting sqref="F126:H127 F129:H130 C126">
    <cfRule type="containsBlanks" dxfId="814" priority="472">
      <formula>LEN(TRIM(C126))=0</formula>
    </cfRule>
  </conditionalFormatting>
  <conditionalFormatting sqref="F128:H128">
    <cfRule type="notContainsBlanks" dxfId="813" priority="463">
      <formula>LEN(TRIM(F128))&gt;0</formula>
    </cfRule>
  </conditionalFormatting>
  <conditionalFormatting sqref="F138:H138">
    <cfRule type="expression" dxfId="812" priority="471">
      <formula>$C126&lt;&gt;""</formula>
    </cfRule>
  </conditionalFormatting>
  <conditionalFormatting sqref="F138:H139">
    <cfRule type="notContainsBlanks" dxfId="811" priority="469">
      <formula>LEN(TRIM(F138))&gt;0</formula>
    </cfRule>
  </conditionalFormatting>
  <conditionalFormatting sqref="F139:H139">
    <cfRule type="expression" dxfId="810" priority="470">
      <formula>$C126&lt;&gt;""</formula>
    </cfRule>
  </conditionalFormatting>
  <conditionalFormatting sqref="F143:H143 F144 F146:H147">
    <cfRule type="expression" dxfId="809" priority="457">
      <formula>$F143&lt;&gt;$R143</formula>
    </cfRule>
  </conditionalFormatting>
  <conditionalFormatting sqref="F143:H144 F146:H147 C143">
    <cfRule type="containsBlanks" dxfId="808" priority="461">
      <formula>LEN(TRIM(C143))=0</formula>
    </cfRule>
  </conditionalFormatting>
  <conditionalFormatting sqref="F145:H145">
    <cfRule type="notContainsBlanks" dxfId="807" priority="452">
      <formula>LEN(TRIM(F145))&gt;0</formula>
    </cfRule>
  </conditionalFormatting>
  <conditionalFormatting sqref="F155:H155">
    <cfRule type="expression" dxfId="806" priority="460">
      <formula>$C143&lt;&gt;""</formula>
    </cfRule>
  </conditionalFormatting>
  <conditionalFormatting sqref="F155:H156">
    <cfRule type="notContainsBlanks" dxfId="805" priority="458">
      <formula>LEN(TRIM(F155))&gt;0</formula>
    </cfRule>
  </conditionalFormatting>
  <conditionalFormatting sqref="F156:H156">
    <cfRule type="expression" dxfId="804" priority="459">
      <formula>$C143&lt;&gt;""</formula>
    </cfRule>
  </conditionalFormatting>
  <conditionalFormatting sqref="F160:H160 F161 F163:H164">
    <cfRule type="expression" dxfId="803" priority="446">
      <formula>$F160&lt;&gt;$R160</formula>
    </cfRule>
  </conditionalFormatting>
  <conditionalFormatting sqref="F160:H161 F163:H164 C160">
    <cfRule type="containsBlanks" dxfId="802" priority="450">
      <formula>LEN(TRIM(C160))=0</formula>
    </cfRule>
  </conditionalFormatting>
  <conditionalFormatting sqref="F162:H162">
    <cfRule type="notContainsBlanks" dxfId="801" priority="441">
      <formula>LEN(TRIM(F162))&gt;0</formula>
    </cfRule>
  </conditionalFormatting>
  <conditionalFormatting sqref="F172:H172">
    <cfRule type="expression" dxfId="800" priority="449">
      <formula>$C160&lt;&gt;""</formula>
    </cfRule>
  </conditionalFormatting>
  <conditionalFormatting sqref="F172:H173">
    <cfRule type="notContainsBlanks" dxfId="799" priority="447">
      <formula>LEN(TRIM(F172))&gt;0</formula>
    </cfRule>
  </conditionalFormatting>
  <conditionalFormatting sqref="F173:H173">
    <cfRule type="expression" dxfId="798" priority="448">
      <formula>$C160&lt;&gt;""</formula>
    </cfRule>
  </conditionalFormatting>
  <conditionalFormatting sqref="F177:H177 F178 F180:H181">
    <cfRule type="expression" dxfId="797" priority="435">
      <formula>$F177&lt;&gt;$R177</formula>
    </cfRule>
  </conditionalFormatting>
  <conditionalFormatting sqref="F177:H178 F180:H181 C177">
    <cfRule type="containsBlanks" dxfId="796" priority="439">
      <formula>LEN(TRIM(C177))=0</formula>
    </cfRule>
  </conditionalFormatting>
  <conditionalFormatting sqref="F179:H179">
    <cfRule type="notContainsBlanks" dxfId="795" priority="430">
      <formula>LEN(TRIM(F179))&gt;0</formula>
    </cfRule>
  </conditionalFormatting>
  <conditionalFormatting sqref="F189:H189">
    <cfRule type="expression" dxfId="794" priority="438">
      <formula>$C177&lt;&gt;""</formula>
    </cfRule>
  </conditionalFormatting>
  <conditionalFormatting sqref="F189:H190">
    <cfRule type="notContainsBlanks" dxfId="793" priority="436">
      <formula>LEN(TRIM(F189))&gt;0</formula>
    </cfRule>
  </conditionalFormatting>
  <conditionalFormatting sqref="F190:H190">
    <cfRule type="expression" dxfId="792" priority="437">
      <formula>$C177&lt;&gt;""</formula>
    </cfRule>
  </conditionalFormatting>
  <conditionalFormatting sqref="F194:H194 F195 F197:H198">
    <cfRule type="expression" dxfId="791" priority="424">
      <formula>$F194&lt;&gt;$R194</formula>
    </cfRule>
  </conditionalFormatting>
  <conditionalFormatting sqref="F194:H195 F197:H198 C194">
    <cfRule type="containsBlanks" dxfId="790" priority="428">
      <formula>LEN(TRIM(C194))=0</formula>
    </cfRule>
  </conditionalFormatting>
  <conditionalFormatting sqref="F196:H196">
    <cfRule type="notContainsBlanks" dxfId="789" priority="419">
      <formula>LEN(TRIM(F196))&gt;0</formula>
    </cfRule>
  </conditionalFormatting>
  <conditionalFormatting sqref="F206:H206">
    <cfRule type="expression" dxfId="788" priority="427">
      <formula>$C194&lt;&gt;""</formula>
    </cfRule>
  </conditionalFormatting>
  <conditionalFormatting sqref="F206:H207">
    <cfRule type="notContainsBlanks" dxfId="787" priority="425">
      <formula>LEN(TRIM(F206))&gt;0</formula>
    </cfRule>
  </conditionalFormatting>
  <conditionalFormatting sqref="F207:H207">
    <cfRule type="expression" dxfId="786" priority="426">
      <formula>$C194&lt;&gt;""</formula>
    </cfRule>
  </conditionalFormatting>
  <conditionalFormatting sqref="F211:H211 F212 F214:H215">
    <cfRule type="expression" dxfId="785" priority="413">
      <formula>$F211&lt;&gt;$R211</formula>
    </cfRule>
  </conditionalFormatting>
  <conditionalFormatting sqref="F211:H212 F214:H215 C211">
    <cfRule type="containsBlanks" dxfId="784" priority="417">
      <formula>LEN(TRIM(C211))=0</formula>
    </cfRule>
  </conditionalFormatting>
  <conditionalFormatting sqref="F213:H213">
    <cfRule type="notContainsBlanks" dxfId="783" priority="408">
      <formula>LEN(TRIM(F213))&gt;0</formula>
    </cfRule>
  </conditionalFormatting>
  <conditionalFormatting sqref="F223:H223">
    <cfRule type="expression" dxfId="782" priority="416">
      <formula>$C211&lt;&gt;""</formula>
    </cfRule>
  </conditionalFormatting>
  <conditionalFormatting sqref="F223:H224">
    <cfRule type="notContainsBlanks" dxfId="781" priority="414">
      <formula>LEN(TRIM(F223))&gt;0</formula>
    </cfRule>
  </conditionalFormatting>
  <conditionalFormatting sqref="F224:H224">
    <cfRule type="expression" dxfId="780" priority="415">
      <formula>$C211&lt;&gt;""</formula>
    </cfRule>
  </conditionalFormatting>
  <conditionalFormatting sqref="F228:H228 F229 F231:H232">
    <cfRule type="expression" dxfId="779" priority="402">
      <formula>$F228&lt;&gt;$R228</formula>
    </cfRule>
  </conditionalFormatting>
  <conditionalFormatting sqref="F228:H229 F231:H232 C228">
    <cfRule type="containsBlanks" dxfId="778" priority="406">
      <formula>LEN(TRIM(C228))=0</formula>
    </cfRule>
  </conditionalFormatting>
  <conditionalFormatting sqref="F230:H230">
    <cfRule type="notContainsBlanks" dxfId="777" priority="397">
      <formula>LEN(TRIM(F230))&gt;0</formula>
    </cfRule>
  </conditionalFormatting>
  <conditionalFormatting sqref="F240:H240">
    <cfRule type="expression" dxfId="776" priority="405">
      <formula>$C228&lt;&gt;""</formula>
    </cfRule>
  </conditionalFormatting>
  <conditionalFormatting sqref="F240:H241">
    <cfRule type="notContainsBlanks" dxfId="775" priority="403">
      <formula>LEN(TRIM(F240))&gt;0</formula>
    </cfRule>
  </conditionalFormatting>
  <conditionalFormatting sqref="F241:H241">
    <cfRule type="expression" dxfId="774" priority="404">
      <formula>$C228&lt;&gt;""</formula>
    </cfRule>
  </conditionalFormatting>
  <conditionalFormatting sqref="F245:H245 F246 F248:H249">
    <cfRule type="expression" dxfId="773" priority="391">
      <formula>$F245&lt;&gt;$R245</formula>
    </cfRule>
  </conditionalFormatting>
  <conditionalFormatting sqref="F245:H246 F248:H249 C245">
    <cfRule type="containsBlanks" dxfId="772" priority="395">
      <formula>LEN(TRIM(C245))=0</formula>
    </cfRule>
  </conditionalFormatting>
  <conditionalFormatting sqref="F247:H247">
    <cfRule type="notContainsBlanks" dxfId="771" priority="386">
      <formula>LEN(TRIM(F247))&gt;0</formula>
    </cfRule>
  </conditionalFormatting>
  <conditionalFormatting sqref="F257:H257">
    <cfRule type="expression" dxfId="770" priority="394">
      <formula>$C245&lt;&gt;""</formula>
    </cfRule>
  </conditionalFormatting>
  <conditionalFormatting sqref="F257:H258">
    <cfRule type="notContainsBlanks" dxfId="769" priority="392">
      <formula>LEN(TRIM(F257))&gt;0</formula>
    </cfRule>
  </conditionalFormatting>
  <conditionalFormatting sqref="F258:H258">
    <cfRule type="expression" dxfId="768" priority="393">
      <formula>$C245&lt;&gt;""</formula>
    </cfRule>
  </conditionalFormatting>
  <conditionalFormatting sqref="F262:H262 F263 F265:H266">
    <cfRule type="expression" dxfId="767" priority="380">
      <formula>$F262&lt;&gt;$R262</formula>
    </cfRule>
  </conditionalFormatting>
  <conditionalFormatting sqref="F262:H263 F265:H266 C262">
    <cfRule type="containsBlanks" dxfId="766" priority="384">
      <formula>LEN(TRIM(C262))=0</formula>
    </cfRule>
  </conditionalFormatting>
  <conditionalFormatting sqref="F264:H264">
    <cfRule type="notContainsBlanks" dxfId="765" priority="375">
      <formula>LEN(TRIM(F264))&gt;0</formula>
    </cfRule>
  </conditionalFormatting>
  <conditionalFormatting sqref="F274:H274">
    <cfRule type="expression" dxfId="764" priority="383">
      <formula>$C262&lt;&gt;""</formula>
    </cfRule>
  </conditionalFormatting>
  <conditionalFormatting sqref="F274:H275">
    <cfRule type="notContainsBlanks" dxfId="763" priority="381">
      <formula>LEN(TRIM(F274))&gt;0</formula>
    </cfRule>
  </conditionalFormatting>
  <conditionalFormatting sqref="F275:H275">
    <cfRule type="expression" dxfId="762" priority="382">
      <formula>$C262&lt;&gt;""</formula>
    </cfRule>
  </conditionalFormatting>
  <conditionalFormatting sqref="F279:H279 F280 F282:H283">
    <cfRule type="expression" dxfId="761" priority="369">
      <formula>$F279&lt;&gt;$R279</formula>
    </cfRule>
  </conditionalFormatting>
  <conditionalFormatting sqref="F279:H280 F282:H283 C279">
    <cfRule type="containsBlanks" dxfId="760" priority="373">
      <formula>LEN(TRIM(C279))=0</formula>
    </cfRule>
  </conditionalFormatting>
  <conditionalFormatting sqref="F281:H281">
    <cfRule type="notContainsBlanks" dxfId="759" priority="364">
      <formula>LEN(TRIM(F281))&gt;0</formula>
    </cfRule>
  </conditionalFormatting>
  <conditionalFormatting sqref="F291:H291">
    <cfRule type="expression" dxfId="758" priority="372">
      <formula>$C279&lt;&gt;""</formula>
    </cfRule>
  </conditionalFormatting>
  <conditionalFormatting sqref="F291:H292">
    <cfRule type="notContainsBlanks" dxfId="757" priority="370">
      <formula>LEN(TRIM(F291))&gt;0</formula>
    </cfRule>
  </conditionalFormatting>
  <conditionalFormatting sqref="F292:H292">
    <cfRule type="expression" dxfId="756" priority="371">
      <formula>$C279&lt;&gt;""</formula>
    </cfRule>
  </conditionalFormatting>
  <conditionalFormatting sqref="F296:H296 F297 F299:H300">
    <cfRule type="expression" dxfId="755" priority="358">
      <formula>$F296&lt;&gt;$R296</formula>
    </cfRule>
  </conditionalFormatting>
  <conditionalFormatting sqref="F296:H297 F299:H300 C296">
    <cfRule type="containsBlanks" dxfId="754" priority="362">
      <formula>LEN(TRIM(C296))=0</formula>
    </cfRule>
  </conditionalFormatting>
  <conditionalFormatting sqref="F298:H298">
    <cfRule type="notContainsBlanks" dxfId="753" priority="353">
      <formula>LEN(TRIM(F298))&gt;0</formula>
    </cfRule>
  </conditionalFormatting>
  <conditionalFormatting sqref="F308:H308">
    <cfRule type="expression" dxfId="752" priority="361">
      <formula>$C296&lt;&gt;""</formula>
    </cfRule>
  </conditionalFormatting>
  <conditionalFormatting sqref="F308:H309">
    <cfRule type="notContainsBlanks" dxfId="751" priority="359">
      <formula>LEN(TRIM(F308))&gt;0</formula>
    </cfRule>
  </conditionalFormatting>
  <conditionalFormatting sqref="F309:H309">
    <cfRule type="expression" dxfId="750" priority="360">
      <formula>$C296&lt;&gt;""</formula>
    </cfRule>
  </conditionalFormatting>
  <conditionalFormatting sqref="F313:H313 F314 F316:H317">
    <cfRule type="expression" dxfId="749" priority="347">
      <formula>$F313&lt;&gt;$R313</formula>
    </cfRule>
  </conditionalFormatting>
  <conditionalFormatting sqref="F313:H314 F316:H317 C313">
    <cfRule type="containsBlanks" dxfId="748" priority="351">
      <formula>LEN(TRIM(C313))=0</formula>
    </cfRule>
  </conditionalFormatting>
  <conditionalFormatting sqref="F315:H315">
    <cfRule type="notContainsBlanks" dxfId="747" priority="342">
      <formula>LEN(TRIM(F315))&gt;0</formula>
    </cfRule>
  </conditionalFormatting>
  <conditionalFormatting sqref="F325:H325">
    <cfRule type="expression" dxfId="746" priority="350">
      <formula>$C313&lt;&gt;""</formula>
    </cfRule>
  </conditionalFormatting>
  <conditionalFormatting sqref="F325:H326">
    <cfRule type="notContainsBlanks" dxfId="745" priority="348">
      <formula>LEN(TRIM(F325))&gt;0</formula>
    </cfRule>
  </conditionalFormatting>
  <conditionalFormatting sqref="F326:H326">
    <cfRule type="expression" dxfId="744" priority="349">
      <formula>$C313&lt;&gt;""</formula>
    </cfRule>
  </conditionalFormatting>
  <conditionalFormatting sqref="F330:H330 F331 F333:H334">
    <cfRule type="expression" dxfId="743" priority="336">
      <formula>$F330&lt;&gt;$R330</formula>
    </cfRule>
  </conditionalFormatting>
  <conditionalFormatting sqref="F330:H331 F333:H334 C330">
    <cfRule type="containsBlanks" dxfId="742" priority="340">
      <formula>LEN(TRIM(C330))=0</formula>
    </cfRule>
  </conditionalFormatting>
  <conditionalFormatting sqref="F332:H332">
    <cfRule type="notContainsBlanks" dxfId="741" priority="331">
      <formula>LEN(TRIM(F332))&gt;0</formula>
    </cfRule>
  </conditionalFormatting>
  <conditionalFormatting sqref="F342:H342">
    <cfRule type="expression" dxfId="740" priority="339">
      <formula>$C330&lt;&gt;""</formula>
    </cfRule>
  </conditionalFormatting>
  <conditionalFormatting sqref="F342:H343">
    <cfRule type="notContainsBlanks" dxfId="739" priority="337">
      <formula>LEN(TRIM(F342))&gt;0</formula>
    </cfRule>
  </conditionalFormatting>
  <conditionalFormatting sqref="F343:H343">
    <cfRule type="expression" dxfId="738" priority="338">
      <formula>$C330&lt;&gt;""</formula>
    </cfRule>
  </conditionalFormatting>
  <conditionalFormatting sqref="F347:H347 F348 F350:H351">
    <cfRule type="expression" dxfId="737" priority="325">
      <formula>$F347&lt;&gt;$R347</formula>
    </cfRule>
  </conditionalFormatting>
  <conditionalFormatting sqref="F347:H348 F350:H351 C347">
    <cfRule type="containsBlanks" dxfId="736" priority="329">
      <formula>LEN(TRIM(C347))=0</formula>
    </cfRule>
  </conditionalFormatting>
  <conditionalFormatting sqref="F349:H349">
    <cfRule type="notContainsBlanks" dxfId="735" priority="320">
      <formula>LEN(TRIM(F349))&gt;0</formula>
    </cfRule>
  </conditionalFormatting>
  <conditionalFormatting sqref="F359:H359">
    <cfRule type="expression" dxfId="734" priority="328">
      <formula>$C347&lt;&gt;""</formula>
    </cfRule>
  </conditionalFormatting>
  <conditionalFormatting sqref="F359:H360">
    <cfRule type="notContainsBlanks" dxfId="733" priority="326">
      <formula>LEN(TRIM(F359))&gt;0</formula>
    </cfRule>
  </conditionalFormatting>
  <conditionalFormatting sqref="F360:H360">
    <cfRule type="expression" dxfId="732" priority="327">
      <formula>$C347&lt;&gt;""</formula>
    </cfRule>
  </conditionalFormatting>
  <conditionalFormatting sqref="F364:H364 F365 F367:H368">
    <cfRule type="expression" dxfId="731" priority="314">
      <formula>$F364&lt;&gt;$R364</formula>
    </cfRule>
  </conditionalFormatting>
  <conditionalFormatting sqref="F364:H365 F367:H368 C364">
    <cfRule type="containsBlanks" dxfId="730" priority="318">
      <formula>LEN(TRIM(C364))=0</formula>
    </cfRule>
  </conditionalFormatting>
  <conditionalFormatting sqref="F366:H366">
    <cfRule type="notContainsBlanks" dxfId="729" priority="309">
      <formula>LEN(TRIM(F366))&gt;0</formula>
    </cfRule>
  </conditionalFormatting>
  <conditionalFormatting sqref="F376:H376">
    <cfRule type="expression" dxfId="728" priority="317">
      <formula>$C364&lt;&gt;""</formula>
    </cfRule>
  </conditionalFormatting>
  <conditionalFormatting sqref="F376:H377">
    <cfRule type="notContainsBlanks" dxfId="727" priority="315">
      <formula>LEN(TRIM(F376))&gt;0</formula>
    </cfRule>
  </conditionalFormatting>
  <conditionalFormatting sqref="F377:H377">
    <cfRule type="expression" dxfId="726" priority="316">
      <formula>$C364&lt;&gt;""</formula>
    </cfRule>
  </conditionalFormatting>
  <conditionalFormatting sqref="F381:H381 F382 F384:H385">
    <cfRule type="expression" dxfId="725" priority="303">
      <formula>$F381&lt;&gt;$R381</formula>
    </cfRule>
  </conditionalFormatting>
  <conditionalFormatting sqref="F381:H382 F384:H385 C381">
    <cfRule type="containsBlanks" dxfId="724" priority="307">
      <formula>LEN(TRIM(C381))=0</formula>
    </cfRule>
  </conditionalFormatting>
  <conditionalFormatting sqref="F383:H383">
    <cfRule type="notContainsBlanks" dxfId="723" priority="298">
      <formula>LEN(TRIM(F383))&gt;0</formula>
    </cfRule>
  </conditionalFormatting>
  <conditionalFormatting sqref="F393:H393">
    <cfRule type="expression" dxfId="722" priority="306">
      <formula>$C381&lt;&gt;""</formula>
    </cfRule>
  </conditionalFormatting>
  <conditionalFormatting sqref="F393:H394">
    <cfRule type="notContainsBlanks" dxfId="721" priority="304">
      <formula>LEN(TRIM(F393))&gt;0</formula>
    </cfRule>
  </conditionalFormatting>
  <conditionalFormatting sqref="F394:H394">
    <cfRule type="expression" dxfId="720" priority="305">
      <formula>$C381&lt;&gt;""</formula>
    </cfRule>
  </conditionalFormatting>
  <conditionalFormatting sqref="F398:H398 F399 F401:H402">
    <cfRule type="expression" dxfId="719" priority="292">
      <formula>$F398&lt;&gt;$R398</formula>
    </cfRule>
  </conditionalFormatting>
  <conditionalFormatting sqref="F398:H399 F401:H402 C398">
    <cfRule type="containsBlanks" dxfId="718" priority="296">
      <formula>LEN(TRIM(C398))=0</formula>
    </cfRule>
  </conditionalFormatting>
  <conditionalFormatting sqref="F400:H400">
    <cfRule type="notContainsBlanks" dxfId="717" priority="287">
      <formula>LEN(TRIM(F400))&gt;0</formula>
    </cfRule>
  </conditionalFormatting>
  <conditionalFormatting sqref="F410:H410">
    <cfRule type="expression" dxfId="716" priority="295">
      <formula>$C398&lt;&gt;""</formula>
    </cfRule>
  </conditionalFormatting>
  <conditionalFormatting sqref="F410:H411">
    <cfRule type="notContainsBlanks" dxfId="715" priority="293">
      <formula>LEN(TRIM(F410))&gt;0</formula>
    </cfRule>
  </conditionalFormatting>
  <conditionalFormatting sqref="F411:H411">
    <cfRule type="expression" dxfId="714" priority="294">
      <formula>$C398&lt;&gt;""</formula>
    </cfRule>
  </conditionalFormatting>
  <conditionalFormatting sqref="F415:H415 F416 F418:H419">
    <cfRule type="expression" dxfId="713" priority="281">
      <formula>$F415&lt;&gt;$R415</formula>
    </cfRule>
  </conditionalFormatting>
  <conditionalFormatting sqref="F415:H416 F418:H419 C415">
    <cfRule type="containsBlanks" dxfId="712" priority="285">
      <formula>LEN(TRIM(C415))=0</formula>
    </cfRule>
  </conditionalFormatting>
  <conditionalFormatting sqref="F417:H417">
    <cfRule type="notContainsBlanks" dxfId="711" priority="276">
      <formula>LEN(TRIM(F417))&gt;0</formula>
    </cfRule>
  </conditionalFormatting>
  <conditionalFormatting sqref="F427:H427">
    <cfRule type="expression" dxfId="710" priority="284">
      <formula>$C415&lt;&gt;""</formula>
    </cfRule>
  </conditionalFormatting>
  <conditionalFormatting sqref="F427:H428">
    <cfRule type="notContainsBlanks" dxfId="709" priority="282">
      <formula>LEN(TRIM(F427))&gt;0</formula>
    </cfRule>
  </conditionalFormatting>
  <conditionalFormatting sqref="F428:H428">
    <cfRule type="expression" dxfId="708" priority="283">
      <formula>$C415&lt;&gt;""</formula>
    </cfRule>
  </conditionalFormatting>
  <conditionalFormatting sqref="F432:H432 F433 F435:H436">
    <cfRule type="expression" dxfId="707" priority="270">
      <formula>$F432&lt;&gt;$R432</formula>
    </cfRule>
  </conditionalFormatting>
  <conditionalFormatting sqref="F432:H433 F435:H436 C432">
    <cfRule type="containsBlanks" dxfId="706" priority="274">
      <formula>LEN(TRIM(C432))=0</formula>
    </cfRule>
  </conditionalFormatting>
  <conditionalFormatting sqref="F434:H434">
    <cfRule type="notContainsBlanks" dxfId="705" priority="265">
      <formula>LEN(TRIM(F434))&gt;0</formula>
    </cfRule>
  </conditionalFormatting>
  <conditionalFormatting sqref="F444:H444">
    <cfRule type="expression" dxfId="704" priority="273">
      <formula>$C432&lt;&gt;""</formula>
    </cfRule>
  </conditionalFormatting>
  <conditionalFormatting sqref="F444:H445">
    <cfRule type="notContainsBlanks" dxfId="703" priority="271">
      <formula>LEN(TRIM(F444))&gt;0</formula>
    </cfRule>
  </conditionalFormatting>
  <conditionalFormatting sqref="F445:H445">
    <cfRule type="expression" dxfId="702" priority="272">
      <formula>$C432&lt;&gt;""</formula>
    </cfRule>
  </conditionalFormatting>
  <conditionalFormatting sqref="F449:H449 F450 F452:H453">
    <cfRule type="expression" dxfId="701" priority="259">
      <formula>$F449&lt;&gt;$R449</formula>
    </cfRule>
  </conditionalFormatting>
  <conditionalFormatting sqref="F449:H450 F452:H453 C449">
    <cfRule type="containsBlanks" dxfId="700" priority="263">
      <formula>LEN(TRIM(C449))=0</formula>
    </cfRule>
  </conditionalFormatting>
  <conditionalFormatting sqref="F451:H451">
    <cfRule type="notContainsBlanks" dxfId="699" priority="254">
      <formula>LEN(TRIM(F451))&gt;0</formula>
    </cfRule>
  </conditionalFormatting>
  <conditionalFormatting sqref="F461:H461">
    <cfRule type="expression" dxfId="698" priority="262">
      <formula>$C449&lt;&gt;""</formula>
    </cfRule>
  </conditionalFormatting>
  <conditionalFormatting sqref="F461:H462">
    <cfRule type="notContainsBlanks" dxfId="697" priority="260">
      <formula>LEN(TRIM(F461))&gt;0</formula>
    </cfRule>
  </conditionalFormatting>
  <conditionalFormatting sqref="F462:H462">
    <cfRule type="expression" dxfId="696" priority="261">
      <formula>$C449&lt;&gt;""</formula>
    </cfRule>
  </conditionalFormatting>
  <conditionalFormatting sqref="F466:H466 F467 F469:H470">
    <cfRule type="expression" dxfId="695" priority="248">
      <formula>$F466&lt;&gt;$R466</formula>
    </cfRule>
  </conditionalFormatting>
  <conditionalFormatting sqref="F466:H467 F469:H470 C466">
    <cfRule type="containsBlanks" dxfId="694" priority="252">
      <formula>LEN(TRIM(C466))=0</formula>
    </cfRule>
  </conditionalFormatting>
  <conditionalFormatting sqref="F468:H468">
    <cfRule type="notContainsBlanks" dxfId="693" priority="243">
      <formula>LEN(TRIM(F468))&gt;0</formula>
    </cfRule>
  </conditionalFormatting>
  <conditionalFormatting sqref="F478:H478">
    <cfRule type="expression" dxfId="692" priority="251">
      <formula>$C466&lt;&gt;""</formula>
    </cfRule>
  </conditionalFormatting>
  <conditionalFormatting sqref="F478:H479">
    <cfRule type="notContainsBlanks" dxfId="691" priority="249">
      <formula>LEN(TRIM(F478))&gt;0</formula>
    </cfRule>
  </conditionalFormatting>
  <conditionalFormatting sqref="F479:H479">
    <cfRule type="expression" dxfId="690" priority="250">
      <formula>$C466&lt;&gt;""</formula>
    </cfRule>
  </conditionalFormatting>
  <conditionalFormatting sqref="F483:H483 F484 F486:H487">
    <cfRule type="expression" dxfId="689" priority="237">
      <formula>$F483&lt;&gt;$R483</formula>
    </cfRule>
  </conditionalFormatting>
  <conditionalFormatting sqref="F483:H484 F486:H487 C483">
    <cfRule type="containsBlanks" dxfId="688" priority="241">
      <formula>LEN(TRIM(C483))=0</formula>
    </cfRule>
  </conditionalFormatting>
  <conditionalFormatting sqref="F485:H485">
    <cfRule type="notContainsBlanks" dxfId="687" priority="232">
      <formula>LEN(TRIM(F485))&gt;0</formula>
    </cfRule>
  </conditionalFormatting>
  <conditionalFormatting sqref="F495:H495">
    <cfRule type="expression" dxfId="686" priority="240">
      <formula>$C483&lt;&gt;""</formula>
    </cfRule>
  </conditionalFormatting>
  <conditionalFormatting sqref="F495:H496">
    <cfRule type="notContainsBlanks" dxfId="685" priority="238">
      <formula>LEN(TRIM(F495))&gt;0</formula>
    </cfRule>
  </conditionalFormatting>
  <conditionalFormatting sqref="F496:H496">
    <cfRule type="expression" dxfId="684" priority="239">
      <formula>$C483&lt;&gt;""</formula>
    </cfRule>
  </conditionalFormatting>
  <conditionalFormatting sqref="F500:H500 F501 F503:H504">
    <cfRule type="expression" dxfId="683" priority="226">
      <formula>$F500&lt;&gt;$R500</formula>
    </cfRule>
  </conditionalFormatting>
  <conditionalFormatting sqref="F500:H501 F503:H504 C500">
    <cfRule type="containsBlanks" dxfId="682" priority="230">
      <formula>LEN(TRIM(C500))=0</formula>
    </cfRule>
  </conditionalFormatting>
  <conditionalFormatting sqref="F502:H502">
    <cfRule type="notContainsBlanks" dxfId="681" priority="221">
      <formula>LEN(TRIM(F502))&gt;0</formula>
    </cfRule>
  </conditionalFormatting>
  <conditionalFormatting sqref="F512:H512">
    <cfRule type="expression" dxfId="680" priority="229">
      <formula>$C500&lt;&gt;""</formula>
    </cfRule>
  </conditionalFormatting>
  <conditionalFormatting sqref="F512:H513">
    <cfRule type="notContainsBlanks" dxfId="679" priority="227">
      <formula>LEN(TRIM(F512))&gt;0</formula>
    </cfRule>
  </conditionalFormatting>
  <conditionalFormatting sqref="F513:H513">
    <cfRule type="expression" dxfId="678" priority="228">
      <formula>$C500&lt;&gt;""</formula>
    </cfRule>
  </conditionalFormatting>
  <conditionalFormatting sqref="F517:H517 F518 F520:H521">
    <cfRule type="expression" dxfId="677" priority="215">
      <formula>$F517&lt;&gt;$R517</formula>
    </cfRule>
  </conditionalFormatting>
  <conditionalFormatting sqref="F517:H518 F520:H521 C517">
    <cfRule type="containsBlanks" dxfId="676" priority="219">
      <formula>LEN(TRIM(C517))=0</formula>
    </cfRule>
  </conditionalFormatting>
  <conditionalFormatting sqref="F519:H519">
    <cfRule type="notContainsBlanks" dxfId="675" priority="210">
      <formula>LEN(TRIM(F519))&gt;0</formula>
    </cfRule>
  </conditionalFormatting>
  <conditionalFormatting sqref="F529:H529">
    <cfRule type="expression" dxfId="674" priority="218">
      <formula>$C517&lt;&gt;""</formula>
    </cfRule>
  </conditionalFormatting>
  <conditionalFormatting sqref="F529:H530">
    <cfRule type="notContainsBlanks" dxfId="673" priority="216">
      <formula>LEN(TRIM(F529))&gt;0</formula>
    </cfRule>
  </conditionalFormatting>
  <conditionalFormatting sqref="F530:H530">
    <cfRule type="expression" dxfId="672" priority="217">
      <formula>$C517&lt;&gt;""</formula>
    </cfRule>
  </conditionalFormatting>
  <conditionalFormatting sqref="F534:H534 F535 F537:H538">
    <cfRule type="expression" dxfId="671" priority="204">
      <formula>$F534&lt;&gt;$R534</formula>
    </cfRule>
  </conditionalFormatting>
  <conditionalFormatting sqref="F534:H535 F537:H538 C534">
    <cfRule type="containsBlanks" dxfId="670" priority="208">
      <formula>LEN(TRIM(C534))=0</formula>
    </cfRule>
  </conditionalFormatting>
  <conditionalFormatting sqref="F536:H536">
    <cfRule type="notContainsBlanks" dxfId="669" priority="199">
      <formula>LEN(TRIM(F536))&gt;0</formula>
    </cfRule>
  </conditionalFormatting>
  <conditionalFormatting sqref="F546:H546">
    <cfRule type="expression" dxfId="668" priority="207">
      <formula>$C534&lt;&gt;""</formula>
    </cfRule>
  </conditionalFormatting>
  <conditionalFormatting sqref="F546:H547">
    <cfRule type="notContainsBlanks" dxfId="667" priority="205">
      <formula>LEN(TRIM(F546))&gt;0</formula>
    </cfRule>
  </conditionalFormatting>
  <conditionalFormatting sqref="F547:H547">
    <cfRule type="expression" dxfId="666" priority="206">
      <formula>$C534&lt;&gt;""</formula>
    </cfRule>
  </conditionalFormatting>
  <conditionalFormatting sqref="F551:H551 F552 F554:H555">
    <cfRule type="expression" dxfId="665" priority="193">
      <formula>$F551&lt;&gt;$R551</formula>
    </cfRule>
  </conditionalFormatting>
  <conditionalFormatting sqref="F551:H552 F554:H555 C551">
    <cfRule type="containsBlanks" dxfId="664" priority="197">
      <formula>LEN(TRIM(C551))=0</formula>
    </cfRule>
  </conditionalFormatting>
  <conditionalFormatting sqref="F553:H553">
    <cfRule type="notContainsBlanks" dxfId="663" priority="188">
      <formula>LEN(TRIM(F553))&gt;0</formula>
    </cfRule>
  </conditionalFormatting>
  <conditionalFormatting sqref="F563:H563">
    <cfRule type="expression" dxfId="662" priority="196">
      <formula>$C551&lt;&gt;""</formula>
    </cfRule>
  </conditionalFormatting>
  <conditionalFormatting sqref="F563:H564">
    <cfRule type="notContainsBlanks" dxfId="661" priority="194">
      <formula>LEN(TRIM(F563))&gt;0</formula>
    </cfRule>
  </conditionalFormatting>
  <conditionalFormatting sqref="F564:H564">
    <cfRule type="expression" dxfId="660" priority="195">
      <formula>$C551&lt;&gt;""</formula>
    </cfRule>
  </conditionalFormatting>
  <conditionalFormatting sqref="F568:H568 F569 F571:H572">
    <cfRule type="expression" dxfId="659" priority="182">
      <formula>$F568&lt;&gt;$R568</formula>
    </cfRule>
  </conditionalFormatting>
  <conditionalFormatting sqref="F568:H569 F571:H572 C568">
    <cfRule type="containsBlanks" dxfId="658" priority="186">
      <formula>LEN(TRIM(C568))=0</formula>
    </cfRule>
  </conditionalFormatting>
  <conditionalFormatting sqref="F570:H570">
    <cfRule type="notContainsBlanks" dxfId="657" priority="177">
      <formula>LEN(TRIM(F570))&gt;0</formula>
    </cfRule>
  </conditionalFormatting>
  <conditionalFormatting sqref="F580:H580">
    <cfRule type="expression" dxfId="656" priority="185">
      <formula>$C568&lt;&gt;""</formula>
    </cfRule>
  </conditionalFormatting>
  <conditionalFormatting sqref="F580:H581">
    <cfRule type="notContainsBlanks" dxfId="655" priority="183">
      <formula>LEN(TRIM(F580))&gt;0</formula>
    </cfRule>
  </conditionalFormatting>
  <conditionalFormatting sqref="F581:H581">
    <cfRule type="expression" dxfId="654" priority="184">
      <formula>$C568&lt;&gt;""</formula>
    </cfRule>
  </conditionalFormatting>
  <conditionalFormatting sqref="F585:H585 F586 F588:H589">
    <cfRule type="expression" dxfId="653" priority="171">
      <formula>$F585&lt;&gt;$R585</formula>
    </cfRule>
  </conditionalFormatting>
  <conditionalFormatting sqref="F585:H586 F588:H589 C585">
    <cfRule type="containsBlanks" dxfId="652" priority="175">
      <formula>LEN(TRIM(C585))=0</formula>
    </cfRule>
  </conditionalFormatting>
  <conditionalFormatting sqref="F587:H587">
    <cfRule type="notContainsBlanks" dxfId="651" priority="166">
      <formula>LEN(TRIM(F587))&gt;0</formula>
    </cfRule>
  </conditionalFormatting>
  <conditionalFormatting sqref="F597:H597">
    <cfRule type="expression" dxfId="650" priority="174">
      <formula>$C585&lt;&gt;""</formula>
    </cfRule>
  </conditionalFormatting>
  <conditionalFormatting sqref="F597:H598">
    <cfRule type="notContainsBlanks" dxfId="649" priority="172">
      <formula>LEN(TRIM(F597))&gt;0</formula>
    </cfRule>
  </conditionalFormatting>
  <conditionalFormatting sqref="F598:H598">
    <cfRule type="expression" dxfId="648" priority="173">
      <formula>$C585&lt;&gt;""</formula>
    </cfRule>
  </conditionalFormatting>
  <conditionalFormatting sqref="F602:H602 F603 F605:H606">
    <cfRule type="expression" dxfId="647" priority="160">
      <formula>$F602&lt;&gt;$R602</formula>
    </cfRule>
  </conditionalFormatting>
  <conditionalFormatting sqref="F602:H603 F605:H606 C602">
    <cfRule type="containsBlanks" dxfId="646" priority="164">
      <formula>LEN(TRIM(C602))=0</formula>
    </cfRule>
  </conditionalFormatting>
  <conditionalFormatting sqref="F604:H604">
    <cfRule type="notContainsBlanks" dxfId="645" priority="155">
      <formula>LEN(TRIM(F604))&gt;0</formula>
    </cfRule>
  </conditionalFormatting>
  <conditionalFormatting sqref="F614:H614">
    <cfRule type="expression" dxfId="644" priority="163">
      <formula>$C602&lt;&gt;""</formula>
    </cfRule>
  </conditionalFormatting>
  <conditionalFormatting sqref="F614:H615">
    <cfRule type="notContainsBlanks" dxfId="643" priority="161">
      <formula>LEN(TRIM(F614))&gt;0</formula>
    </cfRule>
  </conditionalFormatting>
  <conditionalFormatting sqref="F615:H615">
    <cfRule type="expression" dxfId="642" priority="162">
      <formula>$C602&lt;&gt;""</formula>
    </cfRule>
  </conditionalFormatting>
  <conditionalFormatting sqref="F619:H619 F620 F622:H623">
    <cfRule type="expression" dxfId="641" priority="149">
      <formula>$F619&lt;&gt;$R619</formula>
    </cfRule>
  </conditionalFormatting>
  <conditionalFormatting sqref="F619:H620 F622:H623 C619">
    <cfRule type="containsBlanks" dxfId="640" priority="153">
      <formula>LEN(TRIM(C619))=0</formula>
    </cfRule>
  </conditionalFormatting>
  <conditionalFormatting sqref="F621:H621">
    <cfRule type="notContainsBlanks" dxfId="639" priority="144">
      <formula>LEN(TRIM(F621))&gt;0</formula>
    </cfRule>
  </conditionalFormatting>
  <conditionalFormatting sqref="F631:H631">
    <cfRule type="expression" dxfId="638" priority="152">
      <formula>$C619&lt;&gt;""</formula>
    </cfRule>
  </conditionalFormatting>
  <conditionalFormatting sqref="F631:H632">
    <cfRule type="notContainsBlanks" dxfId="637" priority="150">
      <formula>LEN(TRIM(F631))&gt;0</formula>
    </cfRule>
  </conditionalFormatting>
  <conditionalFormatting sqref="F632:H632">
    <cfRule type="expression" dxfId="636" priority="151">
      <formula>$C619&lt;&gt;""</formula>
    </cfRule>
  </conditionalFormatting>
  <conditionalFormatting sqref="F636:H636 F637 F639:H640">
    <cfRule type="expression" dxfId="635" priority="138">
      <formula>$F636&lt;&gt;$R636</formula>
    </cfRule>
  </conditionalFormatting>
  <conditionalFormatting sqref="F636:H637 F639:H640 C636">
    <cfRule type="containsBlanks" dxfId="634" priority="142">
      <formula>LEN(TRIM(C636))=0</formula>
    </cfRule>
  </conditionalFormatting>
  <conditionalFormatting sqref="F638:H638">
    <cfRule type="notContainsBlanks" dxfId="633" priority="133">
      <formula>LEN(TRIM(F638))&gt;0</formula>
    </cfRule>
  </conditionalFormatting>
  <conditionalFormatting sqref="F648:H648">
    <cfRule type="expression" dxfId="632" priority="141">
      <formula>$C636&lt;&gt;""</formula>
    </cfRule>
  </conditionalFormatting>
  <conditionalFormatting sqref="F648:H649">
    <cfRule type="notContainsBlanks" dxfId="631" priority="139">
      <formula>LEN(TRIM(F648))&gt;0</formula>
    </cfRule>
  </conditionalFormatting>
  <conditionalFormatting sqref="F649:H649">
    <cfRule type="expression" dxfId="630" priority="140">
      <formula>$C636&lt;&gt;""</formula>
    </cfRule>
  </conditionalFormatting>
  <conditionalFormatting sqref="F653:H653 F654 F656:H657">
    <cfRule type="expression" dxfId="629" priority="127">
      <formula>$F653&lt;&gt;$R653</formula>
    </cfRule>
  </conditionalFormatting>
  <conditionalFormatting sqref="F653:H654 F656:H657 C653">
    <cfRule type="containsBlanks" dxfId="628" priority="131">
      <formula>LEN(TRIM(C653))=0</formula>
    </cfRule>
  </conditionalFormatting>
  <conditionalFormatting sqref="F655:H655">
    <cfRule type="notContainsBlanks" dxfId="627" priority="122">
      <formula>LEN(TRIM(F655))&gt;0</formula>
    </cfRule>
  </conditionalFormatting>
  <conditionalFormatting sqref="F665:H665">
    <cfRule type="expression" dxfId="626" priority="130">
      <formula>$C653&lt;&gt;""</formula>
    </cfRule>
  </conditionalFormatting>
  <conditionalFormatting sqref="F665:H666">
    <cfRule type="notContainsBlanks" dxfId="625" priority="128">
      <formula>LEN(TRIM(F665))&gt;0</formula>
    </cfRule>
  </conditionalFormatting>
  <conditionalFormatting sqref="F666:H666">
    <cfRule type="expression" dxfId="624" priority="129">
      <formula>$C653&lt;&gt;""</formula>
    </cfRule>
  </conditionalFormatting>
  <conditionalFormatting sqref="F670:H670 F671 F673:H674">
    <cfRule type="expression" dxfId="623" priority="116">
      <formula>$F670&lt;&gt;$R670</formula>
    </cfRule>
  </conditionalFormatting>
  <conditionalFormatting sqref="F670:H671 F673:H674 C670">
    <cfRule type="containsBlanks" dxfId="622" priority="120">
      <formula>LEN(TRIM(C670))=0</formula>
    </cfRule>
  </conditionalFormatting>
  <conditionalFormatting sqref="F672:H672">
    <cfRule type="notContainsBlanks" dxfId="621" priority="111">
      <formula>LEN(TRIM(F672))&gt;0</formula>
    </cfRule>
  </conditionalFormatting>
  <conditionalFormatting sqref="F682:H682">
    <cfRule type="expression" dxfId="620" priority="119">
      <formula>$C670&lt;&gt;""</formula>
    </cfRule>
  </conditionalFormatting>
  <conditionalFormatting sqref="F682:H683">
    <cfRule type="notContainsBlanks" dxfId="619" priority="117">
      <formula>LEN(TRIM(F682))&gt;0</formula>
    </cfRule>
  </conditionalFormatting>
  <conditionalFormatting sqref="F683:H683">
    <cfRule type="expression" dxfId="618" priority="118">
      <formula>$C670&lt;&gt;""</formula>
    </cfRule>
  </conditionalFormatting>
  <conditionalFormatting sqref="F687:H687 F688 F690:H691">
    <cfRule type="expression" dxfId="617" priority="105">
      <formula>$F687&lt;&gt;$R687</formula>
    </cfRule>
  </conditionalFormatting>
  <conditionalFormatting sqref="F687:H688 F690:H691 C687">
    <cfRule type="containsBlanks" dxfId="616" priority="109">
      <formula>LEN(TRIM(C687))=0</formula>
    </cfRule>
  </conditionalFormatting>
  <conditionalFormatting sqref="F689:H689">
    <cfRule type="notContainsBlanks" dxfId="615" priority="100">
      <formula>LEN(TRIM(F689))&gt;0</formula>
    </cfRule>
  </conditionalFormatting>
  <conditionalFormatting sqref="F699:H699">
    <cfRule type="expression" dxfId="614" priority="108">
      <formula>$C687&lt;&gt;""</formula>
    </cfRule>
  </conditionalFormatting>
  <conditionalFormatting sqref="F699:H700">
    <cfRule type="notContainsBlanks" dxfId="613" priority="106">
      <formula>LEN(TRIM(F699))&gt;0</formula>
    </cfRule>
  </conditionalFormatting>
  <conditionalFormatting sqref="F700:H700">
    <cfRule type="expression" dxfId="612" priority="107">
      <formula>$C687&lt;&gt;""</formula>
    </cfRule>
  </conditionalFormatting>
  <conditionalFormatting sqref="F704:H704 F705 F707:H708">
    <cfRule type="expression" dxfId="611" priority="94">
      <formula>$F704&lt;&gt;$R704</formula>
    </cfRule>
  </conditionalFormatting>
  <conditionalFormatting sqref="F704:H705 F707:H708 C704">
    <cfRule type="containsBlanks" dxfId="610" priority="98">
      <formula>LEN(TRIM(C704))=0</formula>
    </cfRule>
  </conditionalFormatting>
  <conditionalFormatting sqref="F706:H706">
    <cfRule type="notContainsBlanks" dxfId="609" priority="89">
      <formula>LEN(TRIM(F706))&gt;0</formula>
    </cfRule>
  </conditionalFormatting>
  <conditionalFormatting sqref="F716:H716">
    <cfRule type="expression" dxfId="608" priority="97">
      <formula>$C704&lt;&gt;""</formula>
    </cfRule>
  </conditionalFormatting>
  <conditionalFormatting sqref="F716:H717">
    <cfRule type="notContainsBlanks" dxfId="607" priority="95">
      <formula>LEN(TRIM(F716))&gt;0</formula>
    </cfRule>
  </conditionalFormatting>
  <conditionalFormatting sqref="F717:H717">
    <cfRule type="expression" dxfId="606" priority="96">
      <formula>$C704&lt;&gt;""</formula>
    </cfRule>
  </conditionalFormatting>
  <conditionalFormatting sqref="F721:H721 F722 F724:H725">
    <cfRule type="expression" dxfId="605" priority="83">
      <formula>$F721&lt;&gt;$R721</formula>
    </cfRule>
  </conditionalFormatting>
  <conditionalFormatting sqref="F721:H722 F724:H725 C721">
    <cfRule type="containsBlanks" dxfId="604" priority="87">
      <formula>LEN(TRIM(C721))=0</formula>
    </cfRule>
  </conditionalFormatting>
  <conditionalFormatting sqref="F723:H723">
    <cfRule type="notContainsBlanks" dxfId="603" priority="78">
      <formula>LEN(TRIM(F723))&gt;0</formula>
    </cfRule>
  </conditionalFormatting>
  <conditionalFormatting sqref="F733:H733">
    <cfRule type="expression" dxfId="602" priority="86">
      <formula>$C721&lt;&gt;""</formula>
    </cfRule>
  </conditionalFormatting>
  <conditionalFormatting sqref="F733:H734">
    <cfRule type="notContainsBlanks" dxfId="601" priority="84">
      <formula>LEN(TRIM(F733))&gt;0</formula>
    </cfRule>
  </conditionalFormatting>
  <conditionalFormatting sqref="F734:H734">
    <cfRule type="expression" dxfId="600" priority="85">
      <formula>$C721&lt;&gt;""</formula>
    </cfRule>
  </conditionalFormatting>
  <conditionalFormatting sqref="F738:H738 F739 F741:H742">
    <cfRule type="expression" dxfId="599" priority="72">
      <formula>$F738&lt;&gt;$R738</formula>
    </cfRule>
  </conditionalFormatting>
  <conditionalFormatting sqref="F738:H739 F741:H742 C738">
    <cfRule type="containsBlanks" dxfId="598" priority="76">
      <formula>LEN(TRIM(C738))=0</formula>
    </cfRule>
  </conditionalFormatting>
  <conditionalFormatting sqref="F740:H740">
    <cfRule type="notContainsBlanks" dxfId="597" priority="67">
      <formula>LEN(TRIM(F740))&gt;0</formula>
    </cfRule>
  </conditionalFormatting>
  <conditionalFormatting sqref="F750:H750">
    <cfRule type="expression" dxfId="596" priority="75">
      <formula>$C738&lt;&gt;""</formula>
    </cfRule>
  </conditionalFormatting>
  <conditionalFormatting sqref="F750:H751">
    <cfRule type="notContainsBlanks" dxfId="595" priority="73">
      <formula>LEN(TRIM(F750))&gt;0</formula>
    </cfRule>
  </conditionalFormatting>
  <conditionalFormatting sqref="F751:H751">
    <cfRule type="expression" dxfId="594" priority="74">
      <formula>$C738&lt;&gt;""</formula>
    </cfRule>
  </conditionalFormatting>
  <conditionalFormatting sqref="F755:H755 F756 F758:H759">
    <cfRule type="expression" dxfId="593" priority="61">
      <formula>$F755&lt;&gt;$R755</formula>
    </cfRule>
  </conditionalFormatting>
  <conditionalFormatting sqref="F755:H756 F758:H759 C755">
    <cfRule type="containsBlanks" dxfId="592" priority="65">
      <formula>LEN(TRIM(C755))=0</formula>
    </cfRule>
  </conditionalFormatting>
  <conditionalFormatting sqref="F757:H757">
    <cfRule type="notContainsBlanks" dxfId="591" priority="56">
      <formula>LEN(TRIM(F757))&gt;0</formula>
    </cfRule>
  </conditionalFormatting>
  <conditionalFormatting sqref="F767:H767">
    <cfRule type="expression" dxfId="590" priority="64">
      <formula>$C755&lt;&gt;""</formula>
    </cfRule>
  </conditionalFormatting>
  <conditionalFormatting sqref="F767:H768">
    <cfRule type="notContainsBlanks" dxfId="589" priority="62">
      <formula>LEN(TRIM(F767))&gt;0</formula>
    </cfRule>
  </conditionalFormatting>
  <conditionalFormatting sqref="F768:H768">
    <cfRule type="expression" dxfId="588" priority="63">
      <formula>$C755&lt;&gt;""</formula>
    </cfRule>
  </conditionalFormatting>
  <conditionalFormatting sqref="F772:H772 F773 F775:H776">
    <cfRule type="expression" dxfId="587" priority="50">
      <formula>$F772&lt;&gt;$R772</formula>
    </cfRule>
  </conditionalFormatting>
  <conditionalFormatting sqref="F772:H773 F775:H776 C772">
    <cfRule type="containsBlanks" dxfId="586" priority="54">
      <formula>LEN(TRIM(C772))=0</formula>
    </cfRule>
  </conditionalFormatting>
  <conditionalFormatting sqref="F774:H774">
    <cfRule type="notContainsBlanks" dxfId="585" priority="45">
      <formula>LEN(TRIM(F774))&gt;0</formula>
    </cfRule>
  </conditionalFormatting>
  <conditionalFormatting sqref="F784:H784">
    <cfRule type="expression" dxfId="584" priority="53">
      <formula>$C772&lt;&gt;""</formula>
    </cfRule>
  </conditionalFormatting>
  <conditionalFormatting sqref="F784:H785">
    <cfRule type="notContainsBlanks" dxfId="583" priority="51">
      <formula>LEN(TRIM(F784))&gt;0</formula>
    </cfRule>
  </conditionalFormatting>
  <conditionalFormatting sqref="F785:H785">
    <cfRule type="expression" dxfId="582" priority="52">
      <formula>$C772&lt;&gt;""</formula>
    </cfRule>
  </conditionalFormatting>
  <conditionalFormatting sqref="F789:H789 F790 F792:H793">
    <cfRule type="expression" dxfId="581" priority="39">
      <formula>$F789&lt;&gt;$R789</formula>
    </cfRule>
  </conditionalFormatting>
  <conditionalFormatting sqref="F789:H790 F792:H793 C789">
    <cfRule type="containsBlanks" dxfId="580" priority="43">
      <formula>LEN(TRIM(C789))=0</formula>
    </cfRule>
  </conditionalFormatting>
  <conditionalFormatting sqref="F791:H791">
    <cfRule type="notContainsBlanks" dxfId="579" priority="34">
      <formula>LEN(TRIM(F791))&gt;0</formula>
    </cfRule>
  </conditionalFormatting>
  <conditionalFormatting sqref="F801:H801">
    <cfRule type="expression" dxfId="578" priority="42">
      <formula>$C789&lt;&gt;""</formula>
    </cfRule>
  </conditionalFormatting>
  <conditionalFormatting sqref="F801:H802">
    <cfRule type="notContainsBlanks" dxfId="577" priority="40">
      <formula>LEN(TRIM(F801))&gt;0</formula>
    </cfRule>
  </conditionalFormatting>
  <conditionalFormatting sqref="F802:H802">
    <cfRule type="expression" dxfId="576" priority="41">
      <formula>$C789&lt;&gt;""</formula>
    </cfRule>
  </conditionalFormatting>
  <conditionalFormatting sqref="F806:H806 F807 F809:H810">
    <cfRule type="expression" dxfId="575" priority="28">
      <formula>$F806&lt;&gt;$R806</formula>
    </cfRule>
  </conditionalFormatting>
  <conditionalFormatting sqref="F806:H807 F809:H810 C806">
    <cfRule type="containsBlanks" dxfId="574" priority="32">
      <formula>LEN(TRIM(C806))=0</formula>
    </cfRule>
  </conditionalFormatting>
  <conditionalFormatting sqref="F808:H808">
    <cfRule type="notContainsBlanks" dxfId="573" priority="23">
      <formula>LEN(TRIM(F808))&gt;0</formula>
    </cfRule>
  </conditionalFormatting>
  <conditionalFormatting sqref="F818:H818">
    <cfRule type="expression" dxfId="572" priority="31">
      <formula>$C806&lt;&gt;""</formula>
    </cfRule>
  </conditionalFormatting>
  <conditionalFormatting sqref="F818:H819">
    <cfRule type="notContainsBlanks" dxfId="571" priority="29">
      <formula>LEN(TRIM(F818))&gt;0</formula>
    </cfRule>
  </conditionalFormatting>
  <conditionalFormatting sqref="F819:H819">
    <cfRule type="expression" dxfId="570" priority="30">
      <formula>$C806&lt;&gt;""</formula>
    </cfRule>
  </conditionalFormatting>
  <conditionalFormatting sqref="F823:H823 F824 F826:H827">
    <cfRule type="expression" dxfId="569" priority="17">
      <formula>$F823&lt;&gt;$R823</formula>
    </cfRule>
  </conditionalFormatting>
  <conditionalFormatting sqref="F823:H824 F826:H827 C823">
    <cfRule type="containsBlanks" dxfId="568" priority="21">
      <formula>LEN(TRIM(C823))=0</formula>
    </cfRule>
  </conditionalFormatting>
  <conditionalFormatting sqref="F825:H825">
    <cfRule type="notContainsBlanks" dxfId="567" priority="12">
      <formula>LEN(TRIM(F825))&gt;0</formula>
    </cfRule>
  </conditionalFormatting>
  <conditionalFormatting sqref="F835:H835">
    <cfRule type="expression" dxfId="566" priority="20">
      <formula>$C823&lt;&gt;""</formula>
    </cfRule>
  </conditionalFormatting>
  <conditionalFormatting sqref="F835:H836">
    <cfRule type="notContainsBlanks" dxfId="565" priority="18">
      <formula>LEN(TRIM(F835))&gt;0</formula>
    </cfRule>
  </conditionalFormatting>
  <conditionalFormatting sqref="F836:H836">
    <cfRule type="expression" dxfId="564" priority="19">
      <formula>$C823&lt;&gt;""</formula>
    </cfRule>
  </conditionalFormatting>
  <conditionalFormatting sqref="F840:H840 F841 F843:H844">
    <cfRule type="expression" dxfId="563" priority="6">
      <formula>$F840&lt;&gt;$R840</formula>
    </cfRule>
  </conditionalFormatting>
  <conditionalFormatting sqref="F840:H841 F843:H844 C840">
    <cfRule type="containsBlanks" dxfId="562" priority="10">
      <formula>LEN(TRIM(C840))=0</formula>
    </cfRule>
  </conditionalFormatting>
  <conditionalFormatting sqref="F842:H842">
    <cfRule type="notContainsBlanks" dxfId="561" priority="1">
      <formula>LEN(TRIM(F842))&gt;0</formula>
    </cfRule>
  </conditionalFormatting>
  <conditionalFormatting sqref="F852:H852">
    <cfRule type="expression" dxfId="560" priority="9">
      <formula>$C840&lt;&gt;""</formula>
    </cfRule>
  </conditionalFormatting>
  <conditionalFormatting sqref="F852:H853">
    <cfRule type="notContainsBlanks" dxfId="559" priority="7">
      <formula>LEN(TRIM(F852))&gt;0</formula>
    </cfRule>
  </conditionalFormatting>
  <conditionalFormatting sqref="F853:H853">
    <cfRule type="expression" dxfId="558" priority="8">
      <formula>$C840&lt;&gt;""</formula>
    </cfRule>
  </conditionalFormatting>
  <dataValidations count="3">
    <dataValidation type="list" allowBlank="1" showInputMessage="1" showErrorMessage="1" sqref="H13:H16 H30:H33 H47:H50 H64:H67 H81:H84 H98:H101 H115:H118 H132:H135 H149:H152 H166:H169 H183:H186 H200:H203 H217:H220 H234:H237 H251:H254 H268:H271 H285:H288 H302:H305 H319:H322 H336:H339 H353:H356 H370:H373 H387:H390 H404:H407 H421:H424 H438:H441 H455:H458 H472:H475 H489:H492 H506:H509 H523:H526 H540:H543 H557:H560 H574:H577 H591:H594 H608:H611 H625:H628 H642:H645 H659:H662 H676:H679 H693:H696 H710:H713 H727:H730 H744:H747 H761:H764 H778:H781 H795:H798 H812:H815 H829:H832 H846:H849" xr:uid="{85917A3D-5141-4E02-8EF7-CB75956A05BC}">
      <formula1>"未完了,完了"</formula1>
    </dataValidation>
    <dataValidation type="list" allowBlank="1" showInputMessage="1" showErrorMessage="1" sqref="F13:G16 F30:G33 F47:G50 F64:G67 F81:G84 F98:G101 F115:G118 F132:G135 F149:G152 F166:G169 F183:G186 F200:G203 F217:G220 F234:G237 F251:G254 F268:G271 F285:G288 F302:G305 F319:G322 F336:G339 F353:G356 F370:G373 F387:G390 F404:G407 F421:G424 F438:G441 F455:G458 F472:G475 F489:G492 F506:G509 F523:G526 F540:G543 F557:G560 F574:G577 F591:G594 F608:G611 F625:G628 F642:G645 F659:G662 F676:G679 F693:G696 F710:G713 F727:G730 F744:G747 F761:G764 F778:G781 F795:G798 F812:G815 F829:G832 F846:G849" xr:uid="{DAD736D6-C6CF-4BA0-9A57-02C595A31A39}">
      <formula1>"未実施,実施中,実施済"</formula1>
    </dataValidation>
    <dataValidation type="list" allowBlank="1" showInputMessage="1" showErrorMessage="1" sqref="F9:H9 F26:H26 F43:H43 F60:H60 F77:H77 F94:H94 F111:H111 F128:H128 F145:H145 F162:H162 F179:H179 F196:H196 F213:H213 F230:H230 F247:H247 F264:H264 F281:H281 F298:H298 F315:H315 F332:H332 F349:H349 F366:H366 F383:H383 F400:H400 F417:H417 F434:H434 F451:H451 F468:H468 F485:H485 F502:H502 F519:H519 F536:H536 F553:H553 F570:H570 F587:H587 F604:H604 F621:H621 F638:H638 F655:H655 F672:H672 F689:H689 F706:H706 F723:H723 F740:H740 F757:H757 F774:H774 F791:H791 F808:H808 F825:H825 F842:H842" xr:uid="{EB6D7B8D-E90F-48B8-BADC-AADE3D66B829}">
      <formula1>"○"</formula1>
    </dataValidation>
  </dataValidations>
  <pageMargins left="0.7" right="0.7" top="0.75" bottom="0.75" header="0.3" footer="0.3"/>
  <pageSetup paperSize="9" scale="37"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xr:uid="{08E9E66F-16A0-4FF9-BD8A-A01BAE4B3FF0}">
          <x14:formula1>
            <xm:f>IF('4.2民生電力需要量'!$U$2=1,OFFSET('4.2民生電力需要量'!$AA$8,1,0,'4.2民生電力需要量'!$U$5,1),OFFSET('4.2民生電力需要量'!$W$8,1,0,'4.2民生電力需要量'!$R$5,1))</xm:f>
          </x14:formula1>
          <xm:sqref>D7:D9 D24:D26 D41:D43 D58:D60 D75:D77 D92:D94 D109:D111 D126:D128 D143:D145 D160:D162 D177:D179 D194:D196 D211:D213 D228:D230 D245:D247 D262:D264 D279:D281 D296:D298 D313:D315 D330:D332 D347:D349 D364:D366 D381:D383 D398:D400 D415:D417 D432:D434 D449:D451 D466:D468 D483:D485 D500:D502 D517:D519 D534:D536 D551:D553 D568:D570 D585:D587 D602:D604 D619:D621 D636:D638 D653:D655 D670:D672 D687:D689 D704:D706 D721:D723 D738:D740 D755:D757 D772:D774 D789:D791 D806:D808 D823:D825 D840:D842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32F26-CFBA-4D6B-87FF-2728024D569B}">
  <sheetPr codeName="Sheet30">
    <tabColor theme="7" tint="0.79998168889431442"/>
    <pageSetUpPr autoPageBreaks="0" fitToPage="1"/>
  </sheetPr>
  <dimension ref="A1:AH73"/>
  <sheetViews>
    <sheetView showGridLines="0" zoomScale="55" zoomScaleNormal="55" zoomScaleSheetLayoutView="91" workbookViewId="0">
      <selection activeCell="I13" sqref="I13"/>
    </sheetView>
  </sheetViews>
  <sheetFormatPr defaultColWidth="9" defaultRowHeight="18"/>
  <cols>
    <col min="1" max="1" width="3.75" style="13" customWidth="1"/>
    <col min="2" max="2" width="3.33203125" style="13" customWidth="1"/>
    <col min="3" max="3" width="7.83203125" style="13" customWidth="1"/>
    <col min="4" max="4" width="34.58203125" style="13" customWidth="1"/>
    <col min="5" max="5" width="11.75" style="13" customWidth="1"/>
    <col min="6" max="6" width="11.75" style="229" customWidth="1"/>
    <col min="7" max="14" width="13.5" style="13" customWidth="1"/>
    <col min="15" max="15" width="39.5" style="13" customWidth="1"/>
    <col min="16" max="16" width="21.58203125" style="13" customWidth="1"/>
    <col min="17" max="18" width="2.33203125" style="13" customWidth="1"/>
    <col min="19" max="19" width="16.08203125" style="229" customWidth="1"/>
    <col min="20" max="20" width="9" style="13"/>
    <col min="21" max="21" width="28.83203125" style="13" hidden="1" customWidth="1"/>
    <col min="22" max="30" width="14.25" hidden="1" customWidth="1"/>
    <col min="31" max="34" width="9" hidden="1" customWidth="1"/>
  </cols>
  <sheetData>
    <row r="1" spans="1:34">
      <c r="A1" s="691" t="s">
        <v>520</v>
      </c>
      <c r="P1"/>
      <c r="Q1"/>
      <c r="R1"/>
      <c r="S1" s="2"/>
    </row>
    <row r="2" spans="1:34">
      <c r="A2" s="13" t="s">
        <v>361</v>
      </c>
      <c r="L2" s="50"/>
      <c r="M2" s="50"/>
      <c r="N2" s="17"/>
      <c r="O2" s="17"/>
      <c r="P2"/>
      <c r="Q2"/>
      <c r="R2"/>
      <c r="S2" s="2"/>
    </row>
    <row r="3" spans="1:34" ht="18.75" customHeight="1">
      <c r="A3" s="13" t="s">
        <v>362</v>
      </c>
      <c r="B3" s="252"/>
      <c r="C3" s="17"/>
      <c r="N3" s="17"/>
      <c r="P3"/>
      <c r="Q3"/>
      <c r="R3"/>
      <c r="S3" s="2"/>
      <c r="T3" s="252"/>
      <c r="U3" s="44" t="s">
        <v>314</v>
      </c>
    </row>
    <row r="4" spans="1:34" ht="6" customHeight="1">
      <c r="C4" s="17"/>
      <c r="N4" s="17"/>
      <c r="O4" s="17"/>
      <c r="P4" s="17"/>
      <c r="T4" s="252"/>
    </row>
    <row r="5" spans="1:34" ht="15" customHeight="1">
      <c r="B5" s="14"/>
      <c r="C5" s="15"/>
      <c r="D5" s="15"/>
      <c r="E5" s="15"/>
      <c r="F5" s="236"/>
      <c r="G5" s="15"/>
      <c r="H5" s="15"/>
      <c r="I5" s="15"/>
      <c r="J5" s="15"/>
      <c r="K5" s="15"/>
      <c r="L5" s="15"/>
      <c r="M5" s="15"/>
      <c r="N5" s="15"/>
      <c r="O5" s="15"/>
      <c r="P5" s="15"/>
      <c r="Q5" s="30"/>
      <c r="U5"/>
    </row>
    <row r="6" spans="1:34" ht="23.25" customHeight="1">
      <c r="A6" s="28"/>
      <c r="B6" s="16"/>
      <c r="C6" s="415" t="s">
        <v>480</v>
      </c>
      <c r="D6" s="416"/>
      <c r="E6" s="183"/>
      <c r="F6" s="947"/>
      <c r="G6" s="184"/>
      <c r="H6" s="184"/>
      <c r="I6" s="184"/>
      <c r="J6" s="184"/>
      <c r="K6" s="184"/>
      <c r="L6" s="184"/>
      <c r="M6" s="184"/>
      <c r="N6" s="184"/>
      <c r="O6" s="183"/>
      <c r="P6" s="184"/>
      <c r="Q6" s="19"/>
      <c r="U6"/>
    </row>
    <row r="7" spans="1:34">
      <c r="B7" s="16"/>
      <c r="C7" s="253"/>
      <c r="D7" s="390"/>
      <c r="E7" s="391"/>
      <c r="F7" s="1463" t="s">
        <v>613</v>
      </c>
      <c r="G7" s="392" t="s">
        <v>28</v>
      </c>
      <c r="H7" s="393"/>
      <c r="I7" s="393"/>
      <c r="J7" s="393"/>
      <c r="K7" s="393"/>
      <c r="L7" s="393"/>
      <c r="M7" s="393"/>
      <c r="N7" s="393"/>
      <c r="O7" s="394"/>
      <c r="P7" s="395"/>
      <c r="Q7" s="19"/>
      <c r="S7" s="1155"/>
    </row>
    <row r="8" spans="1:34" ht="21.75" customHeight="1">
      <c r="B8" s="16"/>
      <c r="C8" s="396"/>
      <c r="D8" s="397"/>
      <c r="E8" s="233"/>
      <c r="F8" s="1464"/>
      <c r="G8" s="1459" t="s">
        <v>32</v>
      </c>
      <c r="H8" s="1459"/>
      <c r="I8" s="1459" t="s">
        <v>33</v>
      </c>
      <c r="J8" s="1459"/>
      <c r="K8" s="1462" t="s">
        <v>86</v>
      </c>
      <c r="L8" s="1462"/>
      <c r="M8" s="1459" t="s">
        <v>35</v>
      </c>
      <c r="N8" s="1459"/>
      <c r="O8" s="398"/>
      <c r="P8" s="399"/>
      <c r="Q8" s="19"/>
      <c r="S8" s="399"/>
      <c r="AD8" cm="1">
        <f t="array" aca="1" ref="AD8" ca="1">IF(SUMPRODUCT(N(P10:P67&lt;&gt;AD10:AD67)-COUNT(AD10,AD17,AD24,AD31,AD38,AD45,AD52,AD59))=0,1,0)</f>
        <v>1</v>
      </c>
    </row>
    <row r="9" spans="1:34" ht="65.25" customHeight="1">
      <c r="B9" s="16"/>
      <c r="C9" s="400" t="s">
        <v>29</v>
      </c>
      <c r="D9" s="401" t="s">
        <v>30</v>
      </c>
      <c r="E9" s="402" t="s">
        <v>31</v>
      </c>
      <c r="F9" s="1465"/>
      <c r="G9" s="403" t="s">
        <v>143</v>
      </c>
      <c r="H9" s="403" t="s">
        <v>144</v>
      </c>
      <c r="I9" s="403" t="s">
        <v>143</v>
      </c>
      <c r="J9" s="403" t="s">
        <v>144</v>
      </c>
      <c r="K9" s="403" t="s">
        <v>143</v>
      </c>
      <c r="L9" s="403" t="s">
        <v>144</v>
      </c>
      <c r="M9" s="403" t="s">
        <v>143</v>
      </c>
      <c r="N9" s="403" t="s">
        <v>144</v>
      </c>
      <c r="O9" s="404" t="s">
        <v>230</v>
      </c>
      <c r="P9" s="400" t="s">
        <v>231</v>
      </c>
      <c r="Q9" s="19"/>
      <c r="S9" s="400" t="s">
        <v>177</v>
      </c>
      <c r="U9" s="363" t="s">
        <v>30</v>
      </c>
      <c r="V9" s="364" t="s">
        <v>6310</v>
      </c>
      <c r="W9" s="364" t="s">
        <v>6311</v>
      </c>
      <c r="X9" s="364" t="s">
        <v>6312</v>
      </c>
      <c r="Y9" s="364" t="s">
        <v>6313</v>
      </c>
      <c r="Z9" s="364" t="s">
        <v>6314</v>
      </c>
      <c r="AA9" s="364" t="s">
        <v>6315</v>
      </c>
      <c r="AB9" s="364" t="s">
        <v>6316</v>
      </c>
      <c r="AC9" s="364" t="s">
        <v>6317</v>
      </c>
      <c r="AD9" s="364" t="s">
        <v>231</v>
      </c>
      <c r="AE9" s="364" t="s">
        <v>6330</v>
      </c>
      <c r="AF9" s="364" t="s">
        <v>33</v>
      </c>
      <c r="AG9" s="364" t="s">
        <v>86</v>
      </c>
      <c r="AH9" s="364" t="s">
        <v>35</v>
      </c>
    </row>
    <row r="10" spans="1:34" ht="18" customHeight="1">
      <c r="A10" s="28"/>
      <c r="B10" s="16"/>
      <c r="C10" s="626" t="s">
        <v>37</v>
      </c>
      <c r="D10" s="174"/>
      <c r="E10" s="627"/>
      <c r="F10" s="948"/>
      <c r="G10" s="628"/>
      <c r="H10" s="628"/>
      <c r="I10" s="628"/>
      <c r="J10" s="628"/>
      <c r="K10" s="628"/>
      <c r="L10" s="628"/>
      <c r="M10" s="628"/>
      <c r="N10" s="628"/>
      <c r="O10" s="629"/>
      <c r="P10" s="630"/>
      <c r="Q10" s="19"/>
      <c r="S10" s="1156"/>
      <c r="U10" s="879" t="s">
        <v>37</v>
      </c>
      <c r="V10" s="880">
        <f>SUM(G10:G17)</f>
        <v>0</v>
      </c>
      <c r="W10" s="880">
        <f>SUM(H10:H17)</f>
        <v>0</v>
      </c>
      <c r="X10" s="880">
        <f>SUM(I10:I17)</f>
        <v>0</v>
      </c>
      <c r="Y10" s="880">
        <f t="shared" ref="Y10:AC10" si="0">SUM(J10:J17)</f>
        <v>0</v>
      </c>
      <c r="Z10" s="880">
        <f t="shared" si="0"/>
        <v>0</v>
      </c>
      <c r="AA10" s="880">
        <f t="shared" si="0"/>
        <v>0</v>
      </c>
      <c r="AB10" s="880">
        <f t="shared" si="0"/>
        <v>0</v>
      </c>
      <c r="AC10" s="880">
        <f t="shared" si="0"/>
        <v>0</v>
      </c>
      <c r="AD10" s="881" t="str">
        <f>IF(SUM(V10:AC10)=0,"",SUM(V10:AC10))</f>
        <v/>
      </c>
      <c r="AE10" s="880">
        <f>SUM(V10:W10)</f>
        <v>0</v>
      </c>
      <c r="AF10" s="880">
        <f>SUM(X10:Y10)</f>
        <v>0</v>
      </c>
      <c r="AG10" s="880">
        <f>SUM(Z10:AA10)</f>
        <v>0</v>
      </c>
      <c r="AH10" s="880">
        <f>SUM(AB10:AC10)</f>
        <v>0</v>
      </c>
    </row>
    <row r="11" spans="1:34" s="11" customFormat="1" ht="18.75" hidden="1" customHeight="1">
      <c r="A11" s="29"/>
      <c r="B11" s="22"/>
      <c r="C11" s="67"/>
      <c r="D11" s="632"/>
      <c r="E11" s="632"/>
      <c r="F11" s="949"/>
      <c r="G11" s="633"/>
      <c r="H11" s="633"/>
      <c r="I11" s="633"/>
      <c r="J11" s="633"/>
      <c r="K11" s="633"/>
      <c r="L11" s="633"/>
      <c r="M11" s="633"/>
      <c r="N11" s="633"/>
      <c r="O11" s="632"/>
      <c r="P11" s="640" t="str">
        <f>IF(SUM(G11:N11)=0,"",SUM(G11:N11))</f>
        <v/>
      </c>
      <c r="Q11" s="24"/>
      <c r="R11" s="21"/>
      <c r="S11" s="949"/>
      <c r="T11" s="21"/>
      <c r="U11" s="23" t="s">
        <v>37</v>
      </c>
      <c r="V11" s="213"/>
      <c r="W11" s="213"/>
      <c r="X11" s="213"/>
      <c r="Y11" s="213"/>
      <c r="Z11" s="213"/>
      <c r="AA11" s="213"/>
      <c r="AB11" s="213"/>
      <c r="AC11" s="213"/>
      <c r="AD11" s="213" t="str">
        <f>IF(SUM(G11:N11)=0,"",SUM(G11:N11))</f>
        <v/>
      </c>
      <c r="AE11" s="255">
        <f t="shared" ref="AE11:AE66" si="1">SUM(V11:W11)</f>
        <v>0</v>
      </c>
      <c r="AF11" s="255">
        <f t="shared" ref="AF11:AF66" si="2">SUM(X11:Y11)</f>
        <v>0</v>
      </c>
      <c r="AG11" s="255">
        <f t="shared" ref="AG11:AG66" si="3">SUM(Z11:AA11)</f>
        <v>0</v>
      </c>
      <c r="AH11" s="255">
        <f t="shared" ref="AH11:AH66" si="4">SUM(AB11:AC11)</f>
        <v>0</v>
      </c>
    </row>
    <row r="12" spans="1:34" s="11" customFormat="1" ht="19">
      <c r="A12" s="29"/>
      <c r="B12" s="22"/>
      <c r="C12" s="67"/>
      <c r="D12" s="634"/>
      <c r="E12" s="634"/>
      <c r="F12" s="949"/>
      <c r="G12" s="635"/>
      <c r="H12" s="635"/>
      <c r="I12" s="635"/>
      <c r="J12" s="635"/>
      <c r="K12" s="635"/>
      <c r="L12" s="635"/>
      <c r="M12" s="635"/>
      <c r="N12" s="635"/>
      <c r="O12" s="636"/>
      <c r="P12" s="640" t="str">
        <f t="shared" ref="P12:P16" si="5">IF(SUM(G12:N12)=0,"",SUM(G12:N12))</f>
        <v/>
      </c>
      <c r="Q12" s="24"/>
      <c r="R12" s="21"/>
      <c r="S12" s="950" t="s">
        <v>6288</v>
      </c>
      <c r="T12" s="21"/>
      <c r="U12" s="23" t="s">
        <v>37</v>
      </c>
      <c r="V12" s="321"/>
      <c r="W12" s="321"/>
      <c r="X12" s="321"/>
      <c r="Y12" s="321"/>
      <c r="Z12" s="321"/>
      <c r="AA12" s="321"/>
      <c r="AB12" s="321"/>
      <c r="AC12" s="321"/>
      <c r="AD12" s="213" t="str">
        <f t="shared" ref="AD12:AD16" si="6">IF(SUM(G12:N12)=0,"",SUM(G12:N12))</f>
        <v/>
      </c>
      <c r="AE12" s="321"/>
      <c r="AF12" s="321"/>
      <c r="AG12" s="321"/>
      <c r="AH12" s="321"/>
    </row>
    <row r="13" spans="1:34" s="11" customFormat="1" ht="19">
      <c r="A13" s="29"/>
      <c r="B13" s="22"/>
      <c r="C13" s="67"/>
      <c r="D13" s="634"/>
      <c r="E13" s="634"/>
      <c r="F13" s="949"/>
      <c r="G13" s="635"/>
      <c r="H13" s="635"/>
      <c r="I13" s="635"/>
      <c r="J13" s="635"/>
      <c r="K13" s="635"/>
      <c r="L13" s="635"/>
      <c r="M13" s="635"/>
      <c r="N13" s="635"/>
      <c r="O13" s="636"/>
      <c r="P13" s="640" t="str">
        <f t="shared" si="5"/>
        <v/>
      </c>
      <c r="Q13" s="24"/>
      <c r="R13" s="21"/>
      <c r="S13" s="950" t="s">
        <v>6288</v>
      </c>
      <c r="T13" s="21"/>
      <c r="U13" s="23" t="s">
        <v>37</v>
      </c>
      <c r="V13" s="321"/>
      <c r="W13" s="321"/>
      <c r="X13" s="321"/>
      <c r="Y13" s="321"/>
      <c r="Z13" s="321"/>
      <c r="AA13" s="321"/>
      <c r="AB13" s="321"/>
      <c r="AC13" s="321"/>
      <c r="AD13" s="213" t="str">
        <f t="shared" si="6"/>
        <v/>
      </c>
      <c r="AE13" s="321"/>
      <c r="AF13" s="321"/>
      <c r="AG13" s="321"/>
      <c r="AH13" s="321"/>
    </row>
    <row r="14" spans="1:34" s="11" customFormat="1" ht="19">
      <c r="A14" s="29"/>
      <c r="B14" s="22"/>
      <c r="C14" s="67"/>
      <c r="D14" s="634"/>
      <c r="E14" s="634"/>
      <c r="F14" s="949"/>
      <c r="G14" s="635"/>
      <c r="H14" s="635"/>
      <c r="I14" s="635"/>
      <c r="J14" s="635"/>
      <c r="K14" s="635"/>
      <c r="L14" s="635"/>
      <c r="M14" s="635"/>
      <c r="N14" s="635"/>
      <c r="O14" s="636"/>
      <c r="P14" s="640" t="str">
        <f t="shared" si="5"/>
        <v/>
      </c>
      <c r="Q14" s="24"/>
      <c r="R14" s="21"/>
      <c r="S14" s="950" t="s">
        <v>6288</v>
      </c>
      <c r="T14" s="21"/>
      <c r="U14" s="23" t="s">
        <v>37</v>
      </c>
      <c r="V14" s="321"/>
      <c r="W14" s="321"/>
      <c r="X14" s="321"/>
      <c r="Y14" s="321"/>
      <c r="Z14" s="321"/>
      <c r="AA14" s="321"/>
      <c r="AB14" s="321"/>
      <c r="AC14" s="321"/>
      <c r="AD14" s="213" t="str">
        <f t="shared" si="6"/>
        <v/>
      </c>
      <c r="AE14" s="321"/>
      <c r="AF14" s="321"/>
      <c r="AG14" s="321"/>
      <c r="AH14" s="321"/>
    </row>
    <row r="15" spans="1:34" s="11" customFormat="1" ht="19">
      <c r="A15" s="29"/>
      <c r="B15" s="22"/>
      <c r="C15" s="67"/>
      <c r="D15" s="634"/>
      <c r="E15" s="634"/>
      <c r="F15" s="949"/>
      <c r="G15" s="635"/>
      <c r="H15" s="635"/>
      <c r="I15" s="635"/>
      <c r="J15" s="635"/>
      <c r="K15" s="635"/>
      <c r="L15" s="635"/>
      <c r="M15" s="635"/>
      <c r="N15" s="635"/>
      <c r="O15" s="636"/>
      <c r="P15" s="640" t="str">
        <f t="shared" si="5"/>
        <v/>
      </c>
      <c r="Q15" s="24"/>
      <c r="R15" s="21"/>
      <c r="S15" s="950" t="s">
        <v>6288</v>
      </c>
      <c r="T15" s="21"/>
      <c r="U15" s="23" t="s">
        <v>37</v>
      </c>
      <c r="V15" s="321"/>
      <c r="W15" s="321"/>
      <c r="X15" s="321"/>
      <c r="Y15" s="321"/>
      <c r="Z15" s="321"/>
      <c r="AA15" s="321"/>
      <c r="AB15" s="321"/>
      <c r="AC15" s="321"/>
      <c r="AD15" s="213" t="str">
        <f t="shared" si="6"/>
        <v/>
      </c>
      <c r="AE15" s="321"/>
      <c r="AF15" s="321"/>
      <c r="AG15" s="321"/>
      <c r="AH15" s="321"/>
    </row>
    <row r="16" spans="1:34" s="11" customFormat="1" ht="19">
      <c r="A16" s="29"/>
      <c r="B16" s="22"/>
      <c r="C16" s="67"/>
      <c r="D16" s="634"/>
      <c r="E16" s="634"/>
      <c r="F16" s="949"/>
      <c r="G16" s="635"/>
      <c r="H16" s="635"/>
      <c r="I16" s="635"/>
      <c r="J16" s="635"/>
      <c r="K16" s="635"/>
      <c r="L16" s="635"/>
      <c r="M16" s="635"/>
      <c r="N16" s="635"/>
      <c r="O16" s="636"/>
      <c r="P16" s="640" t="str">
        <f t="shared" si="5"/>
        <v/>
      </c>
      <c r="Q16" s="24"/>
      <c r="R16" s="21"/>
      <c r="S16" s="950" t="s">
        <v>6288</v>
      </c>
      <c r="T16" s="21"/>
      <c r="U16" s="23" t="s">
        <v>37</v>
      </c>
      <c r="V16" s="321"/>
      <c r="W16" s="321"/>
      <c r="X16" s="321"/>
      <c r="Y16" s="321"/>
      <c r="Z16" s="321"/>
      <c r="AA16" s="321"/>
      <c r="AB16" s="321"/>
      <c r="AC16" s="321"/>
      <c r="AD16" s="213" t="str">
        <f t="shared" si="6"/>
        <v/>
      </c>
      <c r="AE16" s="321"/>
      <c r="AF16" s="321"/>
      <c r="AG16" s="321"/>
      <c r="AH16" s="321"/>
    </row>
    <row r="17" spans="1:34" ht="17.25" customHeight="1">
      <c r="A17" s="28"/>
      <c r="B17" s="16"/>
      <c r="C17" s="840" t="s">
        <v>38</v>
      </c>
      <c r="D17" s="631"/>
      <c r="E17" s="627"/>
      <c r="F17" s="948"/>
      <c r="G17" s="628"/>
      <c r="H17" s="628"/>
      <c r="I17" s="628"/>
      <c r="J17" s="628"/>
      <c r="K17" s="628"/>
      <c r="L17" s="628"/>
      <c r="M17" s="628"/>
      <c r="N17" s="628"/>
      <c r="O17" s="629"/>
      <c r="P17" s="630"/>
      <c r="Q17" s="19"/>
      <c r="S17" s="1156"/>
      <c r="U17" s="879" t="s">
        <v>38</v>
      </c>
      <c r="V17" s="880">
        <f t="shared" ref="V17:AC17" si="7">SUM(G17:G24)</f>
        <v>0</v>
      </c>
      <c r="W17" s="880">
        <f t="shared" si="7"/>
        <v>0</v>
      </c>
      <c r="X17" s="880">
        <f t="shared" si="7"/>
        <v>0</v>
      </c>
      <c r="Y17" s="880">
        <f t="shared" si="7"/>
        <v>0</v>
      </c>
      <c r="Z17" s="880">
        <f t="shared" si="7"/>
        <v>0</v>
      </c>
      <c r="AA17" s="880">
        <f t="shared" si="7"/>
        <v>0</v>
      </c>
      <c r="AB17" s="880">
        <f t="shared" si="7"/>
        <v>0</v>
      </c>
      <c r="AC17" s="880">
        <f t="shared" si="7"/>
        <v>0</v>
      </c>
      <c r="AD17" s="881" t="str">
        <f>IF(SUM(V17:AC17)=0,"",SUM(V17:AC17))</f>
        <v/>
      </c>
      <c r="AE17" s="881">
        <f t="shared" si="1"/>
        <v>0</v>
      </c>
      <c r="AF17" s="881">
        <f t="shared" si="2"/>
        <v>0</v>
      </c>
      <c r="AG17" s="881">
        <f t="shared" si="3"/>
        <v>0</v>
      </c>
      <c r="AH17" s="881">
        <f t="shared" si="4"/>
        <v>0</v>
      </c>
    </row>
    <row r="18" spans="1:34" s="11" customFormat="1" ht="18.75" hidden="1" customHeight="1">
      <c r="A18" s="29"/>
      <c r="B18" s="22"/>
      <c r="C18" s="67"/>
      <c r="D18" s="632"/>
      <c r="E18" s="632"/>
      <c r="F18" s="949"/>
      <c r="G18" s="633"/>
      <c r="H18" s="633"/>
      <c r="I18" s="633"/>
      <c r="J18" s="633"/>
      <c r="K18" s="633"/>
      <c r="L18" s="633"/>
      <c r="M18" s="633"/>
      <c r="N18" s="633"/>
      <c r="O18" s="632"/>
      <c r="P18" s="640" t="str">
        <f t="shared" ref="P18:P23" si="8">IF(SUM(G18:N18)=0,"",SUM(G18:N18))</f>
        <v/>
      </c>
      <c r="Q18" s="24"/>
      <c r="R18" s="21"/>
      <c r="S18" s="949"/>
      <c r="T18" s="21"/>
      <c r="U18" s="23" t="s">
        <v>38</v>
      </c>
      <c r="V18" s="213"/>
      <c r="W18" s="213"/>
      <c r="X18" s="213"/>
      <c r="Y18" s="213"/>
      <c r="Z18" s="213"/>
      <c r="AA18" s="213"/>
      <c r="AB18" s="213"/>
      <c r="AC18" s="213"/>
      <c r="AD18" s="213" t="str">
        <f>IF(SUM(G18:N18)=0,"",SUM(G18:N18))</f>
        <v/>
      </c>
      <c r="AE18" s="255">
        <f t="shared" si="1"/>
        <v>0</v>
      </c>
      <c r="AF18" s="255">
        <f t="shared" si="2"/>
        <v>0</v>
      </c>
      <c r="AG18" s="255">
        <f t="shared" si="3"/>
        <v>0</v>
      </c>
      <c r="AH18" s="255">
        <f t="shared" si="4"/>
        <v>0</v>
      </c>
    </row>
    <row r="19" spans="1:34" s="11" customFormat="1" ht="19">
      <c r="A19" s="29"/>
      <c r="B19" s="22"/>
      <c r="C19" s="67"/>
      <c r="D19" s="634"/>
      <c r="E19" s="634"/>
      <c r="F19" s="949"/>
      <c r="G19" s="635"/>
      <c r="H19" s="635"/>
      <c r="I19" s="635"/>
      <c r="J19" s="635"/>
      <c r="K19" s="635"/>
      <c r="L19" s="635"/>
      <c r="M19" s="635"/>
      <c r="N19" s="635"/>
      <c r="O19" s="636"/>
      <c r="P19" s="640" t="str">
        <f t="shared" si="8"/>
        <v/>
      </c>
      <c r="Q19" s="24"/>
      <c r="R19" s="21"/>
      <c r="S19" s="950" t="s">
        <v>6288</v>
      </c>
      <c r="T19" s="21"/>
      <c r="U19" s="23" t="s">
        <v>38</v>
      </c>
      <c r="V19" s="321"/>
      <c r="W19" s="321"/>
      <c r="X19" s="321"/>
      <c r="Y19" s="321"/>
      <c r="Z19" s="321"/>
      <c r="AA19" s="321"/>
      <c r="AB19" s="321"/>
      <c r="AC19" s="321"/>
      <c r="AD19" s="213" t="str">
        <f t="shared" ref="AD19:AD23" si="9">IF(SUM(G19:N19)=0,"",SUM(G19:N19))</f>
        <v/>
      </c>
      <c r="AE19" s="321"/>
      <c r="AF19" s="321"/>
      <c r="AG19" s="321"/>
      <c r="AH19" s="321"/>
    </row>
    <row r="20" spans="1:34" s="11" customFormat="1" ht="19">
      <c r="A20" s="29"/>
      <c r="B20" s="22"/>
      <c r="C20" s="67"/>
      <c r="D20" s="634"/>
      <c r="E20" s="634"/>
      <c r="F20" s="949"/>
      <c r="G20" s="635"/>
      <c r="H20" s="635"/>
      <c r="I20" s="635"/>
      <c r="J20" s="635"/>
      <c r="K20" s="635"/>
      <c r="L20" s="635"/>
      <c r="M20" s="635"/>
      <c r="N20" s="635"/>
      <c r="O20" s="636"/>
      <c r="P20" s="640" t="str">
        <f t="shared" si="8"/>
        <v/>
      </c>
      <c r="Q20" s="24"/>
      <c r="R20" s="21"/>
      <c r="S20" s="950" t="s">
        <v>6288</v>
      </c>
      <c r="T20" s="21"/>
      <c r="U20" s="23" t="s">
        <v>38</v>
      </c>
      <c r="V20" s="321"/>
      <c r="W20" s="321"/>
      <c r="X20" s="321"/>
      <c r="Y20" s="321"/>
      <c r="Z20" s="321"/>
      <c r="AA20" s="321"/>
      <c r="AB20" s="321"/>
      <c r="AC20" s="321"/>
      <c r="AD20" s="213" t="str">
        <f t="shared" si="9"/>
        <v/>
      </c>
      <c r="AE20" s="321"/>
      <c r="AF20" s="321"/>
      <c r="AG20" s="321"/>
      <c r="AH20" s="321"/>
    </row>
    <row r="21" spans="1:34" s="11" customFormat="1" ht="19">
      <c r="A21" s="29"/>
      <c r="B21" s="22"/>
      <c r="C21" s="67"/>
      <c r="D21" s="634"/>
      <c r="E21" s="634"/>
      <c r="F21" s="949"/>
      <c r="G21" s="635"/>
      <c r="H21" s="635"/>
      <c r="I21" s="635"/>
      <c r="J21" s="635"/>
      <c r="K21" s="635"/>
      <c r="L21" s="635"/>
      <c r="M21" s="635"/>
      <c r="N21" s="635"/>
      <c r="O21" s="636"/>
      <c r="P21" s="640" t="str">
        <f t="shared" si="8"/>
        <v/>
      </c>
      <c r="Q21" s="24"/>
      <c r="R21" s="21"/>
      <c r="S21" s="950" t="s">
        <v>6288</v>
      </c>
      <c r="T21" s="21"/>
      <c r="U21" s="23" t="s">
        <v>38</v>
      </c>
      <c r="V21" s="321"/>
      <c r="W21" s="321"/>
      <c r="X21" s="321"/>
      <c r="Y21" s="321"/>
      <c r="Z21" s="321"/>
      <c r="AA21" s="321"/>
      <c r="AB21" s="321"/>
      <c r="AC21" s="321"/>
      <c r="AD21" s="213" t="str">
        <f t="shared" si="9"/>
        <v/>
      </c>
      <c r="AE21" s="321"/>
      <c r="AF21" s="321"/>
      <c r="AG21" s="321"/>
      <c r="AH21" s="321"/>
    </row>
    <row r="22" spans="1:34" s="11" customFormat="1" ht="19">
      <c r="A22" s="29"/>
      <c r="B22" s="22"/>
      <c r="C22" s="67"/>
      <c r="D22" s="634"/>
      <c r="E22" s="634"/>
      <c r="F22" s="949"/>
      <c r="G22" s="635"/>
      <c r="H22" s="635"/>
      <c r="I22" s="635"/>
      <c r="J22" s="635"/>
      <c r="K22" s="635"/>
      <c r="L22" s="635"/>
      <c r="M22" s="635"/>
      <c r="N22" s="635"/>
      <c r="O22" s="636"/>
      <c r="P22" s="640" t="str">
        <f t="shared" si="8"/>
        <v/>
      </c>
      <c r="Q22" s="24"/>
      <c r="R22" s="21"/>
      <c r="S22" s="950" t="s">
        <v>6288</v>
      </c>
      <c r="T22" s="21"/>
      <c r="U22" s="23" t="s">
        <v>38</v>
      </c>
      <c r="V22" s="321"/>
      <c r="W22" s="321"/>
      <c r="X22" s="321"/>
      <c r="Y22" s="321"/>
      <c r="Z22" s="321"/>
      <c r="AA22" s="321"/>
      <c r="AB22" s="321"/>
      <c r="AC22" s="321"/>
      <c r="AD22" s="213" t="str">
        <f t="shared" si="9"/>
        <v/>
      </c>
      <c r="AE22" s="321"/>
      <c r="AF22" s="321"/>
      <c r="AG22" s="321"/>
      <c r="AH22" s="321"/>
    </row>
    <row r="23" spans="1:34" s="11" customFormat="1" ht="19">
      <c r="A23" s="29"/>
      <c r="B23" s="22"/>
      <c r="C23" s="67"/>
      <c r="D23" s="634"/>
      <c r="E23" s="634"/>
      <c r="F23" s="949"/>
      <c r="G23" s="635"/>
      <c r="H23" s="635"/>
      <c r="I23" s="635"/>
      <c r="J23" s="635"/>
      <c r="K23" s="635"/>
      <c r="L23" s="635"/>
      <c r="M23" s="635"/>
      <c r="N23" s="635"/>
      <c r="O23" s="636"/>
      <c r="P23" s="640" t="str">
        <f t="shared" si="8"/>
        <v/>
      </c>
      <c r="Q23" s="24"/>
      <c r="R23" s="21"/>
      <c r="S23" s="950" t="s">
        <v>6288</v>
      </c>
      <c r="T23" s="21"/>
      <c r="U23" s="23" t="s">
        <v>38</v>
      </c>
      <c r="V23" s="321"/>
      <c r="W23" s="321"/>
      <c r="X23" s="321"/>
      <c r="Y23" s="321"/>
      <c r="Z23" s="321"/>
      <c r="AA23" s="321"/>
      <c r="AB23" s="321"/>
      <c r="AC23" s="321"/>
      <c r="AD23" s="213" t="str">
        <f t="shared" si="9"/>
        <v/>
      </c>
      <c r="AE23" s="321"/>
      <c r="AF23" s="321"/>
      <c r="AG23" s="321"/>
      <c r="AH23" s="321"/>
    </row>
    <row r="24" spans="1:34" ht="19">
      <c r="A24" s="28"/>
      <c r="B24" s="16"/>
      <c r="C24" s="840" t="s">
        <v>39</v>
      </c>
      <c r="D24" s="631"/>
      <c r="E24" s="627"/>
      <c r="F24" s="948"/>
      <c r="G24" s="628"/>
      <c r="H24" s="628"/>
      <c r="I24" s="628"/>
      <c r="J24" s="628"/>
      <c r="K24" s="628"/>
      <c r="L24" s="628"/>
      <c r="M24" s="628"/>
      <c r="N24" s="628"/>
      <c r="O24" s="629"/>
      <c r="P24" s="630"/>
      <c r="Q24" s="19"/>
      <c r="S24" s="1156"/>
      <c r="U24" s="879" t="s">
        <v>39</v>
      </c>
      <c r="V24" s="880">
        <f>SUM(G24:G31)</f>
        <v>0</v>
      </c>
      <c r="W24" s="880">
        <f>SUM(H24:H31)</f>
        <v>0</v>
      </c>
      <c r="X24" s="880">
        <f>SUM(I24:I31)</f>
        <v>0</v>
      </c>
      <c r="Y24" s="880">
        <f t="shared" ref="Y24:AC24" si="10">SUM(J24:J31)</f>
        <v>0</v>
      </c>
      <c r="Z24" s="880">
        <f t="shared" si="10"/>
        <v>0</v>
      </c>
      <c r="AA24" s="880">
        <f t="shared" si="10"/>
        <v>0</v>
      </c>
      <c r="AB24" s="880">
        <f t="shared" si="10"/>
        <v>0</v>
      </c>
      <c r="AC24" s="880">
        <f t="shared" si="10"/>
        <v>0</v>
      </c>
      <c r="AD24" s="881" t="str">
        <f>IF(SUM(V24:AC24)=0,"",SUM(V24:AC24))</f>
        <v/>
      </c>
      <c r="AE24" s="881">
        <f t="shared" si="1"/>
        <v>0</v>
      </c>
      <c r="AF24" s="881">
        <f t="shared" si="2"/>
        <v>0</v>
      </c>
      <c r="AG24" s="881">
        <f t="shared" si="3"/>
        <v>0</v>
      </c>
      <c r="AH24" s="881">
        <f t="shared" si="4"/>
        <v>0</v>
      </c>
    </row>
    <row r="25" spans="1:34" s="11" customFormat="1" ht="18.75" hidden="1" customHeight="1">
      <c r="A25" s="29"/>
      <c r="B25" s="22"/>
      <c r="C25" s="67"/>
      <c r="D25" s="632"/>
      <c r="E25" s="632"/>
      <c r="F25" s="949"/>
      <c r="G25" s="633"/>
      <c r="H25" s="633"/>
      <c r="I25" s="633"/>
      <c r="J25" s="633"/>
      <c r="K25" s="633"/>
      <c r="L25" s="633"/>
      <c r="M25" s="633"/>
      <c r="N25" s="633"/>
      <c r="O25" s="632"/>
      <c r="P25" s="640" t="str">
        <f t="shared" ref="P25:P30" si="11">IF(SUM(G25:N25)=0,"",SUM(G25:N25))</f>
        <v/>
      </c>
      <c r="Q25" s="24"/>
      <c r="R25" s="21"/>
      <c r="S25" s="949"/>
      <c r="T25" s="21"/>
      <c r="U25" s="23" t="s">
        <v>39</v>
      </c>
      <c r="V25" s="213"/>
      <c r="W25" s="213"/>
      <c r="X25" s="213"/>
      <c r="Y25" s="213"/>
      <c r="Z25" s="213"/>
      <c r="AA25" s="213"/>
      <c r="AB25" s="213"/>
      <c r="AC25" s="213"/>
      <c r="AD25" s="213" t="str">
        <f>IF(SUM(G25:N25)=0,"",SUM(G25:N25))</f>
        <v/>
      </c>
      <c r="AE25" s="255">
        <f t="shared" si="1"/>
        <v>0</v>
      </c>
      <c r="AF25" s="255">
        <f t="shared" si="2"/>
        <v>0</v>
      </c>
      <c r="AG25" s="255">
        <f t="shared" si="3"/>
        <v>0</v>
      </c>
      <c r="AH25" s="255">
        <f t="shared" si="4"/>
        <v>0</v>
      </c>
    </row>
    <row r="26" spans="1:34" s="11" customFormat="1" ht="19">
      <c r="A26" s="29"/>
      <c r="B26" s="22"/>
      <c r="C26" s="67"/>
      <c r="D26" s="634"/>
      <c r="E26" s="634"/>
      <c r="F26" s="949"/>
      <c r="G26" s="635"/>
      <c r="H26" s="635"/>
      <c r="I26" s="635"/>
      <c r="J26" s="635"/>
      <c r="K26" s="635"/>
      <c r="L26" s="635"/>
      <c r="M26" s="635"/>
      <c r="N26" s="635"/>
      <c r="O26" s="636"/>
      <c r="P26" s="640" t="str">
        <f t="shared" si="11"/>
        <v/>
      </c>
      <c r="Q26" s="24"/>
      <c r="R26" s="21"/>
      <c r="S26" s="950" t="s">
        <v>6289</v>
      </c>
      <c r="T26" s="21"/>
      <c r="U26" s="23" t="s">
        <v>39</v>
      </c>
      <c r="V26" s="321"/>
      <c r="W26" s="321"/>
      <c r="X26" s="321"/>
      <c r="Y26" s="321"/>
      <c r="Z26" s="321"/>
      <c r="AA26" s="321"/>
      <c r="AB26" s="321"/>
      <c r="AC26" s="321"/>
      <c r="AD26" s="213" t="str">
        <f t="shared" ref="AD26:AD30" si="12">IF(SUM(G26:N26)=0,"",SUM(G26:N26))</f>
        <v/>
      </c>
      <c r="AE26" s="321"/>
      <c r="AF26" s="321"/>
      <c r="AG26" s="321"/>
      <c r="AH26" s="321"/>
    </row>
    <row r="27" spans="1:34" s="11" customFormat="1" ht="19">
      <c r="A27" s="29"/>
      <c r="B27" s="22"/>
      <c r="C27" s="67"/>
      <c r="D27" s="634"/>
      <c r="E27" s="634"/>
      <c r="F27" s="949"/>
      <c r="G27" s="635"/>
      <c r="H27" s="635"/>
      <c r="I27" s="635"/>
      <c r="J27" s="635"/>
      <c r="K27" s="635"/>
      <c r="L27" s="635"/>
      <c r="M27" s="635"/>
      <c r="N27" s="635"/>
      <c r="O27" s="636"/>
      <c r="P27" s="640" t="str">
        <f t="shared" si="11"/>
        <v/>
      </c>
      <c r="Q27" s="24"/>
      <c r="R27" s="21"/>
      <c r="S27" s="950" t="s">
        <v>6289</v>
      </c>
      <c r="T27" s="21"/>
      <c r="U27" s="23" t="s">
        <v>39</v>
      </c>
      <c r="V27" s="321"/>
      <c r="W27" s="321"/>
      <c r="X27" s="321"/>
      <c r="Y27" s="321"/>
      <c r="Z27" s="321"/>
      <c r="AA27" s="321"/>
      <c r="AB27" s="321"/>
      <c r="AC27" s="321"/>
      <c r="AD27" s="213" t="str">
        <f t="shared" si="12"/>
        <v/>
      </c>
      <c r="AE27" s="321"/>
      <c r="AF27" s="321"/>
      <c r="AG27" s="321"/>
      <c r="AH27" s="321"/>
    </row>
    <row r="28" spans="1:34" s="11" customFormat="1" ht="19">
      <c r="A28" s="29"/>
      <c r="B28" s="22"/>
      <c r="C28" s="67"/>
      <c r="D28" s="634"/>
      <c r="E28" s="634"/>
      <c r="F28" s="949"/>
      <c r="G28" s="635"/>
      <c r="H28" s="635"/>
      <c r="I28" s="635"/>
      <c r="J28" s="635"/>
      <c r="K28" s="635"/>
      <c r="L28" s="635"/>
      <c r="M28" s="635"/>
      <c r="N28" s="635"/>
      <c r="O28" s="636"/>
      <c r="P28" s="640" t="str">
        <f t="shared" si="11"/>
        <v/>
      </c>
      <c r="Q28" s="24"/>
      <c r="R28" s="21"/>
      <c r="S28" s="950" t="s">
        <v>6289</v>
      </c>
      <c r="T28" s="21"/>
      <c r="U28" s="23" t="s">
        <v>39</v>
      </c>
      <c r="V28" s="321"/>
      <c r="W28" s="321"/>
      <c r="X28" s="321"/>
      <c r="Y28" s="321"/>
      <c r="Z28" s="321"/>
      <c r="AA28" s="321"/>
      <c r="AB28" s="321"/>
      <c r="AC28" s="321"/>
      <c r="AD28" s="213" t="str">
        <f t="shared" si="12"/>
        <v/>
      </c>
      <c r="AE28" s="321"/>
      <c r="AF28" s="321"/>
      <c r="AG28" s="321"/>
      <c r="AH28" s="321"/>
    </row>
    <row r="29" spans="1:34" s="11" customFormat="1" ht="19">
      <c r="A29" s="29"/>
      <c r="B29" s="22"/>
      <c r="C29" s="67"/>
      <c r="D29" s="634"/>
      <c r="E29" s="634"/>
      <c r="F29" s="949"/>
      <c r="G29" s="635"/>
      <c r="H29" s="635"/>
      <c r="I29" s="635"/>
      <c r="J29" s="635"/>
      <c r="K29" s="635"/>
      <c r="L29" s="635"/>
      <c r="M29" s="635"/>
      <c r="N29" s="635"/>
      <c r="O29" s="636"/>
      <c r="P29" s="640" t="str">
        <f t="shared" si="11"/>
        <v/>
      </c>
      <c r="Q29" s="24"/>
      <c r="R29" s="21"/>
      <c r="S29" s="950" t="s">
        <v>6289</v>
      </c>
      <c r="T29" s="21"/>
      <c r="U29" s="23" t="s">
        <v>39</v>
      </c>
      <c r="V29" s="321"/>
      <c r="W29" s="321"/>
      <c r="X29" s="321"/>
      <c r="Y29" s="321"/>
      <c r="Z29" s="321"/>
      <c r="AA29" s="321"/>
      <c r="AB29" s="321"/>
      <c r="AC29" s="321"/>
      <c r="AD29" s="213" t="str">
        <f t="shared" si="12"/>
        <v/>
      </c>
      <c r="AE29" s="321"/>
      <c r="AF29" s="321"/>
      <c r="AG29" s="321"/>
      <c r="AH29" s="321"/>
    </row>
    <row r="30" spans="1:34" s="11" customFormat="1" ht="19">
      <c r="A30" s="29"/>
      <c r="B30" s="22"/>
      <c r="C30" s="67"/>
      <c r="D30" s="634"/>
      <c r="E30" s="634"/>
      <c r="F30" s="949"/>
      <c r="G30" s="635"/>
      <c r="H30" s="635"/>
      <c r="I30" s="635"/>
      <c r="J30" s="635"/>
      <c r="K30" s="635"/>
      <c r="L30" s="635"/>
      <c r="M30" s="635"/>
      <c r="N30" s="635"/>
      <c r="O30" s="636"/>
      <c r="P30" s="640" t="str">
        <f t="shared" si="11"/>
        <v/>
      </c>
      <c r="Q30" s="24"/>
      <c r="R30" s="21"/>
      <c r="S30" s="950" t="s">
        <v>6289</v>
      </c>
      <c r="T30" s="21"/>
      <c r="U30" s="23" t="s">
        <v>39</v>
      </c>
      <c r="V30" s="321"/>
      <c r="W30" s="321"/>
      <c r="X30" s="321"/>
      <c r="Y30" s="321"/>
      <c r="Z30" s="321"/>
      <c r="AA30" s="321"/>
      <c r="AB30" s="321"/>
      <c r="AC30" s="321"/>
      <c r="AD30" s="213" t="str">
        <f t="shared" si="12"/>
        <v/>
      </c>
      <c r="AE30" s="321"/>
      <c r="AF30" s="321"/>
      <c r="AG30" s="321"/>
      <c r="AH30" s="321"/>
    </row>
    <row r="31" spans="1:34" ht="19">
      <c r="A31" s="28"/>
      <c r="B31" s="16"/>
      <c r="C31" s="840" t="s">
        <v>40</v>
      </c>
      <c r="D31" s="631"/>
      <c r="E31" s="627"/>
      <c r="F31" s="948"/>
      <c r="G31" s="628"/>
      <c r="H31" s="628"/>
      <c r="I31" s="628"/>
      <c r="J31" s="628"/>
      <c r="K31" s="628"/>
      <c r="L31" s="628"/>
      <c r="M31" s="628"/>
      <c r="N31" s="628"/>
      <c r="O31" s="629"/>
      <c r="P31" s="630"/>
      <c r="Q31" s="19"/>
      <c r="S31" s="1156"/>
      <c r="U31" s="879" t="s">
        <v>40</v>
      </c>
      <c r="V31" s="880">
        <f>SUM(G31:G38)</f>
        <v>0</v>
      </c>
      <c r="W31" s="880">
        <f>SUM(H31:H38)</f>
        <v>0</v>
      </c>
      <c r="X31" s="880">
        <f>SUM(I31:I38)</f>
        <v>0</v>
      </c>
      <c r="Y31" s="880">
        <f t="shared" ref="Y31:AC31" si="13">SUM(J31:J38)</f>
        <v>0</v>
      </c>
      <c r="Z31" s="880">
        <f t="shared" si="13"/>
        <v>0</v>
      </c>
      <c r="AA31" s="880">
        <f t="shared" si="13"/>
        <v>0</v>
      </c>
      <c r="AB31" s="880">
        <f t="shared" si="13"/>
        <v>0</v>
      </c>
      <c r="AC31" s="880">
        <f t="shared" si="13"/>
        <v>0</v>
      </c>
      <c r="AD31" s="881" t="str">
        <f>IF(SUM(V31:AC31)=0,"",SUM(V31:AC31))</f>
        <v/>
      </c>
      <c r="AE31" s="881">
        <f t="shared" si="1"/>
        <v>0</v>
      </c>
      <c r="AF31" s="881">
        <f t="shared" si="2"/>
        <v>0</v>
      </c>
      <c r="AG31" s="881">
        <f t="shared" si="3"/>
        <v>0</v>
      </c>
      <c r="AH31" s="881">
        <f t="shared" si="4"/>
        <v>0</v>
      </c>
    </row>
    <row r="32" spans="1:34" s="11" customFormat="1" ht="18.75" hidden="1" customHeight="1">
      <c r="A32" s="29"/>
      <c r="B32" s="22"/>
      <c r="C32" s="67"/>
      <c r="D32" s="632"/>
      <c r="E32" s="632"/>
      <c r="F32" s="949"/>
      <c r="G32" s="633"/>
      <c r="H32" s="633"/>
      <c r="I32" s="633"/>
      <c r="J32" s="633"/>
      <c r="K32" s="633"/>
      <c r="L32" s="633"/>
      <c r="M32" s="633"/>
      <c r="N32" s="633"/>
      <c r="O32" s="632"/>
      <c r="P32" s="640" t="str">
        <f t="shared" ref="P32:P37" si="14">IF(SUM(G32:N32)=0,"",SUM(G32:N32))</f>
        <v/>
      </c>
      <c r="Q32" s="24"/>
      <c r="R32" s="21"/>
      <c r="S32" s="949"/>
      <c r="T32" s="21"/>
      <c r="U32" s="23" t="s">
        <v>40</v>
      </c>
      <c r="V32" s="213"/>
      <c r="W32" s="213"/>
      <c r="X32" s="213"/>
      <c r="Y32" s="213"/>
      <c r="Z32" s="213"/>
      <c r="AA32" s="213"/>
      <c r="AB32" s="213"/>
      <c r="AC32" s="213"/>
      <c r="AD32" s="213" t="str">
        <f>IF(SUM(G32:N32)=0,"",SUM(G32:N32))</f>
        <v/>
      </c>
      <c r="AE32" s="255">
        <f t="shared" si="1"/>
        <v>0</v>
      </c>
      <c r="AF32" s="255">
        <f t="shared" si="2"/>
        <v>0</v>
      </c>
      <c r="AG32" s="255">
        <f t="shared" si="3"/>
        <v>0</v>
      </c>
      <c r="AH32" s="255">
        <f t="shared" si="4"/>
        <v>0</v>
      </c>
    </row>
    <row r="33" spans="1:34" s="11" customFormat="1" ht="19">
      <c r="A33" s="29"/>
      <c r="B33" s="22"/>
      <c r="C33" s="67"/>
      <c r="D33" s="634"/>
      <c r="E33" s="634"/>
      <c r="F33" s="949"/>
      <c r="G33" s="635"/>
      <c r="H33" s="635"/>
      <c r="I33" s="635"/>
      <c r="J33" s="635"/>
      <c r="K33" s="635"/>
      <c r="L33" s="635"/>
      <c r="M33" s="635"/>
      <c r="N33" s="635"/>
      <c r="O33" s="636"/>
      <c r="P33" s="640" t="str">
        <f t="shared" si="14"/>
        <v/>
      </c>
      <c r="Q33" s="24"/>
      <c r="R33" s="21"/>
      <c r="S33" s="950" t="s">
        <v>6289</v>
      </c>
      <c r="T33" s="21"/>
      <c r="U33" s="23" t="s">
        <v>40</v>
      </c>
      <c r="V33" s="321"/>
      <c r="W33" s="321"/>
      <c r="X33" s="321"/>
      <c r="Y33" s="321"/>
      <c r="Z33" s="321"/>
      <c r="AA33" s="321"/>
      <c r="AB33" s="321"/>
      <c r="AC33" s="321"/>
      <c r="AD33" s="213" t="str">
        <f t="shared" ref="AD33:AD37" si="15">IF(SUM(G33:N33)=0,"",SUM(G33:N33))</f>
        <v/>
      </c>
      <c r="AE33" s="321"/>
      <c r="AF33" s="321"/>
      <c r="AG33" s="321"/>
      <c r="AH33" s="321"/>
    </row>
    <row r="34" spans="1:34" s="11" customFormat="1" ht="19">
      <c r="A34" s="29"/>
      <c r="B34" s="22"/>
      <c r="C34" s="67"/>
      <c r="D34" s="634"/>
      <c r="E34" s="634"/>
      <c r="F34" s="949"/>
      <c r="G34" s="635"/>
      <c r="H34" s="635"/>
      <c r="I34" s="635"/>
      <c r="J34" s="635"/>
      <c r="K34" s="635"/>
      <c r="L34" s="635"/>
      <c r="M34" s="635"/>
      <c r="N34" s="635"/>
      <c r="O34" s="636"/>
      <c r="P34" s="640" t="str">
        <f t="shared" si="14"/>
        <v/>
      </c>
      <c r="Q34" s="24"/>
      <c r="R34" s="21"/>
      <c r="S34" s="950" t="s">
        <v>6289</v>
      </c>
      <c r="T34" s="21"/>
      <c r="U34" s="23" t="s">
        <v>40</v>
      </c>
      <c r="V34" s="321"/>
      <c r="W34" s="321"/>
      <c r="X34" s="321"/>
      <c r="Y34" s="321"/>
      <c r="Z34" s="321"/>
      <c r="AA34" s="321"/>
      <c r="AB34" s="321"/>
      <c r="AC34" s="321"/>
      <c r="AD34" s="213" t="str">
        <f t="shared" si="15"/>
        <v/>
      </c>
      <c r="AE34" s="321"/>
      <c r="AF34" s="321"/>
      <c r="AG34" s="321"/>
      <c r="AH34" s="321"/>
    </row>
    <row r="35" spans="1:34" s="11" customFormat="1" ht="19">
      <c r="A35" s="29"/>
      <c r="B35" s="22"/>
      <c r="C35" s="67"/>
      <c r="D35" s="634"/>
      <c r="E35" s="634"/>
      <c r="F35" s="949"/>
      <c r="G35" s="635"/>
      <c r="H35" s="635"/>
      <c r="I35" s="635"/>
      <c r="J35" s="635"/>
      <c r="K35" s="635"/>
      <c r="L35" s="635"/>
      <c r="M35" s="635"/>
      <c r="N35" s="635"/>
      <c r="O35" s="636"/>
      <c r="P35" s="640" t="str">
        <f t="shared" si="14"/>
        <v/>
      </c>
      <c r="Q35" s="24"/>
      <c r="R35" s="21"/>
      <c r="S35" s="950" t="s">
        <v>6289</v>
      </c>
      <c r="T35" s="21"/>
      <c r="U35" s="23" t="s">
        <v>40</v>
      </c>
      <c r="V35" s="321"/>
      <c r="W35" s="321"/>
      <c r="X35" s="321"/>
      <c r="Y35" s="321"/>
      <c r="Z35" s="321"/>
      <c r="AA35" s="321"/>
      <c r="AB35" s="321"/>
      <c r="AC35" s="321"/>
      <c r="AD35" s="213" t="str">
        <f t="shared" si="15"/>
        <v/>
      </c>
      <c r="AE35" s="321"/>
      <c r="AF35" s="321"/>
      <c r="AG35" s="321"/>
      <c r="AH35" s="321"/>
    </row>
    <row r="36" spans="1:34" s="11" customFormat="1" ht="19">
      <c r="A36" s="29"/>
      <c r="B36" s="22"/>
      <c r="C36" s="67"/>
      <c r="D36" s="634"/>
      <c r="E36" s="634"/>
      <c r="F36" s="949"/>
      <c r="G36" s="635"/>
      <c r="H36" s="635"/>
      <c r="I36" s="635"/>
      <c r="J36" s="635"/>
      <c r="K36" s="635"/>
      <c r="L36" s="635"/>
      <c r="M36" s="635"/>
      <c r="N36" s="635"/>
      <c r="O36" s="636"/>
      <c r="P36" s="640" t="str">
        <f t="shared" si="14"/>
        <v/>
      </c>
      <c r="Q36" s="24"/>
      <c r="R36" s="21"/>
      <c r="S36" s="950" t="s">
        <v>6289</v>
      </c>
      <c r="T36" s="21"/>
      <c r="U36" s="23" t="s">
        <v>40</v>
      </c>
      <c r="V36" s="321"/>
      <c r="W36" s="321"/>
      <c r="X36" s="321"/>
      <c r="Y36" s="321"/>
      <c r="Z36" s="321"/>
      <c r="AA36" s="321"/>
      <c r="AB36" s="321"/>
      <c r="AC36" s="321"/>
      <c r="AD36" s="213" t="str">
        <f t="shared" si="15"/>
        <v/>
      </c>
      <c r="AE36" s="321"/>
      <c r="AF36" s="321"/>
      <c r="AG36" s="321"/>
      <c r="AH36" s="321"/>
    </row>
    <row r="37" spans="1:34" s="11" customFormat="1" ht="19">
      <c r="A37" s="29"/>
      <c r="B37" s="22"/>
      <c r="C37" s="67"/>
      <c r="D37" s="634"/>
      <c r="E37" s="634"/>
      <c r="F37" s="949"/>
      <c r="G37" s="635"/>
      <c r="H37" s="635"/>
      <c r="I37" s="635"/>
      <c r="J37" s="635"/>
      <c r="K37" s="635"/>
      <c r="L37" s="635"/>
      <c r="M37" s="635"/>
      <c r="N37" s="635"/>
      <c r="O37" s="636"/>
      <c r="P37" s="640" t="str">
        <f t="shared" si="14"/>
        <v/>
      </c>
      <c r="Q37" s="24"/>
      <c r="R37" s="21"/>
      <c r="S37" s="950" t="s">
        <v>6289</v>
      </c>
      <c r="T37" s="21"/>
      <c r="U37" s="23" t="s">
        <v>40</v>
      </c>
      <c r="V37" s="321"/>
      <c r="W37" s="321"/>
      <c r="X37" s="321"/>
      <c r="Y37" s="321"/>
      <c r="Z37" s="321"/>
      <c r="AA37" s="321"/>
      <c r="AB37" s="321"/>
      <c r="AC37" s="321"/>
      <c r="AD37" s="213" t="str">
        <f t="shared" si="15"/>
        <v/>
      </c>
      <c r="AE37" s="321"/>
      <c r="AF37" s="321"/>
      <c r="AG37" s="321"/>
      <c r="AH37" s="321"/>
    </row>
    <row r="38" spans="1:34" ht="19">
      <c r="A38" s="28"/>
      <c r="B38" s="16"/>
      <c r="C38" s="840" t="s">
        <v>41</v>
      </c>
      <c r="D38" s="631"/>
      <c r="E38" s="627"/>
      <c r="F38" s="948"/>
      <c r="G38" s="628"/>
      <c r="H38" s="628"/>
      <c r="I38" s="628"/>
      <c r="J38" s="628"/>
      <c r="K38" s="628"/>
      <c r="L38" s="628"/>
      <c r="M38" s="628"/>
      <c r="N38" s="628"/>
      <c r="O38" s="629"/>
      <c r="P38" s="630"/>
      <c r="Q38" s="19"/>
      <c r="S38" s="1156"/>
      <c r="U38" s="879" t="s">
        <v>41</v>
      </c>
      <c r="V38" s="880">
        <f>SUM(G38:G45)</f>
        <v>0</v>
      </c>
      <c r="W38" s="880">
        <f>SUM(H38:H45)</f>
        <v>0</v>
      </c>
      <c r="X38" s="880">
        <f>SUM(I38:I45)</f>
        <v>0</v>
      </c>
      <c r="Y38" s="880">
        <f t="shared" ref="Y38:AC38" si="16">SUM(J38:J45)</f>
        <v>0</v>
      </c>
      <c r="Z38" s="880">
        <f t="shared" si="16"/>
        <v>0</v>
      </c>
      <c r="AA38" s="880">
        <f t="shared" si="16"/>
        <v>0</v>
      </c>
      <c r="AB38" s="880">
        <f t="shared" si="16"/>
        <v>0</v>
      </c>
      <c r="AC38" s="880">
        <f t="shared" si="16"/>
        <v>0</v>
      </c>
      <c r="AD38" s="881" t="str">
        <f>IF(SUM(V38:AC38)=0,"",SUM(V38:AC38))</f>
        <v/>
      </c>
      <c r="AE38" s="881">
        <f t="shared" si="1"/>
        <v>0</v>
      </c>
      <c r="AF38" s="881">
        <f t="shared" si="2"/>
        <v>0</v>
      </c>
      <c r="AG38" s="881">
        <f t="shared" si="3"/>
        <v>0</v>
      </c>
      <c r="AH38" s="881">
        <f t="shared" si="4"/>
        <v>0</v>
      </c>
    </row>
    <row r="39" spans="1:34" s="11" customFormat="1" ht="18.75" hidden="1" customHeight="1">
      <c r="A39" s="29"/>
      <c r="B39" s="22"/>
      <c r="C39" s="67"/>
      <c r="D39" s="632"/>
      <c r="E39" s="632"/>
      <c r="F39" s="949"/>
      <c r="G39" s="633"/>
      <c r="H39" s="633"/>
      <c r="I39" s="633"/>
      <c r="J39" s="633"/>
      <c r="K39" s="633"/>
      <c r="L39" s="633"/>
      <c r="M39" s="633"/>
      <c r="N39" s="633"/>
      <c r="O39" s="632"/>
      <c r="P39" s="640" t="str">
        <f t="shared" ref="P39:P44" si="17">IF(SUM(G39:N39)=0,"",SUM(G39:N39))</f>
        <v/>
      </c>
      <c r="Q39" s="24"/>
      <c r="R39" s="21"/>
      <c r="S39" s="949"/>
      <c r="T39" s="21"/>
      <c r="U39" s="23" t="s">
        <v>41</v>
      </c>
      <c r="V39" s="213"/>
      <c r="W39" s="213"/>
      <c r="X39" s="213"/>
      <c r="Y39" s="213"/>
      <c r="Z39" s="213"/>
      <c r="AA39" s="213"/>
      <c r="AB39" s="213"/>
      <c r="AC39" s="213"/>
      <c r="AD39" s="213" t="str">
        <f>IF(SUM(G39:N39)=0,"",SUM(G39:N39))</f>
        <v/>
      </c>
      <c r="AE39" s="255">
        <f t="shared" si="1"/>
        <v>0</v>
      </c>
      <c r="AF39" s="255">
        <f t="shared" si="2"/>
        <v>0</v>
      </c>
      <c r="AG39" s="255">
        <f t="shared" si="3"/>
        <v>0</v>
      </c>
      <c r="AH39" s="255">
        <f t="shared" si="4"/>
        <v>0</v>
      </c>
    </row>
    <row r="40" spans="1:34" s="11" customFormat="1" ht="19">
      <c r="A40" s="29"/>
      <c r="B40" s="22"/>
      <c r="C40" s="67"/>
      <c r="D40" s="634"/>
      <c r="E40" s="634"/>
      <c r="F40" s="949"/>
      <c r="G40" s="635"/>
      <c r="H40" s="635"/>
      <c r="I40" s="635"/>
      <c r="J40" s="635"/>
      <c r="K40" s="635"/>
      <c r="L40" s="635"/>
      <c r="M40" s="635"/>
      <c r="N40" s="635"/>
      <c r="O40" s="636"/>
      <c r="P40" s="640" t="str">
        <f t="shared" si="17"/>
        <v/>
      </c>
      <c r="Q40" s="24"/>
      <c r="R40" s="21"/>
      <c r="S40" s="950" t="s">
        <v>6289</v>
      </c>
      <c r="T40" s="21"/>
      <c r="U40" s="23" t="s">
        <v>41</v>
      </c>
      <c r="V40" s="321"/>
      <c r="W40" s="321"/>
      <c r="X40" s="321"/>
      <c r="Y40" s="321"/>
      <c r="Z40" s="321"/>
      <c r="AA40" s="321"/>
      <c r="AB40" s="321"/>
      <c r="AC40" s="321"/>
      <c r="AD40" s="213" t="str">
        <f t="shared" ref="AD40:AD44" si="18">IF(SUM(G40:N40)=0,"",SUM(G40:N40))</f>
        <v/>
      </c>
      <c r="AE40" s="321"/>
      <c r="AF40" s="321"/>
      <c r="AG40" s="321"/>
      <c r="AH40" s="321"/>
    </row>
    <row r="41" spans="1:34" s="11" customFormat="1" ht="19">
      <c r="A41" s="29"/>
      <c r="B41" s="22"/>
      <c r="C41" s="67"/>
      <c r="D41" s="634"/>
      <c r="E41" s="634"/>
      <c r="F41" s="949"/>
      <c r="G41" s="635"/>
      <c r="H41" s="635"/>
      <c r="I41" s="635"/>
      <c r="J41" s="635"/>
      <c r="K41" s="635"/>
      <c r="L41" s="635"/>
      <c r="M41" s="635"/>
      <c r="N41" s="635"/>
      <c r="O41" s="636"/>
      <c r="P41" s="640" t="str">
        <f t="shared" si="17"/>
        <v/>
      </c>
      <c r="Q41" s="24"/>
      <c r="R41" s="21"/>
      <c r="S41" s="950" t="s">
        <v>6289</v>
      </c>
      <c r="T41" s="21"/>
      <c r="U41" s="23" t="s">
        <v>41</v>
      </c>
      <c r="V41" s="321"/>
      <c r="W41" s="321"/>
      <c r="X41" s="321"/>
      <c r="Y41" s="321"/>
      <c r="Z41" s="321"/>
      <c r="AA41" s="321"/>
      <c r="AB41" s="321"/>
      <c r="AC41" s="321"/>
      <c r="AD41" s="213" t="str">
        <f t="shared" si="18"/>
        <v/>
      </c>
      <c r="AE41" s="321"/>
      <c r="AF41" s="321"/>
      <c r="AG41" s="321"/>
      <c r="AH41" s="321"/>
    </row>
    <row r="42" spans="1:34" s="11" customFormat="1" ht="19">
      <c r="A42" s="29"/>
      <c r="B42" s="22"/>
      <c r="C42" s="67"/>
      <c r="D42" s="634"/>
      <c r="E42" s="634"/>
      <c r="F42" s="949"/>
      <c r="G42" s="635"/>
      <c r="H42" s="635"/>
      <c r="I42" s="635"/>
      <c r="J42" s="635"/>
      <c r="K42" s="635"/>
      <c r="L42" s="635"/>
      <c r="M42" s="635"/>
      <c r="N42" s="635"/>
      <c r="O42" s="636"/>
      <c r="P42" s="640" t="str">
        <f t="shared" si="17"/>
        <v/>
      </c>
      <c r="Q42" s="24"/>
      <c r="R42" s="21"/>
      <c r="S42" s="950" t="s">
        <v>6289</v>
      </c>
      <c r="T42" s="21"/>
      <c r="U42" s="23" t="s">
        <v>41</v>
      </c>
      <c r="V42" s="321"/>
      <c r="W42" s="321"/>
      <c r="X42" s="321"/>
      <c r="Y42" s="321"/>
      <c r="Z42" s="321"/>
      <c r="AA42" s="321"/>
      <c r="AB42" s="321"/>
      <c r="AC42" s="321"/>
      <c r="AD42" s="213" t="str">
        <f t="shared" si="18"/>
        <v/>
      </c>
      <c r="AE42" s="321"/>
      <c r="AF42" s="321"/>
      <c r="AG42" s="321"/>
      <c r="AH42" s="321"/>
    </row>
    <row r="43" spans="1:34" s="11" customFormat="1" ht="19">
      <c r="A43" s="29"/>
      <c r="B43" s="22"/>
      <c r="C43" s="67"/>
      <c r="D43" s="634"/>
      <c r="E43" s="634"/>
      <c r="F43" s="949"/>
      <c r="G43" s="635"/>
      <c r="H43" s="635"/>
      <c r="I43" s="635"/>
      <c r="J43" s="635"/>
      <c r="K43" s="635"/>
      <c r="L43" s="635"/>
      <c r="M43" s="635"/>
      <c r="N43" s="635"/>
      <c r="O43" s="636"/>
      <c r="P43" s="640" t="str">
        <f t="shared" si="17"/>
        <v/>
      </c>
      <c r="Q43" s="24"/>
      <c r="R43" s="21"/>
      <c r="S43" s="950" t="s">
        <v>6289</v>
      </c>
      <c r="T43" s="21"/>
      <c r="U43" s="23" t="s">
        <v>41</v>
      </c>
      <c r="V43" s="321"/>
      <c r="W43" s="321"/>
      <c r="X43" s="321"/>
      <c r="Y43" s="321"/>
      <c r="Z43" s="321"/>
      <c r="AA43" s="321"/>
      <c r="AB43" s="321"/>
      <c r="AC43" s="321"/>
      <c r="AD43" s="213" t="str">
        <f t="shared" si="18"/>
        <v/>
      </c>
      <c r="AE43" s="321"/>
      <c r="AF43" s="321"/>
      <c r="AG43" s="321"/>
      <c r="AH43" s="321"/>
    </row>
    <row r="44" spans="1:34" s="11" customFormat="1" ht="19">
      <c r="A44" s="29"/>
      <c r="B44" s="22"/>
      <c r="C44" s="67"/>
      <c r="D44" s="634"/>
      <c r="E44" s="634"/>
      <c r="F44" s="949"/>
      <c r="G44" s="635"/>
      <c r="H44" s="635"/>
      <c r="I44" s="635"/>
      <c r="J44" s="635"/>
      <c r="K44" s="635"/>
      <c r="L44" s="635"/>
      <c r="M44" s="635"/>
      <c r="N44" s="635"/>
      <c r="O44" s="636"/>
      <c r="P44" s="640" t="str">
        <f t="shared" si="17"/>
        <v/>
      </c>
      <c r="Q44" s="24"/>
      <c r="R44" s="21"/>
      <c r="S44" s="950" t="s">
        <v>6289</v>
      </c>
      <c r="T44" s="21"/>
      <c r="U44" s="23" t="s">
        <v>41</v>
      </c>
      <c r="V44" s="321"/>
      <c r="W44" s="321"/>
      <c r="X44" s="321"/>
      <c r="Y44" s="321"/>
      <c r="Z44" s="321"/>
      <c r="AA44" s="321"/>
      <c r="AB44" s="321"/>
      <c r="AC44" s="321"/>
      <c r="AD44" s="213" t="str">
        <f t="shared" si="18"/>
        <v/>
      </c>
      <c r="AE44" s="321"/>
      <c r="AF44" s="321"/>
      <c r="AG44" s="321"/>
      <c r="AH44" s="321"/>
    </row>
    <row r="45" spans="1:34" ht="19">
      <c r="A45" s="28"/>
      <c r="B45" s="16"/>
      <c r="C45" s="840" t="s">
        <v>42</v>
      </c>
      <c r="D45" s="631"/>
      <c r="E45" s="627"/>
      <c r="F45" s="948"/>
      <c r="G45" s="628"/>
      <c r="H45" s="628"/>
      <c r="I45" s="628"/>
      <c r="J45" s="628"/>
      <c r="K45" s="628"/>
      <c r="L45" s="628"/>
      <c r="M45" s="628"/>
      <c r="N45" s="628"/>
      <c r="O45" s="629"/>
      <c r="P45" s="630"/>
      <c r="Q45" s="19"/>
      <c r="S45" s="1156"/>
      <c r="U45" s="879" t="s">
        <v>42</v>
      </c>
      <c r="V45" s="880">
        <f>SUM(G45:G52)</f>
        <v>0</v>
      </c>
      <c r="W45" s="880">
        <f>SUM(H45:H52)</f>
        <v>0</v>
      </c>
      <c r="X45" s="880">
        <f>SUM(I45:I52)</f>
        <v>0</v>
      </c>
      <c r="Y45" s="880">
        <f t="shared" ref="Y45:AC45" si="19">SUM(J45:J52)</f>
        <v>0</v>
      </c>
      <c r="Z45" s="880">
        <f t="shared" si="19"/>
        <v>0</v>
      </c>
      <c r="AA45" s="880">
        <f t="shared" si="19"/>
        <v>0</v>
      </c>
      <c r="AB45" s="880">
        <f t="shared" si="19"/>
        <v>0</v>
      </c>
      <c r="AC45" s="880">
        <f t="shared" si="19"/>
        <v>0</v>
      </c>
      <c r="AD45" s="881" t="str">
        <f>IF(SUM(V45:AC45)=0,"",SUM(V45:AC45))</f>
        <v/>
      </c>
      <c r="AE45" s="881">
        <f t="shared" si="1"/>
        <v>0</v>
      </c>
      <c r="AF45" s="881">
        <f t="shared" si="2"/>
        <v>0</v>
      </c>
      <c r="AG45" s="881">
        <f t="shared" si="3"/>
        <v>0</v>
      </c>
      <c r="AH45" s="881">
        <f t="shared" si="4"/>
        <v>0</v>
      </c>
    </row>
    <row r="46" spans="1:34" s="11" customFormat="1" ht="18.75" hidden="1" customHeight="1">
      <c r="A46" s="29"/>
      <c r="B46" s="22"/>
      <c r="C46" s="67"/>
      <c r="D46" s="632"/>
      <c r="E46" s="632"/>
      <c r="F46" s="949"/>
      <c r="G46" s="633"/>
      <c r="H46" s="633"/>
      <c r="I46" s="633"/>
      <c r="J46" s="633"/>
      <c r="K46" s="633"/>
      <c r="L46" s="633"/>
      <c r="M46" s="633"/>
      <c r="N46" s="633"/>
      <c r="O46" s="632"/>
      <c r="P46" s="640" t="str">
        <f t="shared" ref="P46:P51" si="20">IF(SUM(G46:N46)=0,"",SUM(G46:N46))</f>
        <v/>
      </c>
      <c r="Q46" s="24"/>
      <c r="R46" s="21"/>
      <c r="S46" s="949"/>
      <c r="T46" s="21"/>
      <c r="U46" s="23" t="s">
        <v>42</v>
      </c>
      <c r="V46" s="213"/>
      <c r="W46" s="213"/>
      <c r="X46" s="213"/>
      <c r="Y46" s="213"/>
      <c r="Z46" s="213"/>
      <c r="AA46" s="213"/>
      <c r="AB46" s="213"/>
      <c r="AC46" s="213"/>
      <c r="AD46" s="213" t="str">
        <f>IF(SUM(G46:N46)=0,"",SUM(G46:N46))</f>
        <v/>
      </c>
      <c r="AE46" s="255">
        <f t="shared" si="1"/>
        <v>0</v>
      </c>
      <c r="AF46" s="255">
        <f t="shared" si="2"/>
        <v>0</v>
      </c>
      <c r="AG46" s="255">
        <f t="shared" si="3"/>
        <v>0</v>
      </c>
      <c r="AH46" s="255">
        <f t="shared" si="4"/>
        <v>0</v>
      </c>
    </row>
    <row r="47" spans="1:34" s="11" customFormat="1" ht="19">
      <c r="A47" s="29"/>
      <c r="B47" s="22"/>
      <c r="C47" s="67"/>
      <c r="D47" s="634"/>
      <c r="E47" s="634"/>
      <c r="F47" s="949"/>
      <c r="G47" s="635"/>
      <c r="H47" s="635"/>
      <c r="I47" s="635"/>
      <c r="J47" s="635"/>
      <c r="K47" s="635"/>
      <c r="L47" s="635"/>
      <c r="M47" s="635"/>
      <c r="N47" s="635"/>
      <c r="O47" s="636"/>
      <c r="P47" s="640" t="str">
        <f t="shared" si="20"/>
        <v/>
      </c>
      <c r="Q47" s="24"/>
      <c r="R47" s="21"/>
      <c r="S47" s="950" t="s">
        <v>6289</v>
      </c>
      <c r="T47" s="21"/>
      <c r="U47" s="23" t="s">
        <v>42</v>
      </c>
      <c r="V47" s="321"/>
      <c r="W47" s="321"/>
      <c r="X47" s="321"/>
      <c r="Y47" s="321"/>
      <c r="Z47" s="321"/>
      <c r="AA47" s="321"/>
      <c r="AB47" s="321"/>
      <c r="AC47" s="321"/>
      <c r="AD47" s="213" t="str">
        <f t="shared" ref="AD47:AD51" si="21">IF(SUM(G47:N47)=0,"",SUM(G47:N47))</f>
        <v/>
      </c>
      <c r="AE47" s="321"/>
      <c r="AF47" s="321"/>
      <c r="AG47" s="321"/>
      <c r="AH47" s="321"/>
    </row>
    <row r="48" spans="1:34" s="11" customFormat="1" ht="19">
      <c r="A48" s="29"/>
      <c r="B48" s="22"/>
      <c r="C48" s="67"/>
      <c r="D48" s="634"/>
      <c r="E48" s="634"/>
      <c r="F48" s="949"/>
      <c r="G48" s="635"/>
      <c r="H48" s="635"/>
      <c r="I48" s="635"/>
      <c r="J48" s="635"/>
      <c r="K48" s="635"/>
      <c r="L48" s="635"/>
      <c r="M48" s="635"/>
      <c r="N48" s="635"/>
      <c r="O48" s="636"/>
      <c r="P48" s="640" t="str">
        <f t="shared" si="20"/>
        <v/>
      </c>
      <c r="Q48" s="24"/>
      <c r="R48" s="21"/>
      <c r="S48" s="950" t="s">
        <v>6289</v>
      </c>
      <c r="T48" s="21"/>
      <c r="U48" s="23" t="s">
        <v>42</v>
      </c>
      <c r="V48" s="321"/>
      <c r="W48" s="321"/>
      <c r="X48" s="321"/>
      <c r="Y48" s="321"/>
      <c r="Z48" s="321"/>
      <c r="AA48" s="321"/>
      <c r="AB48" s="321"/>
      <c r="AC48" s="321"/>
      <c r="AD48" s="213" t="str">
        <f t="shared" si="21"/>
        <v/>
      </c>
      <c r="AE48" s="321"/>
      <c r="AF48" s="321"/>
      <c r="AG48" s="321"/>
      <c r="AH48" s="321"/>
    </row>
    <row r="49" spans="1:34" s="11" customFormat="1" ht="19">
      <c r="A49" s="29"/>
      <c r="B49" s="22"/>
      <c r="C49" s="67"/>
      <c r="D49" s="634"/>
      <c r="E49" s="634"/>
      <c r="F49" s="949"/>
      <c r="G49" s="635"/>
      <c r="H49" s="635"/>
      <c r="I49" s="635"/>
      <c r="J49" s="635"/>
      <c r="K49" s="635"/>
      <c r="L49" s="635"/>
      <c r="M49" s="635"/>
      <c r="N49" s="635"/>
      <c r="O49" s="636"/>
      <c r="P49" s="640" t="str">
        <f t="shared" si="20"/>
        <v/>
      </c>
      <c r="Q49" s="24"/>
      <c r="R49" s="21"/>
      <c r="S49" s="950" t="s">
        <v>6289</v>
      </c>
      <c r="T49" s="21"/>
      <c r="U49" s="23" t="s">
        <v>42</v>
      </c>
      <c r="V49" s="321"/>
      <c r="W49" s="321"/>
      <c r="X49" s="321"/>
      <c r="Y49" s="321"/>
      <c r="Z49" s="321"/>
      <c r="AA49" s="321"/>
      <c r="AB49" s="321"/>
      <c r="AC49" s="321"/>
      <c r="AD49" s="213" t="str">
        <f t="shared" si="21"/>
        <v/>
      </c>
      <c r="AE49" s="321"/>
      <c r="AF49" s="321"/>
      <c r="AG49" s="321"/>
      <c r="AH49" s="321"/>
    </row>
    <row r="50" spans="1:34" s="11" customFormat="1" ht="19">
      <c r="A50" s="29"/>
      <c r="B50" s="22"/>
      <c r="C50" s="67"/>
      <c r="D50" s="634"/>
      <c r="E50" s="634"/>
      <c r="F50" s="949"/>
      <c r="G50" s="635"/>
      <c r="H50" s="635"/>
      <c r="I50" s="635"/>
      <c r="J50" s="635"/>
      <c r="K50" s="635"/>
      <c r="L50" s="635"/>
      <c r="M50" s="635"/>
      <c r="N50" s="635"/>
      <c r="O50" s="636"/>
      <c r="P50" s="640" t="str">
        <f t="shared" si="20"/>
        <v/>
      </c>
      <c r="Q50" s="24"/>
      <c r="R50" s="21"/>
      <c r="S50" s="950" t="s">
        <v>6289</v>
      </c>
      <c r="T50" s="21"/>
      <c r="U50" s="23" t="s">
        <v>42</v>
      </c>
      <c r="V50" s="321"/>
      <c r="W50" s="321"/>
      <c r="X50" s="321"/>
      <c r="Y50" s="321"/>
      <c r="Z50" s="321"/>
      <c r="AA50" s="321"/>
      <c r="AB50" s="321"/>
      <c r="AC50" s="321"/>
      <c r="AD50" s="213" t="str">
        <f t="shared" si="21"/>
        <v/>
      </c>
      <c r="AE50" s="321"/>
      <c r="AF50" s="321"/>
      <c r="AG50" s="321"/>
      <c r="AH50" s="321"/>
    </row>
    <row r="51" spans="1:34" s="11" customFormat="1" ht="19">
      <c r="A51" s="29"/>
      <c r="B51" s="22"/>
      <c r="C51" s="67"/>
      <c r="D51" s="634"/>
      <c r="E51" s="634"/>
      <c r="F51" s="949"/>
      <c r="G51" s="635"/>
      <c r="H51" s="635"/>
      <c r="I51" s="635"/>
      <c r="J51" s="635"/>
      <c r="K51" s="635"/>
      <c r="L51" s="635"/>
      <c r="M51" s="635"/>
      <c r="N51" s="635"/>
      <c r="O51" s="636"/>
      <c r="P51" s="640" t="str">
        <f t="shared" si="20"/>
        <v/>
      </c>
      <c r="Q51" s="24"/>
      <c r="R51" s="21"/>
      <c r="S51" s="950" t="s">
        <v>6289</v>
      </c>
      <c r="T51" s="21"/>
      <c r="U51" s="23" t="s">
        <v>42</v>
      </c>
      <c r="V51" s="321"/>
      <c r="W51" s="321"/>
      <c r="X51" s="321"/>
      <c r="Y51" s="321"/>
      <c r="Z51" s="321"/>
      <c r="AA51" s="321"/>
      <c r="AB51" s="321"/>
      <c r="AC51" s="321"/>
      <c r="AD51" s="213" t="str">
        <f t="shared" si="21"/>
        <v/>
      </c>
      <c r="AE51" s="321"/>
      <c r="AF51" s="321"/>
      <c r="AG51" s="321"/>
      <c r="AH51" s="321"/>
    </row>
    <row r="52" spans="1:34" ht="19">
      <c r="A52" s="28"/>
      <c r="B52" s="16"/>
      <c r="C52" s="840" t="s">
        <v>43</v>
      </c>
      <c r="D52" s="631"/>
      <c r="E52" s="627"/>
      <c r="F52" s="948"/>
      <c r="G52" s="628"/>
      <c r="H52" s="628"/>
      <c r="I52" s="628"/>
      <c r="J52" s="628"/>
      <c r="K52" s="628"/>
      <c r="L52" s="628"/>
      <c r="M52" s="628"/>
      <c r="N52" s="628"/>
      <c r="O52" s="629"/>
      <c r="P52" s="630"/>
      <c r="Q52" s="19"/>
      <c r="S52" s="1156"/>
      <c r="U52" s="879" t="s">
        <v>43</v>
      </c>
      <c r="V52" s="880">
        <f>SUM(G52:G59)</f>
        <v>0</v>
      </c>
      <c r="W52" s="880">
        <f>SUM(H52:H59)</f>
        <v>0</v>
      </c>
      <c r="X52" s="880">
        <f>SUM(I52:I59)</f>
        <v>0</v>
      </c>
      <c r="Y52" s="880">
        <f t="shared" ref="Y52:AC52" si="22">SUM(J52:J59)</f>
        <v>0</v>
      </c>
      <c r="Z52" s="880">
        <f t="shared" si="22"/>
        <v>0</v>
      </c>
      <c r="AA52" s="880">
        <f t="shared" si="22"/>
        <v>0</v>
      </c>
      <c r="AB52" s="880">
        <f t="shared" si="22"/>
        <v>0</v>
      </c>
      <c r="AC52" s="880">
        <f t="shared" si="22"/>
        <v>0</v>
      </c>
      <c r="AD52" s="881" t="str">
        <f>IF(SUM(V52:AC52)=0,"",SUM(V52:AC52))</f>
        <v/>
      </c>
      <c r="AE52" s="881">
        <f t="shared" si="1"/>
        <v>0</v>
      </c>
      <c r="AF52" s="881">
        <f t="shared" si="2"/>
        <v>0</v>
      </c>
      <c r="AG52" s="881">
        <f t="shared" si="3"/>
        <v>0</v>
      </c>
      <c r="AH52" s="881">
        <f t="shared" si="4"/>
        <v>0</v>
      </c>
    </row>
    <row r="53" spans="1:34" s="11" customFormat="1" ht="18.75" hidden="1" customHeight="1">
      <c r="A53" s="29"/>
      <c r="B53" s="22"/>
      <c r="C53" s="67"/>
      <c r="D53" s="632"/>
      <c r="E53" s="632"/>
      <c r="F53" s="949"/>
      <c r="G53" s="633"/>
      <c r="H53" s="633"/>
      <c r="I53" s="633"/>
      <c r="J53" s="633"/>
      <c r="K53" s="633"/>
      <c r="L53" s="633"/>
      <c r="M53" s="633"/>
      <c r="N53" s="633"/>
      <c r="O53" s="632"/>
      <c r="P53" s="640" t="str">
        <f t="shared" ref="P53:P58" si="23">IF(SUM(G53:N53)=0,"",SUM(G53:N53))</f>
        <v/>
      </c>
      <c r="Q53" s="24"/>
      <c r="R53" s="21"/>
      <c r="S53" s="949"/>
      <c r="T53" s="21"/>
      <c r="U53" s="23" t="s">
        <v>43</v>
      </c>
      <c r="V53" s="213"/>
      <c r="W53" s="213"/>
      <c r="X53" s="213"/>
      <c r="Y53" s="213"/>
      <c r="Z53" s="213"/>
      <c r="AA53" s="213"/>
      <c r="AB53" s="213"/>
      <c r="AC53" s="213"/>
      <c r="AD53" s="213" t="str">
        <f>IF(SUM(G53:N53)=0,"",SUM(G53:N53))</f>
        <v/>
      </c>
      <c r="AE53" s="255">
        <f t="shared" si="1"/>
        <v>0</v>
      </c>
      <c r="AF53" s="255">
        <f t="shared" si="2"/>
        <v>0</v>
      </c>
      <c r="AG53" s="255">
        <f t="shared" si="3"/>
        <v>0</v>
      </c>
      <c r="AH53" s="255">
        <f t="shared" si="4"/>
        <v>0</v>
      </c>
    </row>
    <row r="54" spans="1:34" s="11" customFormat="1" ht="19">
      <c r="A54" s="29"/>
      <c r="B54" s="22"/>
      <c r="C54" s="67"/>
      <c r="D54" s="634"/>
      <c r="E54" s="634"/>
      <c r="F54" s="950"/>
      <c r="G54" s="635"/>
      <c r="H54" s="635"/>
      <c r="I54" s="635"/>
      <c r="J54" s="635"/>
      <c r="K54" s="635"/>
      <c r="L54" s="635"/>
      <c r="M54" s="635"/>
      <c r="N54" s="635"/>
      <c r="O54" s="636"/>
      <c r="P54" s="640" t="str">
        <f t="shared" si="23"/>
        <v/>
      </c>
      <c r="Q54" s="24"/>
      <c r="R54" s="21"/>
      <c r="S54" s="950" t="s">
        <v>6289</v>
      </c>
      <c r="T54" s="21"/>
      <c r="U54" s="23" t="s">
        <v>43</v>
      </c>
      <c r="V54" s="321"/>
      <c r="W54" s="321"/>
      <c r="X54" s="321"/>
      <c r="Y54" s="321"/>
      <c r="Z54" s="321"/>
      <c r="AA54" s="321"/>
      <c r="AB54" s="321"/>
      <c r="AC54" s="321"/>
      <c r="AD54" s="213" t="str">
        <f t="shared" ref="AD54:AD58" si="24">IF(SUM(G54:N54)=0,"",SUM(G54:N54))</f>
        <v/>
      </c>
      <c r="AE54" s="321"/>
      <c r="AF54" s="321"/>
      <c r="AG54" s="321"/>
      <c r="AH54" s="321"/>
    </row>
    <row r="55" spans="1:34" s="11" customFormat="1" ht="19">
      <c r="A55" s="29"/>
      <c r="B55" s="22"/>
      <c r="C55" s="67"/>
      <c r="D55" s="634"/>
      <c r="E55" s="634"/>
      <c r="F55" s="950"/>
      <c r="G55" s="635"/>
      <c r="H55" s="635"/>
      <c r="I55" s="635"/>
      <c r="J55" s="635"/>
      <c r="K55" s="635"/>
      <c r="L55" s="635"/>
      <c r="M55" s="635"/>
      <c r="N55" s="635"/>
      <c r="O55" s="636"/>
      <c r="P55" s="640" t="str">
        <f t="shared" si="23"/>
        <v/>
      </c>
      <c r="Q55" s="24"/>
      <c r="R55" s="21"/>
      <c r="S55" s="950" t="s">
        <v>6289</v>
      </c>
      <c r="T55" s="21"/>
      <c r="U55" s="23" t="s">
        <v>43</v>
      </c>
      <c r="V55" s="321"/>
      <c r="W55" s="321"/>
      <c r="X55" s="321"/>
      <c r="Y55" s="321"/>
      <c r="Z55" s="321"/>
      <c r="AA55" s="321"/>
      <c r="AB55" s="321"/>
      <c r="AC55" s="321"/>
      <c r="AD55" s="213" t="str">
        <f t="shared" si="24"/>
        <v/>
      </c>
      <c r="AE55" s="321"/>
      <c r="AF55" s="321"/>
      <c r="AG55" s="321"/>
      <c r="AH55" s="321"/>
    </row>
    <row r="56" spans="1:34" s="11" customFormat="1" ht="19">
      <c r="A56" s="29"/>
      <c r="B56" s="22"/>
      <c r="C56" s="67"/>
      <c r="D56" s="634"/>
      <c r="E56" s="634"/>
      <c r="F56" s="950"/>
      <c r="G56" s="635"/>
      <c r="H56" s="635"/>
      <c r="I56" s="635"/>
      <c r="J56" s="635"/>
      <c r="K56" s="635"/>
      <c r="L56" s="635"/>
      <c r="M56" s="635"/>
      <c r="N56" s="635"/>
      <c r="O56" s="636"/>
      <c r="P56" s="640" t="str">
        <f t="shared" si="23"/>
        <v/>
      </c>
      <c r="Q56" s="24"/>
      <c r="R56" s="21"/>
      <c r="S56" s="950" t="s">
        <v>6289</v>
      </c>
      <c r="T56" s="21"/>
      <c r="U56" s="23" t="s">
        <v>43</v>
      </c>
      <c r="V56" s="321"/>
      <c r="W56" s="321"/>
      <c r="X56" s="321"/>
      <c r="Y56" s="321"/>
      <c r="Z56" s="321"/>
      <c r="AA56" s="321"/>
      <c r="AB56" s="321"/>
      <c r="AC56" s="321"/>
      <c r="AD56" s="213" t="str">
        <f t="shared" si="24"/>
        <v/>
      </c>
      <c r="AE56" s="321"/>
      <c r="AF56" s="321"/>
      <c r="AG56" s="321"/>
      <c r="AH56" s="321"/>
    </row>
    <row r="57" spans="1:34" s="11" customFormat="1" ht="19">
      <c r="A57" s="29"/>
      <c r="B57" s="22"/>
      <c r="C57" s="67"/>
      <c r="D57" s="634"/>
      <c r="E57" s="634"/>
      <c r="F57" s="950"/>
      <c r="G57" s="635"/>
      <c r="H57" s="635"/>
      <c r="I57" s="635"/>
      <c r="J57" s="635"/>
      <c r="K57" s="635"/>
      <c r="L57" s="635"/>
      <c r="M57" s="635"/>
      <c r="N57" s="635"/>
      <c r="O57" s="636"/>
      <c r="P57" s="640" t="str">
        <f t="shared" si="23"/>
        <v/>
      </c>
      <c r="Q57" s="24"/>
      <c r="R57" s="21"/>
      <c r="S57" s="950" t="s">
        <v>6289</v>
      </c>
      <c r="T57" s="21"/>
      <c r="U57" s="23" t="s">
        <v>43</v>
      </c>
      <c r="V57" s="321"/>
      <c r="W57" s="321"/>
      <c r="X57" s="321"/>
      <c r="Y57" s="321"/>
      <c r="Z57" s="321"/>
      <c r="AA57" s="321"/>
      <c r="AB57" s="321"/>
      <c r="AC57" s="321"/>
      <c r="AD57" s="213" t="str">
        <f t="shared" si="24"/>
        <v/>
      </c>
      <c r="AE57" s="321"/>
      <c r="AF57" s="321"/>
      <c r="AG57" s="321"/>
      <c r="AH57" s="321"/>
    </row>
    <row r="58" spans="1:34" s="11" customFormat="1" ht="19">
      <c r="A58" s="29"/>
      <c r="B58" s="22"/>
      <c r="C58" s="67"/>
      <c r="D58" s="634"/>
      <c r="E58" s="634"/>
      <c r="F58" s="950"/>
      <c r="G58" s="635"/>
      <c r="H58" s="635"/>
      <c r="I58" s="635"/>
      <c r="J58" s="635"/>
      <c r="K58" s="635"/>
      <c r="L58" s="635"/>
      <c r="M58" s="635"/>
      <c r="N58" s="635"/>
      <c r="O58" s="636"/>
      <c r="P58" s="640" t="str">
        <f t="shared" si="23"/>
        <v/>
      </c>
      <c r="Q58" s="24"/>
      <c r="R58" s="21"/>
      <c r="S58" s="950" t="s">
        <v>6289</v>
      </c>
      <c r="T58" s="21"/>
      <c r="U58" s="23" t="s">
        <v>43</v>
      </c>
      <c r="V58" s="321"/>
      <c r="W58" s="321"/>
      <c r="X58" s="321"/>
      <c r="Y58" s="321"/>
      <c r="Z58" s="321"/>
      <c r="AA58" s="321"/>
      <c r="AB58" s="321"/>
      <c r="AC58" s="321"/>
      <c r="AD58" s="213" t="str">
        <f t="shared" si="24"/>
        <v/>
      </c>
      <c r="AE58" s="321"/>
      <c r="AF58" s="321"/>
      <c r="AG58" s="321"/>
      <c r="AH58" s="321"/>
    </row>
    <row r="59" spans="1:34" ht="19">
      <c r="A59" s="28"/>
      <c r="B59" s="16"/>
      <c r="C59" s="841" t="s">
        <v>21</v>
      </c>
      <c r="D59" s="631"/>
      <c r="E59" s="627"/>
      <c r="F59" s="948"/>
      <c r="G59" s="628"/>
      <c r="H59" s="628"/>
      <c r="I59" s="628"/>
      <c r="J59" s="628"/>
      <c r="K59" s="628"/>
      <c r="L59" s="628"/>
      <c r="M59" s="628"/>
      <c r="N59" s="628"/>
      <c r="O59" s="629"/>
      <c r="P59" s="630"/>
      <c r="Q59" s="19"/>
      <c r="S59" s="1156"/>
      <c r="U59" s="879" t="s">
        <v>21</v>
      </c>
      <c r="V59" s="880">
        <f ca="1">SUM(G59:G66)-SUM(G66:G66)</f>
        <v>0</v>
      </c>
      <c r="W59" s="880">
        <f ca="1">SUM(H59:H66)-SUM(H66:H66)</f>
        <v>0</v>
      </c>
      <c r="X59" s="880">
        <f ca="1">SUM(I59:I66)-SUM(I66:I66)</f>
        <v>0</v>
      </c>
      <c r="Y59" s="880">
        <f t="shared" ref="Y59:AC59" ca="1" si="25">SUM(J59:J66)-SUM(J66:J66)</f>
        <v>0</v>
      </c>
      <c r="Z59" s="880">
        <f t="shared" ca="1" si="25"/>
        <v>0</v>
      </c>
      <c r="AA59" s="880">
        <f t="shared" ca="1" si="25"/>
        <v>0</v>
      </c>
      <c r="AB59" s="880">
        <f t="shared" ca="1" si="25"/>
        <v>0</v>
      </c>
      <c r="AC59" s="880">
        <f t="shared" ca="1" si="25"/>
        <v>0</v>
      </c>
      <c r="AD59" s="881" t="str">
        <f ca="1">IF(SUM(V59:AC59)=0,"",SUM(V59:AC59))</f>
        <v/>
      </c>
      <c r="AE59" s="881">
        <f t="shared" ca="1" si="1"/>
        <v>0</v>
      </c>
      <c r="AF59" s="881">
        <f t="shared" ca="1" si="2"/>
        <v>0</v>
      </c>
      <c r="AG59" s="881">
        <f t="shared" ca="1" si="3"/>
        <v>0</v>
      </c>
      <c r="AH59" s="881">
        <f t="shared" ca="1" si="4"/>
        <v>0</v>
      </c>
    </row>
    <row r="60" spans="1:34" s="11" customFormat="1" ht="19" hidden="1">
      <c r="A60" s="29"/>
      <c r="B60" s="22"/>
      <c r="C60" s="67"/>
      <c r="D60" s="632"/>
      <c r="E60" s="632"/>
      <c r="F60" s="949"/>
      <c r="G60" s="633"/>
      <c r="H60" s="633"/>
      <c r="I60" s="633"/>
      <c r="J60" s="633"/>
      <c r="K60" s="633"/>
      <c r="L60" s="633"/>
      <c r="M60" s="633"/>
      <c r="N60" s="633"/>
      <c r="O60" s="632"/>
      <c r="P60" s="640" t="str">
        <f t="shared" ref="P60:P65" si="26">IF(SUM(G60:N60)=0,"",SUM(G60:N60))</f>
        <v/>
      </c>
      <c r="Q60" s="24"/>
      <c r="R60" s="21"/>
      <c r="S60" s="949"/>
      <c r="T60" s="21"/>
      <c r="U60" s="23" t="s">
        <v>21</v>
      </c>
      <c r="V60" s="213"/>
      <c r="W60" s="213"/>
      <c r="X60" s="213"/>
      <c r="Y60" s="213"/>
      <c r="Z60" s="213"/>
      <c r="AA60" s="213"/>
      <c r="AB60" s="213"/>
      <c r="AC60" s="213"/>
      <c r="AD60" s="213" t="str">
        <f>IF(SUM(G60:N60)=0,"",SUM(G60:N60))</f>
        <v/>
      </c>
      <c r="AE60" s="255">
        <f t="shared" si="1"/>
        <v>0</v>
      </c>
      <c r="AF60" s="255">
        <f t="shared" si="2"/>
        <v>0</v>
      </c>
      <c r="AG60" s="255">
        <f t="shared" si="3"/>
        <v>0</v>
      </c>
      <c r="AH60" s="255">
        <f t="shared" si="4"/>
        <v>0</v>
      </c>
    </row>
    <row r="61" spans="1:34" s="11" customFormat="1" ht="19">
      <c r="A61" s="29"/>
      <c r="B61" s="22"/>
      <c r="C61" s="67"/>
      <c r="D61" s="634"/>
      <c r="E61" s="634"/>
      <c r="F61" s="950"/>
      <c r="G61" s="635"/>
      <c r="H61" s="635"/>
      <c r="I61" s="635"/>
      <c r="J61" s="635"/>
      <c r="K61" s="635"/>
      <c r="L61" s="635"/>
      <c r="M61" s="635"/>
      <c r="N61" s="635"/>
      <c r="O61" s="636"/>
      <c r="P61" s="640" t="str">
        <f t="shared" si="26"/>
        <v/>
      </c>
      <c r="Q61" s="24"/>
      <c r="R61" s="21"/>
      <c r="S61" s="950" t="s">
        <v>6289</v>
      </c>
      <c r="T61" s="21"/>
      <c r="U61" s="23" t="s">
        <v>21</v>
      </c>
      <c r="V61" s="321"/>
      <c r="W61" s="321"/>
      <c r="X61" s="321"/>
      <c r="Y61" s="321"/>
      <c r="Z61" s="321"/>
      <c r="AA61" s="321"/>
      <c r="AB61" s="321"/>
      <c r="AC61" s="321"/>
      <c r="AD61" s="213" t="str">
        <f t="shared" ref="AD61:AD65" si="27">IF(SUM(G61:N61)=0,"",SUM(G61:N61))</f>
        <v/>
      </c>
      <c r="AE61" s="321"/>
      <c r="AF61" s="321"/>
      <c r="AG61" s="321"/>
      <c r="AH61" s="321"/>
    </row>
    <row r="62" spans="1:34" s="11" customFormat="1" ht="19">
      <c r="A62" s="29"/>
      <c r="B62" s="22"/>
      <c r="C62" s="67"/>
      <c r="D62" s="634"/>
      <c r="E62" s="634"/>
      <c r="F62" s="950"/>
      <c r="G62" s="635"/>
      <c r="H62" s="635"/>
      <c r="I62" s="635"/>
      <c r="J62" s="635"/>
      <c r="K62" s="635"/>
      <c r="L62" s="635"/>
      <c r="M62" s="635"/>
      <c r="N62" s="635"/>
      <c r="O62" s="636"/>
      <c r="P62" s="640" t="str">
        <f t="shared" si="26"/>
        <v/>
      </c>
      <c r="Q62" s="24"/>
      <c r="R62" s="21"/>
      <c r="S62" s="950" t="s">
        <v>6289</v>
      </c>
      <c r="T62" s="21"/>
      <c r="U62" s="23" t="s">
        <v>21</v>
      </c>
      <c r="V62" s="321"/>
      <c r="W62" s="321"/>
      <c r="X62" s="321"/>
      <c r="Y62" s="321"/>
      <c r="Z62" s="321"/>
      <c r="AA62" s="321"/>
      <c r="AB62" s="321"/>
      <c r="AC62" s="321"/>
      <c r="AD62" s="213" t="str">
        <f t="shared" si="27"/>
        <v/>
      </c>
      <c r="AE62" s="321"/>
      <c r="AF62" s="321"/>
      <c r="AG62" s="321"/>
      <c r="AH62" s="321"/>
    </row>
    <row r="63" spans="1:34" s="11" customFormat="1" ht="19">
      <c r="A63" s="29"/>
      <c r="B63" s="22"/>
      <c r="C63" s="67"/>
      <c r="D63" s="634"/>
      <c r="E63" s="634"/>
      <c r="F63" s="950"/>
      <c r="G63" s="635"/>
      <c r="H63" s="635"/>
      <c r="I63" s="635"/>
      <c r="J63" s="635"/>
      <c r="K63" s="635"/>
      <c r="L63" s="635"/>
      <c r="M63" s="635"/>
      <c r="N63" s="635"/>
      <c r="O63" s="636"/>
      <c r="P63" s="640" t="str">
        <f t="shared" si="26"/>
        <v/>
      </c>
      <c r="Q63" s="24"/>
      <c r="R63" s="21"/>
      <c r="S63" s="950" t="s">
        <v>6289</v>
      </c>
      <c r="T63" s="21"/>
      <c r="U63" s="23" t="s">
        <v>21</v>
      </c>
      <c r="V63" s="321"/>
      <c r="W63" s="321"/>
      <c r="X63" s="321"/>
      <c r="Y63" s="321"/>
      <c r="Z63" s="321"/>
      <c r="AA63" s="321"/>
      <c r="AB63" s="321"/>
      <c r="AC63" s="321"/>
      <c r="AD63" s="213" t="str">
        <f t="shared" si="27"/>
        <v/>
      </c>
      <c r="AE63" s="321"/>
      <c r="AF63" s="321"/>
      <c r="AG63" s="321"/>
      <c r="AH63" s="321"/>
    </row>
    <row r="64" spans="1:34" s="11" customFormat="1" ht="19">
      <c r="A64" s="29"/>
      <c r="B64" s="22"/>
      <c r="C64" s="67"/>
      <c r="D64" s="634"/>
      <c r="E64" s="634"/>
      <c r="F64" s="950"/>
      <c r="G64" s="635"/>
      <c r="H64" s="635"/>
      <c r="I64" s="635"/>
      <c r="J64" s="635"/>
      <c r="K64" s="635"/>
      <c r="L64" s="635"/>
      <c r="M64" s="635"/>
      <c r="N64" s="635"/>
      <c r="O64" s="636"/>
      <c r="P64" s="640" t="str">
        <f t="shared" si="26"/>
        <v/>
      </c>
      <c r="Q64" s="24"/>
      <c r="R64" s="21"/>
      <c r="S64" s="950" t="s">
        <v>6289</v>
      </c>
      <c r="T64" s="21"/>
      <c r="U64" s="23" t="s">
        <v>21</v>
      </c>
      <c r="V64" s="321"/>
      <c r="W64" s="321"/>
      <c r="X64" s="321"/>
      <c r="Y64" s="321"/>
      <c r="Z64" s="321"/>
      <c r="AA64" s="321"/>
      <c r="AB64" s="321"/>
      <c r="AC64" s="321"/>
      <c r="AD64" s="213" t="str">
        <f t="shared" si="27"/>
        <v/>
      </c>
      <c r="AE64" s="321"/>
      <c r="AF64" s="321"/>
      <c r="AG64" s="321"/>
      <c r="AH64" s="321"/>
    </row>
    <row r="65" spans="1:34" s="11" customFormat="1" ht="19">
      <c r="A65" s="29"/>
      <c r="B65" s="22"/>
      <c r="C65" s="67"/>
      <c r="D65" s="637"/>
      <c r="E65" s="637"/>
      <c r="F65" s="951"/>
      <c r="G65" s="638"/>
      <c r="H65" s="638"/>
      <c r="I65" s="638"/>
      <c r="J65" s="638"/>
      <c r="K65" s="638"/>
      <c r="L65" s="638"/>
      <c r="M65" s="638"/>
      <c r="N65" s="638"/>
      <c r="O65" s="639"/>
      <c r="P65" s="641" t="str">
        <f t="shared" si="26"/>
        <v/>
      </c>
      <c r="Q65" s="24"/>
      <c r="R65" s="21"/>
      <c r="S65" s="950" t="s">
        <v>6289</v>
      </c>
      <c r="T65" s="21"/>
      <c r="U65" s="23" t="s">
        <v>21</v>
      </c>
      <c r="V65" s="321"/>
      <c r="W65" s="321"/>
      <c r="X65" s="321"/>
      <c r="Y65" s="321"/>
      <c r="Z65" s="321"/>
      <c r="AA65" s="321"/>
      <c r="AB65" s="321"/>
      <c r="AC65" s="321"/>
      <c r="AD65" s="213" t="str">
        <f t="shared" si="27"/>
        <v/>
      </c>
      <c r="AE65" s="321"/>
      <c r="AF65" s="321"/>
      <c r="AG65" s="321"/>
      <c r="AH65" s="321"/>
    </row>
    <row r="66" spans="1:34" ht="30.65" customHeight="1">
      <c r="A66" s="31"/>
      <c r="B66" s="32"/>
      <c r="C66" s="1460" t="s">
        <v>26</v>
      </c>
      <c r="D66" s="1461"/>
      <c r="E66" s="405"/>
      <c r="F66" s="405"/>
      <c r="G66" s="642">
        <f ca="1">SUM(OFFSET(G$10,0,0,ROW()-ROW(G$10),1))</f>
        <v>0</v>
      </c>
      <c r="H66" s="642">
        <f t="shared" ref="H66:N66" ca="1" si="28">SUM(OFFSET(H$10,0,0,ROW()-ROW(H$10),1))</f>
        <v>0</v>
      </c>
      <c r="I66" s="642">
        <f t="shared" ca="1" si="28"/>
        <v>0</v>
      </c>
      <c r="J66" s="642">
        <f t="shared" ca="1" si="28"/>
        <v>0</v>
      </c>
      <c r="K66" s="642">
        <f t="shared" ca="1" si="28"/>
        <v>0</v>
      </c>
      <c r="L66" s="642">
        <f t="shared" ca="1" si="28"/>
        <v>0</v>
      </c>
      <c r="M66" s="642">
        <f t="shared" ca="1" si="28"/>
        <v>0</v>
      </c>
      <c r="N66" s="642">
        <f t="shared" ca="1" si="28"/>
        <v>0</v>
      </c>
      <c r="O66" s="406"/>
      <c r="P66" s="642">
        <f ca="1">SUM(OFFSET(P$10,0,0,ROW(P$66)-ROW(P$10),1))</f>
        <v>0</v>
      </c>
      <c r="Q66" s="19"/>
      <c r="S66" s="405"/>
      <c r="U66" s="413"/>
      <c r="V66" s="413"/>
      <c r="W66" s="413"/>
      <c r="X66" s="413"/>
      <c r="Y66" s="413"/>
      <c r="Z66" s="413"/>
      <c r="AA66" s="413"/>
      <c r="AB66" s="413"/>
      <c r="AC66" s="413"/>
      <c r="AD66" s="412">
        <f ca="1">SUM(AD10,AD17,AD24,AD31,AD38,AD45,AD52,AD59)</f>
        <v>0</v>
      </c>
      <c r="AE66" s="412">
        <f t="shared" si="1"/>
        <v>0</v>
      </c>
      <c r="AF66" s="175">
        <f t="shared" si="2"/>
        <v>0</v>
      </c>
      <c r="AG66" s="175">
        <f t="shared" si="3"/>
        <v>0</v>
      </c>
      <c r="AH66" s="175">
        <f t="shared" si="4"/>
        <v>0</v>
      </c>
    </row>
    <row r="67" spans="1:34" ht="48" customHeight="1">
      <c r="A67" s="31"/>
      <c r="B67" s="32"/>
      <c r="C67" s="1460" t="s">
        <v>151</v>
      </c>
      <c r="D67" s="1461"/>
      <c r="E67" s="405"/>
      <c r="F67" s="405"/>
      <c r="G67" s="643">
        <f t="shared" ref="G67:N67" ca="1" si="29">IFERROR(G66/$P$66,0)</f>
        <v>0</v>
      </c>
      <c r="H67" s="643">
        <f t="shared" ca="1" si="29"/>
        <v>0</v>
      </c>
      <c r="I67" s="643">
        <f t="shared" ca="1" si="29"/>
        <v>0</v>
      </c>
      <c r="J67" s="643">
        <f t="shared" ca="1" si="29"/>
        <v>0</v>
      </c>
      <c r="K67" s="643">
        <f t="shared" ca="1" si="29"/>
        <v>0</v>
      </c>
      <c r="L67" s="643">
        <f t="shared" ca="1" si="29"/>
        <v>0</v>
      </c>
      <c r="M67" s="643">
        <f t="shared" ca="1" si="29"/>
        <v>0</v>
      </c>
      <c r="N67" s="643">
        <f t="shared" ca="1" si="29"/>
        <v>0</v>
      </c>
      <c r="O67" s="406"/>
      <c r="P67" s="644">
        <f ca="1">IFERROR(P66/SUM(G66:N66),0)</f>
        <v>0</v>
      </c>
      <c r="Q67" s="19"/>
      <c r="S67" s="405"/>
      <c r="U67" s="413"/>
      <c r="V67" s="413"/>
      <c r="W67" s="413"/>
      <c r="X67" s="413"/>
      <c r="Y67" s="413"/>
      <c r="Z67" s="413"/>
      <c r="AA67" s="413"/>
      <c r="AB67" s="413"/>
      <c r="AC67" s="321"/>
      <c r="AD67" s="882">
        <f ca="1">IFERROR(P66/SUM(G66:N66),0)</f>
        <v>0</v>
      </c>
      <c r="AE67" s="408">
        <f ca="1">SUM(AE10:AE66)</f>
        <v>0</v>
      </c>
      <c r="AF67" s="408">
        <f t="shared" ref="AF67:AH67" ca="1" si="30">SUM(AF10:AF66)</f>
        <v>0</v>
      </c>
      <c r="AG67" s="408">
        <f t="shared" ca="1" si="30"/>
        <v>0</v>
      </c>
      <c r="AH67" s="408">
        <f t="shared" ca="1" si="30"/>
        <v>0</v>
      </c>
    </row>
    <row r="68" spans="1:34" ht="12.65" customHeight="1">
      <c r="B68" s="46"/>
      <c r="C68" s="26"/>
      <c r="D68" s="26"/>
      <c r="E68" s="26"/>
      <c r="F68" s="246"/>
      <c r="G68" s="26"/>
      <c r="H68" s="26"/>
      <c r="I68" s="26"/>
      <c r="J68" s="26"/>
      <c r="K68" s="26"/>
      <c r="L68" s="26"/>
      <c r="M68" s="26"/>
      <c r="N68" s="26"/>
      <c r="O68" s="26"/>
      <c r="P68" s="26"/>
      <c r="Q68" s="27"/>
    </row>
    <row r="71" spans="1:34">
      <c r="D71" s="13" t="s">
        <v>552</v>
      </c>
      <c r="G71" s="50"/>
      <c r="H71" s="50"/>
      <c r="I71" s="47"/>
    </row>
    <row r="72" spans="1:34" ht="19">
      <c r="C72" s="410"/>
      <c r="D72" s="409">
        <f ca="1">SUM(H66,J66,L66,N66)</f>
        <v>0</v>
      </c>
      <c r="G72" s="50"/>
      <c r="H72" s="50"/>
      <c r="I72" s="47"/>
    </row>
    <row r="73" spans="1:34">
      <c r="D73" s="51"/>
      <c r="G73" s="50"/>
      <c r="H73" s="50"/>
      <c r="I73" s="47"/>
    </row>
  </sheetData>
  <sheetProtection algorithmName="SHA-512" hashValue="KoD0x/WtYwbVCn3qMoT+4OWE8jp1AYRG0BnuCgvAkk1+Bc3kTGxZq0RfwbAIlsc5OUt+1VVMaZPMq03L2XOCFg==" saltValue="YbBvvfggWOlvYJYG2BnBcg==" spinCount="100000" sheet="1" formatCells="0" insertRows="0" deleteRows="0"/>
  <mergeCells count="7">
    <mergeCell ref="M8:N8"/>
    <mergeCell ref="C67:D67"/>
    <mergeCell ref="C66:D66"/>
    <mergeCell ref="G8:H8"/>
    <mergeCell ref="I8:J8"/>
    <mergeCell ref="K8:L8"/>
    <mergeCell ref="F7:F9"/>
  </mergeCells>
  <phoneticPr fontId="1"/>
  <conditionalFormatting sqref="C9">
    <cfRule type="expression" dxfId="557" priority="201">
      <formula>$C$10=""</formula>
    </cfRule>
  </conditionalFormatting>
  <conditionalFormatting sqref="C10:P65">
    <cfRule type="expression" dxfId="556" priority="6">
      <formula>$U10=""</formula>
    </cfRule>
  </conditionalFormatting>
  <conditionalFormatting sqref="D6">
    <cfRule type="expression" dxfId="555" priority="11">
      <formula>$C6=""</formula>
    </cfRule>
    <cfRule type="expression" dxfId="554" priority="12">
      <formula>$C6="*"</formula>
    </cfRule>
  </conditionalFormatting>
  <conditionalFormatting sqref="D72">
    <cfRule type="cellIs" dxfId="553" priority="4" operator="equal">
      <formula>0</formula>
    </cfRule>
  </conditionalFormatting>
  <conditionalFormatting sqref="D11:O65">
    <cfRule type="notContainsBlanks" dxfId="552" priority="7">
      <formula>LEN(TRIM(D11))&gt;0</formula>
    </cfRule>
  </conditionalFormatting>
  <conditionalFormatting sqref="P11:P16 P18:P23 P25:P30 P32:P37 P39:P44 P46:P51 P53:P58 P60:P67">
    <cfRule type="expression" dxfId="551" priority="8">
      <formula>$P11&lt;&gt;$AD11</formula>
    </cfRule>
  </conditionalFormatting>
  <conditionalFormatting sqref="P11:P65">
    <cfRule type="notContainsBlanks" dxfId="550" priority="9">
      <formula>LEN(TRIM(P11))&gt;0</formula>
    </cfRule>
  </conditionalFormatting>
  <conditionalFormatting sqref="P66">
    <cfRule type="expression" dxfId="549" priority="3">
      <formula>$P$66&lt;&gt;$AD$66</formula>
    </cfRule>
  </conditionalFormatting>
  <conditionalFormatting sqref="P66:P67 G66:N67">
    <cfRule type="cellIs" dxfId="548" priority="5" operator="notEqual">
      <formula>0</formula>
    </cfRule>
  </conditionalFormatting>
  <conditionalFormatting sqref="S10:S65">
    <cfRule type="expression" dxfId="547" priority="1">
      <formula>$U10=""</formula>
    </cfRule>
  </conditionalFormatting>
  <conditionalFormatting sqref="S11:S65">
    <cfRule type="notContainsBlanks" dxfId="546" priority="2">
      <formula>LEN(TRIM(S11))&gt;0</formula>
    </cfRule>
  </conditionalFormatting>
  <dataValidations count="6">
    <dataValidation operator="greaterThanOrEqual" allowBlank="1" showInputMessage="1" showErrorMessage="1" error="数値で入力してください" sqref="G67:N67" xr:uid="{716E11DF-A029-42D2-88E4-B55D834B6947}"/>
    <dataValidation type="decimal" operator="greaterThanOrEqual" allowBlank="1" showInputMessage="1" showErrorMessage="1" error="数値で入力してください" sqref="G6:N6 G10:N65" xr:uid="{F8F4AAC5-FF64-4EBC-9D31-F687E2F29985}">
      <formula1>0</formula1>
    </dataValidation>
    <dataValidation type="textLength" operator="lessThan" allowBlank="1" showInputMessage="1" showErrorMessage="1" sqref="C10:C65" xr:uid="{093E2B4A-8B33-457F-A02F-3A6CB0765A70}">
      <formula1>1</formula1>
    </dataValidation>
    <dataValidation operator="lessThan" allowBlank="1" showInputMessage="1" showErrorMessage="1" sqref="C6" xr:uid="{9257C782-D56A-45C2-91FE-AE27EC17622D}"/>
    <dataValidation type="list" allowBlank="1" showInputMessage="1" showErrorMessage="1" sqref="F60:F65 F53:F58" xr:uid="{78F69E7D-1BAA-4F60-BF6C-514402D70016}">
      <formula1>"○"</formula1>
    </dataValidation>
    <dataValidation type="list" allowBlank="1" showInputMessage="1" showErrorMessage="1" sqref="S10:S67" xr:uid="{41720958-E8DF-471F-AA70-2750799D906C}">
      <formula1>"低圧,高圧,特別高圧"</formula1>
    </dataValidation>
  </dataValidations>
  <pageMargins left="0.7" right="0.7" top="0.75" bottom="0.75" header="0.3" footer="0.3"/>
  <pageSetup paperSize="8" scale="48" orientation="landscape"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F15E-541F-4773-9BD0-79B59770B341}">
  <sheetPr codeName="Sheet28">
    <tabColor theme="7" tint="0.79998168889431442"/>
    <pageSetUpPr fitToPage="1"/>
  </sheetPr>
  <dimension ref="A1:W74"/>
  <sheetViews>
    <sheetView showGridLines="0" zoomScale="55" zoomScaleNormal="55" zoomScaleSheetLayoutView="89" workbookViewId="0"/>
  </sheetViews>
  <sheetFormatPr defaultColWidth="9" defaultRowHeight="18"/>
  <cols>
    <col min="1" max="1" width="1.58203125" style="21" customWidth="1"/>
    <col min="2" max="2" width="5.83203125" style="21" customWidth="1"/>
    <col min="3" max="3" width="20.83203125" style="21" customWidth="1"/>
    <col min="4" max="4" width="21.75" style="21" customWidth="1"/>
    <col min="5" max="5" width="16.33203125" style="21" customWidth="1"/>
    <col min="6" max="6" width="34.33203125" style="21" customWidth="1"/>
    <col min="7" max="7" width="12.25" style="21" customWidth="1"/>
    <col min="8" max="8" width="32.33203125" style="21" customWidth="1"/>
    <col min="9" max="9" width="12.08203125" style="21" customWidth="1"/>
    <col min="10" max="10" width="0.83203125" style="21" customWidth="1"/>
    <col min="11" max="12" width="8.08203125" style="21" customWidth="1"/>
    <col min="13" max="13" width="5.83203125" style="21" hidden="1" customWidth="1"/>
    <col min="14" max="14" width="20.83203125" style="21" hidden="1" customWidth="1"/>
    <col min="15" max="15" width="21.75" style="21" hidden="1" customWidth="1"/>
    <col min="16" max="16" width="16.33203125" style="21" hidden="1" customWidth="1"/>
    <col min="17" max="17" width="34.33203125" style="21" hidden="1" customWidth="1"/>
    <col min="18" max="18" width="12.25" style="21" hidden="1" customWidth="1"/>
    <col min="19" max="19" width="32.33203125" style="21" hidden="1" customWidth="1"/>
    <col min="20" max="20" width="12.08203125" style="21" hidden="1" customWidth="1"/>
    <col min="21" max="21" width="0.83203125" style="21" hidden="1" customWidth="1"/>
    <col min="22" max="16384" width="9" style="11"/>
  </cols>
  <sheetData>
    <row r="1" spans="1:23" customFormat="1">
      <c r="A1" s="44" t="s">
        <v>482</v>
      </c>
      <c r="C1" s="49"/>
      <c r="D1" s="49"/>
      <c r="E1" s="49"/>
      <c r="F1" s="13"/>
      <c r="G1" s="13"/>
      <c r="H1" s="13"/>
      <c r="I1" s="13"/>
      <c r="J1" s="13"/>
      <c r="L1" s="13"/>
    </row>
    <row r="2" spans="1:23" customFormat="1" ht="21" customHeight="1">
      <c r="A2" s="13"/>
      <c r="B2" s="44" t="s">
        <v>52</v>
      </c>
      <c r="C2" s="13"/>
      <c r="D2" s="13"/>
      <c r="E2" s="13"/>
      <c r="F2" s="49"/>
      <c r="G2" s="49"/>
      <c r="H2" s="49"/>
      <c r="I2" s="49"/>
      <c r="J2" s="17"/>
      <c r="L2" s="13"/>
    </row>
    <row r="3" spans="1:23" customFormat="1" ht="69.75" customHeight="1">
      <c r="A3" s="13"/>
      <c r="B3" s="1351" t="s">
        <v>363</v>
      </c>
      <c r="C3" s="1351"/>
      <c r="D3" s="1351"/>
      <c r="E3" s="1351"/>
      <c r="F3" s="1351"/>
      <c r="G3" s="1351"/>
      <c r="H3" s="1351"/>
      <c r="I3" s="1351"/>
      <c r="J3" s="17"/>
      <c r="L3" s="13"/>
      <c r="M3" s="2"/>
    </row>
    <row r="4" spans="1:23" customFormat="1">
      <c r="A4" s="13"/>
      <c r="B4" s="1351"/>
      <c r="C4" s="1351"/>
      <c r="D4" s="1351"/>
      <c r="E4" s="1351"/>
      <c r="F4" s="1351"/>
      <c r="G4" s="1351"/>
      <c r="H4" s="1351"/>
      <c r="I4" s="1351"/>
      <c r="J4" s="17"/>
      <c r="L4" s="13"/>
      <c r="M4" s="44" t="s">
        <v>314</v>
      </c>
      <c r="N4" s="17"/>
      <c r="O4" s="17"/>
      <c r="P4" s="17"/>
      <c r="Q4" s="17"/>
      <c r="R4" s="17"/>
      <c r="S4" s="17"/>
      <c r="T4" s="17"/>
      <c r="U4" s="17"/>
    </row>
    <row r="5" spans="1:23" customFormat="1">
      <c r="A5" s="13"/>
      <c r="B5" s="14" t="s">
        <v>476</v>
      </c>
      <c r="C5" s="15"/>
      <c r="D5" s="15"/>
      <c r="E5" s="15"/>
      <c r="F5" s="15"/>
      <c r="G5" s="15"/>
      <c r="H5" s="15"/>
      <c r="I5" s="15"/>
      <c r="J5" s="30"/>
      <c r="K5" s="13"/>
      <c r="M5" s="14" t="s">
        <v>476</v>
      </c>
      <c r="N5" s="15"/>
      <c r="O5" s="15"/>
      <c r="P5" s="15"/>
      <c r="Q5" s="15"/>
      <c r="R5" s="15"/>
      <c r="S5" s="15"/>
      <c r="T5" s="15"/>
      <c r="U5" s="30"/>
    </row>
    <row r="6" spans="1:23" customFormat="1">
      <c r="A6" s="13"/>
      <c r="B6" s="16"/>
      <c r="C6" s="13"/>
      <c r="D6" s="13"/>
      <c r="E6" s="13"/>
      <c r="F6" s="13"/>
      <c r="G6" s="13"/>
      <c r="H6" s="13"/>
      <c r="I6" s="13"/>
      <c r="J6" s="19"/>
      <c r="K6" s="13"/>
      <c r="M6" s="16"/>
      <c r="N6" s="13"/>
      <c r="O6" s="13"/>
      <c r="P6" s="13"/>
      <c r="Q6" s="13"/>
      <c r="R6" s="13"/>
      <c r="S6" s="13"/>
      <c r="T6" s="13"/>
      <c r="U6" s="19"/>
    </row>
    <row r="7" spans="1:23" customFormat="1" ht="81" customHeight="1">
      <c r="A7" s="13"/>
      <c r="B7" s="16"/>
      <c r="C7" s="1351" t="s">
        <v>78</v>
      </c>
      <c r="D7" s="1351"/>
      <c r="E7" s="51"/>
      <c r="F7" s="50" t="s">
        <v>477</v>
      </c>
      <c r="G7" s="51"/>
      <c r="H7" s="50" t="s">
        <v>509</v>
      </c>
      <c r="I7" s="13"/>
      <c r="J7" s="19"/>
      <c r="K7" s="13"/>
      <c r="M7" s="16"/>
      <c r="N7" s="1351" t="s">
        <v>78</v>
      </c>
      <c r="O7" s="1351"/>
      <c r="P7" s="51"/>
      <c r="Q7" s="50" t="s">
        <v>477</v>
      </c>
      <c r="R7" s="51"/>
      <c r="S7" s="50" t="s">
        <v>509</v>
      </c>
      <c r="T7" s="13"/>
      <c r="U7" s="19"/>
    </row>
    <row r="8" spans="1:23" customFormat="1" ht="40.5" customHeight="1">
      <c r="A8" s="13"/>
      <c r="B8" s="16"/>
      <c r="C8" s="1468">
        <f ca="1">IFERROR(F8/H8,0)</f>
        <v>0</v>
      </c>
      <c r="D8" s="1468"/>
      <c r="E8" s="64" t="s">
        <v>65</v>
      </c>
      <c r="F8" s="885">
        <f ca="1">H8-'4.2電力供給状況(民生部門)'!D72</f>
        <v>0</v>
      </c>
      <c r="G8" s="64" t="s">
        <v>67</v>
      </c>
      <c r="H8" s="885">
        <f ca="1">'4.2実質ゼロ(計算結果)'!F7</f>
        <v>0</v>
      </c>
      <c r="I8" s="63" t="s">
        <v>68</v>
      </c>
      <c r="J8" s="19"/>
      <c r="K8" s="13"/>
      <c r="M8" s="351"/>
      <c r="N8" s="1467">
        <f ca="1">IFERROR(F8/H8,0)</f>
        <v>0</v>
      </c>
      <c r="O8" s="1467"/>
      <c r="P8" s="64" t="s">
        <v>65</v>
      </c>
      <c r="Q8" s="162">
        <f ca="1">H8-'4.2電力供給状況(民生部門)'!D72</f>
        <v>0</v>
      </c>
      <c r="R8" s="64" t="s">
        <v>67</v>
      </c>
      <c r="S8" s="162">
        <f ca="1">'4.2実質ゼロ(計算結果)'!F7</f>
        <v>0</v>
      </c>
      <c r="T8" s="63" t="s">
        <v>68</v>
      </c>
      <c r="U8" s="352"/>
    </row>
    <row r="9" spans="1:23" customFormat="1">
      <c r="A9" s="13"/>
      <c r="B9" s="16"/>
      <c r="C9" s="1466" t="s">
        <v>87</v>
      </c>
      <c r="D9" s="1466"/>
      <c r="E9" s="13"/>
      <c r="F9" s="13" t="s">
        <v>69</v>
      </c>
      <c r="G9" s="13"/>
      <c r="H9" s="13"/>
      <c r="I9" s="13"/>
      <c r="J9" s="19"/>
      <c r="K9" s="13"/>
      <c r="M9" s="351"/>
      <c r="N9" s="1466" t="s">
        <v>87</v>
      </c>
      <c r="O9" s="1466"/>
      <c r="P9" s="13"/>
      <c r="Q9" s="13" t="s">
        <v>69</v>
      </c>
      <c r="R9" s="13"/>
      <c r="S9" s="13"/>
      <c r="T9" s="13"/>
      <c r="U9" s="352"/>
    </row>
    <row r="10" spans="1:23" customFormat="1" ht="52.5" customHeight="1">
      <c r="A10" s="13"/>
      <c r="B10" s="16"/>
      <c r="C10" s="13"/>
      <c r="D10" s="13"/>
      <c r="E10" s="13"/>
      <c r="F10" s="1351" t="s">
        <v>79</v>
      </c>
      <c r="G10" s="13"/>
      <c r="H10" s="13"/>
      <c r="I10" s="13"/>
      <c r="J10" s="19"/>
      <c r="K10" s="13"/>
      <c r="M10" s="351"/>
      <c r="N10" s="13"/>
      <c r="O10" s="13"/>
      <c r="P10" s="13"/>
      <c r="Q10" s="1351" t="s">
        <v>79</v>
      </c>
      <c r="R10" s="13"/>
      <c r="S10" s="13"/>
      <c r="T10" s="13"/>
      <c r="U10" s="352"/>
    </row>
    <row r="11" spans="1:23" customFormat="1" ht="45.65" customHeight="1">
      <c r="A11" s="13"/>
      <c r="B11" s="16"/>
      <c r="C11" s="17"/>
      <c r="D11" s="17"/>
      <c r="E11" s="17"/>
      <c r="F11" s="1351"/>
      <c r="G11" s="17"/>
      <c r="H11" s="17"/>
      <c r="I11" s="17"/>
      <c r="J11" s="19"/>
      <c r="K11" s="13"/>
      <c r="M11" s="351"/>
      <c r="N11" s="17"/>
      <c r="O11" s="17"/>
      <c r="P11" s="17"/>
      <c r="Q11" s="1351"/>
      <c r="R11" s="17"/>
      <c r="S11" s="17"/>
      <c r="T11" s="17"/>
      <c r="U11" s="352"/>
    </row>
    <row r="12" spans="1:23" customFormat="1" ht="5.15" customHeight="1">
      <c r="A12" s="13"/>
      <c r="B12" s="46"/>
      <c r="C12" s="48"/>
      <c r="D12" s="26"/>
      <c r="E12" s="26"/>
      <c r="F12" s="26"/>
      <c r="G12" s="26"/>
      <c r="H12" s="26"/>
      <c r="I12" s="26"/>
      <c r="J12" s="27"/>
      <c r="K12" s="13"/>
      <c r="M12" s="351"/>
      <c r="N12" s="35"/>
      <c r="O12" s="13"/>
      <c r="P12" s="13"/>
      <c r="Q12" s="13"/>
      <c r="R12" s="13"/>
      <c r="S12" s="13"/>
      <c r="T12" s="13"/>
      <c r="U12" s="352"/>
    </row>
    <row r="13" spans="1:23" customFormat="1" ht="27" customHeight="1">
      <c r="A13" s="13"/>
      <c r="B13" s="13"/>
      <c r="C13" s="35"/>
      <c r="D13" s="13"/>
      <c r="E13" s="13"/>
      <c r="F13" s="13"/>
      <c r="G13" s="13"/>
      <c r="H13" s="13"/>
      <c r="I13" s="13"/>
      <c r="J13" s="13"/>
      <c r="K13" s="13"/>
      <c r="M13" s="351"/>
      <c r="N13" s="13"/>
      <c r="O13" s="13"/>
      <c r="P13" s="13"/>
      <c r="Q13" s="13"/>
      <c r="R13" s="13"/>
      <c r="S13" s="13"/>
      <c r="T13" s="13"/>
      <c r="U13" s="352"/>
      <c r="V13" s="13"/>
      <c r="W13" s="13"/>
    </row>
    <row r="14" spans="1:23" customFormat="1">
      <c r="A14" s="13"/>
      <c r="B14" s="14" t="s">
        <v>607</v>
      </c>
      <c r="C14" s="15"/>
      <c r="D14" s="15"/>
      <c r="E14" s="15"/>
      <c r="F14" s="15"/>
      <c r="G14" s="15"/>
      <c r="H14" s="15"/>
      <c r="I14" s="15"/>
      <c r="J14" s="30"/>
      <c r="K14" s="13"/>
      <c r="M14" s="14" t="s">
        <v>607</v>
      </c>
      <c r="N14" s="15"/>
      <c r="O14" s="15"/>
      <c r="P14" s="15"/>
      <c r="Q14" s="15"/>
      <c r="R14" s="15"/>
      <c r="S14" s="15"/>
      <c r="T14" s="13"/>
      <c r="U14" s="352"/>
    </row>
    <row r="15" spans="1:23" customFormat="1">
      <c r="A15" s="13"/>
      <c r="B15" s="16"/>
      <c r="C15" s="13"/>
      <c r="D15" s="13"/>
      <c r="E15" s="13"/>
      <c r="F15" s="13"/>
      <c r="G15" s="13"/>
      <c r="H15" s="13"/>
      <c r="I15" s="13"/>
      <c r="J15" s="19"/>
      <c r="K15" s="13"/>
      <c r="M15" s="16"/>
      <c r="N15" s="13"/>
      <c r="O15" s="13"/>
      <c r="P15" s="13"/>
      <c r="Q15" s="13"/>
      <c r="R15" s="13"/>
      <c r="S15" s="13"/>
      <c r="T15" s="13"/>
      <c r="U15" s="352"/>
    </row>
    <row r="16" spans="1:23" customFormat="1" ht="75" customHeight="1">
      <c r="A16" s="13"/>
      <c r="B16" s="16"/>
      <c r="C16" s="1351" t="s">
        <v>78</v>
      </c>
      <c r="D16" s="1351"/>
      <c r="E16" s="51"/>
      <c r="F16" s="50" t="s">
        <v>477</v>
      </c>
      <c r="G16" s="51"/>
      <c r="H16" s="50" t="s">
        <v>509</v>
      </c>
      <c r="I16" s="13"/>
      <c r="J16" s="19"/>
      <c r="K16" s="13"/>
      <c r="M16" s="16"/>
      <c r="N16" s="1351" t="s">
        <v>78</v>
      </c>
      <c r="O16" s="1351"/>
      <c r="P16" s="51"/>
      <c r="Q16" s="50" t="s">
        <v>477</v>
      </c>
      <c r="R16" s="51"/>
      <c r="S16" s="50" t="s">
        <v>509</v>
      </c>
      <c r="T16" s="13"/>
      <c r="U16" s="352"/>
    </row>
    <row r="17" spans="1:21" customFormat="1" ht="40.5" customHeight="1">
      <c r="A17" s="13"/>
      <c r="B17" s="16"/>
      <c r="C17" s="1468">
        <f t="shared" ref="C17" ca="1" si="0">IFERROR(F17/H17,0)</f>
        <v>0</v>
      </c>
      <c r="D17" s="1468"/>
      <c r="E17" s="64" t="s">
        <v>65</v>
      </c>
      <c r="F17" s="885">
        <f ca="1">H17-'4.3電力供給状況(民生部門電力以外)'!D53</f>
        <v>0</v>
      </c>
      <c r="G17" s="64" t="s">
        <v>67</v>
      </c>
      <c r="H17" s="885">
        <f ca="1">'4.3電力供給状況(民生部門電力以外)'!$O$47</f>
        <v>0</v>
      </c>
      <c r="I17" s="63" t="s">
        <v>68</v>
      </c>
      <c r="J17" s="19"/>
      <c r="K17" s="13"/>
      <c r="M17" s="351"/>
      <c r="N17" s="1467">
        <f ca="1">IFERROR(F17/H17,0)</f>
        <v>0</v>
      </c>
      <c r="O17" s="1467"/>
      <c r="P17" s="64" t="s">
        <v>65</v>
      </c>
      <c r="Q17" s="162">
        <f ca="1">H17-'4.3電力供給状況(民生部門電力以外)'!D53</f>
        <v>0</v>
      </c>
      <c r="R17" s="64" t="s">
        <v>67</v>
      </c>
      <c r="S17" s="162">
        <f ca="1">'4.3電力供給状況(民生部門電力以外)'!$O$47</f>
        <v>0</v>
      </c>
      <c r="T17" s="63" t="s">
        <v>68</v>
      </c>
      <c r="U17" s="352"/>
    </row>
    <row r="18" spans="1:21" customFormat="1">
      <c r="A18" s="13"/>
      <c r="B18" s="16"/>
      <c r="C18" s="1466" t="s">
        <v>87</v>
      </c>
      <c r="D18" s="1466"/>
      <c r="E18" s="13"/>
      <c r="F18" s="13" t="s">
        <v>69</v>
      </c>
      <c r="G18" s="13"/>
      <c r="H18" s="13"/>
      <c r="I18" s="13"/>
      <c r="J18" s="19"/>
      <c r="K18" s="13"/>
      <c r="M18" s="351"/>
      <c r="N18" s="1466" t="s">
        <v>87</v>
      </c>
      <c r="O18" s="1466"/>
      <c r="P18" s="13"/>
      <c r="Q18" s="13" t="s">
        <v>69</v>
      </c>
      <c r="R18" s="13"/>
      <c r="S18" s="13"/>
      <c r="T18" s="13"/>
      <c r="U18" s="352"/>
    </row>
    <row r="19" spans="1:21" customFormat="1" ht="52.5" customHeight="1">
      <c r="A19" s="13"/>
      <c r="B19" s="16"/>
      <c r="C19" s="13"/>
      <c r="D19" s="13"/>
      <c r="E19" s="13"/>
      <c r="F19" s="1351" t="s">
        <v>79</v>
      </c>
      <c r="G19" s="13"/>
      <c r="H19" s="13"/>
      <c r="I19" s="13"/>
      <c r="J19" s="19"/>
      <c r="K19" s="13"/>
      <c r="M19" s="351"/>
      <c r="N19" s="13"/>
      <c r="O19" s="13"/>
      <c r="P19" s="13"/>
      <c r="Q19" s="1351" t="s">
        <v>79</v>
      </c>
      <c r="R19" s="13"/>
      <c r="S19" s="13"/>
      <c r="T19" s="13"/>
      <c r="U19" s="352"/>
    </row>
    <row r="20" spans="1:21" customFormat="1" ht="45.65" customHeight="1">
      <c r="A20" s="13"/>
      <c r="B20" s="16"/>
      <c r="C20" s="17"/>
      <c r="D20" s="17"/>
      <c r="E20" s="17"/>
      <c r="F20" s="1351"/>
      <c r="G20" s="17"/>
      <c r="H20" s="17"/>
      <c r="I20" s="17"/>
      <c r="J20" s="19"/>
      <c r="K20" s="13"/>
      <c r="M20" s="351"/>
      <c r="N20" s="17"/>
      <c r="O20" s="17"/>
      <c r="P20" s="17"/>
      <c r="Q20" s="1351"/>
      <c r="R20" s="17"/>
      <c r="S20" s="17"/>
      <c r="T20" s="17"/>
      <c r="U20" s="352"/>
    </row>
    <row r="21" spans="1:21" customFormat="1" ht="5.15" customHeight="1">
      <c r="A21" s="13"/>
      <c r="B21" s="46"/>
      <c r="C21" s="48"/>
      <c r="D21" s="26"/>
      <c r="E21" s="26"/>
      <c r="F21" s="26"/>
      <c r="G21" s="26"/>
      <c r="H21" s="26"/>
      <c r="I21" s="26"/>
      <c r="J21" s="27"/>
      <c r="K21" s="13"/>
      <c r="M21" s="354"/>
      <c r="N21" s="356"/>
      <c r="O21" s="355"/>
      <c r="P21" s="355"/>
      <c r="Q21" s="355"/>
      <c r="R21" s="355"/>
      <c r="S21" s="355"/>
      <c r="T21" s="355"/>
      <c r="U21" s="884"/>
    </row>
    <row r="22" spans="1:21" customFormat="1" ht="27" customHeight="1">
      <c r="A22" s="13"/>
      <c r="B22" s="13"/>
      <c r="C22" s="35"/>
      <c r="D22" s="13"/>
      <c r="E22" s="13"/>
      <c r="F22" s="13"/>
      <c r="G22" s="13"/>
      <c r="H22" s="13"/>
      <c r="I22" s="13"/>
      <c r="J22" s="13"/>
      <c r="K22" s="13"/>
      <c r="M22" s="13"/>
      <c r="N22" s="35"/>
      <c r="O22" s="13"/>
      <c r="P22" s="13"/>
      <c r="Q22" s="13"/>
      <c r="R22" s="13"/>
      <c r="S22" s="13"/>
      <c r="T22" s="13"/>
      <c r="U22" s="13"/>
    </row>
    <row r="23" spans="1:21" customFormat="1" ht="27" customHeight="1">
      <c r="A23" s="13"/>
      <c r="B23" s="13"/>
      <c r="C23" s="13"/>
      <c r="D23" s="13"/>
      <c r="E23" s="13"/>
      <c r="F23" s="13"/>
      <c r="G23" s="13"/>
      <c r="H23" s="13"/>
      <c r="I23" s="13"/>
      <c r="J23" s="13"/>
      <c r="K23" s="13"/>
      <c r="L23" s="13"/>
      <c r="M23" s="13" t="s">
        <v>452</v>
      </c>
      <c r="N23" s="13" cm="1">
        <f t="array" aca="1" ref="N23" ca="1">IF(SUMPRODUCT(N(B5:J21&lt;&gt;M5:U21))=0,1,0)</f>
        <v>1</v>
      </c>
      <c r="O23" s="13"/>
      <c r="P23" s="13"/>
      <c r="Q23" s="13"/>
      <c r="R23" s="13"/>
      <c r="S23" s="13"/>
      <c r="T23" s="13"/>
      <c r="U23" s="13"/>
    </row>
    <row r="24" spans="1:21" customFormat="1" ht="27" customHeight="1">
      <c r="A24" s="13"/>
      <c r="B24" s="13"/>
      <c r="C24" s="13"/>
      <c r="D24" s="13"/>
      <c r="E24" s="13"/>
      <c r="F24" s="13"/>
      <c r="G24" s="13"/>
      <c r="H24" s="13"/>
      <c r="I24" s="50"/>
      <c r="J24" s="13"/>
      <c r="K24" s="13"/>
      <c r="L24" s="13"/>
      <c r="M24" s="13"/>
      <c r="N24" s="13"/>
      <c r="O24" s="13"/>
      <c r="P24" s="13"/>
      <c r="Q24" s="13"/>
      <c r="R24" s="13"/>
      <c r="S24" s="13"/>
      <c r="T24" s="50"/>
      <c r="U24" s="13"/>
    </row>
    <row r="25" spans="1:21" customFormat="1" ht="48.75" customHeight="1">
      <c r="A25" s="13"/>
      <c r="B25" s="13"/>
      <c r="C25" s="13"/>
      <c r="D25" s="13"/>
      <c r="E25" s="13"/>
      <c r="F25" s="13"/>
      <c r="G25" s="13"/>
      <c r="H25" s="13"/>
      <c r="I25" s="50"/>
      <c r="J25" s="58"/>
      <c r="K25" s="58"/>
      <c r="L25" s="13"/>
      <c r="M25" s="13"/>
      <c r="N25" s="13"/>
      <c r="O25" s="13"/>
      <c r="P25" s="13"/>
      <c r="Q25" s="13"/>
      <c r="R25" s="13"/>
      <c r="S25" s="13"/>
      <c r="T25" s="50"/>
      <c r="U25" s="58"/>
    </row>
    <row r="26" spans="1:21" customFormat="1" ht="27" customHeight="1">
      <c r="A26" s="13"/>
      <c r="B26" s="13"/>
      <c r="C26" s="13"/>
      <c r="D26" s="13"/>
      <c r="E26" s="13"/>
      <c r="F26" s="13"/>
      <c r="G26" s="13"/>
      <c r="H26" s="13"/>
      <c r="I26" s="50"/>
      <c r="J26" s="58"/>
      <c r="K26" s="58"/>
      <c r="L26" s="13"/>
      <c r="M26" s="13"/>
      <c r="N26" s="13"/>
      <c r="O26" s="13"/>
      <c r="P26" s="13"/>
      <c r="Q26" s="13"/>
      <c r="R26" s="13"/>
      <c r="S26" s="13"/>
      <c r="T26" s="50"/>
      <c r="U26" s="58"/>
    </row>
    <row r="27" spans="1:21" customFormat="1" ht="55.5" customHeight="1">
      <c r="A27" s="13"/>
      <c r="B27" s="13"/>
      <c r="C27" s="13"/>
      <c r="D27" s="13"/>
      <c r="E27" s="13"/>
      <c r="F27" s="13"/>
      <c r="G27" s="13"/>
      <c r="H27" s="13"/>
      <c r="I27" s="13"/>
      <c r="J27" s="47"/>
      <c r="K27" s="13"/>
      <c r="L27" s="13"/>
      <c r="M27" s="13"/>
      <c r="N27" s="13"/>
      <c r="O27" s="13"/>
      <c r="P27" s="13"/>
      <c r="Q27" s="13"/>
      <c r="R27" s="13"/>
      <c r="S27" s="13"/>
      <c r="T27" s="13"/>
      <c r="U27" s="47"/>
    </row>
    <row r="28" spans="1:21" ht="32.25" customHeight="1">
      <c r="A28" s="13"/>
      <c r="B28" s="13"/>
      <c r="C28" s="13"/>
      <c r="D28" s="13"/>
      <c r="E28" s="13"/>
      <c r="F28" s="13"/>
      <c r="G28" s="13"/>
      <c r="H28" s="13"/>
      <c r="J28" s="40"/>
      <c r="M28" s="13"/>
      <c r="N28" s="13"/>
      <c r="O28" s="13"/>
      <c r="P28" s="13"/>
      <c r="Q28" s="13"/>
      <c r="R28" s="13"/>
      <c r="S28" s="13"/>
      <c r="U28" s="40"/>
    </row>
    <row r="29" spans="1:21" ht="32.25" customHeight="1">
      <c r="A29" s="13"/>
      <c r="B29" s="13"/>
      <c r="C29" s="13"/>
      <c r="D29" s="13"/>
      <c r="E29" s="13"/>
      <c r="F29" s="13"/>
      <c r="G29" s="13"/>
      <c r="H29" s="13"/>
      <c r="J29" s="40"/>
      <c r="M29" s="13"/>
      <c r="N29" s="13"/>
      <c r="O29" s="13"/>
      <c r="P29" s="13"/>
      <c r="Q29" s="13"/>
      <c r="R29" s="13"/>
      <c r="S29" s="13"/>
      <c r="U29" s="40"/>
    </row>
    <row r="30" spans="1:21" ht="32.25" customHeight="1">
      <c r="A30" s="13"/>
      <c r="B30" s="13"/>
      <c r="C30" s="13"/>
      <c r="D30" s="13"/>
      <c r="E30" s="13"/>
      <c r="F30" s="13"/>
      <c r="G30" s="13"/>
      <c r="H30" s="13"/>
      <c r="J30" s="40"/>
      <c r="M30" s="13"/>
      <c r="N30" s="13"/>
      <c r="O30" s="13"/>
      <c r="P30" s="13"/>
      <c r="Q30" s="13"/>
      <c r="R30" s="13"/>
      <c r="S30" s="13"/>
      <c r="U30" s="40"/>
    </row>
    <row r="31" spans="1:21" ht="32.25" customHeight="1">
      <c r="A31" s="13"/>
      <c r="B31" s="13"/>
      <c r="C31" s="13"/>
      <c r="D31" s="13"/>
      <c r="E31" s="13"/>
      <c r="F31" s="13"/>
      <c r="G31" s="13"/>
      <c r="H31" s="13"/>
      <c r="J31" s="40"/>
      <c r="M31" s="13"/>
      <c r="N31" s="13"/>
      <c r="O31" s="13"/>
      <c r="P31" s="13"/>
      <c r="Q31" s="13"/>
      <c r="R31" s="13"/>
      <c r="S31" s="13"/>
      <c r="U31" s="40"/>
    </row>
    <row r="32" spans="1:21" ht="32.25" customHeight="1">
      <c r="A32" s="13"/>
      <c r="B32" s="13"/>
      <c r="C32" s="13"/>
      <c r="D32" s="13"/>
      <c r="E32" s="13"/>
      <c r="F32" s="13"/>
      <c r="G32" s="13"/>
      <c r="H32" s="13"/>
      <c r="J32" s="40"/>
      <c r="M32" s="13"/>
      <c r="N32" s="13"/>
      <c r="O32" s="13"/>
      <c r="P32" s="13"/>
      <c r="Q32" s="13"/>
      <c r="R32" s="13"/>
      <c r="S32" s="13"/>
      <c r="U32" s="40"/>
    </row>
    <row r="33" spans="1:21" ht="32.25" customHeight="1">
      <c r="A33" s="13"/>
      <c r="B33" s="13"/>
      <c r="C33" s="13"/>
      <c r="D33" s="13"/>
      <c r="E33" s="13"/>
      <c r="F33" s="13"/>
      <c r="G33" s="13"/>
      <c r="H33" s="13"/>
      <c r="J33" s="40"/>
      <c r="M33" s="13"/>
      <c r="N33" s="13"/>
      <c r="O33" s="13"/>
      <c r="P33" s="13"/>
      <c r="Q33" s="13"/>
      <c r="R33" s="13"/>
      <c r="S33" s="13"/>
      <c r="U33" s="40"/>
    </row>
    <row r="34" spans="1:21" ht="32.25" customHeight="1">
      <c r="A34" s="13"/>
      <c r="B34" s="13"/>
      <c r="C34" s="13"/>
      <c r="D34" s="13"/>
      <c r="E34" s="13"/>
      <c r="F34" s="13"/>
      <c r="G34" s="13"/>
      <c r="H34" s="13"/>
      <c r="J34" s="40"/>
      <c r="M34" s="13"/>
      <c r="N34" s="13"/>
      <c r="O34" s="13"/>
      <c r="P34" s="13"/>
      <c r="Q34" s="13"/>
      <c r="R34" s="13"/>
      <c r="S34" s="13"/>
      <c r="U34" s="40"/>
    </row>
    <row r="35" spans="1:21" ht="32.25" customHeight="1">
      <c r="A35" s="13"/>
      <c r="B35" s="13"/>
      <c r="C35" s="13"/>
      <c r="D35" s="13"/>
      <c r="E35" s="13"/>
      <c r="F35" s="13"/>
      <c r="G35" s="13"/>
      <c r="H35" s="13"/>
      <c r="J35" s="40"/>
      <c r="M35" s="13"/>
      <c r="N35" s="13"/>
      <c r="O35" s="13"/>
      <c r="P35" s="13"/>
      <c r="Q35" s="13"/>
      <c r="R35" s="13"/>
      <c r="S35" s="13"/>
      <c r="U35" s="40"/>
    </row>
    <row r="36" spans="1:21" ht="32.25" customHeight="1">
      <c r="A36" s="13"/>
      <c r="B36" s="13"/>
      <c r="C36" s="13"/>
      <c r="D36" s="13"/>
      <c r="E36" s="13"/>
      <c r="F36" s="13"/>
      <c r="G36" s="13"/>
      <c r="H36" s="13"/>
      <c r="J36" s="40"/>
      <c r="M36" s="13"/>
      <c r="N36" s="13"/>
      <c r="O36" s="13"/>
      <c r="P36" s="13"/>
      <c r="Q36" s="13"/>
      <c r="R36" s="13"/>
      <c r="S36" s="13"/>
      <c r="U36" s="40"/>
    </row>
    <row r="37" spans="1:21" ht="32.25" customHeight="1">
      <c r="A37" s="13"/>
      <c r="B37" s="13"/>
      <c r="C37" s="13"/>
      <c r="D37" s="13"/>
      <c r="E37" s="13"/>
      <c r="F37" s="13"/>
      <c r="G37" s="13"/>
      <c r="H37" s="13"/>
      <c r="J37" s="40"/>
      <c r="M37" s="13"/>
      <c r="N37" s="13"/>
      <c r="O37" s="13"/>
      <c r="P37" s="13"/>
      <c r="Q37" s="13"/>
      <c r="R37" s="13"/>
      <c r="S37" s="13"/>
      <c r="U37" s="40"/>
    </row>
    <row r="38" spans="1:21" ht="32.25" customHeight="1">
      <c r="A38" s="13"/>
      <c r="B38" s="13"/>
      <c r="C38" s="13"/>
      <c r="D38" s="13"/>
      <c r="E38" s="13"/>
      <c r="F38" s="13"/>
      <c r="G38" s="13"/>
      <c r="H38" s="13"/>
      <c r="J38" s="40"/>
      <c r="M38" s="13"/>
      <c r="N38" s="13"/>
      <c r="O38" s="13"/>
      <c r="P38" s="13"/>
      <c r="Q38" s="13"/>
      <c r="R38" s="13"/>
      <c r="S38" s="13"/>
      <c r="U38" s="40"/>
    </row>
    <row r="39" spans="1:21" ht="32.25" customHeight="1">
      <c r="A39" s="13"/>
      <c r="B39" s="13"/>
      <c r="C39" s="13"/>
      <c r="D39" s="13"/>
      <c r="E39" s="13"/>
      <c r="F39" s="13"/>
      <c r="G39" s="13"/>
      <c r="H39" s="13"/>
      <c r="J39" s="40"/>
      <c r="M39" s="13"/>
      <c r="N39" s="13"/>
      <c r="O39" s="13"/>
      <c r="P39" s="13"/>
      <c r="Q39" s="13"/>
      <c r="R39" s="13"/>
      <c r="S39" s="13"/>
      <c r="U39" s="40"/>
    </row>
    <row r="40" spans="1:21" ht="32.25" customHeight="1">
      <c r="A40" s="13"/>
      <c r="B40" s="13"/>
      <c r="C40" s="13"/>
      <c r="D40" s="13"/>
      <c r="E40" s="13"/>
      <c r="F40" s="13"/>
      <c r="G40" s="13"/>
      <c r="H40" s="13"/>
      <c r="J40" s="40"/>
      <c r="M40" s="13"/>
      <c r="N40" s="13"/>
      <c r="O40" s="13"/>
      <c r="P40" s="13"/>
      <c r="Q40" s="13"/>
      <c r="R40" s="13"/>
      <c r="S40" s="13"/>
      <c r="U40" s="40"/>
    </row>
    <row r="41" spans="1:21" ht="32.25" customHeight="1">
      <c r="A41" s="13"/>
      <c r="B41" s="13"/>
      <c r="C41" s="13"/>
      <c r="D41" s="13"/>
      <c r="E41" s="13"/>
      <c r="F41" s="13"/>
      <c r="G41" s="13"/>
      <c r="H41" s="13"/>
      <c r="J41" s="40"/>
      <c r="M41" s="13"/>
      <c r="N41" s="13"/>
      <c r="O41" s="13"/>
      <c r="P41" s="13"/>
      <c r="Q41" s="13"/>
      <c r="R41" s="13"/>
      <c r="S41" s="13"/>
      <c r="U41" s="40"/>
    </row>
    <row r="42" spans="1:21" ht="32.25" customHeight="1">
      <c r="A42" s="13"/>
      <c r="B42" s="13"/>
      <c r="C42" s="13"/>
      <c r="D42" s="13"/>
      <c r="E42" s="13"/>
      <c r="F42" s="13"/>
      <c r="G42" s="13"/>
      <c r="H42" s="13"/>
      <c r="J42" s="40"/>
      <c r="M42" s="13"/>
      <c r="N42" s="13"/>
      <c r="O42" s="13"/>
      <c r="P42" s="13"/>
      <c r="Q42" s="13"/>
      <c r="R42" s="13"/>
      <c r="S42" s="13"/>
      <c r="U42" s="40"/>
    </row>
    <row r="43" spans="1:21" ht="32.25" customHeight="1">
      <c r="A43" s="13"/>
      <c r="B43" s="13"/>
      <c r="C43" s="13"/>
      <c r="D43" s="13"/>
      <c r="E43" s="13"/>
      <c r="F43" s="13"/>
      <c r="G43" s="13"/>
      <c r="H43" s="13"/>
      <c r="J43" s="40"/>
      <c r="M43" s="13"/>
      <c r="N43" s="13"/>
      <c r="O43" s="13"/>
      <c r="P43" s="13"/>
      <c r="Q43" s="13"/>
      <c r="R43" s="13"/>
      <c r="S43" s="13"/>
      <c r="U43" s="40"/>
    </row>
    <row r="44" spans="1:21" ht="32.25" customHeight="1">
      <c r="A44" s="13"/>
      <c r="B44" s="13"/>
      <c r="C44" s="13"/>
      <c r="D44" s="13"/>
      <c r="E44" s="13"/>
      <c r="F44" s="13"/>
      <c r="G44" s="13"/>
      <c r="H44" s="13"/>
      <c r="J44" s="40"/>
      <c r="M44" s="13"/>
      <c r="N44" s="13"/>
      <c r="O44" s="13"/>
      <c r="P44" s="13"/>
      <c r="Q44" s="13"/>
      <c r="R44" s="13"/>
      <c r="S44" s="13"/>
      <c r="U44" s="40"/>
    </row>
    <row r="45" spans="1:21" ht="32.25" customHeight="1">
      <c r="A45" s="13"/>
      <c r="B45" s="13"/>
      <c r="C45" s="13"/>
      <c r="D45" s="13"/>
      <c r="E45" s="13"/>
      <c r="F45" s="13"/>
      <c r="G45" s="13"/>
      <c r="H45" s="13"/>
      <c r="J45" s="40"/>
      <c r="M45" s="13"/>
      <c r="N45" s="13"/>
      <c r="O45" s="13"/>
      <c r="P45" s="13"/>
      <c r="Q45" s="13"/>
      <c r="R45" s="13"/>
      <c r="S45" s="13"/>
      <c r="U45" s="40"/>
    </row>
    <row r="46" spans="1:21" ht="32.25" customHeight="1">
      <c r="A46" s="13"/>
      <c r="B46" s="13"/>
      <c r="C46" s="13"/>
      <c r="D46" s="13"/>
      <c r="E46" s="13"/>
      <c r="F46" s="13"/>
      <c r="G46" s="13"/>
      <c r="H46" s="13"/>
      <c r="J46" s="40"/>
      <c r="M46" s="13"/>
      <c r="N46" s="13"/>
      <c r="O46" s="13"/>
      <c r="P46" s="13"/>
      <c r="Q46" s="13"/>
      <c r="R46" s="13"/>
      <c r="S46" s="13"/>
      <c r="U46" s="40"/>
    </row>
    <row r="47" spans="1:21" ht="32.25" customHeight="1">
      <c r="A47" s="13"/>
      <c r="B47" s="13"/>
      <c r="C47" s="13"/>
      <c r="D47" s="13"/>
      <c r="E47" s="13"/>
      <c r="F47" s="13"/>
      <c r="G47" s="13"/>
      <c r="H47" s="13"/>
      <c r="J47" s="40"/>
      <c r="M47" s="13"/>
      <c r="N47" s="13"/>
      <c r="O47" s="13"/>
      <c r="P47" s="13"/>
      <c r="Q47" s="13"/>
      <c r="R47" s="13"/>
      <c r="S47" s="13"/>
      <c r="U47" s="40"/>
    </row>
    <row r="48" spans="1:21" ht="32.25" customHeight="1">
      <c r="A48" s="13"/>
      <c r="B48" s="13"/>
      <c r="C48" s="13"/>
      <c r="D48" s="13"/>
      <c r="E48" s="13"/>
      <c r="F48" s="13"/>
      <c r="G48" s="13"/>
      <c r="H48" s="13"/>
      <c r="J48" s="40"/>
      <c r="M48" s="13"/>
      <c r="N48" s="13"/>
      <c r="O48" s="13"/>
      <c r="P48" s="13"/>
      <c r="Q48" s="13"/>
      <c r="R48" s="13"/>
      <c r="S48" s="13"/>
      <c r="U48" s="40"/>
    </row>
    <row r="49" spans="1:21" ht="32.25" customHeight="1">
      <c r="A49" s="13"/>
      <c r="B49" s="13"/>
      <c r="C49" s="13"/>
      <c r="D49" s="13"/>
      <c r="E49" s="13"/>
      <c r="F49" s="13"/>
      <c r="G49" s="13"/>
      <c r="H49" s="13"/>
      <c r="J49" s="40"/>
      <c r="M49" s="13"/>
      <c r="N49" s="13"/>
      <c r="O49" s="13"/>
      <c r="P49" s="13"/>
      <c r="Q49" s="13"/>
      <c r="R49" s="13"/>
      <c r="S49" s="13"/>
      <c r="U49" s="40"/>
    </row>
    <row r="50" spans="1:21" ht="32.25" customHeight="1">
      <c r="A50" s="13"/>
      <c r="B50" s="13"/>
      <c r="C50" s="13"/>
      <c r="D50" s="13"/>
      <c r="E50" s="13"/>
      <c r="F50" s="13"/>
      <c r="G50" s="13"/>
      <c r="H50" s="13"/>
      <c r="J50" s="40"/>
      <c r="M50" s="13"/>
      <c r="N50" s="13"/>
      <c r="O50" s="13"/>
      <c r="P50" s="13"/>
      <c r="Q50" s="13"/>
      <c r="R50" s="13"/>
      <c r="S50" s="13"/>
      <c r="U50" s="40"/>
    </row>
    <row r="51" spans="1:21" ht="32.25" customHeight="1">
      <c r="A51" s="13"/>
      <c r="B51" s="13"/>
      <c r="C51" s="13"/>
      <c r="D51" s="13"/>
      <c r="E51" s="13"/>
      <c r="F51" s="13"/>
      <c r="G51" s="13"/>
      <c r="H51" s="13"/>
      <c r="J51" s="40"/>
      <c r="M51" s="13"/>
      <c r="N51" s="13"/>
      <c r="O51" s="13"/>
      <c r="P51" s="13"/>
      <c r="Q51" s="13"/>
      <c r="R51" s="13"/>
      <c r="S51" s="13"/>
      <c r="U51" s="40"/>
    </row>
    <row r="52" spans="1:21" ht="32.25" customHeight="1">
      <c r="A52" s="13"/>
      <c r="B52" s="13"/>
      <c r="C52" s="13"/>
      <c r="D52" s="13"/>
      <c r="E52" s="13"/>
      <c r="F52" s="13"/>
      <c r="G52" s="13"/>
      <c r="H52" s="13"/>
      <c r="J52" s="40"/>
      <c r="M52" s="13"/>
      <c r="N52" s="13"/>
      <c r="O52" s="13"/>
      <c r="P52" s="13"/>
      <c r="Q52" s="13"/>
      <c r="R52" s="13"/>
      <c r="S52" s="13"/>
      <c r="U52" s="40"/>
    </row>
    <row r="53" spans="1:21" ht="32.25" customHeight="1">
      <c r="A53" s="13"/>
      <c r="B53" s="13"/>
      <c r="C53" s="13"/>
      <c r="D53" s="13"/>
      <c r="E53" s="13"/>
      <c r="F53" s="13"/>
      <c r="G53" s="13"/>
      <c r="H53" s="13"/>
      <c r="J53" s="40"/>
      <c r="M53" s="13"/>
      <c r="N53" s="13"/>
      <c r="O53" s="13"/>
      <c r="P53" s="13"/>
      <c r="Q53" s="13"/>
      <c r="R53" s="13"/>
      <c r="S53" s="13"/>
      <c r="U53" s="40"/>
    </row>
    <row r="54" spans="1:21" ht="32.25" customHeight="1">
      <c r="A54" s="13"/>
      <c r="B54" s="13"/>
      <c r="C54" s="13"/>
      <c r="D54" s="13"/>
      <c r="E54" s="13"/>
      <c r="F54" s="13"/>
      <c r="G54" s="13"/>
      <c r="H54" s="13"/>
      <c r="J54" s="40"/>
      <c r="M54" s="13"/>
      <c r="N54" s="13"/>
      <c r="O54" s="13"/>
      <c r="P54" s="13"/>
      <c r="Q54" s="13"/>
      <c r="R54" s="13"/>
      <c r="S54" s="13"/>
      <c r="U54" s="40"/>
    </row>
    <row r="55" spans="1:21" ht="32.25" customHeight="1">
      <c r="A55" s="13"/>
      <c r="B55" s="13"/>
      <c r="C55" s="13"/>
      <c r="D55" s="13"/>
      <c r="E55" s="13"/>
      <c r="F55" s="13"/>
      <c r="G55" s="13"/>
      <c r="H55" s="13"/>
      <c r="J55" s="40"/>
      <c r="M55" s="13"/>
      <c r="N55" s="13"/>
      <c r="O55" s="13"/>
      <c r="P55" s="13"/>
      <c r="Q55" s="13"/>
      <c r="R55" s="13"/>
      <c r="S55" s="13"/>
      <c r="U55" s="40"/>
    </row>
    <row r="56" spans="1:21" ht="32.25" customHeight="1">
      <c r="A56" s="13"/>
      <c r="B56" s="13"/>
      <c r="C56" s="13"/>
      <c r="D56" s="13"/>
      <c r="E56" s="13"/>
      <c r="F56" s="13"/>
      <c r="G56" s="13"/>
      <c r="H56" s="13"/>
      <c r="J56" s="40"/>
      <c r="M56" s="13"/>
      <c r="N56" s="13"/>
      <c r="O56" s="13"/>
      <c r="P56" s="13"/>
      <c r="Q56" s="13"/>
      <c r="R56" s="13"/>
      <c r="S56" s="13"/>
      <c r="U56" s="40"/>
    </row>
    <row r="57" spans="1:21" ht="32.25" customHeight="1">
      <c r="A57" s="13"/>
      <c r="B57" s="13"/>
      <c r="C57" s="13"/>
      <c r="D57" s="13"/>
      <c r="E57" s="13"/>
      <c r="F57" s="13"/>
      <c r="G57" s="13"/>
      <c r="H57" s="13"/>
      <c r="J57" s="40"/>
      <c r="M57" s="13"/>
      <c r="N57" s="13"/>
      <c r="O57" s="13"/>
      <c r="P57" s="13"/>
      <c r="Q57" s="13"/>
      <c r="R57" s="13"/>
      <c r="S57" s="13"/>
      <c r="U57" s="40"/>
    </row>
    <row r="58" spans="1:21" customFormat="1">
      <c r="A58" s="13"/>
      <c r="B58" s="13"/>
      <c r="C58" s="13"/>
      <c r="D58" s="13"/>
      <c r="E58" s="13"/>
      <c r="F58" s="13"/>
      <c r="G58" s="13"/>
      <c r="H58" s="13"/>
      <c r="I58" s="13"/>
      <c r="J58" s="47"/>
      <c r="K58" s="47"/>
      <c r="L58" s="13"/>
      <c r="M58" s="13"/>
      <c r="N58" s="13"/>
      <c r="O58" s="13"/>
      <c r="P58" s="13"/>
      <c r="Q58" s="13"/>
      <c r="R58" s="13"/>
      <c r="S58" s="13"/>
      <c r="T58" s="13"/>
      <c r="U58" s="47"/>
    </row>
    <row r="59" spans="1:21" customFormat="1">
      <c r="A59" s="13"/>
      <c r="B59" s="13"/>
      <c r="C59" s="13"/>
      <c r="D59" s="13"/>
      <c r="E59" s="13"/>
      <c r="F59" s="13"/>
      <c r="G59" s="13"/>
      <c r="H59" s="13"/>
      <c r="I59" s="13"/>
      <c r="J59" s="13"/>
      <c r="K59" s="13"/>
      <c r="L59" s="13"/>
      <c r="M59" s="13"/>
      <c r="N59" s="13"/>
      <c r="O59" s="13"/>
      <c r="P59" s="13"/>
      <c r="Q59" s="13"/>
      <c r="R59" s="13"/>
      <c r="S59" s="13"/>
      <c r="T59" s="13"/>
      <c r="U59" s="13"/>
    </row>
    <row r="60" spans="1:21" customFormat="1">
      <c r="A60" s="13"/>
      <c r="B60" s="13"/>
      <c r="C60" s="13"/>
      <c r="D60" s="13"/>
      <c r="E60" s="13"/>
      <c r="F60" s="13"/>
      <c r="G60" s="13"/>
      <c r="H60" s="13"/>
      <c r="I60" s="13"/>
      <c r="J60" s="13"/>
      <c r="K60" s="13"/>
      <c r="L60" s="13"/>
      <c r="M60" s="13"/>
      <c r="N60" s="13"/>
      <c r="O60" s="13"/>
      <c r="P60" s="13"/>
      <c r="Q60" s="13"/>
      <c r="R60" s="13"/>
      <c r="S60" s="13"/>
      <c r="T60" s="13"/>
      <c r="U60" s="13"/>
    </row>
    <row r="61" spans="1:21">
      <c r="A61" s="13"/>
      <c r="B61" s="13"/>
      <c r="C61" s="13"/>
      <c r="D61" s="13"/>
      <c r="E61" s="13"/>
      <c r="F61" s="13"/>
      <c r="G61" s="13"/>
      <c r="H61" s="13"/>
      <c r="M61" s="13"/>
      <c r="N61" s="13"/>
      <c r="O61" s="13"/>
      <c r="P61" s="13"/>
      <c r="Q61" s="13"/>
      <c r="R61" s="13"/>
      <c r="S61" s="13"/>
    </row>
    <row r="62" spans="1:21">
      <c r="A62" s="13"/>
      <c r="B62" s="13"/>
      <c r="C62" s="13"/>
      <c r="D62" s="13"/>
      <c r="E62" s="13"/>
      <c r="F62" s="13"/>
      <c r="G62" s="13"/>
      <c r="H62" s="13"/>
      <c r="M62" s="13"/>
      <c r="N62" s="13"/>
      <c r="O62" s="13"/>
      <c r="P62" s="13"/>
      <c r="Q62" s="13"/>
      <c r="R62" s="13"/>
      <c r="S62" s="13"/>
    </row>
    <row r="63" spans="1:21">
      <c r="A63" s="13"/>
      <c r="B63" s="13"/>
      <c r="C63" s="13"/>
      <c r="D63" s="13"/>
      <c r="E63" s="13"/>
      <c r="F63" s="13"/>
      <c r="G63" s="13"/>
      <c r="H63" s="13"/>
      <c r="M63" s="13"/>
      <c r="N63" s="13"/>
      <c r="O63" s="13"/>
      <c r="P63" s="13"/>
      <c r="Q63" s="13"/>
      <c r="R63" s="13"/>
      <c r="S63" s="13"/>
    </row>
    <row r="64" spans="1:21">
      <c r="A64" s="13"/>
      <c r="B64" s="13"/>
      <c r="C64" s="13"/>
      <c r="D64" s="13"/>
      <c r="E64" s="13"/>
      <c r="F64" s="13"/>
      <c r="G64" s="13"/>
      <c r="H64" s="13"/>
      <c r="M64" s="13"/>
      <c r="N64" s="13"/>
      <c r="O64" s="13"/>
      <c r="P64" s="13"/>
      <c r="Q64" s="13"/>
      <c r="R64" s="13"/>
      <c r="S64" s="13"/>
    </row>
    <row r="65" spans="1:19">
      <c r="A65" s="13"/>
      <c r="B65" s="13"/>
      <c r="C65" s="13"/>
      <c r="D65" s="13"/>
      <c r="E65" s="13"/>
      <c r="F65" s="13"/>
      <c r="G65" s="13"/>
      <c r="H65" s="13"/>
      <c r="M65" s="13"/>
      <c r="N65" s="13"/>
      <c r="O65" s="13"/>
      <c r="P65" s="13"/>
      <c r="Q65" s="13"/>
      <c r="R65" s="13"/>
      <c r="S65" s="13"/>
    </row>
    <row r="66" spans="1:19">
      <c r="A66" s="13"/>
      <c r="B66" s="13"/>
      <c r="C66" s="13"/>
      <c r="D66" s="13"/>
      <c r="E66" s="13"/>
      <c r="F66" s="13"/>
      <c r="G66" s="13"/>
      <c r="H66" s="13"/>
      <c r="M66" s="13"/>
      <c r="N66" s="13"/>
      <c r="O66" s="13"/>
      <c r="P66" s="13"/>
      <c r="Q66" s="13"/>
      <c r="R66" s="13"/>
      <c r="S66" s="13"/>
    </row>
    <row r="67" spans="1:19">
      <c r="A67" s="13"/>
      <c r="B67" s="13"/>
      <c r="C67" s="13"/>
      <c r="D67" s="13"/>
      <c r="E67" s="13"/>
      <c r="F67" s="13"/>
      <c r="G67" s="13"/>
      <c r="H67" s="13"/>
      <c r="M67" s="13"/>
      <c r="N67" s="13"/>
      <c r="O67" s="13"/>
      <c r="P67" s="13"/>
      <c r="Q67" s="13"/>
      <c r="R67" s="13"/>
      <c r="S67" s="13"/>
    </row>
    <row r="68" spans="1:19">
      <c r="A68" s="13"/>
      <c r="B68" s="13"/>
      <c r="C68" s="13"/>
      <c r="D68" s="13"/>
      <c r="E68" s="13"/>
      <c r="F68" s="13"/>
      <c r="G68" s="13"/>
      <c r="H68" s="13"/>
      <c r="M68" s="13"/>
      <c r="N68" s="13"/>
      <c r="O68" s="13"/>
      <c r="P68" s="13"/>
      <c r="Q68" s="13"/>
      <c r="R68" s="13"/>
      <c r="S68" s="13"/>
    </row>
    <row r="69" spans="1:19">
      <c r="A69" s="13"/>
      <c r="B69" s="13"/>
      <c r="C69" s="13"/>
      <c r="D69" s="13"/>
      <c r="E69" s="13"/>
      <c r="F69" s="13"/>
      <c r="G69" s="13"/>
      <c r="H69" s="13"/>
      <c r="M69" s="13"/>
      <c r="N69" s="13"/>
      <c r="O69" s="13"/>
      <c r="P69" s="13"/>
      <c r="Q69" s="13"/>
      <c r="R69" s="13"/>
      <c r="S69" s="13"/>
    </row>
    <row r="70" spans="1:19">
      <c r="A70" s="13"/>
      <c r="B70" s="13"/>
      <c r="C70" s="13"/>
      <c r="D70" s="13"/>
      <c r="E70" s="13"/>
      <c r="F70" s="13"/>
      <c r="G70" s="13"/>
      <c r="H70" s="13"/>
      <c r="M70" s="13"/>
      <c r="N70" s="13"/>
      <c r="O70" s="13"/>
      <c r="P70" s="13"/>
      <c r="Q70" s="13"/>
      <c r="R70" s="13"/>
      <c r="S70" s="13"/>
    </row>
    <row r="71" spans="1:19">
      <c r="D71" s="37"/>
      <c r="E71" s="37"/>
      <c r="F71" s="37"/>
      <c r="O71" s="37"/>
      <c r="P71" s="37"/>
      <c r="Q71" s="37"/>
    </row>
    <row r="72" spans="1:19">
      <c r="D72" s="37"/>
      <c r="E72" s="37"/>
      <c r="F72" s="37"/>
      <c r="O72" s="37"/>
      <c r="P72" s="37"/>
      <c r="Q72" s="37"/>
    </row>
    <row r="73" spans="1:19">
      <c r="D73" s="37"/>
      <c r="E73" s="37"/>
      <c r="F73" s="37"/>
      <c r="O73" s="37"/>
      <c r="P73" s="37"/>
      <c r="Q73" s="37"/>
    </row>
    <row r="74" spans="1:19">
      <c r="D74" s="37"/>
      <c r="E74" s="37"/>
      <c r="F74" s="37"/>
      <c r="O74" s="37"/>
      <c r="P74" s="37"/>
      <c r="Q74" s="37"/>
    </row>
  </sheetData>
  <sheetProtection algorithmName="SHA-512" hashValue="UEO5H9gcn6D9pGkqG0oYACScGd7Do62vUbsJbtA2gJKtXMdUKC7z6+hfPMj14NzvYxDiRQFhHaobGmxInXDxyA==" saltValue="YpejqW+EuyufjLbwlAbOTw==" spinCount="100000" sheet="1" formatCells="0"/>
  <mergeCells count="18">
    <mergeCell ref="C18:D18"/>
    <mergeCell ref="F19:F20"/>
    <mergeCell ref="B4:I4"/>
    <mergeCell ref="C7:D7"/>
    <mergeCell ref="C8:D8"/>
    <mergeCell ref="C9:D9"/>
    <mergeCell ref="F10:F11"/>
    <mergeCell ref="B3:I3"/>
    <mergeCell ref="N7:O7"/>
    <mergeCell ref="N8:O8"/>
    <mergeCell ref="C16:D16"/>
    <mergeCell ref="C17:D17"/>
    <mergeCell ref="Q19:Q20"/>
    <mergeCell ref="N9:O9"/>
    <mergeCell ref="Q10:Q11"/>
    <mergeCell ref="N16:O16"/>
    <mergeCell ref="N17:O17"/>
    <mergeCell ref="N18:O18"/>
  </mergeCells>
  <phoneticPr fontId="1"/>
  <conditionalFormatting sqref="C8:D8 F8 H8 C17:D17 F17 H17">
    <cfRule type="expression" dxfId="545" priority="1">
      <formula>C8&lt;&gt;N8</formula>
    </cfRule>
  </conditionalFormatting>
  <conditionalFormatting sqref="C8:D8 F8 H8">
    <cfRule type="cellIs" dxfId="544" priority="32" operator="equal">
      <formula>0</formula>
    </cfRule>
  </conditionalFormatting>
  <conditionalFormatting sqref="C17:D17">
    <cfRule type="cellIs" dxfId="543" priority="6" operator="equal">
      <formula>0</formula>
    </cfRule>
  </conditionalFormatting>
  <conditionalFormatting sqref="F17">
    <cfRule type="cellIs" dxfId="542" priority="7" operator="equal">
      <formula>0</formula>
    </cfRule>
  </conditionalFormatting>
  <conditionalFormatting sqref="H17">
    <cfRule type="cellIs" dxfId="541" priority="8" operator="equal">
      <formula>0</formula>
    </cfRule>
  </conditionalFormatting>
  <dataValidations disablePrompts="1" count="1">
    <dataValidation type="decimal" operator="greaterThanOrEqual" allowBlank="1" showInputMessage="1" showErrorMessage="1" error="数値で入力してください" sqref="E21:E22 E12:E13 P21:P22 P12" xr:uid="{81B0AF7F-F4BD-40EA-A1D5-EDB72E047426}">
      <formula1>0</formula1>
    </dataValidation>
  </dataValidations>
  <pageMargins left="0.7" right="0.7" top="0.75" bottom="0.75" header="0.3" footer="0.3"/>
  <pageSetup paperSize="8" scale="69" orientation="landscape" r:id="rId1"/>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FC2A-3C3B-4042-A4EF-FC20A6F8E0FD}">
  <sheetPr codeName="Sheet31">
    <tabColor theme="7" tint="0.79998168889431442"/>
    <pageSetUpPr autoPageBreaks="0" fitToPage="1"/>
  </sheetPr>
  <dimension ref="A1:N68"/>
  <sheetViews>
    <sheetView showGridLines="0" zoomScale="70" zoomScaleNormal="70" zoomScaleSheetLayoutView="90" workbookViewId="0"/>
  </sheetViews>
  <sheetFormatPr defaultColWidth="9" defaultRowHeight="18"/>
  <cols>
    <col min="1" max="1" width="3.75" style="13" customWidth="1"/>
    <col min="2" max="2" width="0.83203125" style="13" customWidth="1"/>
    <col min="3" max="3" width="8.83203125" style="13" customWidth="1"/>
    <col min="4" max="4" width="25.58203125" style="13" customWidth="1"/>
    <col min="5" max="5" width="9.83203125" style="13" customWidth="1"/>
    <col min="6" max="6" width="30.75" style="13" customWidth="1"/>
    <col min="7" max="7" width="20.75" style="13" customWidth="1"/>
    <col min="8" max="8" width="0.83203125" style="13" customWidth="1"/>
    <col min="9" max="9" width="3.25" style="13" customWidth="1"/>
    <col min="10" max="10" width="9" style="13"/>
    <col min="11" max="11" width="9" customWidth="1"/>
    <col min="12" max="12" width="8.83203125" hidden="1" customWidth="1"/>
    <col min="13" max="13" width="23.83203125" hidden="1" customWidth="1"/>
    <col min="14" max="14" width="14.58203125" hidden="1" customWidth="1"/>
    <col min="15" max="15" width="9.83203125" customWidth="1"/>
    <col min="16" max="16" width="30.75" customWidth="1"/>
    <col min="17" max="17" width="20.75" customWidth="1"/>
  </cols>
  <sheetData>
    <row r="1" spans="1:14">
      <c r="A1" s="35" t="s">
        <v>364</v>
      </c>
      <c r="G1"/>
    </row>
    <row r="2" spans="1:14" ht="18.75" customHeight="1">
      <c r="A2" s="13" t="s">
        <v>48</v>
      </c>
      <c r="B2"/>
    </row>
    <row r="3" spans="1:14" ht="18.75" customHeight="1">
      <c r="A3" s="13" t="s">
        <v>49</v>
      </c>
      <c r="B3"/>
      <c r="C3" s="17"/>
    </row>
    <row r="4" spans="1:14" ht="18.75" customHeight="1">
      <c r="B4"/>
      <c r="C4" s="17"/>
      <c r="L4" t="s">
        <v>314</v>
      </c>
      <c r="M4" t="s">
        <v>314</v>
      </c>
    </row>
    <row r="5" spans="1:14" ht="6" customHeight="1">
      <c r="C5" s="17"/>
    </row>
    <row r="6" spans="1:14" ht="6" customHeight="1">
      <c r="B6" s="14"/>
      <c r="C6" s="18"/>
      <c r="D6" s="15"/>
      <c r="E6" s="15"/>
      <c r="F6" s="18"/>
      <c r="G6" s="15"/>
      <c r="H6" s="30"/>
    </row>
    <row r="7" spans="1:14">
      <c r="B7" s="16"/>
      <c r="C7" s="84"/>
      <c r="D7" s="101"/>
      <c r="E7" s="92"/>
      <c r="F7" s="102"/>
      <c r="G7" s="93" t="s">
        <v>50</v>
      </c>
      <c r="H7" s="19"/>
      <c r="J7" s="1148"/>
      <c r="L7" s="84"/>
      <c r="M7" s="84"/>
      <c r="N7" s="84" t="s">
        <v>50</v>
      </c>
    </row>
    <row r="8" spans="1:14" ht="21.75" customHeight="1">
      <c r="B8" s="16"/>
      <c r="C8" s="86" t="s">
        <v>29</v>
      </c>
      <c r="D8" s="103" t="s">
        <v>30</v>
      </c>
      <c r="E8" s="103" t="s">
        <v>31</v>
      </c>
      <c r="F8" s="86" t="s">
        <v>47</v>
      </c>
      <c r="G8" s="86" t="s">
        <v>51</v>
      </c>
      <c r="H8" s="19"/>
      <c r="J8" s="86" t="s">
        <v>6290</v>
      </c>
      <c r="L8" s="86" t="s">
        <v>305</v>
      </c>
      <c r="M8" s="86" t="s">
        <v>29</v>
      </c>
      <c r="N8" s="86" t="s">
        <v>51</v>
      </c>
    </row>
    <row r="9" spans="1:14" ht="23.25" customHeight="1">
      <c r="B9" s="16"/>
      <c r="C9" s="87"/>
      <c r="D9" s="104"/>
      <c r="E9" s="104"/>
      <c r="F9" s="105"/>
      <c r="G9" s="87" t="s">
        <v>36</v>
      </c>
      <c r="H9" s="19"/>
      <c r="J9" s="1158" t="s">
        <v>44</v>
      </c>
      <c r="L9" s="87"/>
      <c r="M9" s="87"/>
      <c r="N9" s="87" t="s">
        <v>553</v>
      </c>
    </row>
    <row r="10" spans="1:14" ht="18.75" customHeight="1">
      <c r="A10" s="28"/>
      <c r="B10" s="16"/>
      <c r="C10" s="106" t="s">
        <v>37</v>
      </c>
      <c r="D10" s="45"/>
      <c r="E10" s="45"/>
      <c r="F10" s="107"/>
      <c r="G10" s="108"/>
      <c r="H10" s="19"/>
      <c r="J10" s="1159"/>
      <c r="L10" s="262">
        <f>ROW()-9</f>
        <v>1</v>
      </c>
      <c r="M10" s="262" t="s">
        <v>37</v>
      </c>
      <c r="N10" s="878">
        <f>SUM(G10:G17)</f>
        <v>0</v>
      </c>
    </row>
    <row r="11" spans="1:14" s="11" customFormat="1" hidden="1">
      <c r="A11" s="29"/>
      <c r="B11" s="22"/>
      <c r="C11" s="54"/>
      <c r="D11" s="297"/>
      <c r="E11" s="297"/>
      <c r="F11" s="432"/>
      <c r="G11" s="433"/>
      <c r="H11" s="24"/>
      <c r="I11" s="21"/>
      <c r="J11" s="1236"/>
      <c r="L11" s="277">
        <f t="shared" ref="L11:L65" si="0">ROW()-9</f>
        <v>2</v>
      </c>
      <c r="M11" s="277" t="s">
        <v>37</v>
      </c>
      <c r="N11" s="255"/>
    </row>
    <row r="12" spans="1:14" s="11" customFormat="1">
      <c r="A12" s="29"/>
      <c r="B12" s="22"/>
      <c r="C12" s="54"/>
      <c r="D12" s="20"/>
      <c r="E12" s="20"/>
      <c r="F12" s="52"/>
      <c r="G12" s="56"/>
      <c r="H12" s="24"/>
      <c r="I12" s="21"/>
      <c r="J12" s="857" t="s">
        <v>6288</v>
      </c>
      <c r="L12" s="277">
        <f t="shared" si="0"/>
        <v>3</v>
      </c>
      <c r="M12" s="277" t="s">
        <v>37</v>
      </c>
      <c r="N12" s="255"/>
    </row>
    <row r="13" spans="1:14" s="11" customFormat="1">
      <c r="A13" s="29"/>
      <c r="B13" s="22"/>
      <c r="C13" s="54"/>
      <c r="D13" s="20"/>
      <c r="E13" s="20"/>
      <c r="F13" s="52"/>
      <c r="G13" s="56"/>
      <c r="H13" s="24"/>
      <c r="I13" s="21"/>
      <c r="J13" s="857" t="s">
        <v>6288</v>
      </c>
      <c r="L13" s="277">
        <f t="shared" si="0"/>
        <v>4</v>
      </c>
      <c r="M13" s="277" t="s">
        <v>37</v>
      </c>
      <c r="N13" s="255"/>
    </row>
    <row r="14" spans="1:14" s="11" customFormat="1">
      <c r="A14" s="29"/>
      <c r="B14" s="22"/>
      <c r="C14" s="54"/>
      <c r="D14" s="20"/>
      <c r="E14" s="20"/>
      <c r="F14" s="52"/>
      <c r="G14" s="56"/>
      <c r="H14" s="24"/>
      <c r="I14" s="21"/>
      <c r="J14" s="857" t="s">
        <v>6288</v>
      </c>
      <c r="L14" s="277">
        <f t="shared" si="0"/>
        <v>5</v>
      </c>
      <c r="M14" s="277" t="s">
        <v>37</v>
      </c>
      <c r="N14" s="255"/>
    </row>
    <row r="15" spans="1:14" s="11" customFormat="1">
      <c r="A15" s="29"/>
      <c r="B15" s="22"/>
      <c r="C15" s="54"/>
      <c r="D15" s="20"/>
      <c r="E15" s="20"/>
      <c r="F15" s="52"/>
      <c r="G15" s="56"/>
      <c r="H15" s="24"/>
      <c r="I15" s="21"/>
      <c r="J15" s="857" t="s">
        <v>6288</v>
      </c>
      <c r="L15" s="277">
        <f t="shared" si="0"/>
        <v>6</v>
      </c>
      <c r="M15" s="277" t="s">
        <v>37</v>
      </c>
      <c r="N15" s="255"/>
    </row>
    <row r="16" spans="1:14" s="11" customFormat="1">
      <c r="A16" s="29"/>
      <c r="B16" s="22"/>
      <c r="C16" s="54"/>
      <c r="D16" s="20"/>
      <c r="E16" s="20"/>
      <c r="F16" s="52"/>
      <c r="G16" s="56"/>
      <c r="H16" s="24"/>
      <c r="I16" s="21"/>
      <c r="J16" s="857" t="s">
        <v>6288</v>
      </c>
      <c r="L16" s="277">
        <f t="shared" si="0"/>
        <v>7</v>
      </c>
      <c r="M16" s="277" t="s">
        <v>37</v>
      </c>
      <c r="N16" s="255"/>
    </row>
    <row r="17" spans="1:14">
      <c r="A17" s="28"/>
      <c r="B17" s="16"/>
      <c r="C17" s="76" t="s">
        <v>38</v>
      </c>
      <c r="D17" s="45"/>
      <c r="E17" s="45"/>
      <c r="F17" s="109"/>
      <c r="G17" s="108"/>
      <c r="H17" s="19"/>
      <c r="J17" s="1159"/>
      <c r="L17" s="262">
        <f t="shared" si="0"/>
        <v>8</v>
      </c>
      <c r="M17" s="262" t="s">
        <v>38</v>
      </c>
      <c r="N17" s="878">
        <f>SUM(G17:G24)</f>
        <v>0</v>
      </c>
    </row>
    <row r="18" spans="1:14" s="11" customFormat="1" hidden="1">
      <c r="A18" s="29"/>
      <c r="B18" s="22"/>
      <c r="C18" s="54"/>
      <c r="D18" s="297"/>
      <c r="E18" s="297"/>
      <c r="F18" s="432"/>
      <c r="G18" s="433"/>
      <c r="H18" s="24"/>
      <c r="I18" s="21"/>
      <c r="J18" s="1236"/>
      <c r="L18" s="277">
        <f t="shared" si="0"/>
        <v>9</v>
      </c>
      <c r="M18" s="277" t="s">
        <v>38</v>
      </c>
      <c r="N18" s="255"/>
    </row>
    <row r="19" spans="1:14" s="11" customFormat="1">
      <c r="A19" s="29"/>
      <c r="B19" s="22"/>
      <c r="C19" s="54"/>
      <c r="D19" s="20"/>
      <c r="E19" s="20"/>
      <c r="F19" s="52"/>
      <c r="G19" s="56"/>
      <c r="H19" s="24"/>
      <c r="I19" s="21"/>
      <c r="J19" s="857" t="s">
        <v>6288</v>
      </c>
      <c r="L19" s="277">
        <f t="shared" si="0"/>
        <v>10</v>
      </c>
      <c r="M19" s="277" t="s">
        <v>38</v>
      </c>
      <c r="N19" s="255"/>
    </row>
    <row r="20" spans="1:14" s="11" customFormat="1">
      <c r="A20" s="29"/>
      <c r="B20" s="22"/>
      <c r="C20" s="54"/>
      <c r="D20" s="20"/>
      <c r="E20" s="20"/>
      <c r="F20" s="52"/>
      <c r="G20" s="56"/>
      <c r="H20" s="24"/>
      <c r="I20" s="21"/>
      <c r="J20" s="857" t="s">
        <v>6288</v>
      </c>
      <c r="L20" s="277">
        <f t="shared" si="0"/>
        <v>11</v>
      </c>
      <c r="M20" s="277" t="s">
        <v>38</v>
      </c>
      <c r="N20" s="255"/>
    </row>
    <row r="21" spans="1:14" s="11" customFormat="1">
      <c r="A21" s="29"/>
      <c r="B21" s="22"/>
      <c r="C21" s="54"/>
      <c r="D21" s="20"/>
      <c r="E21" s="20"/>
      <c r="F21" s="52"/>
      <c r="G21" s="56"/>
      <c r="H21" s="24"/>
      <c r="I21" s="21"/>
      <c r="J21" s="857" t="s">
        <v>6288</v>
      </c>
      <c r="L21" s="277">
        <f t="shared" si="0"/>
        <v>12</v>
      </c>
      <c r="M21" s="277" t="s">
        <v>38</v>
      </c>
      <c r="N21" s="255"/>
    </row>
    <row r="22" spans="1:14" s="11" customFormat="1">
      <c r="A22" s="29"/>
      <c r="B22" s="22"/>
      <c r="C22" s="54"/>
      <c r="D22" s="20"/>
      <c r="E22" s="20"/>
      <c r="F22" s="52"/>
      <c r="G22" s="56"/>
      <c r="H22" s="24"/>
      <c r="I22" s="21"/>
      <c r="J22" s="857" t="s">
        <v>6288</v>
      </c>
      <c r="L22" s="277">
        <f t="shared" si="0"/>
        <v>13</v>
      </c>
      <c r="M22" s="277" t="s">
        <v>38</v>
      </c>
      <c r="N22" s="255"/>
    </row>
    <row r="23" spans="1:14" s="11" customFormat="1">
      <c r="A23" s="29"/>
      <c r="B23" s="22"/>
      <c r="C23" s="54"/>
      <c r="D23" s="20"/>
      <c r="E23" s="20"/>
      <c r="F23" s="52"/>
      <c r="G23" s="56"/>
      <c r="H23" s="24"/>
      <c r="I23" s="21"/>
      <c r="J23" s="857" t="s">
        <v>6288</v>
      </c>
      <c r="L23" s="277">
        <f t="shared" si="0"/>
        <v>14</v>
      </c>
      <c r="M23" s="277" t="s">
        <v>38</v>
      </c>
      <c r="N23" s="255"/>
    </row>
    <row r="24" spans="1:14">
      <c r="A24" s="28"/>
      <c r="B24" s="16"/>
      <c r="C24" s="76" t="s">
        <v>39</v>
      </c>
      <c r="D24" s="45"/>
      <c r="E24" s="45"/>
      <c r="F24" s="109"/>
      <c r="G24" s="108"/>
      <c r="H24" s="19"/>
      <c r="J24" s="1159"/>
      <c r="L24" s="262">
        <f t="shared" si="0"/>
        <v>15</v>
      </c>
      <c r="M24" s="262" t="s">
        <v>39</v>
      </c>
      <c r="N24" s="878">
        <f>SUM(G24:G31)</f>
        <v>0</v>
      </c>
    </row>
    <row r="25" spans="1:14" s="11" customFormat="1" hidden="1">
      <c r="A25" s="29"/>
      <c r="B25" s="22"/>
      <c r="C25" s="54"/>
      <c r="D25" s="297"/>
      <c r="E25" s="297"/>
      <c r="F25" s="432"/>
      <c r="G25" s="433"/>
      <c r="H25" s="24"/>
      <c r="I25" s="21"/>
      <c r="J25" s="1236"/>
      <c r="L25" s="277">
        <f t="shared" si="0"/>
        <v>16</v>
      </c>
      <c r="M25" s="277" t="s">
        <v>39</v>
      </c>
      <c r="N25" s="255"/>
    </row>
    <row r="26" spans="1:14" s="11" customFormat="1">
      <c r="A26" s="29"/>
      <c r="B26" s="22"/>
      <c r="C26" s="54"/>
      <c r="D26" s="20"/>
      <c r="E26" s="20"/>
      <c r="F26" s="52"/>
      <c r="G26" s="56"/>
      <c r="H26" s="24"/>
      <c r="I26" s="21"/>
      <c r="J26" s="857" t="s">
        <v>6289</v>
      </c>
      <c r="L26" s="277">
        <f t="shared" si="0"/>
        <v>17</v>
      </c>
      <c r="M26" s="277" t="s">
        <v>39</v>
      </c>
      <c r="N26" s="255"/>
    </row>
    <row r="27" spans="1:14" s="11" customFormat="1">
      <c r="A27" s="29"/>
      <c r="B27" s="22"/>
      <c r="C27" s="54"/>
      <c r="D27" s="20"/>
      <c r="E27" s="20"/>
      <c r="F27" s="52"/>
      <c r="G27" s="56"/>
      <c r="H27" s="24"/>
      <c r="I27" s="21"/>
      <c r="J27" s="857" t="s">
        <v>6289</v>
      </c>
      <c r="L27" s="277">
        <f t="shared" si="0"/>
        <v>18</v>
      </c>
      <c r="M27" s="277" t="s">
        <v>39</v>
      </c>
      <c r="N27" s="255"/>
    </row>
    <row r="28" spans="1:14" s="11" customFormat="1">
      <c r="A28" s="29"/>
      <c r="B28" s="22"/>
      <c r="C28" s="54"/>
      <c r="D28" s="20"/>
      <c r="E28" s="20"/>
      <c r="F28" s="52"/>
      <c r="G28" s="56"/>
      <c r="H28" s="24"/>
      <c r="I28" s="21"/>
      <c r="J28" s="857" t="s">
        <v>6289</v>
      </c>
      <c r="L28" s="277">
        <f t="shared" si="0"/>
        <v>19</v>
      </c>
      <c r="M28" s="277" t="s">
        <v>39</v>
      </c>
      <c r="N28" s="255"/>
    </row>
    <row r="29" spans="1:14" s="11" customFormat="1">
      <c r="A29" s="29"/>
      <c r="B29" s="22"/>
      <c r="C29" s="54"/>
      <c r="D29" s="20"/>
      <c r="E29" s="20"/>
      <c r="F29" s="52"/>
      <c r="G29" s="56"/>
      <c r="H29" s="24"/>
      <c r="I29" s="21"/>
      <c r="J29" s="857" t="s">
        <v>6289</v>
      </c>
      <c r="L29" s="277">
        <f t="shared" si="0"/>
        <v>20</v>
      </c>
      <c r="M29" s="277" t="s">
        <v>39</v>
      </c>
      <c r="N29" s="255"/>
    </row>
    <row r="30" spans="1:14" s="11" customFormat="1">
      <c r="A30" s="29"/>
      <c r="B30" s="22"/>
      <c r="C30" s="54"/>
      <c r="D30" s="20"/>
      <c r="E30" s="20"/>
      <c r="F30" s="52"/>
      <c r="G30" s="56"/>
      <c r="H30" s="24"/>
      <c r="I30" s="21"/>
      <c r="J30" s="857" t="s">
        <v>6289</v>
      </c>
      <c r="L30" s="277">
        <f t="shared" si="0"/>
        <v>21</v>
      </c>
      <c r="M30" s="277" t="s">
        <v>39</v>
      </c>
      <c r="N30" s="255"/>
    </row>
    <row r="31" spans="1:14">
      <c r="A31" s="28"/>
      <c r="B31" s="16"/>
      <c r="C31" s="76" t="s">
        <v>40</v>
      </c>
      <c r="D31" s="45"/>
      <c r="E31" s="45"/>
      <c r="F31" s="109"/>
      <c r="G31" s="108"/>
      <c r="H31" s="19"/>
      <c r="J31" s="1159"/>
      <c r="L31" s="262">
        <f t="shared" si="0"/>
        <v>22</v>
      </c>
      <c r="M31" s="262" t="s">
        <v>40</v>
      </c>
      <c r="N31" s="878">
        <f>SUM(G31:G38)</f>
        <v>0</v>
      </c>
    </row>
    <row r="32" spans="1:14" s="11" customFormat="1" hidden="1">
      <c r="A32" s="29"/>
      <c r="B32" s="22"/>
      <c r="C32" s="54"/>
      <c r="D32" s="297"/>
      <c r="E32" s="297"/>
      <c r="F32" s="432"/>
      <c r="G32" s="433"/>
      <c r="H32" s="24"/>
      <c r="I32" s="21"/>
      <c r="J32" s="1236"/>
      <c r="L32" s="277">
        <f t="shared" si="0"/>
        <v>23</v>
      </c>
      <c r="M32" s="277" t="s">
        <v>40</v>
      </c>
      <c r="N32" s="255"/>
    </row>
    <row r="33" spans="1:14" s="11" customFormat="1">
      <c r="A33" s="29"/>
      <c r="B33" s="22"/>
      <c r="C33" s="54"/>
      <c r="D33" s="20"/>
      <c r="E33" s="20"/>
      <c r="F33" s="52"/>
      <c r="G33" s="56"/>
      <c r="H33" s="24"/>
      <c r="I33" s="21"/>
      <c r="J33" s="857" t="s">
        <v>6289</v>
      </c>
      <c r="L33" s="277">
        <f t="shared" si="0"/>
        <v>24</v>
      </c>
      <c r="M33" s="277" t="s">
        <v>40</v>
      </c>
      <c r="N33" s="255"/>
    </row>
    <row r="34" spans="1:14" s="11" customFormat="1">
      <c r="A34" s="29"/>
      <c r="B34" s="22"/>
      <c r="C34" s="54"/>
      <c r="D34" s="20"/>
      <c r="E34" s="20"/>
      <c r="F34" s="52"/>
      <c r="G34" s="56"/>
      <c r="H34" s="24"/>
      <c r="I34" s="21"/>
      <c r="J34" s="857" t="s">
        <v>6289</v>
      </c>
      <c r="L34" s="277">
        <f t="shared" si="0"/>
        <v>25</v>
      </c>
      <c r="M34" s="277" t="s">
        <v>40</v>
      </c>
      <c r="N34" s="255"/>
    </row>
    <row r="35" spans="1:14" s="11" customFormat="1">
      <c r="A35" s="29"/>
      <c r="B35" s="22"/>
      <c r="C35" s="54"/>
      <c r="D35" s="20"/>
      <c r="E35" s="20"/>
      <c r="F35" s="52"/>
      <c r="G35" s="56"/>
      <c r="H35" s="24"/>
      <c r="I35" s="21"/>
      <c r="J35" s="857" t="s">
        <v>6289</v>
      </c>
      <c r="L35" s="277">
        <f t="shared" si="0"/>
        <v>26</v>
      </c>
      <c r="M35" s="277" t="s">
        <v>40</v>
      </c>
      <c r="N35" s="255"/>
    </row>
    <row r="36" spans="1:14" s="11" customFormat="1">
      <c r="A36" s="29"/>
      <c r="B36" s="22"/>
      <c r="C36" s="54"/>
      <c r="D36" s="20"/>
      <c r="E36" s="20"/>
      <c r="F36" s="52"/>
      <c r="G36" s="56"/>
      <c r="H36" s="24"/>
      <c r="I36" s="21"/>
      <c r="J36" s="857" t="s">
        <v>6289</v>
      </c>
      <c r="L36" s="277">
        <f t="shared" si="0"/>
        <v>27</v>
      </c>
      <c r="M36" s="277" t="s">
        <v>40</v>
      </c>
      <c r="N36" s="255"/>
    </row>
    <row r="37" spans="1:14" s="11" customFormat="1">
      <c r="A37" s="29"/>
      <c r="B37" s="22"/>
      <c r="C37" s="54"/>
      <c r="D37" s="20"/>
      <c r="E37" s="20"/>
      <c r="F37" s="52"/>
      <c r="G37" s="56"/>
      <c r="H37" s="24"/>
      <c r="I37" s="21"/>
      <c r="J37" s="857" t="s">
        <v>6289</v>
      </c>
      <c r="L37" s="277">
        <f t="shared" si="0"/>
        <v>28</v>
      </c>
      <c r="M37" s="277" t="s">
        <v>40</v>
      </c>
      <c r="N37" s="255"/>
    </row>
    <row r="38" spans="1:14">
      <c r="A38" s="28"/>
      <c r="B38" s="16"/>
      <c r="C38" s="76" t="s">
        <v>41</v>
      </c>
      <c r="D38" s="45"/>
      <c r="E38" s="45"/>
      <c r="F38" s="109"/>
      <c r="G38" s="108"/>
      <c r="H38" s="19"/>
      <c r="J38" s="1159"/>
      <c r="L38" s="262">
        <f t="shared" si="0"/>
        <v>29</v>
      </c>
      <c r="M38" s="262" t="s">
        <v>41</v>
      </c>
      <c r="N38" s="878">
        <f>SUM(G38:G45)</f>
        <v>0</v>
      </c>
    </row>
    <row r="39" spans="1:14" s="11" customFormat="1" hidden="1">
      <c r="A39" s="29"/>
      <c r="B39" s="22"/>
      <c r="C39" s="54"/>
      <c r="D39" s="297"/>
      <c r="E39" s="297"/>
      <c r="F39" s="432"/>
      <c r="G39" s="433"/>
      <c r="H39" s="24"/>
      <c r="I39" s="21"/>
      <c r="J39" s="1236"/>
      <c r="L39" s="277">
        <f t="shared" si="0"/>
        <v>30</v>
      </c>
      <c r="M39" s="277" t="s">
        <v>41</v>
      </c>
      <c r="N39" s="255"/>
    </row>
    <row r="40" spans="1:14" s="11" customFormat="1">
      <c r="A40" s="29"/>
      <c r="B40" s="22"/>
      <c r="C40" s="54"/>
      <c r="D40" s="20"/>
      <c r="E40" s="20"/>
      <c r="F40" s="52"/>
      <c r="G40" s="56"/>
      <c r="H40" s="24"/>
      <c r="I40" s="21"/>
      <c r="J40" s="857" t="s">
        <v>6289</v>
      </c>
      <c r="L40" s="277">
        <f t="shared" si="0"/>
        <v>31</v>
      </c>
      <c r="M40" s="277" t="s">
        <v>41</v>
      </c>
      <c r="N40" s="255"/>
    </row>
    <row r="41" spans="1:14" s="11" customFormat="1">
      <c r="A41" s="29"/>
      <c r="B41" s="22"/>
      <c r="C41" s="54"/>
      <c r="D41" s="20"/>
      <c r="E41" s="20"/>
      <c r="F41" s="52"/>
      <c r="G41" s="56"/>
      <c r="H41" s="24"/>
      <c r="I41" s="21"/>
      <c r="J41" s="857" t="s">
        <v>6289</v>
      </c>
      <c r="L41" s="277">
        <f t="shared" si="0"/>
        <v>32</v>
      </c>
      <c r="M41" s="277" t="s">
        <v>41</v>
      </c>
      <c r="N41" s="255"/>
    </row>
    <row r="42" spans="1:14" s="11" customFormat="1">
      <c r="A42" s="29"/>
      <c r="B42" s="22"/>
      <c r="C42" s="54"/>
      <c r="D42" s="20"/>
      <c r="E42" s="20"/>
      <c r="F42" s="52"/>
      <c r="G42" s="56"/>
      <c r="H42" s="24"/>
      <c r="I42" s="21"/>
      <c r="J42" s="857" t="s">
        <v>6289</v>
      </c>
      <c r="L42" s="277">
        <f t="shared" si="0"/>
        <v>33</v>
      </c>
      <c r="M42" s="277" t="s">
        <v>41</v>
      </c>
      <c r="N42" s="255"/>
    </row>
    <row r="43" spans="1:14" s="11" customFormat="1">
      <c r="A43" s="29"/>
      <c r="B43" s="22"/>
      <c r="C43" s="54"/>
      <c r="D43" s="20"/>
      <c r="E43" s="20"/>
      <c r="F43" s="52"/>
      <c r="G43" s="56"/>
      <c r="H43" s="24"/>
      <c r="I43" s="21"/>
      <c r="J43" s="857" t="s">
        <v>6289</v>
      </c>
      <c r="L43" s="277">
        <f t="shared" si="0"/>
        <v>34</v>
      </c>
      <c r="M43" s="277" t="s">
        <v>41</v>
      </c>
      <c r="N43" s="255"/>
    </row>
    <row r="44" spans="1:14" s="11" customFormat="1">
      <c r="A44" s="29"/>
      <c r="B44" s="22"/>
      <c r="C44" s="54"/>
      <c r="D44" s="20"/>
      <c r="E44" s="20"/>
      <c r="F44" s="52"/>
      <c r="G44" s="56"/>
      <c r="H44" s="24"/>
      <c r="I44" s="21"/>
      <c r="J44" s="857" t="s">
        <v>6289</v>
      </c>
      <c r="L44" s="277">
        <f t="shared" si="0"/>
        <v>35</v>
      </c>
      <c r="M44" s="277" t="s">
        <v>41</v>
      </c>
      <c r="N44" s="255"/>
    </row>
    <row r="45" spans="1:14">
      <c r="A45" s="28"/>
      <c r="B45" s="16"/>
      <c r="C45" s="76" t="s">
        <v>42</v>
      </c>
      <c r="D45" s="45"/>
      <c r="E45" s="45"/>
      <c r="F45" s="109"/>
      <c r="G45" s="108"/>
      <c r="H45" s="19"/>
      <c r="J45" s="1159"/>
      <c r="L45" s="262">
        <f t="shared" si="0"/>
        <v>36</v>
      </c>
      <c r="M45" s="262" t="s">
        <v>42</v>
      </c>
      <c r="N45" s="878">
        <f>SUM(G45:G52)</f>
        <v>0</v>
      </c>
    </row>
    <row r="46" spans="1:14" s="11" customFormat="1" hidden="1">
      <c r="A46" s="29"/>
      <c r="B46" s="22"/>
      <c r="C46" s="54"/>
      <c r="D46" s="297"/>
      <c r="E46" s="297"/>
      <c r="F46" s="432"/>
      <c r="G46" s="433"/>
      <c r="H46" s="24"/>
      <c r="I46" s="21"/>
      <c r="J46" s="1236"/>
      <c r="L46" s="277">
        <f t="shared" si="0"/>
        <v>37</v>
      </c>
      <c r="M46" s="277" t="s">
        <v>42</v>
      </c>
      <c r="N46" s="255"/>
    </row>
    <row r="47" spans="1:14" s="11" customFormat="1">
      <c r="A47" s="29"/>
      <c r="B47" s="22"/>
      <c r="C47" s="54"/>
      <c r="D47" s="20"/>
      <c r="E47" s="20"/>
      <c r="F47" s="52"/>
      <c r="G47" s="56"/>
      <c r="H47" s="24"/>
      <c r="I47" s="21"/>
      <c r="J47" s="857" t="s">
        <v>6289</v>
      </c>
      <c r="L47" s="277">
        <f t="shared" si="0"/>
        <v>38</v>
      </c>
      <c r="M47" s="277" t="s">
        <v>42</v>
      </c>
      <c r="N47" s="255"/>
    </row>
    <row r="48" spans="1:14" s="11" customFormat="1">
      <c r="A48" s="29"/>
      <c r="B48" s="22"/>
      <c r="C48" s="54"/>
      <c r="D48" s="20"/>
      <c r="E48" s="20"/>
      <c r="F48" s="52"/>
      <c r="G48" s="56"/>
      <c r="H48" s="24"/>
      <c r="I48" s="21"/>
      <c r="J48" s="857" t="s">
        <v>6289</v>
      </c>
      <c r="L48" s="277">
        <f t="shared" si="0"/>
        <v>39</v>
      </c>
      <c r="M48" s="277" t="s">
        <v>42</v>
      </c>
      <c r="N48" s="255"/>
    </row>
    <row r="49" spans="1:14" s="11" customFormat="1">
      <c r="A49" s="29"/>
      <c r="B49" s="22"/>
      <c r="C49" s="54"/>
      <c r="D49" s="20"/>
      <c r="E49" s="20"/>
      <c r="F49" s="52"/>
      <c r="G49" s="56"/>
      <c r="H49" s="24"/>
      <c r="I49" s="21"/>
      <c r="J49" s="857" t="s">
        <v>6289</v>
      </c>
      <c r="L49" s="277">
        <f t="shared" si="0"/>
        <v>40</v>
      </c>
      <c r="M49" s="277" t="s">
        <v>42</v>
      </c>
      <c r="N49" s="255"/>
    </row>
    <row r="50" spans="1:14" s="11" customFormat="1">
      <c r="A50" s="29"/>
      <c r="B50" s="22"/>
      <c r="C50" s="54"/>
      <c r="D50" s="20"/>
      <c r="E50" s="20"/>
      <c r="F50" s="52"/>
      <c r="G50" s="56"/>
      <c r="H50" s="24"/>
      <c r="I50" s="21"/>
      <c r="J50" s="857" t="s">
        <v>6289</v>
      </c>
      <c r="L50" s="277">
        <f t="shared" si="0"/>
        <v>41</v>
      </c>
      <c r="M50" s="277" t="s">
        <v>42</v>
      </c>
      <c r="N50" s="255"/>
    </row>
    <row r="51" spans="1:14" s="11" customFormat="1">
      <c r="A51" s="29"/>
      <c r="B51" s="22"/>
      <c r="C51" s="54"/>
      <c r="D51" s="20"/>
      <c r="E51" s="20"/>
      <c r="F51" s="52"/>
      <c r="G51" s="56"/>
      <c r="H51" s="24"/>
      <c r="I51" s="21"/>
      <c r="J51" s="857" t="s">
        <v>6289</v>
      </c>
      <c r="L51" s="277">
        <f t="shared" si="0"/>
        <v>42</v>
      </c>
      <c r="M51" s="277" t="s">
        <v>42</v>
      </c>
      <c r="N51" s="255"/>
    </row>
    <row r="52" spans="1:14">
      <c r="A52" s="28"/>
      <c r="B52" s="16"/>
      <c r="C52" s="76" t="s">
        <v>43</v>
      </c>
      <c r="D52" s="45"/>
      <c r="E52" s="45"/>
      <c r="F52" s="109"/>
      <c r="G52" s="108"/>
      <c r="H52" s="19"/>
      <c r="J52" s="1159"/>
      <c r="L52" s="262">
        <f t="shared" si="0"/>
        <v>43</v>
      </c>
      <c r="M52" s="262" t="s">
        <v>43</v>
      </c>
      <c r="N52" s="878">
        <f>SUM(G52:G59)</f>
        <v>0</v>
      </c>
    </row>
    <row r="53" spans="1:14" s="11" customFormat="1" hidden="1">
      <c r="A53" s="29"/>
      <c r="B53" s="22"/>
      <c r="C53" s="54"/>
      <c r="D53" s="297"/>
      <c r="E53" s="297"/>
      <c r="F53" s="432"/>
      <c r="G53" s="433"/>
      <c r="H53" s="24"/>
      <c r="I53" s="21"/>
      <c r="J53" s="1236"/>
      <c r="L53" s="277">
        <f t="shared" si="0"/>
        <v>44</v>
      </c>
      <c r="M53" s="277" t="s">
        <v>43</v>
      </c>
      <c r="N53" s="255"/>
    </row>
    <row r="54" spans="1:14" s="11" customFormat="1">
      <c r="A54" s="29"/>
      <c r="B54" s="22"/>
      <c r="C54" s="54"/>
      <c r="D54" s="20"/>
      <c r="E54" s="20"/>
      <c r="F54" s="52"/>
      <c r="G54" s="56"/>
      <c r="H54" s="24"/>
      <c r="I54" s="21"/>
      <c r="J54" s="857" t="s">
        <v>6289</v>
      </c>
      <c r="L54" s="277">
        <f t="shared" si="0"/>
        <v>45</v>
      </c>
      <c r="M54" s="277" t="s">
        <v>43</v>
      </c>
      <c r="N54" s="255"/>
    </row>
    <row r="55" spans="1:14" s="11" customFormat="1">
      <c r="A55" s="29"/>
      <c r="B55" s="22"/>
      <c r="C55" s="54"/>
      <c r="D55" s="20"/>
      <c r="E55" s="20"/>
      <c r="F55" s="52"/>
      <c r="G55" s="56"/>
      <c r="H55" s="24"/>
      <c r="I55" s="21"/>
      <c r="J55" s="857" t="s">
        <v>6289</v>
      </c>
      <c r="L55" s="277">
        <f t="shared" si="0"/>
        <v>46</v>
      </c>
      <c r="M55" s="277" t="s">
        <v>43</v>
      </c>
      <c r="N55" s="255"/>
    </row>
    <row r="56" spans="1:14" s="11" customFormat="1">
      <c r="A56" s="29"/>
      <c r="B56" s="22"/>
      <c r="C56" s="54"/>
      <c r="D56" s="20"/>
      <c r="E56" s="20"/>
      <c r="F56" s="52"/>
      <c r="G56" s="56"/>
      <c r="H56" s="24"/>
      <c r="I56" s="21"/>
      <c r="J56" s="857" t="s">
        <v>6289</v>
      </c>
      <c r="L56" s="277">
        <f t="shared" si="0"/>
        <v>47</v>
      </c>
      <c r="M56" s="277" t="s">
        <v>43</v>
      </c>
      <c r="N56" s="255"/>
    </row>
    <row r="57" spans="1:14" s="11" customFormat="1">
      <c r="A57" s="29"/>
      <c r="B57" s="22"/>
      <c r="C57" s="54"/>
      <c r="D57" s="20"/>
      <c r="E57" s="20"/>
      <c r="F57" s="52"/>
      <c r="G57" s="56"/>
      <c r="H57" s="24"/>
      <c r="I57" s="21"/>
      <c r="J57" s="857" t="s">
        <v>6289</v>
      </c>
      <c r="L57" s="277">
        <f t="shared" si="0"/>
        <v>48</v>
      </c>
      <c r="M57" s="277" t="s">
        <v>43</v>
      </c>
      <c r="N57" s="255"/>
    </row>
    <row r="58" spans="1:14" s="11" customFormat="1">
      <c r="A58" s="29"/>
      <c r="B58" s="22"/>
      <c r="C58" s="54"/>
      <c r="D58" s="20"/>
      <c r="E58" s="20"/>
      <c r="F58" s="52"/>
      <c r="G58" s="56"/>
      <c r="H58" s="24"/>
      <c r="I58" s="21"/>
      <c r="J58" s="857" t="s">
        <v>6289</v>
      </c>
      <c r="L58" s="277">
        <f t="shared" si="0"/>
        <v>49</v>
      </c>
      <c r="M58" s="277" t="s">
        <v>43</v>
      </c>
      <c r="N58" s="255"/>
    </row>
    <row r="59" spans="1:14">
      <c r="A59" s="28"/>
      <c r="B59" s="16"/>
      <c r="C59" s="76" t="s">
        <v>21</v>
      </c>
      <c r="D59" s="45"/>
      <c r="E59" s="45"/>
      <c r="F59" s="109"/>
      <c r="G59" s="108"/>
      <c r="H59" s="19"/>
      <c r="J59" s="1159"/>
      <c r="L59" s="262">
        <f t="shared" si="0"/>
        <v>50</v>
      </c>
      <c r="M59" s="262" t="s">
        <v>21</v>
      </c>
      <c r="N59" s="878">
        <f ca="1">SUM(G59:G66)-G66</f>
        <v>0</v>
      </c>
    </row>
    <row r="60" spans="1:14" s="11" customFormat="1" hidden="1">
      <c r="A60" s="29"/>
      <c r="B60" s="22"/>
      <c r="C60" s="54"/>
      <c r="D60" s="297"/>
      <c r="E60" s="297"/>
      <c r="F60" s="432"/>
      <c r="G60" s="433"/>
      <c r="H60" s="24"/>
      <c r="I60" s="21"/>
      <c r="J60" s="1236"/>
      <c r="L60" s="277">
        <f t="shared" si="0"/>
        <v>51</v>
      </c>
      <c r="M60" s="277" t="s">
        <v>21</v>
      </c>
      <c r="N60" s="255"/>
    </row>
    <row r="61" spans="1:14" s="11" customFormat="1">
      <c r="A61" s="29"/>
      <c r="B61" s="22"/>
      <c r="C61" s="54"/>
      <c r="D61" s="20"/>
      <c r="E61" s="20"/>
      <c r="F61" s="52"/>
      <c r="G61" s="56"/>
      <c r="H61" s="24"/>
      <c r="I61" s="21"/>
      <c r="J61" s="857" t="s">
        <v>6289</v>
      </c>
      <c r="L61" s="277">
        <f t="shared" si="0"/>
        <v>52</v>
      </c>
      <c r="M61" s="277" t="s">
        <v>21</v>
      </c>
      <c r="N61" s="255"/>
    </row>
    <row r="62" spans="1:14" s="11" customFormat="1">
      <c r="A62" s="29"/>
      <c r="B62" s="22"/>
      <c r="C62" s="54"/>
      <c r="D62" s="20"/>
      <c r="E62" s="20"/>
      <c r="F62" s="52"/>
      <c r="G62" s="56"/>
      <c r="H62" s="24"/>
      <c r="I62" s="21"/>
      <c r="J62" s="857" t="s">
        <v>6289</v>
      </c>
      <c r="L62" s="277">
        <f t="shared" si="0"/>
        <v>53</v>
      </c>
      <c r="M62" s="277" t="s">
        <v>21</v>
      </c>
      <c r="N62" s="255"/>
    </row>
    <row r="63" spans="1:14" s="11" customFormat="1">
      <c r="A63" s="29"/>
      <c r="B63" s="22"/>
      <c r="C63" s="54"/>
      <c r="D63" s="25"/>
      <c r="E63" s="25"/>
      <c r="F63" s="53"/>
      <c r="G63" s="57"/>
      <c r="H63" s="24"/>
      <c r="I63" s="21"/>
      <c r="J63" s="857" t="s">
        <v>6289</v>
      </c>
      <c r="L63" s="277">
        <f t="shared" si="0"/>
        <v>54</v>
      </c>
      <c r="M63" s="277" t="s">
        <v>21</v>
      </c>
      <c r="N63" s="255"/>
    </row>
    <row r="64" spans="1:14" s="11" customFormat="1">
      <c r="A64" s="29"/>
      <c r="B64" s="22"/>
      <c r="C64" s="54"/>
      <c r="D64" s="25"/>
      <c r="E64" s="25"/>
      <c r="F64" s="53"/>
      <c r="G64" s="57"/>
      <c r="H64" s="24"/>
      <c r="I64" s="21"/>
      <c r="J64" s="857" t="s">
        <v>6289</v>
      </c>
      <c r="L64" s="277">
        <f t="shared" si="0"/>
        <v>55</v>
      </c>
      <c r="M64" s="277" t="s">
        <v>21</v>
      </c>
      <c r="N64" s="255"/>
    </row>
    <row r="65" spans="1:14" s="11" customFormat="1">
      <c r="A65" s="29"/>
      <c r="B65" s="22"/>
      <c r="C65" s="54"/>
      <c r="D65" s="25"/>
      <c r="E65" s="25"/>
      <c r="F65" s="53"/>
      <c r="G65" s="57"/>
      <c r="H65" s="24"/>
      <c r="I65" s="21"/>
      <c r="J65" s="857" t="s">
        <v>6289</v>
      </c>
      <c r="L65" s="277">
        <f t="shared" si="0"/>
        <v>56</v>
      </c>
      <c r="M65" s="277" t="s">
        <v>21</v>
      </c>
      <c r="N65" s="255"/>
    </row>
    <row r="66" spans="1:14">
      <c r="A66" s="31"/>
      <c r="B66" s="32"/>
      <c r="C66" s="110" t="s">
        <v>26</v>
      </c>
      <c r="D66" s="111"/>
      <c r="E66" s="112"/>
      <c r="F66" s="113"/>
      <c r="G66" s="645">
        <f ca="1">SUM(OFFSET(G$10,0,0,ROW()-ROW(G$10),1))</f>
        <v>0</v>
      </c>
      <c r="H66" s="19"/>
      <c r="J66" s="1160"/>
      <c r="L66" s="262">
        <f ca="1">SUM(OFFSET(G$10,0,0,ROW()-ROW(G$10),1))</f>
        <v>0</v>
      </c>
      <c r="M66" s="1160"/>
      <c r="N66" s="175"/>
    </row>
    <row r="67" spans="1:14" ht="7.5" customHeight="1">
      <c r="B67" s="33"/>
      <c r="C67" s="26"/>
      <c r="D67" s="34"/>
      <c r="E67" s="34"/>
      <c r="F67" s="34"/>
      <c r="G67" s="26"/>
      <c r="H67" s="27"/>
      <c r="J67" s="1160"/>
    </row>
    <row r="68" spans="1:14">
      <c r="M68" t="s">
        <v>452</v>
      </c>
      <c r="N68">
        <f ca="1">(G66=L66)*1</f>
        <v>1</v>
      </c>
    </row>
  </sheetData>
  <sheetProtection algorithmName="SHA-512" hashValue="pigFBMUXiU4UCHS/GFED89YX0eED17oSxLauY3oTSBKfG4zsRSA5+vqNyOFFMxoyTKutDX9gV1eiqHeXrtgh5Q==" saltValue="K0B1b0kRNZQEDbB30J7oxg==" spinCount="100000" sheet="1" formatCells="0" insertRows="0" deleteRows="0"/>
  <phoneticPr fontId="1"/>
  <conditionalFormatting sqref="C9">
    <cfRule type="expression" dxfId="540" priority="31">
      <formula>$C$10=""</formula>
    </cfRule>
  </conditionalFormatting>
  <conditionalFormatting sqref="C10:C65">
    <cfRule type="containsBlanks" dxfId="539" priority="10">
      <formula>LEN(TRIM(C10))=0</formula>
    </cfRule>
    <cfRule type="notContainsBlanks" dxfId="538" priority="15">
      <formula>LEN(TRIM(C10))&gt;0</formula>
    </cfRule>
  </conditionalFormatting>
  <conditionalFormatting sqref="C10:C66">
    <cfRule type="expression" dxfId="537" priority="4341">
      <formula>COUNTIF($C$10:$C$66,$C10)&gt;1</formula>
    </cfRule>
  </conditionalFormatting>
  <conditionalFormatting sqref="C10:G66">
    <cfRule type="expression" dxfId="536" priority="5">
      <formula>$L10=""</formula>
    </cfRule>
  </conditionalFormatting>
  <conditionalFormatting sqref="D10:E65">
    <cfRule type="expression" dxfId="535" priority="12">
      <formula>$C10="*"</formula>
    </cfRule>
  </conditionalFormatting>
  <conditionalFormatting sqref="D10:G65">
    <cfRule type="notContainsBlanks" dxfId="534" priority="9" stopIfTrue="1">
      <formula>LEN(TRIM(D10))&gt;0</formula>
    </cfRule>
    <cfRule type="expression" dxfId="533" priority="11">
      <formula>$C10=""</formula>
    </cfRule>
  </conditionalFormatting>
  <conditionalFormatting sqref="E10:G65">
    <cfRule type="expression" dxfId="532" priority="8">
      <formula>$C10&lt;&gt;""</formula>
    </cfRule>
  </conditionalFormatting>
  <conditionalFormatting sqref="F10:G65">
    <cfRule type="expression" dxfId="531" priority="16">
      <formula>$D10&lt;&gt;""</formula>
    </cfRule>
  </conditionalFormatting>
  <conditionalFormatting sqref="F63:G65">
    <cfRule type="expression" dxfId="530" priority="13">
      <formula>F63&lt;&gt;""</formula>
    </cfRule>
  </conditionalFormatting>
  <conditionalFormatting sqref="G66">
    <cfRule type="expression" dxfId="529" priority="3">
      <formula>$G$66&lt;&gt;$L$66</formula>
    </cfRule>
    <cfRule type="cellIs" dxfId="528" priority="4" operator="notEqual">
      <formula>0</formula>
    </cfRule>
  </conditionalFormatting>
  <conditionalFormatting sqref="L9:N9">
    <cfRule type="expression" dxfId="527" priority="6">
      <formula>$C$10=""</formula>
    </cfRule>
  </conditionalFormatting>
  <dataValidations count="3">
    <dataValidation type="decimal" operator="greaterThanOrEqual" allowBlank="1" showInputMessage="1" showErrorMessage="1" error="数値で入力してください" sqref="G10:G65" xr:uid="{BD804D8E-3E2F-4B91-BAF8-70DA43E33E7F}">
      <formula1>0</formula1>
    </dataValidation>
    <dataValidation type="textLength" operator="lessThan" allowBlank="1" showInputMessage="1" showErrorMessage="1" sqref="C10:C65" xr:uid="{74AB737F-9A0E-459B-9537-399D6D589EC7}">
      <formula1>1</formula1>
    </dataValidation>
    <dataValidation type="list" allowBlank="1" showInputMessage="1" showErrorMessage="1" sqref="J10:J67 M66" xr:uid="{20B9B3C0-9F23-4648-AC09-29E3D64AEA5A}">
      <formula1>"低圧,高圧,特別高圧"</formula1>
    </dataValidation>
  </dataValidations>
  <pageMargins left="0.7" right="0.7" top="0.75" bottom="0.75" header="0.3" footer="0.3"/>
  <pageSetup paperSize="8" scale="96" orientation="portrait" r:id="rId1"/>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D628-8CBB-42DB-A365-02BB63DFC440}">
  <sheetPr codeName="Sheet35">
    <tabColor theme="7" tint="0.79998168889431442"/>
    <pageSetUpPr autoPageBreaks="0" fitToPage="1"/>
  </sheetPr>
  <dimension ref="A1:W47"/>
  <sheetViews>
    <sheetView showGridLines="0" zoomScale="70" zoomScaleNormal="70" zoomScaleSheetLayoutView="90" workbookViewId="0"/>
  </sheetViews>
  <sheetFormatPr defaultColWidth="9" defaultRowHeight="18"/>
  <cols>
    <col min="1" max="1" width="3.5" customWidth="1"/>
    <col min="2" max="2" width="0.83203125" style="13" customWidth="1"/>
    <col min="3" max="3" width="6.58203125" style="13" customWidth="1"/>
    <col min="4" max="4" width="7.5" style="13" customWidth="1"/>
    <col min="5" max="5" width="46.83203125" style="13" customWidth="1"/>
    <col min="6" max="6" width="25.08203125" style="13" customWidth="1"/>
    <col min="7" max="7" width="19" style="17" customWidth="1"/>
    <col min="8" max="9" width="13.58203125" style="13" customWidth="1"/>
    <col min="10" max="10" width="10.33203125" style="17" customWidth="1"/>
    <col min="11" max="11" width="11.33203125" style="13" customWidth="1"/>
    <col min="12" max="12" width="0.83203125" style="13" customWidth="1"/>
    <col min="13" max="13" width="2.5" style="13" customWidth="1"/>
    <col min="17" max="20" width="14.5" style="121" hidden="1" customWidth="1"/>
    <col min="21" max="21" width="14.5" style="275" hidden="1" customWidth="1"/>
    <col min="22" max="22" width="14.5" style="2" hidden="1" customWidth="1"/>
    <col min="23" max="23" width="14.5" hidden="1" customWidth="1"/>
  </cols>
  <sheetData>
    <row r="1" spans="1:23">
      <c r="A1" s="44" t="s">
        <v>354</v>
      </c>
      <c r="L1"/>
      <c r="P1" s="121"/>
    </row>
    <row r="2" spans="1:23" ht="18.75" customHeight="1">
      <c r="B2" s="47" t="s">
        <v>499</v>
      </c>
      <c r="C2" s="47"/>
      <c r="D2" s="47"/>
      <c r="E2" s="47"/>
      <c r="F2" s="47"/>
      <c r="G2" s="90"/>
      <c r="H2" s="47"/>
      <c r="I2" s="47"/>
      <c r="J2" s="90"/>
      <c r="K2" s="47"/>
      <c r="L2" s="47"/>
      <c r="P2" s="121"/>
      <c r="U2" s="121" t="s">
        <v>481</v>
      </c>
      <c r="V2" s="121" cm="1">
        <f t="array" ref="V2">IFERROR(_xlfn._xlws.FILTER(1,1),"")</f>
        <v>1</v>
      </c>
    </row>
    <row r="3" spans="1:23">
      <c r="B3" s="13" t="s">
        <v>500</v>
      </c>
      <c r="L3" s="17"/>
      <c r="P3" s="121"/>
      <c r="T3" s="121">
        <f ca="1">MAX(R:R)</f>
        <v>1</v>
      </c>
      <c r="V3">
        <f ca="1">COUNTIF($T$6:$T$36,"*?*")</f>
        <v>0</v>
      </c>
    </row>
    <row r="4" spans="1:23" ht="6.65" customHeight="1">
      <c r="B4" s="14"/>
      <c r="C4" s="15"/>
      <c r="D4" s="15"/>
      <c r="E4" s="15"/>
      <c r="F4" s="15"/>
      <c r="G4" s="18"/>
      <c r="H4" s="15"/>
      <c r="I4" s="15"/>
      <c r="J4" s="18"/>
      <c r="K4" s="15"/>
      <c r="L4" s="30"/>
      <c r="P4" s="121"/>
    </row>
    <row r="5" spans="1:23" ht="67.5" customHeight="1">
      <c r="B5" s="16"/>
      <c r="C5" s="363" t="s">
        <v>0</v>
      </c>
      <c r="D5" s="363" t="s">
        <v>44</v>
      </c>
      <c r="E5" s="363" t="s">
        <v>29</v>
      </c>
      <c r="F5" s="363" t="s">
        <v>70</v>
      </c>
      <c r="G5" s="364" t="s">
        <v>12</v>
      </c>
      <c r="H5" s="298" t="s">
        <v>71</v>
      </c>
      <c r="I5" s="364" t="s">
        <v>72</v>
      </c>
      <c r="J5" s="298" t="s">
        <v>612</v>
      </c>
      <c r="K5" s="364" t="s">
        <v>161</v>
      </c>
      <c r="L5" s="19"/>
      <c r="M5"/>
      <c r="P5" s="121"/>
      <c r="Q5" s="303" t="s">
        <v>305</v>
      </c>
      <c r="R5" s="303" t="s">
        <v>446</v>
      </c>
      <c r="S5" s="303" t="s">
        <v>29</v>
      </c>
      <c r="T5" s="303" t="s">
        <v>447</v>
      </c>
      <c r="U5" s="303" t="s">
        <v>448</v>
      </c>
      <c r="V5" s="380" t="s">
        <v>491</v>
      </c>
      <c r="W5" s="713" t="s">
        <v>525</v>
      </c>
    </row>
    <row r="6" spans="1:23">
      <c r="B6" s="16"/>
      <c r="C6" s="76"/>
      <c r="D6" s="666" t="s">
        <v>547</v>
      </c>
      <c r="E6" s="109"/>
      <c r="F6" s="648"/>
      <c r="G6" s="847"/>
      <c r="H6" s="649"/>
      <c r="I6" s="711" t="str">
        <f>IF(AND(COUNTBLANK(H6:H11)&lt;=3,COUNTA(H6:H11)=0),0,IF(SUM(H6:H11)=0,"",SUM(H6:H11)))</f>
        <v/>
      </c>
      <c r="J6" s="954"/>
      <c r="K6" s="649"/>
      <c r="L6" s="19"/>
      <c r="M6"/>
      <c r="O6" s="375"/>
      <c r="P6" s="375"/>
      <c r="Q6" s="365">
        <f t="shared" ref="Q6:Q36" si="0">ROW()-ROW($Q$5)</f>
        <v>1</v>
      </c>
      <c r="R6" s="215" t="str">
        <f>IF(S6&lt;&gt;"//",COUNTA($S$6:$S6)-COUNTIF($S$6:$S6,"//"),"")</f>
        <v/>
      </c>
      <c r="S6" s="365" t="str">
        <f t="shared" ref="S6:S36" si="1">IF(E6="","//",E6)</f>
        <v>//</v>
      </c>
      <c r="T6" s="215">
        <f ca="1">_xlfn.IFNA(IF(COUNTIF('4.3民生部門電力以外の取組'!$D:$D,OFFSET($S$1,MATCH($Q6,$R:$R,0)-1,0))=0,OFFSET($S$1,MATCH($Q6,$R:$R,0)-1,0),""),"")</f>
        <v>0</v>
      </c>
      <c r="U6" s="365" t="str">
        <f ca="1">_xlfn.IFNA(OFFSET('4.3民生部門電力以外の取組'!$F$1,MATCH(E6,'4.3民生部門電力以外の取組'!$D:$D,0)+2,0),"")</f>
        <v/>
      </c>
      <c r="V6" s="215" cm="1">
        <f t="array" aca="1" ref="V6" ca="1">IFERROR(_xlfn._xlws.FILTER(T$6:T$36,T$6:T$36&lt;&gt;""),"")</f>
        <v>0</v>
      </c>
      <c r="W6" s="175" t="str">
        <f>IF(AND(COUNTBLANK(H6:H11)&lt;=3,COUNTA(H6:H11)=0),0,IF(SUM(H6:H11)=0,"",SUM(H6:H11)))</f>
        <v/>
      </c>
    </row>
    <row r="7" spans="1:23" s="11" customFormat="1" hidden="1">
      <c r="B7" s="22"/>
      <c r="C7" s="667"/>
      <c r="D7" s="43"/>
      <c r="E7" s="651"/>
      <c r="F7" s="652"/>
      <c r="G7" s="602"/>
      <c r="H7" s="653"/>
      <c r="I7" s="647"/>
      <c r="J7" s="651"/>
      <c r="K7" s="952" t="str">
        <f ca="1">U7</f>
        <v/>
      </c>
      <c r="L7" s="24"/>
      <c r="M7" s="131"/>
      <c r="O7" s="12"/>
      <c r="P7" s="12"/>
      <c r="Q7" s="304">
        <f t="shared" si="0"/>
        <v>2</v>
      </c>
      <c r="R7" s="129" t="str">
        <f>IF(S7&lt;&gt;"//",COUNTA($S$6:$S7)-COUNTIF($S$6:$S7,"//"),"")</f>
        <v/>
      </c>
      <c r="S7" s="304" t="str">
        <f t="shared" si="1"/>
        <v>//</v>
      </c>
      <c r="T7" s="129" t="str">
        <f ca="1">_xlfn.IFNA(IF(COUNTIF('4.3民生部門電力以外の取組'!$D:$D,OFFSET($S$1,MATCH($Q7,$R:$R,0)-1,0))=0,OFFSET($S$1,MATCH($Q7,$R:$R,0)-1,0),""),"")</f>
        <v/>
      </c>
      <c r="U7" s="304" t="str">
        <f ca="1">_xlfn.IFNA(OFFSET('4.3民生部門電力以外の取組'!$F$1,MATCH(E7,'4.3民生部門電力以外の取組'!$D:$D,0)+2,0),"")</f>
        <v/>
      </c>
      <c r="V7" s="129"/>
      <c r="W7" s="255"/>
    </row>
    <row r="8" spans="1:23" s="11" customFormat="1">
      <c r="B8" s="41"/>
      <c r="C8" s="373"/>
      <c r="D8" s="43"/>
      <c r="E8" s="654"/>
      <c r="F8" s="655"/>
      <c r="G8" s="607"/>
      <c r="H8" s="656"/>
      <c r="I8" s="650"/>
      <c r="J8" s="654"/>
      <c r="K8" s="664" t="str">
        <f t="shared" ref="K8:K35" ca="1" si="2">U8</f>
        <v/>
      </c>
      <c r="L8" s="159"/>
      <c r="O8" s="12"/>
      <c r="P8" s="12"/>
      <c r="Q8" s="304">
        <f t="shared" si="0"/>
        <v>3</v>
      </c>
      <c r="R8" s="129" t="str">
        <f>IF(S8&lt;&gt;"//",COUNTA($S$6:$S8)-COUNTIF($S$6:$S8,"//"),"")</f>
        <v/>
      </c>
      <c r="S8" s="304" t="str">
        <f t="shared" si="1"/>
        <v>//</v>
      </c>
      <c r="T8" s="129" t="str">
        <f ca="1">_xlfn.IFNA(IF(COUNTIF('4.3民生部門電力以外の取組'!$D:$D,OFFSET($S$1,MATCH($Q8,$R:$R,0)-1,0))=0,OFFSET($S$1,MATCH($Q8,$R:$R,0)-1,0),""),"")</f>
        <v/>
      </c>
      <c r="U8" s="304" t="str">
        <f ca="1">_xlfn.IFNA(OFFSET('4.3民生部門電力以外の取組'!$F$1,MATCH(E8,'4.3民生部門電力以外の取組'!$D:$D,0)+2,0),"")</f>
        <v/>
      </c>
      <c r="V8" s="129"/>
      <c r="W8" s="255"/>
    </row>
    <row r="9" spans="1:23" s="11" customFormat="1">
      <c r="B9" s="41"/>
      <c r="C9" s="373"/>
      <c r="D9" s="43"/>
      <c r="E9" s="654"/>
      <c r="F9" s="655"/>
      <c r="G9" s="607"/>
      <c r="H9" s="656"/>
      <c r="I9" s="650"/>
      <c r="J9" s="654"/>
      <c r="K9" s="664" t="str">
        <f t="shared" ca="1" si="2"/>
        <v/>
      </c>
      <c r="L9" s="159"/>
      <c r="O9" s="12"/>
      <c r="P9" s="12"/>
      <c r="Q9" s="304">
        <f t="shared" si="0"/>
        <v>4</v>
      </c>
      <c r="R9" s="129" t="str">
        <f>IF(S9&lt;&gt;"//",COUNTA($S$6:$S9)-COUNTIF($S$6:$S9,"//"),"")</f>
        <v/>
      </c>
      <c r="S9" s="304" t="str">
        <f t="shared" si="1"/>
        <v>//</v>
      </c>
      <c r="T9" s="129" t="str">
        <f ca="1">_xlfn.IFNA(IF(COUNTIF('4.3民生部門電力以外の取組'!$D:$D,OFFSET($S$1,MATCH($Q9,$R:$R,0)-1,0))=0,OFFSET($S$1,MATCH($Q9,$R:$R,0)-1,0),""),"")</f>
        <v/>
      </c>
      <c r="U9" s="304" t="str">
        <f ca="1">_xlfn.IFNA(OFFSET('4.3民生部門電力以外の取組'!$F$1,MATCH(E9,'4.3民生部門電力以外の取組'!$D:$D,0)+2,0),"")</f>
        <v/>
      </c>
      <c r="V9" s="129"/>
      <c r="W9" s="255"/>
    </row>
    <row r="10" spans="1:23" s="11" customFormat="1">
      <c r="B10" s="41"/>
      <c r="C10" s="373"/>
      <c r="D10" s="43"/>
      <c r="E10" s="657"/>
      <c r="F10" s="655"/>
      <c r="G10" s="607"/>
      <c r="H10" s="656"/>
      <c r="I10" s="650"/>
      <c r="J10" s="654"/>
      <c r="K10" s="665" t="str">
        <f t="shared" ca="1" si="2"/>
        <v/>
      </c>
      <c r="L10" s="159"/>
      <c r="O10" s="12"/>
      <c r="P10" s="12"/>
      <c r="Q10" s="304">
        <f t="shared" si="0"/>
        <v>5</v>
      </c>
      <c r="R10" s="129" t="str">
        <f>IF(S10&lt;&gt;"//",COUNTA($S$6:$S10)-COUNTIF($S$6:$S10,"//"),"")</f>
        <v/>
      </c>
      <c r="S10" s="304" t="str">
        <f t="shared" si="1"/>
        <v>//</v>
      </c>
      <c r="T10" s="129" t="str">
        <f ca="1">_xlfn.IFNA(IF(COUNTIF('4.3民生部門電力以外の取組'!$D:$D,OFFSET($S$1,MATCH($Q10,$R:$R,0)-1,0))=0,OFFSET($S$1,MATCH($Q10,$R:$R,0)-1,0),""),"")</f>
        <v/>
      </c>
      <c r="U10" s="304" t="str">
        <f ca="1">_xlfn.IFNA(OFFSET('4.3民生部門電力以外の取組'!$F$1,MATCH(E10,'4.3民生部門電力以外の取組'!$D:$D,0)+2,0),"")</f>
        <v/>
      </c>
      <c r="V10" s="129"/>
      <c r="W10" s="255"/>
    </row>
    <row r="11" spans="1:23">
      <c r="B11" s="16"/>
      <c r="C11" s="76"/>
      <c r="D11" s="666" t="s">
        <v>548</v>
      </c>
      <c r="E11" s="662"/>
      <c r="F11" s="648"/>
      <c r="G11" s="847"/>
      <c r="H11" s="649"/>
      <c r="I11" s="711" t="str">
        <f>IF(AND(COUNTBLANK(H11:H16)&lt;=3,COUNTA(H11:H16)=0),0,IF(SUM(H11:H16)=0,"",SUM(H11:H16)))</f>
        <v/>
      </c>
      <c r="J11" s="954"/>
      <c r="K11" s="649"/>
      <c r="L11" s="19"/>
      <c r="M11"/>
      <c r="O11" s="375"/>
      <c r="P11" s="375"/>
      <c r="Q11" s="365">
        <f t="shared" si="0"/>
        <v>6</v>
      </c>
      <c r="R11" s="365" t="str">
        <f>IF(S11&lt;&gt;"//",COUNTA($S$6:$S11)-COUNTIF($S$6:$S11,"//"),"")</f>
        <v/>
      </c>
      <c r="S11" s="365" t="str">
        <f t="shared" si="1"/>
        <v>//</v>
      </c>
      <c r="T11" s="215" t="str">
        <f ca="1">_xlfn.IFNA(IF(COUNTIF('4.3民生部門電力以外の取組'!$D:$D,OFFSET($S$1,MATCH($Q11,$R:$R,0)-1,0))=0,OFFSET($S$1,MATCH($Q11,$R:$R,0)-1,0),""),"")</f>
        <v/>
      </c>
      <c r="U11" s="365" t="str">
        <f ca="1">_xlfn.IFNA(OFFSET('4.3民生部門電力以外の取組'!$F$1,MATCH(E11,'4.3民生部門電力以外の取組'!$D:$D,0)+2,0),"")</f>
        <v/>
      </c>
      <c r="V11" s="215"/>
      <c r="W11" s="175" t="str">
        <f>IF(AND(COUNTBLANK(H11:H16)&lt;=3,COUNTA(H11:H16)=0),0,IF(SUM(H11:H16)=0,"",SUM(H11:H16)))</f>
        <v/>
      </c>
    </row>
    <row r="12" spans="1:23" s="11" customFormat="1" hidden="1">
      <c r="B12" s="22"/>
      <c r="C12" s="667"/>
      <c r="D12" s="43"/>
      <c r="E12" s="651"/>
      <c r="F12" s="652"/>
      <c r="G12" s="602"/>
      <c r="H12" s="653"/>
      <c r="I12" s="647"/>
      <c r="J12" s="651"/>
      <c r="K12" s="952" t="str">
        <f ca="1">U12</f>
        <v/>
      </c>
      <c r="L12" s="24"/>
      <c r="O12" s="12"/>
      <c r="P12" s="12"/>
      <c r="Q12" s="304">
        <f t="shared" si="0"/>
        <v>7</v>
      </c>
      <c r="R12" s="304" t="str">
        <f>IF(S12&lt;&gt;"//",COUNTA($S$6:$S12)-COUNTIF($S$6:$S12,"//"),"")</f>
        <v/>
      </c>
      <c r="S12" s="304" t="str">
        <f t="shared" si="1"/>
        <v>//</v>
      </c>
      <c r="T12" s="129" t="str">
        <f ca="1">_xlfn.IFNA(IF(COUNTIF('4.3民生部門電力以外の取組'!$D:$D,OFFSET($S$1,MATCH($Q12,$R:$R,0)-1,0))=0,OFFSET($S$1,MATCH($Q12,$R:$R,0)-1,0),""),"")</f>
        <v/>
      </c>
      <c r="U12" s="304" t="str">
        <f ca="1">_xlfn.IFNA(OFFSET('4.3民生部門電力以外の取組'!$F$1,MATCH(E12,'4.3民生部門電力以外の取組'!$D:$D,0)+2,0),"")</f>
        <v/>
      </c>
      <c r="V12" s="129"/>
      <c r="W12" s="255"/>
    </row>
    <row r="13" spans="1:23" s="11" customFormat="1">
      <c r="B13" s="41"/>
      <c r="C13" s="373"/>
      <c r="D13" s="160"/>
      <c r="E13" s="658"/>
      <c r="F13" s="659"/>
      <c r="G13" s="607"/>
      <c r="H13" s="660"/>
      <c r="I13" s="650"/>
      <c r="J13" s="654"/>
      <c r="K13" s="664" t="str">
        <f t="shared" ca="1" si="2"/>
        <v/>
      </c>
      <c r="L13" s="159"/>
      <c r="M13" s="131"/>
      <c r="O13" s="12"/>
      <c r="P13" s="12"/>
      <c r="Q13" s="304">
        <f t="shared" si="0"/>
        <v>8</v>
      </c>
      <c r="R13" s="304" t="str">
        <f>IF(S13&lt;&gt;"//",COUNTA($S$6:$S13)-COUNTIF($S$6:$S13,"//"),"")</f>
        <v/>
      </c>
      <c r="S13" s="304" t="str">
        <f t="shared" si="1"/>
        <v>//</v>
      </c>
      <c r="T13" s="129" t="str">
        <f ca="1">_xlfn.IFNA(IF(COUNTIF('4.3民生部門電力以外の取組'!$D:$D,OFFSET($S$1,MATCH($Q13,$R:$R,0)-1,0))=0,OFFSET($S$1,MATCH($Q13,$R:$R,0)-1,0),""),"")</f>
        <v/>
      </c>
      <c r="U13" s="304" t="str">
        <f ca="1">_xlfn.IFNA(OFFSET('4.3民生部門電力以外の取組'!$F$1,MATCH(E13,'4.3民生部門電力以外の取組'!$D:$D,0)+2,0),"")</f>
        <v/>
      </c>
      <c r="V13" s="129"/>
      <c r="W13" s="255"/>
    </row>
    <row r="14" spans="1:23" s="11" customFormat="1">
      <c r="B14" s="41"/>
      <c r="C14" s="373"/>
      <c r="D14" s="160"/>
      <c r="E14" s="658"/>
      <c r="F14" s="659"/>
      <c r="G14" s="607"/>
      <c r="H14" s="660"/>
      <c r="I14" s="650"/>
      <c r="J14" s="654"/>
      <c r="K14" s="664" t="str">
        <f t="shared" ca="1" si="2"/>
        <v/>
      </c>
      <c r="L14" s="159"/>
      <c r="M14" s="131"/>
      <c r="O14" s="12"/>
      <c r="P14" s="12"/>
      <c r="Q14" s="304">
        <f t="shared" si="0"/>
        <v>9</v>
      </c>
      <c r="R14" s="304" t="str">
        <f>IF(S14&lt;&gt;"//",COUNTA($S$6:$S14)-COUNTIF($S$6:$S14,"//"),"")</f>
        <v/>
      </c>
      <c r="S14" s="304" t="str">
        <f t="shared" si="1"/>
        <v>//</v>
      </c>
      <c r="T14" s="129" t="str">
        <f ca="1">_xlfn.IFNA(IF(COUNTIF('4.3民生部門電力以外の取組'!$D:$D,OFFSET($S$1,MATCH($Q14,$R:$R,0)-1,0))=0,OFFSET($S$1,MATCH($Q14,$R:$R,0)-1,0),""),"")</f>
        <v/>
      </c>
      <c r="U14" s="304" t="str">
        <f ca="1">_xlfn.IFNA(OFFSET('4.3民生部門電力以外の取組'!$F$1,MATCH(E14,'4.3民生部門電力以外の取組'!$D:$D,0)+2,0),"")</f>
        <v/>
      </c>
      <c r="V14" s="129"/>
      <c r="W14" s="255"/>
    </row>
    <row r="15" spans="1:23" s="11" customFormat="1">
      <c r="B15" s="41"/>
      <c r="C15" s="373"/>
      <c r="D15" s="160"/>
      <c r="E15" s="661"/>
      <c r="F15" s="659"/>
      <c r="G15" s="607"/>
      <c r="H15" s="660"/>
      <c r="I15" s="650"/>
      <c r="J15" s="654"/>
      <c r="K15" s="664" t="str">
        <f t="shared" ca="1" si="2"/>
        <v/>
      </c>
      <c r="L15" s="159"/>
      <c r="M15" s="131"/>
      <c r="O15" s="12"/>
      <c r="P15" s="12"/>
      <c r="Q15" s="304">
        <f t="shared" si="0"/>
        <v>10</v>
      </c>
      <c r="R15" s="304" t="str">
        <f>IF(S15&lt;&gt;"//",COUNTA($S$6:$S15)-COUNTIF($S$6:$S15,"//"),"")</f>
        <v/>
      </c>
      <c r="S15" s="304" t="str">
        <f t="shared" si="1"/>
        <v>//</v>
      </c>
      <c r="T15" s="129" t="str">
        <f ca="1">_xlfn.IFNA(IF(COUNTIF('4.3民生部門電力以外の取組'!$D:$D,OFFSET($S$1,MATCH($Q15,$R:$R,0)-1,0))=0,OFFSET($S$1,MATCH($Q15,$R:$R,0)-1,0),""),"")</f>
        <v/>
      </c>
      <c r="U15" s="304" t="str">
        <f ca="1">_xlfn.IFNA(OFFSET('4.3民生部門電力以外の取組'!$F$1,MATCH(E15,'4.3民生部門電力以外の取組'!$D:$D,0)+2,0),"")</f>
        <v/>
      </c>
      <c r="V15" s="129"/>
      <c r="W15" s="255"/>
    </row>
    <row r="16" spans="1:23">
      <c r="B16" s="16"/>
      <c r="C16" s="76"/>
      <c r="D16" s="666" t="s">
        <v>549</v>
      </c>
      <c r="E16" s="663"/>
      <c r="F16" s="648"/>
      <c r="G16" s="847"/>
      <c r="H16" s="649"/>
      <c r="I16" s="711" t="str">
        <f>IF(AND(COUNTBLANK(H16:H21)&lt;=3,COUNTA(H16:H21)=0),0,IF(SUM(H16:H21)=0,"",SUM(H16:H21)))</f>
        <v/>
      </c>
      <c r="J16" s="954"/>
      <c r="K16" s="649"/>
      <c r="L16" s="19"/>
      <c r="M16" s="376"/>
      <c r="O16" s="375"/>
      <c r="P16" s="375"/>
      <c r="Q16" s="365">
        <f t="shared" si="0"/>
        <v>11</v>
      </c>
      <c r="R16" s="365" t="str">
        <f>IF(S16&lt;&gt;"//",COUNTA($S$6:$S16)-COUNTIF($S$6:$S16,"//"),"")</f>
        <v/>
      </c>
      <c r="S16" s="365" t="str">
        <f t="shared" si="1"/>
        <v>//</v>
      </c>
      <c r="T16" s="215" t="str">
        <f ca="1">_xlfn.IFNA(IF(COUNTIF('4.3民生部門電力以外の取組'!$D:$D,OFFSET($S$1,MATCH($Q16,$R:$R,0)-1,0))=0,OFFSET($S$1,MATCH($Q16,$R:$R,0)-1,0),""),"")</f>
        <v/>
      </c>
      <c r="U16" s="365" t="str">
        <f ca="1">_xlfn.IFNA(OFFSET('4.3民生部門電力以外の取組'!$F$1,MATCH(E16,'4.3民生部門電力以外の取組'!$D:$D,0)+2,0),"")</f>
        <v/>
      </c>
      <c r="V16" s="215"/>
      <c r="W16" s="175" t="str">
        <f>IF(AND(COUNTBLANK(H16:H21)&lt;=3,COUNTA(H16:H21)=0),0,IF(SUM(H16:H21)=0,"",SUM(H16:H21)))</f>
        <v/>
      </c>
    </row>
    <row r="17" spans="2:23" s="11" customFormat="1" hidden="1">
      <c r="B17" s="22"/>
      <c r="C17" s="667"/>
      <c r="D17" s="43"/>
      <c r="E17" s="651"/>
      <c r="F17" s="652"/>
      <c r="G17" s="602"/>
      <c r="H17" s="653"/>
      <c r="I17" s="647"/>
      <c r="J17" s="651"/>
      <c r="K17" s="952" t="str">
        <f ca="1">U17</f>
        <v/>
      </c>
      <c r="L17" s="24"/>
      <c r="O17" s="12"/>
      <c r="P17" s="12"/>
      <c r="Q17" s="304">
        <f t="shared" si="0"/>
        <v>12</v>
      </c>
      <c r="R17" s="304" t="str">
        <f>IF(S17&lt;&gt;"//",COUNTA($S$6:$S17)-COUNTIF($S$6:$S17,"//"),"")</f>
        <v/>
      </c>
      <c r="S17" s="304" t="str">
        <f t="shared" si="1"/>
        <v>//</v>
      </c>
      <c r="T17" s="129" t="str">
        <f ca="1">_xlfn.IFNA(IF(COUNTIF('4.3民生部門電力以外の取組'!$D:$D,OFFSET($S$1,MATCH($Q17,$R:$R,0)-1,0))=0,OFFSET($S$1,MATCH($Q17,$R:$R,0)-1,0),""),"")</f>
        <v/>
      </c>
      <c r="U17" s="304" t="str">
        <f ca="1">_xlfn.IFNA(OFFSET('4.3民生部門電力以外の取組'!$F$1,MATCH(E17,'4.3民生部門電力以外の取組'!$D:$D,0)+2,0),"")</f>
        <v/>
      </c>
      <c r="V17" s="129"/>
      <c r="W17" s="255"/>
    </row>
    <row r="18" spans="2:23" s="11" customFormat="1">
      <c r="B18" s="22"/>
      <c r="C18" s="373"/>
      <c r="D18" s="160"/>
      <c r="E18" s="658"/>
      <c r="F18" s="659"/>
      <c r="G18" s="607"/>
      <c r="H18" s="660"/>
      <c r="I18" s="650"/>
      <c r="J18" s="654"/>
      <c r="K18" s="664" t="str">
        <f t="shared" ca="1" si="2"/>
        <v/>
      </c>
      <c r="L18" s="24"/>
      <c r="O18" s="12"/>
      <c r="P18" s="12"/>
      <c r="Q18" s="304">
        <f t="shared" si="0"/>
        <v>13</v>
      </c>
      <c r="R18" s="304" t="str">
        <f>IF(S18&lt;&gt;"//",COUNTA($S$6:$S18)-COUNTIF($S$6:$S18,"//"),"")</f>
        <v/>
      </c>
      <c r="S18" s="304" t="str">
        <f t="shared" si="1"/>
        <v>//</v>
      </c>
      <c r="T18" s="129" t="str">
        <f ca="1">_xlfn.IFNA(IF(COUNTIF('4.3民生部門電力以外の取組'!$D:$D,OFFSET($S$1,MATCH($Q18,$R:$R,0)-1,0))=0,OFFSET($S$1,MATCH($Q18,$R:$R,0)-1,0),""),"")</f>
        <v/>
      </c>
      <c r="U18" s="304" t="str">
        <f ca="1">_xlfn.IFNA(OFFSET('4.3民生部門電力以外の取組'!$F$1,MATCH(E18,'4.3民生部門電力以外の取組'!$D:$D,0)+2,0),"")</f>
        <v/>
      </c>
      <c r="V18" s="129"/>
      <c r="W18" s="255"/>
    </row>
    <row r="19" spans="2:23" s="11" customFormat="1">
      <c r="B19" s="22"/>
      <c r="C19" s="373"/>
      <c r="D19" s="160"/>
      <c r="E19" s="658"/>
      <c r="F19" s="659"/>
      <c r="G19" s="607"/>
      <c r="H19" s="660"/>
      <c r="I19" s="650"/>
      <c r="J19" s="654"/>
      <c r="K19" s="664" t="str">
        <f t="shared" ca="1" si="2"/>
        <v/>
      </c>
      <c r="L19" s="24"/>
      <c r="O19" s="12"/>
      <c r="P19" s="12"/>
      <c r="Q19" s="304">
        <f t="shared" si="0"/>
        <v>14</v>
      </c>
      <c r="R19" s="304" t="str">
        <f>IF(S19&lt;&gt;"//",COUNTA($S$6:$S19)-COUNTIF($S$6:$S19,"//"),"")</f>
        <v/>
      </c>
      <c r="S19" s="304" t="str">
        <f t="shared" si="1"/>
        <v>//</v>
      </c>
      <c r="T19" s="129" t="str">
        <f ca="1">_xlfn.IFNA(IF(COUNTIF('4.3民生部門電力以外の取組'!$D:$D,OFFSET($S$1,MATCH($Q19,$R:$R,0)-1,0))=0,OFFSET($S$1,MATCH($Q19,$R:$R,0)-1,0),""),"")</f>
        <v/>
      </c>
      <c r="U19" s="304" t="str">
        <f ca="1">_xlfn.IFNA(OFFSET('4.3民生部門電力以外の取組'!$F$1,MATCH(E19,'4.3民生部門電力以外の取組'!$D:$D,0)+2,0),"")</f>
        <v/>
      </c>
      <c r="V19" s="129"/>
      <c r="W19" s="255"/>
    </row>
    <row r="20" spans="2:23" s="11" customFormat="1">
      <c r="B20" s="22"/>
      <c r="C20" s="373"/>
      <c r="D20" s="160"/>
      <c r="E20" s="661"/>
      <c r="F20" s="659"/>
      <c r="G20" s="607"/>
      <c r="H20" s="660"/>
      <c r="I20" s="650"/>
      <c r="J20" s="654"/>
      <c r="K20" s="664" t="str">
        <f t="shared" ca="1" si="2"/>
        <v/>
      </c>
      <c r="L20" s="24"/>
      <c r="O20" s="12"/>
      <c r="P20" s="12"/>
      <c r="Q20" s="304">
        <f t="shared" si="0"/>
        <v>15</v>
      </c>
      <c r="R20" s="304" t="str">
        <f>IF(S20&lt;&gt;"//",COUNTA($S$6:$S20)-COUNTIF($S$6:$S20,"//"),"")</f>
        <v/>
      </c>
      <c r="S20" s="304" t="str">
        <f t="shared" si="1"/>
        <v>//</v>
      </c>
      <c r="T20" s="129" t="str">
        <f ca="1">_xlfn.IFNA(IF(COUNTIF('4.3民生部門電力以外の取組'!$D:$D,OFFSET($S$1,MATCH($Q20,$R:$R,0)-1,0))=0,OFFSET($S$1,MATCH($Q20,$R:$R,0)-1,0),""),"")</f>
        <v/>
      </c>
      <c r="U20" s="304" t="str">
        <f ca="1">_xlfn.IFNA(OFFSET('4.3民生部門電力以外の取組'!$F$1,MATCH(E20,'4.3民生部門電力以外の取組'!$D:$D,0)+2,0),"")</f>
        <v/>
      </c>
      <c r="V20" s="129"/>
      <c r="W20" s="255"/>
    </row>
    <row r="21" spans="2:23">
      <c r="B21" s="16"/>
      <c r="C21" s="76"/>
      <c r="D21" s="666" t="s">
        <v>73</v>
      </c>
      <c r="E21" s="663"/>
      <c r="F21" s="648"/>
      <c r="G21" s="847"/>
      <c r="H21" s="649"/>
      <c r="I21" s="711" t="str">
        <f>IF(AND(COUNTBLANK(H21:H26)&lt;=3,COUNTA(H21:H26)=0),0,IF(SUM(H21:H26)=0,"",SUM(H21:H26)))</f>
        <v/>
      </c>
      <c r="J21" s="954"/>
      <c r="K21" s="649"/>
      <c r="L21" s="19"/>
      <c r="M21"/>
      <c r="O21" s="375"/>
      <c r="P21" s="375"/>
      <c r="Q21" s="365">
        <f t="shared" si="0"/>
        <v>16</v>
      </c>
      <c r="R21" s="365" t="str">
        <f>IF(S21&lt;&gt;"//",COUNTA($S$6:$S21)-COUNTIF($S$6:$S21,"//"),"")</f>
        <v/>
      </c>
      <c r="S21" s="365" t="str">
        <f t="shared" si="1"/>
        <v>//</v>
      </c>
      <c r="T21" s="215" t="str">
        <f ca="1">_xlfn.IFNA(IF(COUNTIF('4.3民生部門電力以外の取組'!$D:$D,OFFSET($S$1,MATCH($Q21,$R:$R,0)-1,0))=0,OFFSET($S$1,MATCH($Q21,$R:$R,0)-1,0),""),"")</f>
        <v/>
      </c>
      <c r="U21" s="365" t="str">
        <f ca="1">_xlfn.IFNA(OFFSET('4.3民生部門電力以外の取組'!$F$1,MATCH(E21,'4.3民生部門電力以外の取組'!$D:$D,0)+2,0),"")</f>
        <v/>
      </c>
      <c r="V21" s="215"/>
      <c r="W21" s="175" t="str">
        <f>IF(AND(COUNTBLANK(H21:H26)&lt;=3,COUNTA(H21:H26)=0),0,IF(SUM(H21:H26)=0,"",SUM(H21:H26)))</f>
        <v/>
      </c>
    </row>
    <row r="22" spans="2:23" s="11" customFormat="1" hidden="1">
      <c r="B22" s="22"/>
      <c r="C22" s="667"/>
      <c r="D22" s="43"/>
      <c r="E22" s="651"/>
      <c r="F22" s="652"/>
      <c r="G22" s="602"/>
      <c r="H22" s="653"/>
      <c r="I22" s="647"/>
      <c r="J22" s="651"/>
      <c r="K22" s="952" t="str">
        <f ca="1">U22</f>
        <v/>
      </c>
      <c r="L22" s="24"/>
      <c r="O22" s="12"/>
      <c r="P22" s="12"/>
      <c r="Q22" s="304">
        <f t="shared" si="0"/>
        <v>17</v>
      </c>
      <c r="R22" s="304" t="str">
        <f>IF(S22&lt;&gt;"//",COUNTA($S$6:$S22)-COUNTIF($S$6:$S22,"//"),"")</f>
        <v/>
      </c>
      <c r="S22" s="304" t="str">
        <f t="shared" si="1"/>
        <v>//</v>
      </c>
      <c r="T22" s="129" t="str">
        <f ca="1">_xlfn.IFNA(IF(COUNTIF('4.3民生部門電力以外の取組'!$D:$D,OFFSET($S$1,MATCH($Q22,$R:$R,0)-1,0))=0,OFFSET($S$1,MATCH($Q22,$R:$R,0)-1,0),""),"")</f>
        <v/>
      </c>
      <c r="U22" s="304" t="str">
        <f ca="1">_xlfn.IFNA(OFFSET('4.3民生部門電力以外の取組'!$F$1,MATCH(E22,'4.3民生部門電力以外の取組'!$D:$D,0)+2,0),"")</f>
        <v/>
      </c>
      <c r="V22" s="129"/>
      <c r="W22" s="255"/>
    </row>
    <row r="23" spans="2:23" s="11" customFormat="1">
      <c r="B23" s="22"/>
      <c r="C23" s="373"/>
      <c r="D23" s="160"/>
      <c r="E23" s="658"/>
      <c r="F23" s="658"/>
      <c r="G23" s="607"/>
      <c r="H23" s="660"/>
      <c r="I23" s="650"/>
      <c r="J23" s="654"/>
      <c r="K23" s="664" t="str">
        <f t="shared" ca="1" si="2"/>
        <v/>
      </c>
      <c r="L23" s="24"/>
      <c r="O23" s="12"/>
      <c r="P23" s="12"/>
      <c r="Q23" s="304">
        <f t="shared" si="0"/>
        <v>18</v>
      </c>
      <c r="R23" s="304" t="str">
        <f>IF(S23&lt;&gt;"//",COUNTA($S$6:$S23)-COUNTIF($S$6:$S23,"//"),"")</f>
        <v/>
      </c>
      <c r="S23" s="304" t="str">
        <f t="shared" si="1"/>
        <v>//</v>
      </c>
      <c r="T23" s="129" t="str">
        <f ca="1">_xlfn.IFNA(IF(COUNTIF('4.3民生部門電力以外の取組'!$D:$D,OFFSET($S$1,MATCH($Q23,$R:$R,0)-1,0))=0,OFFSET($S$1,MATCH($Q23,$R:$R,0)-1,0),""),"")</f>
        <v/>
      </c>
      <c r="U23" s="304" t="str">
        <f ca="1">_xlfn.IFNA(OFFSET('4.3民生部門電力以外の取組'!$F$1,MATCH(E23,'4.3民生部門電力以外の取組'!$D:$D,0)+2,0),"")</f>
        <v/>
      </c>
      <c r="V23" s="129"/>
      <c r="W23" s="255"/>
    </row>
    <row r="24" spans="2:23" s="11" customFormat="1">
      <c r="B24" s="22"/>
      <c r="C24" s="373"/>
      <c r="D24" s="160"/>
      <c r="E24" s="658"/>
      <c r="F24" s="658"/>
      <c r="G24" s="607"/>
      <c r="H24" s="660"/>
      <c r="I24" s="650"/>
      <c r="J24" s="654"/>
      <c r="K24" s="664" t="str">
        <f t="shared" ca="1" si="2"/>
        <v/>
      </c>
      <c r="L24" s="24"/>
      <c r="O24" s="12"/>
      <c r="P24" s="12"/>
      <c r="Q24" s="304">
        <f t="shared" si="0"/>
        <v>19</v>
      </c>
      <c r="R24" s="304" t="str">
        <f>IF(S24&lt;&gt;"//",COUNTA($S$6:$S24)-COUNTIF($S$6:$S24,"//"),"")</f>
        <v/>
      </c>
      <c r="S24" s="304" t="str">
        <f t="shared" si="1"/>
        <v>//</v>
      </c>
      <c r="T24" s="129" t="str">
        <f ca="1">_xlfn.IFNA(IF(COUNTIF('4.3民生部門電力以外の取組'!$D:$D,OFFSET($S$1,MATCH($Q24,$R:$R,0)-1,0))=0,OFFSET($S$1,MATCH($Q24,$R:$R,0)-1,0),""),"")</f>
        <v/>
      </c>
      <c r="U24" s="304" t="str">
        <f ca="1">_xlfn.IFNA(OFFSET('4.3民生部門電力以外の取組'!$F$1,MATCH(E24,'4.3民生部門電力以外の取組'!$D:$D,0)+2,0),"")</f>
        <v/>
      </c>
      <c r="V24" s="129"/>
      <c r="W24" s="255"/>
    </row>
    <row r="25" spans="2:23" s="11" customFormat="1">
      <c r="B25" s="22"/>
      <c r="C25" s="373"/>
      <c r="D25" s="160"/>
      <c r="E25" s="661"/>
      <c r="F25" s="658"/>
      <c r="G25" s="607"/>
      <c r="H25" s="660"/>
      <c r="I25" s="650"/>
      <c r="J25" s="654"/>
      <c r="K25" s="664" t="str">
        <f t="shared" ca="1" si="2"/>
        <v/>
      </c>
      <c r="L25" s="24"/>
      <c r="O25" s="12"/>
      <c r="P25" s="12"/>
      <c r="Q25" s="304">
        <f t="shared" si="0"/>
        <v>20</v>
      </c>
      <c r="R25" s="304" t="str">
        <f>IF(S25&lt;&gt;"//",COUNTA($S$6:$S25)-COUNTIF($S$6:$S25,"//"),"")</f>
        <v/>
      </c>
      <c r="S25" s="304" t="str">
        <f t="shared" si="1"/>
        <v>//</v>
      </c>
      <c r="T25" s="129" t="str">
        <f ca="1">_xlfn.IFNA(IF(COUNTIF('4.3民生部門電力以外の取組'!$D:$D,OFFSET($S$1,MATCH($Q25,$R:$R,0)-1,0))=0,OFFSET($S$1,MATCH($Q25,$R:$R,0)-1,0),""),"")</f>
        <v/>
      </c>
      <c r="U25" s="304" t="str">
        <f ca="1">_xlfn.IFNA(OFFSET('4.3民生部門電力以外の取組'!$F$1,MATCH(E25,'4.3民生部門電力以外の取組'!$D:$D,0)+2,0),"")</f>
        <v/>
      </c>
      <c r="V25" s="129"/>
      <c r="W25" s="255"/>
    </row>
    <row r="26" spans="2:23">
      <c r="B26" s="16"/>
      <c r="C26" s="76"/>
      <c r="D26" s="666" t="s">
        <v>74</v>
      </c>
      <c r="E26" s="662"/>
      <c r="F26" s="648"/>
      <c r="G26" s="847"/>
      <c r="H26" s="649"/>
      <c r="I26" s="711" t="str">
        <f>IF(AND(COUNTBLANK(H26:H31)&lt;=3,COUNTA(H26:H31)=0),0,IF(SUM(H26:H31)=0,"",SUM(H26:H31)))</f>
        <v/>
      </c>
      <c r="J26" s="954"/>
      <c r="K26" s="649"/>
      <c r="L26" s="19"/>
      <c r="M26"/>
      <c r="O26" s="375"/>
      <c r="P26" s="375"/>
      <c r="Q26" s="365">
        <f t="shared" si="0"/>
        <v>21</v>
      </c>
      <c r="R26" s="365" t="str">
        <f>IF(S26&lt;&gt;"//",COUNTA($S$6:$S26)-COUNTIF($S$6:$S26,"//"),"")</f>
        <v/>
      </c>
      <c r="S26" s="365" t="str">
        <f t="shared" si="1"/>
        <v>//</v>
      </c>
      <c r="T26" s="215" t="str">
        <f ca="1">_xlfn.IFNA(IF(COUNTIF('4.3民生部門電力以外の取組'!$D:$D,OFFSET($S$1,MATCH($Q26,$R:$R,0)-1,0))=0,OFFSET($S$1,MATCH($Q26,$R:$R,0)-1,0),""),"")</f>
        <v/>
      </c>
      <c r="U26" s="365" t="str">
        <f ca="1">_xlfn.IFNA(OFFSET('4.3民生部門電力以外の取組'!$F$1,MATCH(E26,'4.3民生部門電力以外の取組'!$D:$D,0)+2,0),"")</f>
        <v/>
      </c>
      <c r="V26" s="215"/>
      <c r="W26" s="175" t="str">
        <f>IF(AND(COUNTBLANK(H26:H31)&lt;=3,COUNTA(H26:H31)=0),0,IF(SUM(H26:H31)=0,"",SUM(H26:H31)))</f>
        <v/>
      </c>
    </row>
    <row r="27" spans="2:23" s="11" customFormat="1" hidden="1">
      <c r="B27" s="22"/>
      <c r="C27" s="667"/>
      <c r="D27" s="43"/>
      <c r="E27" s="651"/>
      <c r="F27" s="652"/>
      <c r="G27" s="602"/>
      <c r="H27" s="653"/>
      <c r="I27" s="647"/>
      <c r="J27" s="651"/>
      <c r="K27" s="952" t="str">
        <f ca="1">U27</f>
        <v/>
      </c>
      <c r="L27" s="24"/>
      <c r="O27" s="12"/>
      <c r="P27" s="12"/>
      <c r="Q27" s="304">
        <f t="shared" si="0"/>
        <v>22</v>
      </c>
      <c r="R27" s="304" t="str">
        <f>IF(S27&lt;&gt;"//",COUNTA($S$6:$S27)-COUNTIF($S$6:$S27,"//"),"")</f>
        <v/>
      </c>
      <c r="S27" s="304" t="str">
        <f t="shared" si="1"/>
        <v>//</v>
      </c>
      <c r="T27" s="129" t="str">
        <f ca="1">_xlfn.IFNA(IF(COUNTIF('4.3民生部門電力以外の取組'!$D:$D,OFFSET($S$1,MATCH($Q27,$R:$R,0)-1,0))=0,OFFSET($S$1,MATCH($Q27,$R:$R,0)-1,0),""),"")</f>
        <v/>
      </c>
      <c r="U27" s="304" t="str">
        <f ca="1">_xlfn.IFNA(OFFSET('4.3民生部門電力以外の取組'!$F$1,MATCH(E27,'4.3民生部門電力以外の取組'!$D:$D,0)+2,0),"")</f>
        <v/>
      </c>
      <c r="V27" s="129"/>
      <c r="W27" s="255"/>
    </row>
    <row r="28" spans="2:23" s="11" customFormat="1">
      <c r="B28" s="22"/>
      <c r="C28" s="373"/>
      <c r="D28" s="160"/>
      <c r="E28" s="658"/>
      <c r="F28" s="658"/>
      <c r="G28" s="607"/>
      <c r="H28" s="660"/>
      <c r="I28" s="650"/>
      <c r="J28" s="654"/>
      <c r="K28" s="664" t="str">
        <f t="shared" ca="1" si="2"/>
        <v/>
      </c>
      <c r="L28" s="24"/>
      <c r="O28" s="12"/>
      <c r="P28" s="12"/>
      <c r="Q28" s="304">
        <f t="shared" si="0"/>
        <v>23</v>
      </c>
      <c r="R28" s="304" t="str">
        <f>IF(S28&lt;&gt;"//",COUNTA($S$6:$S28)-COUNTIF($S$6:$S28,"//"),"")</f>
        <v/>
      </c>
      <c r="S28" s="304" t="str">
        <f t="shared" si="1"/>
        <v>//</v>
      </c>
      <c r="T28" s="129" t="str">
        <f ca="1">_xlfn.IFNA(IF(COUNTIF('4.3民生部門電力以外の取組'!$D:$D,OFFSET($S$1,MATCH($Q28,$R:$R,0)-1,0))=0,OFFSET($S$1,MATCH($Q28,$R:$R,0)-1,0),""),"")</f>
        <v/>
      </c>
      <c r="U28" s="304" t="str">
        <f ca="1">_xlfn.IFNA(OFFSET('4.3民生部門電力以外の取組'!$F$1,MATCH(E28,'4.3民生部門電力以外の取組'!$D:$D,0)+2,0),"")</f>
        <v/>
      </c>
      <c r="V28" s="129"/>
      <c r="W28" s="255"/>
    </row>
    <row r="29" spans="2:23" s="11" customFormat="1">
      <c r="B29" s="22"/>
      <c r="C29" s="373"/>
      <c r="D29" s="160"/>
      <c r="E29" s="658"/>
      <c r="F29" s="658"/>
      <c r="G29" s="607"/>
      <c r="H29" s="660"/>
      <c r="I29" s="650"/>
      <c r="J29" s="654"/>
      <c r="K29" s="664" t="str">
        <f t="shared" ca="1" si="2"/>
        <v/>
      </c>
      <c r="L29" s="24"/>
      <c r="O29" s="12"/>
      <c r="P29" s="12"/>
      <c r="Q29" s="304">
        <f t="shared" si="0"/>
        <v>24</v>
      </c>
      <c r="R29" s="304" t="str">
        <f>IF(S29&lt;&gt;"//",COUNTA($S$6:$S29)-COUNTIF($S$6:$S29,"//"),"")</f>
        <v/>
      </c>
      <c r="S29" s="304" t="str">
        <f t="shared" si="1"/>
        <v>//</v>
      </c>
      <c r="T29" s="129" t="str">
        <f ca="1">_xlfn.IFNA(IF(COUNTIF('4.3民生部門電力以外の取組'!$D:$D,OFFSET($S$1,MATCH($Q29,$R:$R,0)-1,0))=0,OFFSET($S$1,MATCH($Q29,$R:$R,0)-1,0),""),"")</f>
        <v/>
      </c>
      <c r="U29" s="304" t="str">
        <f ca="1">_xlfn.IFNA(OFFSET('4.3民生部門電力以外の取組'!$F$1,MATCH(E29,'4.3民生部門電力以外の取組'!$D:$D,0)+2,0),"")</f>
        <v/>
      </c>
      <c r="V29" s="129"/>
      <c r="W29" s="255"/>
    </row>
    <row r="30" spans="2:23" s="11" customFormat="1">
      <c r="B30" s="22"/>
      <c r="C30" s="373"/>
      <c r="D30" s="160"/>
      <c r="E30" s="661"/>
      <c r="F30" s="658"/>
      <c r="G30" s="607"/>
      <c r="H30" s="660"/>
      <c r="I30" s="646"/>
      <c r="J30" s="654"/>
      <c r="K30" s="664" t="str">
        <f t="shared" ca="1" si="2"/>
        <v/>
      </c>
      <c r="L30" s="24"/>
      <c r="O30" s="12"/>
      <c r="P30" s="12"/>
      <c r="Q30" s="304">
        <f t="shared" si="0"/>
        <v>25</v>
      </c>
      <c r="R30" s="304" t="str">
        <f>IF(S30&lt;&gt;"//",COUNTA($S$6:$S30)-COUNTIF($S$6:$S30,"//"),"")</f>
        <v/>
      </c>
      <c r="S30" s="304" t="str">
        <f t="shared" si="1"/>
        <v>//</v>
      </c>
      <c r="T30" s="129" t="str">
        <f ca="1">_xlfn.IFNA(IF(COUNTIF('4.3民生部門電力以外の取組'!$D:$D,OFFSET($S$1,MATCH($Q30,$R:$R,0)-1,0))=0,OFFSET($S$1,MATCH($Q30,$R:$R,0)-1,0),""),"")</f>
        <v/>
      </c>
      <c r="U30" s="304" t="str">
        <f ca="1">_xlfn.IFNA(OFFSET('4.3民生部門電力以外の取組'!$F$1,MATCH(E30,'4.3民生部門電力以外の取組'!$D:$D,0)+2,0),"")</f>
        <v/>
      </c>
      <c r="V30" s="129"/>
      <c r="W30" s="255"/>
    </row>
    <row r="31" spans="2:23">
      <c r="B31" s="16"/>
      <c r="C31" s="76"/>
      <c r="D31" s="666" t="s">
        <v>160</v>
      </c>
      <c r="E31" s="662"/>
      <c r="F31" s="648"/>
      <c r="G31" s="847"/>
      <c r="H31" s="649"/>
      <c r="I31" s="711" t="str">
        <f>IF(AND(COUNTBLANK(H31:H36)&lt;=3,COUNTA(H31:H36)=0),0,IF(SUM(H31:H36)=0,"",SUM(H31:H36)))</f>
        <v/>
      </c>
      <c r="J31" s="954"/>
      <c r="K31" s="649"/>
      <c r="L31" s="19"/>
      <c r="M31"/>
      <c r="O31" s="375"/>
      <c r="P31" s="375"/>
      <c r="Q31" s="365">
        <f t="shared" si="0"/>
        <v>26</v>
      </c>
      <c r="R31" s="365" t="str">
        <f>IF(S31&lt;&gt;"//",COUNTA($S$6:$S31)-COUNTIF($S$6:$S31,"//"),"")</f>
        <v/>
      </c>
      <c r="S31" s="365" t="str">
        <f t="shared" si="1"/>
        <v>//</v>
      </c>
      <c r="T31" s="215" t="str">
        <f ca="1">_xlfn.IFNA(IF(COUNTIF('4.3民生部門電力以外の取組'!$D:$D,OFFSET($S$1,MATCH($Q31,$R:$R,0)-1,0))=0,OFFSET($S$1,MATCH($Q31,$R:$R,0)-1,0),""),"")</f>
        <v/>
      </c>
      <c r="U31" s="365" t="str">
        <f ca="1">_xlfn.IFNA(OFFSET('4.3民生部門電力以外の取組'!$F$1,MATCH(E31,'4.3民生部門電力以外の取組'!$D:$D,0)+2,0),"")</f>
        <v/>
      </c>
      <c r="V31" s="215"/>
      <c r="W31" s="175" t="str">
        <f>IF(AND(COUNTBLANK(H31:H36)&lt;=3,COUNTA(H31:H36)=0),0,IF(SUM(H31:H36)=0,"",SUM(H31:H36)))</f>
        <v/>
      </c>
    </row>
    <row r="32" spans="2:23" s="11" customFormat="1" hidden="1">
      <c r="B32" s="22"/>
      <c r="C32" s="667"/>
      <c r="D32" s="43"/>
      <c r="E32" s="651"/>
      <c r="F32" s="652"/>
      <c r="G32" s="602"/>
      <c r="H32" s="653"/>
      <c r="I32" s="647"/>
      <c r="J32" s="651"/>
      <c r="K32" s="952" t="str">
        <f ca="1">U32</f>
        <v/>
      </c>
      <c r="L32" s="24"/>
      <c r="O32" s="12"/>
      <c r="P32" s="12"/>
      <c r="Q32" s="304">
        <f t="shared" si="0"/>
        <v>27</v>
      </c>
      <c r="R32" s="304" t="str">
        <f>IF(S32&lt;&gt;"//",COUNTA($S$6:$S32)-COUNTIF($S$6:$S32,"//"),"")</f>
        <v/>
      </c>
      <c r="S32" s="304" t="str">
        <f t="shared" si="1"/>
        <v>//</v>
      </c>
      <c r="T32" s="129" t="str">
        <f ca="1">_xlfn.IFNA(IF(COUNTIF('4.3民生部門電力以外の取組'!$D:$D,OFFSET($S$1,MATCH($Q32,$R:$R,0)-1,0))=0,OFFSET($S$1,MATCH($Q32,$R:$R,0)-1,0),""),"")</f>
        <v/>
      </c>
      <c r="U32" s="304" t="str">
        <f ca="1">_xlfn.IFNA(OFFSET('4.3民生部門電力以外の取組'!$F$1,MATCH(E32,'4.3民生部門電力以外の取組'!$D:$D,0)+2,0),"")</f>
        <v/>
      </c>
      <c r="V32" s="129"/>
      <c r="W32" s="255"/>
    </row>
    <row r="33" spans="2:23" s="11" customFormat="1">
      <c r="B33" s="22"/>
      <c r="C33" s="373"/>
      <c r="D33" s="160"/>
      <c r="E33" s="658"/>
      <c r="F33" s="658"/>
      <c r="G33" s="607"/>
      <c r="H33" s="660"/>
      <c r="I33" s="650"/>
      <c r="J33" s="654"/>
      <c r="K33" s="664" t="str">
        <f t="shared" ca="1" si="2"/>
        <v/>
      </c>
      <c r="L33" s="24"/>
      <c r="O33" s="12"/>
      <c r="P33" s="12"/>
      <c r="Q33" s="304">
        <f t="shared" si="0"/>
        <v>28</v>
      </c>
      <c r="R33" s="304" t="str">
        <f>IF(S33&lt;&gt;"//",COUNTA($S$6:$S33)-COUNTIF($S$6:$S33,"//"),"")</f>
        <v/>
      </c>
      <c r="S33" s="304" t="str">
        <f t="shared" si="1"/>
        <v>//</v>
      </c>
      <c r="T33" s="129" t="str">
        <f ca="1">_xlfn.IFNA(IF(COUNTIF('4.3民生部門電力以外の取組'!$D:$D,OFFSET($S$1,MATCH($Q33,$R:$R,0)-1,0))=0,OFFSET($S$1,MATCH($Q33,$R:$R,0)-1,0),""),"")</f>
        <v/>
      </c>
      <c r="U33" s="304" t="str">
        <f ca="1">_xlfn.IFNA(OFFSET('4.3民生部門電力以外の取組'!$F$1,MATCH(E33,'4.3民生部門電力以外の取組'!$D:$D,0)+2,0),"")</f>
        <v/>
      </c>
      <c r="V33" s="129"/>
      <c r="W33" s="255"/>
    </row>
    <row r="34" spans="2:23" s="11" customFormat="1">
      <c r="B34" s="22"/>
      <c r="C34" s="373"/>
      <c r="D34" s="160"/>
      <c r="E34" s="658"/>
      <c r="F34" s="658"/>
      <c r="G34" s="607"/>
      <c r="H34" s="660"/>
      <c r="I34" s="650"/>
      <c r="J34" s="654"/>
      <c r="K34" s="664" t="str">
        <f t="shared" ca="1" si="2"/>
        <v/>
      </c>
      <c r="L34" s="24"/>
      <c r="O34" s="12"/>
      <c r="P34" s="12"/>
      <c r="Q34" s="304">
        <f t="shared" si="0"/>
        <v>29</v>
      </c>
      <c r="R34" s="304" t="str">
        <f>IF(S34&lt;&gt;"//",COUNTA($S$6:$S34)-COUNTIF($S$6:$S34,"//"),"")</f>
        <v/>
      </c>
      <c r="S34" s="304" t="str">
        <f t="shared" si="1"/>
        <v>//</v>
      </c>
      <c r="T34" s="129" t="str">
        <f ca="1">_xlfn.IFNA(IF(COUNTIF('4.3民生部門電力以外の取組'!$D:$D,OFFSET($S$1,MATCH($Q34,$R:$R,0)-1,0))=0,OFFSET($S$1,MATCH($Q34,$R:$R,0)-1,0),""),"")</f>
        <v/>
      </c>
      <c r="U34" s="304" t="str">
        <f ca="1">_xlfn.IFNA(OFFSET('4.3民生部門電力以外の取組'!$F$1,MATCH(E34,'4.3民生部門電力以外の取組'!$D:$D,0)+2,0),"")</f>
        <v/>
      </c>
      <c r="V34" s="129"/>
      <c r="W34" s="255"/>
    </row>
    <row r="35" spans="2:23" s="11" customFormat="1">
      <c r="B35" s="22"/>
      <c r="C35" s="373"/>
      <c r="D35" s="160"/>
      <c r="E35" s="658"/>
      <c r="F35" s="658"/>
      <c r="G35" s="607"/>
      <c r="H35" s="660"/>
      <c r="I35" s="650"/>
      <c r="J35" s="654"/>
      <c r="K35" s="664" t="str">
        <f t="shared" ca="1" si="2"/>
        <v/>
      </c>
      <c r="L35" s="24"/>
      <c r="O35" s="12"/>
      <c r="P35" s="12"/>
      <c r="Q35" s="304">
        <f t="shared" si="0"/>
        <v>30</v>
      </c>
      <c r="R35" s="304" t="str">
        <f>IF(S35&lt;&gt;"//",COUNTA($S$6:$S35)-COUNTIF($S$6:$S35,"//"),"")</f>
        <v/>
      </c>
      <c r="S35" s="304" t="str">
        <f t="shared" si="1"/>
        <v>//</v>
      </c>
      <c r="T35" s="129" t="str">
        <f ca="1">_xlfn.IFNA(IF(COUNTIF('4.3民生部門電力以外の取組'!$D:$D,OFFSET($S$1,MATCH($Q35,$R:$R,0)-1,0))=0,OFFSET($S$1,MATCH($Q35,$R:$R,0)-1,0),""),"")</f>
        <v/>
      </c>
      <c r="U35" s="304" t="str">
        <f ca="1">_xlfn.IFNA(OFFSET('4.3民生部門電力以外の取組'!$F$1,MATCH(E35,'4.3民生部門電力以外の取組'!$D:$D,0)+2,0),"")</f>
        <v/>
      </c>
      <c r="V35" s="129"/>
      <c r="W35" s="255"/>
    </row>
    <row r="36" spans="2:23">
      <c r="B36" s="16"/>
      <c r="C36" s="377" t="s">
        <v>26</v>
      </c>
      <c r="D36" s="378"/>
      <c r="E36" s="300"/>
      <c r="F36" s="300"/>
      <c r="G36" s="848"/>
      <c r="H36" s="379"/>
      <c r="I36" s="712">
        <f ca="1">SUM(OFFSET(I$5,0,0,ROW()-ROW(I$5),1))</f>
        <v>0</v>
      </c>
      <c r="J36" s="848"/>
      <c r="K36" s="953"/>
      <c r="L36" s="19"/>
      <c r="M36"/>
      <c r="O36" s="375"/>
      <c r="P36" s="375"/>
      <c r="Q36" s="365">
        <f t="shared" si="0"/>
        <v>31</v>
      </c>
      <c r="R36" s="365" t="str">
        <f>IF(S36&lt;&gt;"//",COUNTA($S$6:$S36)-COUNTIF($S$6:$S36,"//"),"")</f>
        <v/>
      </c>
      <c r="S36" s="365" t="str">
        <f t="shared" si="1"/>
        <v>//</v>
      </c>
      <c r="T36" s="215" t="str">
        <f ca="1">_xlfn.IFNA(IF(COUNTIF('4.3民生部門電力以外の取組'!$D:$D,OFFSET($S$1,MATCH($Q36,$R:$R,0)-1,0))=0,OFFSET($S$1,MATCH($Q36,$R:$R,0)-1,0),""),"")</f>
        <v/>
      </c>
      <c r="U36" s="365" t="str">
        <f ca="1">_xlfn.IFNA(OFFSET('4.3民生部門電力以外の取組'!$F$1,MATCH(E36,'4.3民生部門電力以外の取組'!$D:$D,0)+2,0),"")</f>
        <v/>
      </c>
      <c r="V36" s="215"/>
      <c r="W36" s="175">
        <f ca="1">SUM(OFFSET(I$5,0,0,ROW()-ROW(I$5),1))</f>
        <v>0</v>
      </c>
    </row>
    <row r="37" spans="2:23" ht="6.65" customHeight="1">
      <c r="B37" s="46"/>
      <c r="C37" s="26"/>
      <c r="D37" s="26"/>
      <c r="E37" s="26"/>
      <c r="F37" s="26"/>
      <c r="G37" s="849"/>
      <c r="H37" s="26"/>
      <c r="I37" s="26"/>
      <c r="J37" s="849"/>
      <c r="K37" s="26"/>
      <c r="L37" s="27"/>
      <c r="M37"/>
      <c r="Q37"/>
      <c r="R37"/>
      <c r="S37"/>
      <c r="T37"/>
    </row>
    <row r="38" spans="2:23">
      <c r="Q38"/>
      <c r="R38"/>
      <c r="S38"/>
      <c r="T38"/>
    </row>
    <row r="39" spans="2:23">
      <c r="Q39"/>
      <c r="R39"/>
      <c r="S39"/>
      <c r="T39"/>
    </row>
    <row r="40" spans="2:23">
      <c r="Q40" s="175" t="s">
        <v>452</v>
      </c>
      <c r="R40" s="175"/>
      <c r="S40"/>
      <c r="T40"/>
    </row>
    <row r="41" spans="2:23">
      <c r="Q41" s="175" t="s">
        <v>591</v>
      </c>
      <c r="R41" s="175">
        <f ca="1">IF(COUNTA(E:E)-1=COUNTIF(K:K,"?"),1,0)</f>
        <v>1</v>
      </c>
      <c r="S41"/>
      <c r="T41"/>
    </row>
    <row r="42" spans="2:23">
      <c r="Q42" s="175" t="s">
        <v>219</v>
      </c>
      <c r="R42" s="175" cm="1">
        <f t="array" aca="1" ref="R42" ca="1">IF(SUMPRODUCT(N(K6:K36&lt;&gt;U6:U36))=0,1,0)</f>
        <v>1</v>
      </c>
      <c r="S42"/>
      <c r="T42"/>
    </row>
    <row r="43" spans="2:23">
      <c r="Q43" s="175" t="s">
        <v>590</v>
      </c>
      <c r="R43" s="175">
        <f ca="1">R41*R42</f>
        <v>1</v>
      </c>
      <c r="S43"/>
      <c r="T43"/>
    </row>
    <row r="44" spans="2:23">
      <c r="Q44"/>
      <c r="R44"/>
      <c r="S44"/>
      <c r="T44"/>
    </row>
    <row r="45" spans="2:23">
      <c r="Q45"/>
      <c r="R45"/>
      <c r="S45"/>
      <c r="T45"/>
    </row>
    <row r="46" spans="2:23">
      <c r="Q46"/>
      <c r="R46"/>
      <c r="S46"/>
      <c r="T46"/>
    </row>
    <row r="47" spans="2:23">
      <c r="Q47"/>
      <c r="R47"/>
      <c r="S47"/>
      <c r="T47"/>
    </row>
  </sheetData>
  <sheetProtection algorithmName="SHA-512" hashValue="M/chjWUIesa8mbliD0OHpm/I6N1/LSBbVWb+1U5LYESBtnmmShrF/247hGS1vM5TxMZ7Lp+wi9rFdAuBJzlMmg==" saltValue="z6Zmrpy0xy/hMHR7B0Sd0g==" spinCount="100000" sheet="1" formatCells="0" insertRows="0" deleteRows="0"/>
  <phoneticPr fontId="1"/>
  <conditionalFormatting sqref="C6:C35">
    <cfRule type="notContainsBlanks" dxfId="526" priority="3">
      <formula>LEN(TRIM(C6))&gt;0</formula>
    </cfRule>
    <cfRule type="expression" dxfId="525" priority="5">
      <formula>$E6&lt;&gt;""</formula>
    </cfRule>
  </conditionalFormatting>
  <conditionalFormatting sqref="C6:K36">
    <cfRule type="expression" dxfId="524" priority="9">
      <formula>$Q6=""</formula>
    </cfRule>
  </conditionalFormatting>
  <conditionalFormatting sqref="E7:K35">
    <cfRule type="notContainsBlanks" dxfId="523" priority="8">
      <formula>LEN(TRIM(E7))&gt;0</formula>
    </cfRule>
  </conditionalFormatting>
  <conditionalFormatting sqref="I6:I36">
    <cfRule type="expression" dxfId="522" priority="1">
      <formula>$I6&lt;&gt;$W6</formula>
    </cfRule>
  </conditionalFormatting>
  <conditionalFormatting sqref="I6:J35">
    <cfRule type="notContainsBlanks" dxfId="521" priority="7">
      <formula>LEN(TRIM(I6))&gt;0</formula>
    </cfRule>
  </conditionalFormatting>
  <conditionalFormatting sqref="I36:J36">
    <cfRule type="cellIs" dxfId="520" priority="2" operator="notEqual">
      <formula>0</formula>
    </cfRule>
  </conditionalFormatting>
  <conditionalFormatting sqref="K6:K36">
    <cfRule type="expression" dxfId="519" priority="6">
      <formula>$K6&lt;&gt;$U6</formula>
    </cfRule>
  </conditionalFormatting>
  <dataValidations count="7">
    <dataValidation type="decimal" errorStyle="information" operator="greaterThanOrEqual" allowBlank="1" showInputMessage="1" showErrorMessage="1" error="数値で入力してください_x000a_削減量の算定ができない場合のみ「-」を入力してください" sqref="I36:J36 H6:H35" xr:uid="{70F804D3-5D27-46AA-AC53-7C20728323AD}">
      <formula1>0</formula1>
    </dataValidation>
    <dataValidation type="textLength" operator="lessThan" allowBlank="1" showInputMessage="1" sqref="C16 C26 C6 C11 C21 D32:D35 D6:D30 I6:I35" xr:uid="{A1FC19D3-275E-49E1-AFBF-8E73284638C0}">
      <formula1>1</formula1>
    </dataValidation>
    <dataValidation type="custom" allowBlank="1" showInputMessage="1" showErrorMessage="1" sqref="C36" xr:uid="{7B3450A5-FA2E-4B4F-9F83-10D1EDE37C60}">
      <formula1>$D36="*"</formula1>
    </dataValidation>
    <dataValidation type="list" allowBlank="1" showInputMessage="1" showErrorMessage="1" sqref="F36" xr:uid="{14195A26-5660-4D14-A91E-19EC1D94E584}">
      <formula1>#REF!</formula1>
    </dataValidation>
    <dataValidation operator="lessThan" allowBlank="1" showInputMessage="1" showErrorMessage="1" sqref="C31:D31" xr:uid="{64F1A80E-F243-45BE-B005-6B6D714E5A67}"/>
    <dataValidation type="list" allowBlank="1" showInputMessage="1" showErrorMessage="1" sqref="G36 J36" xr:uid="{7FCAB65B-CC91-4DCB-9432-949AEC0076A1}">
      <formula1>OFFSET(#REF!,MATCH($F36,#REF!,0),1,1,COUNTA(OFFSET(#REF!,MATCH($F36,#REF!,0),1,1,10)))</formula1>
    </dataValidation>
    <dataValidation type="whole" operator="greaterThanOrEqual" allowBlank="1" showInputMessage="1" showErrorMessage="1" errorTitle="入力エラー" error="整数で入力してください" sqref="J6:J35" xr:uid="{54ED23EA-BDFD-4C6F-8D73-EE068F72895C}">
      <formula1>0</formula1>
    </dataValidation>
  </dataValidations>
  <pageMargins left="0.7" right="0.7" top="0.75" bottom="0.75" header="0.3" footer="0.3"/>
  <pageSetup paperSize="8" scale="52" orientation="landscape"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7872-A305-4ACA-A5B3-0CBA52952B2E}">
  <sheetPr codeName="Sheet11">
    <tabColor theme="7" tint="0.79998168889431442"/>
    <pageSetUpPr autoPageBreaks="0"/>
  </sheetPr>
  <dimension ref="A1:G18"/>
  <sheetViews>
    <sheetView showGridLines="0" zoomScale="85" zoomScaleNormal="85" zoomScaleSheetLayoutView="104" workbookViewId="0"/>
  </sheetViews>
  <sheetFormatPr defaultColWidth="9" defaultRowHeight="18"/>
  <cols>
    <col min="2" max="2" width="35.08203125" customWidth="1"/>
    <col min="3" max="3" width="35.5" customWidth="1"/>
    <col min="7" max="7" width="9" hidden="1" customWidth="1"/>
  </cols>
  <sheetData>
    <row r="1" spans="1:7">
      <c r="A1" s="317" t="s">
        <v>6272</v>
      </c>
      <c r="B1" s="318"/>
      <c r="C1" s="317"/>
    </row>
    <row r="2" spans="1:7">
      <c r="B2" s="47"/>
      <c r="C2" s="40" t="s">
        <v>1</v>
      </c>
      <c r="G2" t="s">
        <v>314</v>
      </c>
    </row>
    <row r="3" spans="1:7">
      <c r="B3" s="47"/>
      <c r="G3">
        <f>ROW()-2</f>
        <v>1</v>
      </c>
    </row>
    <row r="4" spans="1:7" s="11" customFormat="1">
      <c r="B4" s="89" t="s">
        <v>6271</v>
      </c>
      <c r="C4" s="516"/>
      <c r="G4" s="11">
        <f t="shared" ref="G4:G15" si="0">ROW()-2</f>
        <v>2</v>
      </c>
    </row>
    <row r="5" spans="1:7" s="11" customFormat="1">
      <c r="B5" s="89" t="s">
        <v>6291</v>
      </c>
      <c r="C5" s="516"/>
      <c r="G5" s="11">
        <f t="shared" si="0"/>
        <v>3</v>
      </c>
    </row>
    <row r="6" spans="1:7" s="11" customFormat="1">
      <c r="B6" s="89" t="s">
        <v>6292</v>
      </c>
      <c r="C6" s="516"/>
      <c r="G6" s="11">
        <f t="shared" si="0"/>
        <v>4</v>
      </c>
    </row>
    <row r="7" spans="1:7" s="11" customFormat="1">
      <c r="B7" s="89" t="s">
        <v>228</v>
      </c>
      <c r="C7" s="516"/>
      <c r="G7" s="11">
        <f t="shared" si="0"/>
        <v>5</v>
      </c>
    </row>
    <row r="8" spans="1:7" s="11" customFormat="1">
      <c r="B8" s="89" t="s">
        <v>228</v>
      </c>
      <c r="C8" s="516"/>
      <c r="G8" s="11">
        <f t="shared" si="0"/>
        <v>6</v>
      </c>
    </row>
    <row r="9" spans="1:7" s="11" customFormat="1">
      <c r="B9" s="89" t="s">
        <v>228</v>
      </c>
      <c r="C9" s="516"/>
      <c r="G9" s="11">
        <f t="shared" si="0"/>
        <v>7</v>
      </c>
    </row>
    <row r="10" spans="1:7" s="11" customFormat="1">
      <c r="B10" s="89" t="s">
        <v>93</v>
      </c>
      <c r="C10" s="516"/>
      <c r="G10" s="11">
        <f t="shared" si="0"/>
        <v>8</v>
      </c>
    </row>
    <row r="11" spans="1:7" s="11" customFormat="1">
      <c r="B11" s="89" t="s">
        <v>93</v>
      </c>
      <c r="C11" s="516"/>
      <c r="G11" s="11">
        <f t="shared" si="0"/>
        <v>9</v>
      </c>
    </row>
    <row r="12" spans="1:7" s="11" customFormat="1">
      <c r="B12" s="89" t="s">
        <v>93</v>
      </c>
      <c r="C12" s="516"/>
      <c r="G12" s="11">
        <f t="shared" si="0"/>
        <v>10</v>
      </c>
    </row>
    <row r="13" spans="1:7" s="11" customFormat="1">
      <c r="B13" s="89" t="s">
        <v>93</v>
      </c>
      <c r="C13" s="516"/>
      <c r="G13" s="11">
        <f t="shared" si="0"/>
        <v>11</v>
      </c>
    </row>
    <row r="14" spans="1:7" s="11" customFormat="1">
      <c r="B14" s="89" t="s">
        <v>93</v>
      </c>
      <c r="C14" s="516"/>
      <c r="G14" s="11">
        <f t="shared" si="0"/>
        <v>12</v>
      </c>
    </row>
    <row r="15" spans="1:7" s="11" customFormat="1">
      <c r="B15" s="89" t="s">
        <v>93</v>
      </c>
      <c r="C15" s="516"/>
      <c r="G15" s="11">
        <f t="shared" si="0"/>
        <v>13</v>
      </c>
    </row>
    <row r="16" spans="1:7">
      <c r="G16" s="11"/>
    </row>
    <row r="17" spans="7:7">
      <c r="G17" t="s">
        <v>452</v>
      </c>
    </row>
    <row r="18" spans="7:7">
      <c r="G18">
        <f>IF(COUNTBLANK($G$3:$G$15)=0,1,0)</f>
        <v>1</v>
      </c>
    </row>
  </sheetData>
  <sheetProtection algorithmName="SHA-512" hashValue="PIXVmjHe0EJ5lUYul3SaICWXot4OedjsKRclMwXxQqZhAP+KM8sZJ9464SJa5hFtfkzWbMGr5NMLS9wG2nlT+g==" saltValue="WjaO7mkLzEHJ4rKvP4zHbw==" spinCount="100000" sheet="1" formatCells="0" insertRows="0" deleteRows="0"/>
  <phoneticPr fontId="1"/>
  <conditionalFormatting sqref="B4:C5">
    <cfRule type="expression" dxfId="2711" priority="1">
      <formula>$G4=""</formula>
    </cfRule>
  </conditionalFormatting>
  <conditionalFormatting sqref="B6:C15">
    <cfRule type="expression" dxfId="2710" priority="4">
      <formula>$G6=""</formula>
    </cfRule>
  </conditionalFormatting>
  <conditionalFormatting sqref="C4:C15">
    <cfRule type="notContainsBlanks" dxfId="2709" priority="3">
      <formula>LEN(TRIM(C4))&gt;0</formula>
    </cfRule>
  </conditionalFormatting>
  <pageMargins left="0.7" right="0.7" top="0.75" bottom="0.75" header="0.3" footer="0.3"/>
  <pageSetup scale="35"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EA89-E25D-4DFD-A453-4D3EE0E2F7E2}">
  <sheetPr codeName="Sheet36">
    <tabColor theme="7" tint="0.79998168889431442"/>
    <pageSetUpPr autoPageBreaks="0" fitToPage="1"/>
  </sheetPr>
  <dimension ref="A1:AA804"/>
  <sheetViews>
    <sheetView showGridLines="0" zoomScaleNormal="100" zoomScaleSheetLayoutView="90" workbookViewId="0"/>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58" customWidth="1"/>
    <col min="6" max="7" width="15" style="11" customWidth="1"/>
    <col min="8" max="9" width="15" style="1206" customWidth="1"/>
    <col min="10" max="10" width="15" style="11" customWidth="1"/>
    <col min="11" max="11" width="2" style="11" customWidth="1"/>
    <col min="12" max="12" width="4.08203125" style="99" customWidth="1"/>
    <col min="13" max="14" width="9" style="99"/>
    <col min="15" max="16" width="9" style="11"/>
    <col min="17" max="17" width="4.75" style="11" customWidth="1"/>
    <col min="18" max="25" width="12.58203125" style="11" hidden="1" customWidth="1"/>
    <col min="26" max="27" width="9" style="11" hidden="1" customWidth="1"/>
    <col min="28" max="16384" width="9" style="11"/>
  </cols>
  <sheetData>
    <row r="1" spans="1:27" customFormat="1">
      <c r="A1" s="44" t="s">
        <v>353</v>
      </c>
      <c r="B1" s="1"/>
      <c r="C1" s="1"/>
      <c r="E1" s="3"/>
      <c r="H1" s="1198"/>
      <c r="I1" s="1198"/>
      <c r="L1" s="2"/>
      <c r="M1" s="2"/>
      <c r="N1" s="2"/>
    </row>
    <row r="2" spans="1:27" customFormat="1" ht="66" customHeight="1">
      <c r="B2" s="1469" t="s">
        <v>508</v>
      </c>
      <c r="C2" s="1469"/>
      <c r="D2" s="1469"/>
      <c r="E2" s="1469"/>
      <c r="F2" s="1469"/>
      <c r="G2" s="1469"/>
      <c r="H2" s="1469"/>
      <c r="I2" s="1469"/>
      <c r="J2" s="1469"/>
      <c r="K2" s="1469"/>
      <c r="L2" s="3"/>
      <c r="M2" s="3"/>
      <c r="N2" s="3"/>
      <c r="O2" s="3"/>
    </row>
    <row r="3" spans="1:27" customFormat="1">
      <c r="E3" s="3"/>
      <c r="H3" s="1198"/>
      <c r="I3" s="1198"/>
      <c r="L3" s="2"/>
      <c r="M3" s="2"/>
      <c r="N3" s="2"/>
    </row>
    <row r="4" spans="1:27" customFormat="1" ht="26.5">
      <c r="B4" s="73"/>
      <c r="E4" s="3"/>
      <c r="H4" s="1198"/>
      <c r="I4" s="1198"/>
      <c r="L4" s="2"/>
      <c r="M4" s="2"/>
      <c r="N4" s="2"/>
      <c r="R4" t="s">
        <v>314</v>
      </c>
    </row>
    <row r="5" spans="1:27" customFormat="1" ht="13.5" customHeight="1">
      <c r="E5" s="3"/>
      <c r="H5" s="1198"/>
      <c r="I5" s="1198"/>
      <c r="L5" s="2"/>
      <c r="M5" s="2"/>
      <c r="N5" s="2"/>
      <c r="Z5">
        <f ca="1">PRODUCT(AA:AA)</f>
        <v>1</v>
      </c>
    </row>
    <row r="6" spans="1:27" customFormat="1" ht="15" customHeight="1">
      <c r="B6" s="10"/>
      <c r="C6" s="5"/>
      <c r="D6" s="5"/>
      <c r="E6" s="305"/>
      <c r="F6" s="5"/>
      <c r="G6" s="5"/>
      <c r="H6" s="1199"/>
      <c r="I6" s="1199"/>
      <c r="J6" s="5"/>
      <c r="K6" s="6"/>
      <c r="R6" s="11" t="str">
        <f>D7</f>
        <v>(選択してください)</v>
      </c>
    </row>
    <row r="7" spans="1:27" customFormat="1">
      <c r="B7" s="7"/>
      <c r="C7" s="77" t="str">
        <f ca="1">IFERROR(OFFSET('4.3民生部門電力以外の排出削減取組'!$C$1,MATCH(D7,'4.3民生部門電力以外の排出削減取組'!$E:$E,0)-1,0),"")</f>
        <v/>
      </c>
      <c r="D7" s="94" t="s">
        <v>130</v>
      </c>
      <c r="E7" s="72" t="s">
        <v>12</v>
      </c>
      <c r="F7" s="1451" t="str">
        <f ca="1">IFERROR(OFFSET('4.3民生部門電力以外の排出削減取組'!$G$1,MATCH($D7,'4.3民生部門電力以外の排出削減取組'!$E:$E,0)-1,0),"")</f>
        <v/>
      </c>
      <c r="G7" s="1451"/>
      <c r="H7" s="1451"/>
      <c r="I7" s="1451"/>
      <c r="J7" s="1451"/>
      <c r="K7" s="8"/>
      <c r="R7" s="255" t="str">
        <f ca="1">IFERROR(OFFSET('4.3民生部門電力以外の排出削減取組'!$G$1,MATCH($D7,'4.3民生部門電力以外の排出削減取組'!$E:$E,0)-1,0),"")</f>
        <v/>
      </c>
      <c r="S7" s="175"/>
      <c r="T7" s="175"/>
      <c r="U7" s="175"/>
      <c r="V7" s="175"/>
      <c r="W7" s="175"/>
      <c r="X7" s="175"/>
      <c r="Y7" s="175"/>
      <c r="Z7" s="175"/>
      <c r="AA7" s="175">
        <f ca="1">(F7=R7)*1</f>
        <v>1</v>
      </c>
    </row>
    <row r="8" spans="1:27" customFormat="1">
      <c r="B8" s="7"/>
      <c r="C8" s="915"/>
      <c r="D8" s="97"/>
      <c r="E8" s="72" t="s">
        <v>612</v>
      </c>
      <c r="F8" s="1447" t="str">
        <f ca="1">IFERROR(OFFSET('4.3民生部門電力以外の排出削減取組'!$J$1,MATCH($D7,'4.3民生部門電力以外の排出削減取組'!$E:$E,0)-1,0),"")</f>
        <v/>
      </c>
      <c r="G8" s="1448"/>
      <c r="H8" s="1448"/>
      <c r="I8" s="1448"/>
      <c r="J8" s="1449"/>
      <c r="K8" s="8"/>
      <c r="R8" s="255" t="str">
        <f ca="1">IFERROR(OFFSET('4.3民生部門電力以外の排出削減取組'!$J$1,MATCH($D7,'4.3民生部門電力以外の排出削減取組'!$E:$E,0)-1,0),"")</f>
        <v/>
      </c>
      <c r="S8" s="175"/>
      <c r="T8" s="175"/>
      <c r="U8" s="175"/>
      <c r="V8" s="175"/>
      <c r="W8" s="175"/>
      <c r="X8" s="175"/>
      <c r="Y8" s="175"/>
      <c r="Z8" s="175"/>
      <c r="AA8" s="175">
        <f ca="1">(F8=R8)*1</f>
        <v>1</v>
      </c>
    </row>
    <row r="9" spans="1:27" customFormat="1">
      <c r="B9" s="7"/>
      <c r="C9" s="74"/>
      <c r="D9" s="66"/>
      <c r="E9" s="72" t="s">
        <v>280</v>
      </c>
      <c r="F9" s="1470" t="str">
        <f ca="1">IFERROR(OFFSET('4.3民生部門電力以外の排出削減取組'!$H$1,MATCH($D7,'4.3民生部門電力以外の排出削減取組'!$E:$E,0)-1,0),"")</f>
        <v/>
      </c>
      <c r="G9" s="1470"/>
      <c r="H9" s="1470"/>
      <c r="I9" s="1470"/>
      <c r="J9" s="1470"/>
      <c r="K9" s="8"/>
      <c r="R9" s="175" t="str">
        <f ca="1">IFERROR(OFFSET('4.3民生部門電力以外の排出削減取組'!$H$1,MATCH($D7,'4.3民生部門電力以外の排出削減取組'!$E:$E,0)-1,0),"")</f>
        <v/>
      </c>
      <c r="S9" s="175"/>
      <c r="T9" s="175"/>
      <c r="U9" s="175"/>
      <c r="V9" s="175"/>
      <c r="W9" s="175"/>
      <c r="X9" s="175"/>
      <c r="Y9" s="175"/>
      <c r="Z9" s="175"/>
      <c r="AA9" s="175">
        <f t="shared" ref="AA9:AA10" ca="1" si="0">(F9=R9)*1</f>
        <v>1</v>
      </c>
    </row>
    <row r="10" spans="1:27" customFormat="1">
      <c r="B10" s="7"/>
      <c r="C10" s="74"/>
      <c r="D10" s="66"/>
      <c r="E10" s="72" t="s">
        <v>175</v>
      </c>
      <c r="F10" s="1451" t="str">
        <f>_xlfn.IFNA(R10,"")</f>
        <v/>
      </c>
      <c r="G10" s="1451"/>
      <c r="H10" s="1451"/>
      <c r="I10" s="1451"/>
      <c r="J10" s="1451"/>
      <c r="K10" s="8"/>
      <c r="R10" s="129" t="str">
        <f>IF(OR(COUNTIF($E12:$E17,"&lt;&gt;〇〇(合意形成対象者名に書き換え)")=3,COUNTIF($E12:$E17,"")&gt;3),"",IF(PRODUCT($Y12:$Y17)=1,Z12,""))</f>
        <v/>
      </c>
      <c r="S10" s="175"/>
      <c r="T10" s="175"/>
      <c r="U10" s="175"/>
      <c r="V10" s="175"/>
      <c r="W10" s="175"/>
      <c r="X10" s="175"/>
      <c r="Y10" s="175"/>
      <c r="Z10" s="175"/>
      <c r="AA10" s="175">
        <f t="shared" si="0"/>
        <v>1</v>
      </c>
    </row>
    <row r="11" spans="1:27" ht="63.75" customHeight="1">
      <c r="B11" s="95"/>
      <c r="C11" s="96"/>
      <c r="D11" s="97"/>
      <c r="E11" s="888"/>
      <c r="F11" s="313" t="s">
        <v>278</v>
      </c>
      <c r="G11" s="313" t="s">
        <v>268</v>
      </c>
      <c r="H11" s="1200" t="s">
        <v>437</v>
      </c>
      <c r="I11" s="1200" t="s">
        <v>439</v>
      </c>
      <c r="J11" s="313" t="s">
        <v>279</v>
      </c>
      <c r="K11" s="98"/>
      <c r="L11" s="11"/>
      <c r="R11" s="126" t="s">
        <v>278</v>
      </c>
      <c r="S11" s="126" t="s">
        <v>440</v>
      </c>
      <c r="T11" s="295" t="s">
        <v>437</v>
      </c>
      <c r="U11" s="295" t="s">
        <v>438</v>
      </c>
      <c r="V11" s="256" t="s">
        <v>270</v>
      </c>
      <c r="W11" s="126" t="s">
        <v>426</v>
      </c>
      <c r="X11" s="129" t="s">
        <v>402</v>
      </c>
      <c r="Y11" s="129" t="s">
        <v>430</v>
      </c>
      <c r="Z11" s="126" t="s">
        <v>425</v>
      </c>
      <c r="AA11" s="255"/>
    </row>
    <row r="12" spans="1:27" hidden="1">
      <c r="B12" s="95"/>
      <c r="C12" s="96"/>
      <c r="D12" s="97"/>
      <c r="E12" s="889"/>
      <c r="F12" s="439"/>
      <c r="G12" s="439"/>
      <c r="H12" s="1201"/>
      <c r="I12" s="1201"/>
      <c r="J12" s="439"/>
      <c r="K12" s="98"/>
      <c r="L12" s="11"/>
      <c r="R12" s="129">
        <f t="shared" ref="R12:R17" si="1">IF(F12="実施済",1,0)</f>
        <v>0</v>
      </c>
      <c r="S12" s="129">
        <f t="shared" ref="S12:U13" si="2">IF(G12="実施済",R12*1,0)</f>
        <v>0</v>
      </c>
      <c r="T12" s="129">
        <f t="shared" si="2"/>
        <v>0</v>
      </c>
      <c r="U12" s="129">
        <f t="shared" si="2"/>
        <v>0</v>
      </c>
      <c r="V12" s="258"/>
      <c r="W12" s="129" t="str">
        <f>IF(OR(E12="〇〇(合意形成対象者名に書き換え)",E12=""),"",SUM(S12,T12,U12))</f>
        <v/>
      </c>
      <c r="X12" s="129">
        <f t="shared" ref="X12:X17" si="3">MIN($W$12:$W$17)+1</f>
        <v>1</v>
      </c>
      <c r="Y12" s="129">
        <f>IF(E12="",1,IF(AND(E12="〇〇(合意形成対象者名に書き換え)",COUNTA($F12:$J12)=0),1,IF(AND(E12&lt;&gt;"〇〇(合意形成対象者名に書き換え)",COUNTA($F12:$J12)=5),1,0)))</f>
        <v>1</v>
      </c>
      <c r="Z12" s="129" t="str" cm="1">
        <f t="array" ref="Z12">_xlfn.IFS(X12=4,"A",X12=3,"B",X12=2,"C",X12=1,"D")</f>
        <v>D</v>
      </c>
      <c r="AA12" s="255"/>
    </row>
    <row r="13" spans="1:27">
      <c r="B13" s="95"/>
      <c r="C13" s="96"/>
      <c r="D13" s="97"/>
      <c r="E13" s="890" t="s">
        <v>129</v>
      </c>
      <c r="F13" s="445"/>
      <c r="G13" s="445"/>
      <c r="H13" s="1202"/>
      <c r="I13" s="1202"/>
      <c r="J13" s="445"/>
      <c r="K13" s="98"/>
      <c r="L13" s="11"/>
      <c r="R13" s="129">
        <f t="shared" si="1"/>
        <v>0</v>
      </c>
      <c r="S13" s="129">
        <f t="shared" si="2"/>
        <v>0</v>
      </c>
      <c r="T13" s="129">
        <f t="shared" si="2"/>
        <v>0</v>
      </c>
      <c r="U13" s="129">
        <f t="shared" si="2"/>
        <v>0</v>
      </c>
      <c r="V13" s="258"/>
      <c r="W13" s="129" t="str">
        <f t="shared" ref="W13:W17" si="4">IF(OR(E13="〇〇(合意形成対象者名に書き換え)",E13=""),"",SUM(S13,T13,U13))</f>
        <v/>
      </c>
      <c r="X13" s="129">
        <f t="shared" si="3"/>
        <v>1</v>
      </c>
      <c r="Y13" s="129">
        <f t="shared" ref="Y13:Y17" si="5">IF(E13="",1,IF(AND(E13="〇〇(合意形成対象者名に書き換え)",COUNTA($F13:$J13)=0),1,IF(AND(E13&lt;&gt;"〇〇(合意形成対象者名に書き換え)",COUNTA($F13:$J13)=5),1,0)))</f>
        <v>1</v>
      </c>
      <c r="Z13" s="129" t="str" cm="1">
        <f t="array" ref="Z13">_xlfn.IFS(X13=4,"A",X13=3,"B",X13=2,"C",X13=1,"D")</f>
        <v>D</v>
      </c>
      <c r="AA13" s="255"/>
    </row>
    <row r="14" spans="1:27">
      <c r="B14" s="95"/>
      <c r="C14" s="96"/>
      <c r="D14" s="97"/>
      <c r="E14" s="890" t="s">
        <v>129</v>
      </c>
      <c r="F14" s="441"/>
      <c r="G14" s="441"/>
      <c r="H14" s="1203"/>
      <c r="I14" s="1203"/>
      <c r="J14" s="441"/>
      <c r="K14" s="98"/>
      <c r="L14" s="11"/>
      <c r="R14" s="129">
        <f t="shared" si="1"/>
        <v>0</v>
      </c>
      <c r="S14" s="129">
        <f t="shared" ref="S14:S17" si="6">IF(G14="実施済",R14*1,0)</f>
        <v>0</v>
      </c>
      <c r="T14" s="129">
        <f t="shared" ref="T14:U17" si="7">IF(H14="実施済",S14*1,0)</f>
        <v>0</v>
      </c>
      <c r="U14" s="129">
        <f t="shared" si="7"/>
        <v>0</v>
      </c>
      <c r="V14" s="258"/>
      <c r="W14" s="129" t="str">
        <f t="shared" si="4"/>
        <v/>
      </c>
      <c r="X14" s="129">
        <f t="shared" si="3"/>
        <v>1</v>
      </c>
      <c r="Y14" s="129">
        <f t="shared" si="5"/>
        <v>1</v>
      </c>
      <c r="Z14" s="129" t="str" cm="1">
        <f t="array" ref="Z14">_xlfn.IFS(X14=4,"A",X14=3,"B",X14=2,"C",X14=1,"D")</f>
        <v>D</v>
      </c>
      <c r="AA14" s="255"/>
    </row>
    <row r="15" spans="1:27" s="99" customFormat="1">
      <c r="A15" s="11"/>
      <c r="B15" s="95"/>
      <c r="C15" s="96"/>
      <c r="D15" s="97"/>
      <c r="E15" s="890" t="s">
        <v>129</v>
      </c>
      <c r="F15" s="441"/>
      <c r="G15" s="441"/>
      <c r="H15" s="1203"/>
      <c r="I15" s="1203"/>
      <c r="J15" s="441"/>
      <c r="K15" s="98"/>
      <c r="L15" s="11"/>
      <c r="O15" s="11"/>
      <c r="P15" s="11"/>
      <c r="Q15" s="11"/>
      <c r="R15" s="129">
        <f t="shared" si="1"/>
        <v>0</v>
      </c>
      <c r="S15" s="129">
        <f t="shared" si="6"/>
        <v>0</v>
      </c>
      <c r="T15" s="129">
        <f t="shared" si="7"/>
        <v>0</v>
      </c>
      <c r="U15" s="129">
        <f t="shared" si="7"/>
        <v>0</v>
      </c>
      <c r="V15" s="258"/>
      <c r="W15" s="129" t="str">
        <f t="shared" si="4"/>
        <v/>
      </c>
      <c r="X15" s="129">
        <f t="shared" si="3"/>
        <v>1</v>
      </c>
      <c r="Y15" s="129">
        <f t="shared" si="5"/>
        <v>1</v>
      </c>
      <c r="Z15" s="129" t="str" cm="1">
        <f t="array" ref="Z15">_xlfn.IFS(X15=4,"A",X15=3,"B",X15=2,"C",X15=1,"D")</f>
        <v>D</v>
      </c>
      <c r="AA15" s="129"/>
    </row>
    <row r="16" spans="1:27" customFormat="1" ht="7.5" customHeight="1">
      <c r="B16" s="65"/>
      <c r="C16" s="4"/>
      <c r="D16" s="4"/>
      <c r="E16" s="288"/>
      <c r="F16" s="4"/>
      <c r="G16" s="4"/>
      <c r="H16" s="1204"/>
      <c r="I16" s="1204"/>
      <c r="J16" s="4"/>
      <c r="K16" s="9"/>
      <c r="L16" s="2"/>
      <c r="M16" s="2"/>
      <c r="N16" s="2"/>
      <c r="R16" s="129">
        <f t="shared" si="1"/>
        <v>0</v>
      </c>
      <c r="S16" s="129">
        <f t="shared" si="6"/>
        <v>0</v>
      </c>
      <c r="T16" s="129">
        <f t="shared" si="7"/>
        <v>0</v>
      </c>
      <c r="U16" s="129">
        <f t="shared" si="7"/>
        <v>0</v>
      </c>
      <c r="V16" s="258"/>
      <c r="W16" s="129" t="str">
        <f t="shared" si="4"/>
        <v/>
      </c>
      <c r="X16" s="129">
        <f t="shared" si="3"/>
        <v>1</v>
      </c>
      <c r="Y16" s="129">
        <f t="shared" si="5"/>
        <v>1</v>
      </c>
      <c r="Z16" s="129" t="str" cm="1">
        <f t="array" ref="Z16">_xlfn.IFS(X16=4,"A",X16=3,"B",X16=2,"C",X16=1,"D")</f>
        <v>D</v>
      </c>
      <c r="AA16" s="175"/>
    </row>
    <row r="17" spans="1:27" customFormat="1" ht="6" customHeight="1">
      <c r="E17" s="3"/>
      <c r="H17" s="1198"/>
      <c r="I17" s="1198"/>
      <c r="L17" s="2"/>
      <c r="M17" s="2"/>
      <c r="N17" s="2"/>
      <c r="R17" s="129">
        <f t="shared" si="1"/>
        <v>0</v>
      </c>
      <c r="S17" s="129">
        <f t="shared" si="6"/>
        <v>0</v>
      </c>
      <c r="T17" s="129">
        <f t="shared" si="7"/>
        <v>0</v>
      </c>
      <c r="U17" s="129">
        <f t="shared" si="7"/>
        <v>0</v>
      </c>
      <c r="V17" s="258"/>
      <c r="W17" s="129" t="str">
        <f t="shared" si="4"/>
        <v/>
      </c>
      <c r="X17" s="129">
        <f t="shared" si="3"/>
        <v>1</v>
      </c>
      <c r="Y17" s="129">
        <f t="shared" si="5"/>
        <v>1</v>
      </c>
      <c r="Z17" s="129" t="str" cm="1">
        <f t="array" ref="Z17">_xlfn.IFS(X17=4,"A",X17=3,"B",X17=2,"C",X17=1,"D")</f>
        <v>D</v>
      </c>
      <c r="AA17" s="175"/>
    </row>
    <row r="18" spans="1:27" customFormat="1" ht="103.5" customHeight="1">
      <c r="C18" s="78"/>
      <c r="D18" s="79"/>
      <c r="E18" s="71" t="s">
        <v>236</v>
      </c>
      <c r="F18" s="1452"/>
      <c r="G18" s="1452"/>
      <c r="H18" s="1452"/>
      <c r="I18" s="1452"/>
      <c r="J18" s="1452"/>
      <c r="K18" s="80" t="s">
        <v>132</v>
      </c>
      <c r="L18" s="80"/>
    </row>
    <row r="19" spans="1:27" customFormat="1" ht="146.25" customHeight="1">
      <c r="C19" s="75"/>
      <c r="D19" s="68"/>
      <c r="E19" s="71" t="s">
        <v>235</v>
      </c>
      <c r="F19" s="1452"/>
      <c r="G19" s="1452"/>
      <c r="H19" s="1452"/>
      <c r="I19" s="1452"/>
      <c r="J19" s="1452"/>
      <c r="L19" s="2"/>
      <c r="M19" s="2"/>
      <c r="N19" s="2"/>
    </row>
    <row r="20" spans="1:27" customFormat="1" ht="13.5" customHeight="1" thickBot="1">
      <c r="A20" s="81"/>
      <c r="B20" s="81"/>
      <c r="C20" s="81"/>
      <c r="D20" s="81"/>
      <c r="E20" s="311"/>
      <c r="F20" s="81"/>
      <c r="G20" s="81"/>
      <c r="H20" s="1205"/>
      <c r="I20" s="1205"/>
      <c r="J20" s="81"/>
      <c r="K20" s="81"/>
      <c r="L20" s="82"/>
      <c r="M20" s="2"/>
      <c r="N20" s="2"/>
    </row>
    <row r="21" spans="1:27" customFormat="1" ht="13.5" customHeight="1">
      <c r="E21" s="3"/>
      <c r="H21" s="1198"/>
      <c r="I21" s="1198"/>
      <c r="L21" s="2"/>
      <c r="M21" s="2"/>
      <c r="N21" s="2"/>
    </row>
    <row r="22" spans="1:27" customFormat="1" ht="15" customHeight="1">
      <c r="B22" s="10"/>
      <c r="C22" s="5"/>
      <c r="D22" s="5"/>
      <c r="E22" s="305"/>
      <c r="F22" s="5"/>
      <c r="G22" s="5"/>
      <c r="H22" s="1199"/>
      <c r="I22" s="1199"/>
      <c r="J22" s="5"/>
      <c r="K22" s="6"/>
      <c r="R22" s="11" t="str">
        <f>D23</f>
        <v>(選択してください)</v>
      </c>
    </row>
    <row r="23" spans="1:27" customFormat="1">
      <c r="B23" s="7"/>
      <c r="C23" s="77" t="str">
        <f ca="1">IFERROR(OFFSET('4.3民生部門電力以外の排出削減取組'!$C$1,MATCH(D23,'4.3民生部門電力以外の排出削減取組'!$E:$E,0)-1,0),"")</f>
        <v/>
      </c>
      <c r="D23" s="94" t="s">
        <v>130</v>
      </c>
      <c r="E23" s="72" t="s">
        <v>12</v>
      </c>
      <c r="F23" s="1451" t="str">
        <f ca="1">IFERROR(OFFSET('4.3民生部門電力以外の排出削減取組'!$G$1,MATCH($D23,'4.3民生部門電力以外の排出削減取組'!$E:$E,0)-1,0),"")</f>
        <v/>
      </c>
      <c r="G23" s="1451"/>
      <c r="H23" s="1451"/>
      <c r="I23" s="1451"/>
      <c r="J23" s="1451"/>
      <c r="K23" s="8"/>
      <c r="R23" s="255" t="str">
        <f ca="1">IFERROR(OFFSET('4.3民生部門電力以外の排出削減取組'!$G$1,MATCH($D23,'4.3民生部門電力以外の排出削減取組'!$E:$E,0)-1,0),"")</f>
        <v/>
      </c>
      <c r="S23" s="175"/>
      <c r="T23" s="175"/>
      <c r="U23" s="175"/>
      <c r="V23" s="175"/>
      <c r="W23" s="175"/>
      <c r="X23" s="175"/>
      <c r="Y23" s="175"/>
      <c r="Z23" s="175"/>
      <c r="AA23" s="175">
        <f ca="1">(F23=R23)*1</f>
        <v>1</v>
      </c>
    </row>
    <row r="24" spans="1:27" customFormat="1">
      <c r="B24" s="7"/>
      <c r="C24" s="915"/>
      <c r="D24" s="97"/>
      <c r="E24" s="72" t="s">
        <v>612</v>
      </c>
      <c r="F24" s="1447" t="str">
        <f ca="1">IFERROR(OFFSET('4.3民生部門電力以外の排出削減取組'!$J$1,MATCH($D23,'4.3民生部門電力以外の排出削減取組'!$E:$E,0)-1,0),"")</f>
        <v/>
      </c>
      <c r="G24" s="1448"/>
      <c r="H24" s="1448"/>
      <c r="I24" s="1448"/>
      <c r="J24" s="1449"/>
      <c r="K24" s="8"/>
      <c r="R24" s="255" t="str">
        <f ca="1">IFERROR(OFFSET('4.3民生部門電力以外の排出削減取組'!$J$1,MATCH($D23,'4.3民生部門電力以外の排出削減取組'!$E:$E,0)-1,0),"")</f>
        <v/>
      </c>
      <c r="S24" s="175"/>
      <c r="T24" s="175"/>
      <c r="U24" s="175"/>
      <c r="V24" s="175"/>
      <c r="W24" s="175"/>
      <c r="X24" s="175"/>
      <c r="Y24" s="175"/>
      <c r="Z24" s="175"/>
      <c r="AA24" s="175">
        <f ca="1">(F24=R24)*1</f>
        <v>1</v>
      </c>
    </row>
    <row r="25" spans="1:27" customFormat="1">
      <c r="B25" s="7"/>
      <c r="C25" s="74"/>
      <c r="D25" s="66"/>
      <c r="E25" s="72" t="s">
        <v>280</v>
      </c>
      <c r="F25" s="1470" t="str">
        <f ca="1">IFERROR(OFFSET('4.3民生部門電力以外の排出削減取組'!$H$1,MATCH($D23,'4.3民生部門電力以外の排出削減取組'!$E:$E,0)-1,0),"")</f>
        <v/>
      </c>
      <c r="G25" s="1470"/>
      <c r="H25" s="1470"/>
      <c r="I25" s="1470"/>
      <c r="J25" s="1470"/>
      <c r="K25" s="8"/>
      <c r="R25" s="175" t="str">
        <f ca="1">IFERROR(OFFSET('4.3民生部門電力以外の排出削減取組'!$H$1,MATCH($D23,'4.3民生部門電力以外の排出削減取組'!$E:$E,0)-1,0),"")</f>
        <v/>
      </c>
      <c r="S25" s="175"/>
      <c r="T25" s="175"/>
      <c r="U25" s="175"/>
      <c r="V25" s="175"/>
      <c r="W25" s="175"/>
      <c r="X25" s="175"/>
      <c r="Y25" s="175"/>
      <c r="Z25" s="175"/>
      <c r="AA25" s="175">
        <f t="shared" ref="AA25:AA26" ca="1" si="8">(F25=R25)*1</f>
        <v>1</v>
      </c>
    </row>
    <row r="26" spans="1:27" customFormat="1">
      <c r="B26" s="7"/>
      <c r="C26" s="74"/>
      <c r="D26" s="66"/>
      <c r="E26" s="72" t="s">
        <v>175</v>
      </c>
      <c r="F26" s="1451" t="str">
        <f>_xlfn.IFNA(R26,"")</f>
        <v/>
      </c>
      <c r="G26" s="1451"/>
      <c r="H26" s="1451"/>
      <c r="I26" s="1451"/>
      <c r="J26" s="1451"/>
      <c r="K26" s="8"/>
      <c r="R26" s="129" t="str">
        <f>IF(OR(COUNTIF($E28:$E33,"&lt;&gt;〇〇(合意形成対象者名に書き換え)")=3,COUNTIF($E28:$E33,"")&gt;3),"",IF(PRODUCT($Y28:$Y33)=1,Z28,""))</f>
        <v/>
      </c>
      <c r="S26" s="175"/>
      <c r="T26" s="175"/>
      <c r="U26" s="175"/>
      <c r="V26" s="175"/>
      <c r="W26" s="175"/>
      <c r="X26" s="175"/>
      <c r="Y26" s="175"/>
      <c r="Z26" s="175"/>
      <c r="AA26" s="175">
        <f t="shared" si="8"/>
        <v>1</v>
      </c>
    </row>
    <row r="27" spans="1:27" ht="63.75" customHeight="1">
      <c r="B27" s="95"/>
      <c r="C27" s="96"/>
      <c r="D27" s="97"/>
      <c r="E27" s="888"/>
      <c r="F27" s="313" t="s">
        <v>278</v>
      </c>
      <c r="G27" s="313" t="s">
        <v>268</v>
      </c>
      <c r="H27" s="1200" t="s">
        <v>437</v>
      </c>
      <c r="I27" s="1200" t="s">
        <v>439</v>
      </c>
      <c r="J27" s="313" t="s">
        <v>279</v>
      </c>
      <c r="K27" s="98"/>
      <c r="L27" s="11"/>
      <c r="R27" s="126" t="s">
        <v>278</v>
      </c>
      <c r="S27" s="126" t="s">
        <v>440</v>
      </c>
      <c r="T27" s="295" t="s">
        <v>437</v>
      </c>
      <c r="U27" s="295" t="s">
        <v>438</v>
      </c>
      <c r="V27" s="256" t="s">
        <v>270</v>
      </c>
      <c r="W27" s="126" t="s">
        <v>426</v>
      </c>
      <c r="X27" s="129" t="s">
        <v>402</v>
      </c>
      <c r="Y27" s="129" t="s">
        <v>430</v>
      </c>
      <c r="Z27" s="126" t="s">
        <v>425</v>
      </c>
      <c r="AA27" s="255"/>
    </row>
    <row r="28" spans="1:27" hidden="1">
      <c r="B28" s="95"/>
      <c r="C28" s="96"/>
      <c r="D28" s="97"/>
      <c r="E28" s="889"/>
      <c r="F28" s="439"/>
      <c r="G28" s="439"/>
      <c r="H28" s="1201"/>
      <c r="I28" s="1201"/>
      <c r="J28" s="439"/>
      <c r="K28" s="98"/>
      <c r="L28" s="11"/>
      <c r="R28" s="129">
        <f t="shared" ref="R28:R33" si="9">IF(F28="実施済",1,0)</f>
        <v>0</v>
      </c>
      <c r="S28" s="129">
        <f t="shared" ref="S28:S33" si="10">IF(G28="実施済",R28*1,0)</f>
        <v>0</v>
      </c>
      <c r="T28" s="129">
        <f t="shared" ref="T28:T33" si="11">IF(H28="実施済",S28*1,0)</f>
        <v>0</v>
      </c>
      <c r="U28" s="129">
        <f t="shared" ref="U28:U33" si="12">IF(I28="実施済",T28*1,0)</f>
        <v>0</v>
      </c>
      <c r="V28" s="258"/>
      <c r="W28" s="129" t="str">
        <f>IF(OR(E28="〇〇(合意形成対象者名に書き換え)",E28=""),"",SUM(S28,T28,U28))</f>
        <v/>
      </c>
      <c r="X28" s="129">
        <f t="shared" ref="X28:X33" si="13">MIN($W$28:$W$33)+1</f>
        <v>1</v>
      </c>
      <c r="Y28" s="129">
        <f>IF(E28="",1,IF(AND(E28="〇〇(合意形成対象者名に書き換え)",COUNTA($F28:$J28)=0),1,IF(AND(E28&lt;&gt;"〇〇(合意形成対象者名に書き換え)",COUNTA($F28:$J28)=5),1,0)))</f>
        <v>1</v>
      </c>
      <c r="Z28" s="129" t="str" cm="1">
        <f t="array" ref="Z28">_xlfn.IFS(X28=4,"A",X28=3,"B",X28=2,"C",X28=1,"D")</f>
        <v>D</v>
      </c>
      <c r="AA28" s="255"/>
    </row>
    <row r="29" spans="1:27">
      <c r="B29" s="95"/>
      <c r="C29" s="96"/>
      <c r="D29" s="97"/>
      <c r="E29" s="890" t="s">
        <v>129</v>
      </c>
      <c r="F29" s="445"/>
      <c r="G29" s="445"/>
      <c r="H29" s="1202"/>
      <c r="I29" s="1202"/>
      <c r="J29" s="445"/>
      <c r="K29" s="98"/>
      <c r="L29" s="11"/>
      <c r="R29" s="129">
        <f t="shared" si="9"/>
        <v>0</v>
      </c>
      <c r="S29" s="129">
        <f t="shared" si="10"/>
        <v>0</v>
      </c>
      <c r="T29" s="129">
        <f t="shared" si="11"/>
        <v>0</v>
      </c>
      <c r="U29" s="129">
        <f t="shared" si="12"/>
        <v>0</v>
      </c>
      <c r="V29" s="258"/>
      <c r="W29" s="129" t="str">
        <f t="shared" ref="W29:W33" si="14">IF(OR(E29="〇〇(合意形成対象者名に書き換え)",E29=""),"",SUM(S29,T29,U29))</f>
        <v/>
      </c>
      <c r="X29" s="129">
        <f t="shared" si="13"/>
        <v>1</v>
      </c>
      <c r="Y29" s="129">
        <f t="shared" ref="Y29:Y33" si="15">IF(E29="",1,IF(AND(E29="〇〇(合意形成対象者名に書き換え)",COUNTA($F29:$J29)=0),1,IF(AND(E29&lt;&gt;"〇〇(合意形成対象者名に書き換え)",COUNTA($F29:$J29)=5),1,0)))</f>
        <v>1</v>
      </c>
      <c r="Z29" s="129" t="str" cm="1">
        <f t="array" ref="Z29">_xlfn.IFS(X29=4,"A",X29=3,"B",X29=2,"C",X29=1,"D")</f>
        <v>D</v>
      </c>
      <c r="AA29" s="255"/>
    </row>
    <row r="30" spans="1:27">
      <c r="B30" s="95"/>
      <c r="C30" s="96"/>
      <c r="D30" s="97"/>
      <c r="E30" s="890" t="s">
        <v>129</v>
      </c>
      <c r="F30" s="441"/>
      <c r="G30" s="441"/>
      <c r="H30" s="1203"/>
      <c r="I30" s="1203"/>
      <c r="J30" s="441"/>
      <c r="K30" s="98"/>
      <c r="L30" s="11"/>
      <c r="R30" s="129">
        <f t="shared" si="9"/>
        <v>0</v>
      </c>
      <c r="S30" s="129">
        <f t="shared" si="10"/>
        <v>0</v>
      </c>
      <c r="T30" s="129">
        <f t="shared" si="11"/>
        <v>0</v>
      </c>
      <c r="U30" s="129">
        <f t="shared" si="12"/>
        <v>0</v>
      </c>
      <c r="V30" s="258"/>
      <c r="W30" s="129" t="str">
        <f t="shared" si="14"/>
        <v/>
      </c>
      <c r="X30" s="129">
        <f t="shared" si="13"/>
        <v>1</v>
      </c>
      <c r="Y30" s="129">
        <f t="shared" si="15"/>
        <v>1</v>
      </c>
      <c r="Z30" s="129" t="str" cm="1">
        <f t="array" ref="Z30">_xlfn.IFS(X30=4,"A",X30=3,"B",X30=2,"C",X30=1,"D")</f>
        <v>D</v>
      </c>
      <c r="AA30" s="255"/>
    </row>
    <row r="31" spans="1:27" s="99" customFormat="1">
      <c r="A31" s="11"/>
      <c r="B31" s="95"/>
      <c r="C31" s="96"/>
      <c r="D31" s="97"/>
      <c r="E31" s="890" t="s">
        <v>129</v>
      </c>
      <c r="F31" s="441"/>
      <c r="G31" s="441"/>
      <c r="H31" s="1203"/>
      <c r="I31" s="1203"/>
      <c r="J31" s="441"/>
      <c r="K31" s="98"/>
      <c r="L31" s="11"/>
      <c r="O31" s="11"/>
      <c r="P31" s="11"/>
      <c r="Q31" s="11"/>
      <c r="R31" s="129">
        <f t="shared" si="9"/>
        <v>0</v>
      </c>
      <c r="S31" s="129">
        <f t="shared" si="10"/>
        <v>0</v>
      </c>
      <c r="T31" s="129">
        <f t="shared" si="11"/>
        <v>0</v>
      </c>
      <c r="U31" s="129">
        <f t="shared" si="12"/>
        <v>0</v>
      </c>
      <c r="V31" s="258"/>
      <c r="W31" s="129" t="str">
        <f t="shared" si="14"/>
        <v/>
      </c>
      <c r="X31" s="129">
        <f t="shared" si="13"/>
        <v>1</v>
      </c>
      <c r="Y31" s="129">
        <f t="shared" si="15"/>
        <v>1</v>
      </c>
      <c r="Z31" s="129" t="str" cm="1">
        <f t="array" ref="Z31">_xlfn.IFS(X31=4,"A",X31=3,"B",X31=2,"C",X31=1,"D")</f>
        <v>D</v>
      </c>
      <c r="AA31" s="129"/>
    </row>
    <row r="32" spans="1:27" customFormat="1" ht="7.5" customHeight="1">
      <c r="B32" s="65"/>
      <c r="C32" s="4"/>
      <c r="D32" s="4"/>
      <c r="E32" s="288"/>
      <c r="F32" s="4"/>
      <c r="G32" s="4"/>
      <c r="H32" s="1204"/>
      <c r="I32" s="1204"/>
      <c r="J32" s="4"/>
      <c r="K32" s="9"/>
      <c r="L32" s="2"/>
      <c r="M32" s="2"/>
      <c r="N32" s="2"/>
      <c r="R32" s="129">
        <f t="shared" si="9"/>
        <v>0</v>
      </c>
      <c r="S32" s="129">
        <f t="shared" si="10"/>
        <v>0</v>
      </c>
      <c r="T32" s="129">
        <f t="shared" si="11"/>
        <v>0</v>
      </c>
      <c r="U32" s="129">
        <f t="shared" si="12"/>
        <v>0</v>
      </c>
      <c r="V32" s="258"/>
      <c r="W32" s="129" t="str">
        <f t="shared" si="14"/>
        <v/>
      </c>
      <c r="X32" s="129">
        <f t="shared" si="13"/>
        <v>1</v>
      </c>
      <c r="Y32" s="129">
        <f t="shared" si="15"/>
        <v>1</v>
      </c>
      <c r="Z32" s="129" t="str" cm="1">
        <f t="array" ref="Z32">_xlfn.IFS(X32=4,"A",X32=3,"B",X32=2,"C",X32=1,"D")</f>
        <v>D</v>
      </c>
      <c r="AA32" s="175"/>
    </row>
    <row r="33" spans="1:27" customFormat="1" ht="6" customHeight="1">
      <c r="E33" s="3"/>
      <c r="H33" s="1198"/>
      <c r="I33" s="1198"/>
      <c r="L33" s="2"/>
      <c r="M33" s="2"/>
      <c r="N33" s="2"/>
      <c r="R33" s="129">
        <f t="shared" si="9"/>
        <v>0</v>
      </c>
      <c r="S33" s="129">
        <f t="shared" si="10"/>
        <v>0</v>
      </c>
      <c r="T33" s="129">
        <f t="shared" si="11"/>
        <v>0</v>
      </c>
      <c r="U33" s="129">
        <f t="shared" si="12"/>
        <v>0</v>
      </c>
      <c r="V33" s="258"/>
      <c r="W33" s="129" t="str">
        <f t="shared" si="14"/>
        <v/>
      </c>
      <c r="X33" s="129">
        <f t="shared" si="13"/>
        <v>1</v>
      </c>
      <c r="Y33" s="129">
        <f t="shared" si="15"/>
        <v>1</v>
      </c>
      <c r="Z33" s="129" t="str" cm="1">
        <f t="array" ref="Z33">_xlfn.IFS(X33=4,"A",X33=3,"B",X33=2,"C",X33=1,"D")</f>
        <v>D</v>
      </c>
      <c r="AA33" s="175"/>
    </row>
    <row r="34" spans="1:27" customFormat="1" ht="103.5" customHeight="1">
      <c r="C34" s="78"/>
      <c r="D34" s="79"/>
      <c r="E34" s="71" t="s">
        <v>236</v>
      </c>
      <c r="F34" s="1452"/>
      <c r="G34" s="1452"/>
      <c r="H34" s="1452"/>
      <c r="I34" s="1452"/>
      <c r="J34" s="1452"/>
      <c r="K34" s="80" t="s">
        <v>132</v>
      </c>
      <c r="L34" s="80"/>
    </row>
    <row r="35" spans="1:27" customFormat="1" ht="146.25" customHeight="1">
      <c r="C35" s="75"/>
      <c r="D35" s="68"/>
      <c r="E35" s="71" t="s">
        <v>235</v>
      </c>
      <c r="F35" s="1452"/>
      <c r="G35" s="1452"/>
      <c r="H35" s="1452"/>
      <c r="I35" s="1452"/>
      <c r="J35" s="1452"/>
      <c r="L35" s="2"/>
      <c r="M35" s="2"/>
      <c r="N35" s="2"/>
    </row>
    <row r="36" spans="1:27" customFormat="1" ht="13.5" customHeight="1" thickBot="1">
      <c r="A36" s="81"/>
      <c r="B36" s="81"/>
      <c r="C36" s="81"/>
      <c r="D36" s="81"/>
      <c r="E36" s="311"/>
      <c r="F36" s="81"/>
      <c r="G36" s="81"/>
      <c r="H36" s="1205"/>
      <c r="I36" s="1205"/>
      <c r="J36" s="81"/>
      <c r="K36" s="81"/>
      <c r="L36" s="82"/>
      <c r="M36" s="2"/>
      <c r="N36" s="2"/>
    </row>
    <row r="37" spans="1:27" customFormat="1" ht="13.5" customHeight="1">
      <c r="E37" s="3"/>
      <c r="H37" s="1198"/>
      <c r="I37" s="1198"/>
      <c r="L37" s="2"/>
      <c r="M37" s="2"/>
      <c r="N37" s="2"/>
    </row>
    <row r="38" spans="1:27" customFormat="1" ht="15" customHeight="1">
      <c r="B38" s="10"/>
      <c r="C38" s="5"/>
      <c r="D38" s="5"/>
      <c r="E38" s="305"/>
      <c r="F38" s="5"/>
      <c r="G38" s="5"/>
      <c r="H38" s="1199"/>
      <c r="I38" s="1199"/>
      <c r="J38" s="5"/>
      <c r="K38" s="6"/>
      <c r="R38" s="11" t="str">
        <f>D39</f>
        <v>(選択してください)</v>
      </c>
    </row>
    <row r="39" spans="1:27" customFormat="1">
      <c r="B39" s="7"/>
      <c r="C39" s="77" t="str">
        <f ca="1">IFERROR(OFFSET('4.3民生部門電力以外の排出削減取組'!$C$1,MATCH(D39,'4.3民生部門電力以外の排出削減取組'!$E:$E,0)-1,0),"")</f>
        <v/>
      </c>
      <c r="D39" s="94" t="s">
        <v>130</v>
      </c>
      <c r="E39" s="72" t="s">
        <v>12</v>
      </c>
      <c r="F39" s="1451" t="str">
        <f ca="1">IFERROR(OFFSET('4.3民生部門電力以外の排出削減取組'!$G$1,MATCH($D39,'4.3民生部門電力以外の排出削減取組'!$E:$E,0)-1,0),"")</f>
        <v/>
      </c>
      <c r="G39" s="1451"/>
      <c r="H39" s="1451"/>
      <c r="I39" s="1451"/>
      <c r="J39" s="1451"/>
      <c r="K39" s="8"/>
      <c r="R39" s="255" t="str">
        <f ca="1">IFERROR(OFFSET('4.3民生部門電力以外の排出削減取組'!$G$1,MATCH($D39,'4.3民生部門電力以外の排出削減取組'!$E:$E,0)-1,0),"")</f>
        <v/>
      </c>
      <c r="S39" s="175"/>
      <c r="T39" s="175"/>
      <c r="U39" s="175"/>
      <c r="V39" s="175"/>
      <c r="W39" s="175"/>
      <c r="X39" s="175"/>
      <c r="Y39" s="175"/>
      <c r="Z39" s="175"/>
      <c r="AA39" s="175">
        <f ca="1">(F39=R39)*1</f>
        <v>1</v>
      </c>
    </row>
    <row r="40" spans="1:27" customFormat="1">
      <c r="B40" s="7"/>
      <c r="C40" s="915"/>
      <c r="D40" s="97"/>
      <c r="E40" s="72" t="s">
        <v>612</v>
      </c>
      <c r="F40" s="1447" t="str">
        <f ca="1">IFERROR(OFFSET('4.3民生部門電力以外の排出削減取組'!$J$1,MATCH($D39,'4.3民生部門電力以外の排出削減取組'!$E:$E,0)-1,0),"")</f>
        <v/>
      </c>
      <c r="G40" s="1448"/>
      <c r="H40" s="1448"/>
      <c r="I40" s="1448"/>
      <c r="J40" s="1449"/>
      <c r="K40" s="8"/>
      <c r="R40" s="255" t="str">
        <f ca="1">IFERROR(OFFSET('4.3民生部門電力以外の排出削減取組'!$J$1,MATCH($D39,'4.3民生部門電力以外の排出削減取組'!$E:$E,0)-1,0),"")</f>
        <v/>
      </c>
      <c r="S40" s="175"/>
      <c r="T40" s="175"/>
      <c r="U40" s="175"/>
      <c r="V40" s="175"/>
      <c r="W40" s="175"/>
      <c r="X40" s="175"/>
      <c r="Y40" s="175"/>
      <c r="Z40" s="175"/>
      <c r="AA40" s="175">
        <f ca="1">(F40=R40)*1</f>
        <v>1</v>
      </c>
    </row>
    <row r="41" spans="1:27" customFormat="1">
      <c r="B41" s="7"/>
      <c r="C41" s="74"/>
      <c r="D41" s="66"/>
      <c r="E41" s="72" t="s">
        <v>280</v>
      </c>
      <c r="F41" s="1470" t="str">
        <f ca="1">IFERROR(OFFSET('4.3民生部門電力以外の排出削減取組'!$H$1,MATCH($D39,'4.3民生部門電力以外の排出削減取組'!$E:$E,0)-1,0),"")</f>
        <v/>
      </c>
      <c r="G41" s="1470"/>
      <c r="H41" s="1470"/>
      <c r="I41" s="1470"/>
      <c r="J41" s="1470"/>
      <c r="K41" s="8"/>
      <c r="R41" s="175" t="str">
        <f ca="1">IFERROR(OFFSET('4.3民生部門電力以外の排出削減取組'!$H$1,MATCH($D39,'4.3民生部門電力以外の排出削減取組'!$E:$E,0)-1,0),"")</f>
        <v/>
      </c>
      <c r="S41" s="175"/>
      <c r="T41" s="175"/>
      <c r="U41" s="175"/>
      <c r="V41" s="175"/>
      <c r="W41" s="175"/>
      <c r="X41" s="175"/>
      <c r="Y41" s="175"/>
      <c r="Z41" s="175"/>
      <c r="AA41" s="175">
        <f t="shared" ref="AA41:AA42" ca="1" si="16">(F41=R41)*1</f>
        <v>1</v>
      </c>
    </row>
    <row r="42" spans="1:27" customFormat="1">
      <c r="B42" s="7"/>
      <c r="C42" s="74"/>
      <c r="D42" s="66"/>
      <c r="E42" s="72" t="s">
        <v>175</v>
      </c>
      <c r="F42" s="1451" t="str">
        <f>_xlfn.IFNA(R42,"")</f>
        <v/>
      </c>
      <c r="G42" s="1451"/>
      <c r="H42" s="1451"/>
      <c r="I42" s="1451"/>
      <c r="J42" s="1451"/>
      <c r="K42" s="8"/>
      <c r="R42" s="129" t="str">
        <f>IF(OR(COUNTIF($E44:$E49,"&lt;&gt;〇〇(合意形成対象者名に書き換え)")=3,COUNTIF($E44:$E49,"")&gt;3),"",IF(PRODUCT($Y44:$Y49)=1,Z44,""))</f>
        <v/>
      </c>
      <c r="S42" s="175"/>
      <c r="T42" s="175"/>
      <c r="U42" s="175"/>
      <c r="V42" s="175"/>
      <c r="W42" s="175"/>
      <c r="X42" s="175"/>
      <c r="Y42" s="175"/>
      <c r="Z42" s="175"/>
      <c r="AA42" s="175">
        <f t="shared" si="16"/>
        <v>1</v>
      </c>
    </row>
    <row r="43" spans="1:27" ht="63.75" customHeight="1">
      <c r="B43" s="95"/>
      <c r="C43" s="96"/>
      <c r="D43" s="97"/>
      <c r="E43" s="888"/>
      <c r="F43" s="313" t="s">
        <v>278</v>
      </c>
      <c r="G43" s="313" t="s">
        <v>268</v>
      </c>
      <c r="H43" s="1200" t="s">
        <v>437</v>
      </c>
      <c r="I43" s="1200" t="s">
        <v>439</v>
      </c>
      <c r="J43" s="313" t="s">
        <v>279</v>
      </c>
      <c r="K43" s="98"/>
      <c r="L43" s="11"/>
      <c r="R43" s="126" t="s">
        <v>278</v>
      </c>
      <c r="S43" s="126" t="s">
        <v>440</v>
      </c>
      <c r="T43" s="295" t="s">
        <v>437</v>
      </c>
      <c r="U43" s="295" t="s">
        <v>438</v>
      </c>
      <c r="V43" s="256" t="s">
        <v>270</v>
      </c>
      <c r="W43" s="126" t="s">
        <v>426</v>
      </c>
      <c r="X43" s="129" t="s">
        <v>402</v>
      </c>
      <c r="Y43" s="129" t="s">
        <v>430</v>
      </c>
      <c r="Z43" s="126" t="s">
        <v>425</v>
      </c>
      <c r="AA43" s="255"/>
    </row>
    <row r="44" spans="1:27" hidden="1">
      <c r="B44" s="95"/>
      <c r="C44" s="96"/>
      <c r="D44" s="97"/>
      <c r="E44" s="889"/>
      <c r="F44" s="439"/>
      <c r="G44" s="439"/>
      <c r="H44" s="1201"/>
      <c r="I44" s="1201"/>
      <c r="J44" s="439"/>
      <c r="K44" s="98"/>
      <c r="L44" s="11"/>
      <c r="R44" s="129">
        <f t="shared" ref="R44:R49" si="17">IF(F44="実施済",1,0)</f>
        <v>0</v>
      </c>
      <c r="S44" s="129">
        <f t="shared" ref="S44:S49" si="18">IF(G44="実施済",R44*1,0)</f>
        <v>0</v>
      </c>
      <c r="T44" s="129">
        <f t="shared" ref="T44:T49" si="19">IF(H44="実施済",S44*1,0)</f>
        <v>0</v>
      </c>
      <c r="U44" s="129">
        <f t="shared" ref="U44:U49" si="20">IF(I44="実施済",T44*1,0)</f>
        <v>0</v>
      </c>
      <c r="V44" s="258"/>
      <c r="W44" s="129" t="str">
        <f>IF(OR(E44="〇〇(合意形成対象者名に書き換え)",E44=""),"",SUM(S44,T44,U44))</f>
        <v/>
      </c>
      <c r="X44" s="129">
        <f t="shared" ref="X44:X49" si="21">MIN($W$44:$W$49)+1</f>
        <v>1</v>
      </c>
      <c r="Y44" s="129">
        <f>IF(E44="",1,IF(AND(E44="〇〇(合意形成対象者名に書き換え)",COUNTA($F44:$J44)=0),1,IF(AND(E44&lt;&gt;"〇〇(合意形成対象者名に書き換え)",COUNTA($F44:$J44)=5),1,0)))</f>
        <v>1</v>
      </c>
      <c r="Z44" s="129" t="str" cm="1">
        <f t="array" ref="Z44">_xlfn.IFS(X44=4,"A",X44=3,"B",X44=2,"C",X44=1,"D")</f>
        <v>D</v>
      </c>
      <c r="AA44" s="255"/>
    </row>
    <row r="45" spans="1:27">
      <c r="B45" s="95"/>
      <c r="C45" s="96"/>
      <c r="D45" s="97"/>
      <c r="E45" s="890" t="s">
        <v>129</v>
      </c>
      <c r="F45" s="445"/>
      <c r="G45" s="445"/>
      <c r="H45" s="1202"/>
      <c r="I45" s="1202"/>
      <c r="J45" s="445"/>
      <c r="K45" s="98"/>
      <c r="L45" s="11"/>
      <c r="R45" s="129">
        <f t="shared" si="17"/>
        <v>0</v>
      </c>
      <c r="S45" s="129">
        <f t="shared" si="18"/>
        <v>0</v>
      </c>
      <c r="T45" s="129">
        <f t="shared" si="19"/>
        <v>0</v>
      </c>
      <c r="U45" s="129">
        <f t="shared" si="20"/>
        <v>0</v>
      </c>
      <c r="V45" s="258"/>
      <c r="W45" s="129" t="str">
        <f t="shared" ref="W45:W49" si="22">IF(OR(E45="〇〇(合意形成対象者名に書き換え)",E45=""),"",SUM(S45,T45,U45))</f>
        <v/>
      </c>
      <c r="X45" s="129">
        <f t="shared" si="21"/>
        <v>1</v>
      </c>
      <c r="Y45" s="129">
        <f t="shared" ref="Y45:Y49" si="23">IF(E45="",1,IF(AND(E45="〇〇(合意形成対象者名に書き換え)",COUNTA($F45:$J45)=0),1,IF(AND(E45&lt;&gt;"〇〇(合意形成対象者名に書き換え)",COUNTA($F45:$J45)=5),1,0)))</f>
        <v>1</v>
      </c>
      <c r="Z45" s="129" t="str" cm="1">
        <f t="array" ref="Z45">_xlfn.IFS(X45=4,"A",X45=3,"B",X45=2,"C",X45=1,"D")</f>
        <v>D</v>
      </c>
      <c r="AA45" s="255"/>
    </row>
    <row r="46" spans="1:27">
      <c r="B46" s="95"/>
      <c r="C46" s="96"/>
      <c r="D46" s="97"/>
      <c r="E46" s="890" t="s">
        <v>129</v>
      </c>
      <c r="F46" s="441"/>
      <c r="G46" s="441"/>
      <c r="H46" s="1203"/>
      <c r="I46" s="1203"/>
      <c r="J46" s="441"/>
      <c r="K46" s="98"/>
      <c r="L46" s="11"/>
      <c r="R46" s="129">
        <f t="shared" si="17"/>
        <v>0</v>
      </c>
      <c r="S46" s="129">
        <f t="shared" si="18"/>
        <v>0</v>
      </c>
      <c r="T46" s="129">
        <f t="shared" si="19"/>
        <v>0</v>
      </c>
      <c r="U46" s="129">
        <f t="shared" si="20"/>
        <v>0</v>
      </c>
      <c r="V46" s="258"/>
      <c r="W46" s="129" t="str">
        <f t="shared" si="22"/>
        <v/>
      </c>
      <c r="X46" s="129">
        <f t="shared" si="21"/>
        <v>1</v>
      </c>
      <c r="Y46" s="129">
        <f t="shared" si="23"/>
        <v>1</v>
      </c>
      <c r="Z46" s="129" t="str" cm="1">
        <f t="array" ref="Z46">_xlfn.IFS(X46=4,"A",X46=3,"B",X46=2,"C",X46=1,"D")</f>
        <v>D</v>
      </c>
      <c r="AA46" s="255"/>
    </row>
    <row r="47" spans="1:27" s="99" customFormat="1">
      <c r="A47" s="11"/>
      <c r="B47" s="95"/>
      <c r="C47" s="96"/>
      <c r="D47" s="97"/>
      <c r="E47" s="890" t="s">
        <v>129</v>
      </c>
      <c r="F47" s="441"/>
      <c r="G47" s="441"/>
      <c r="H47" s="1203"/>
      <c r="I47" s="1203"/>
      <c r="J47" s="441"/>
      <c r="K47" s="98"/>
      <c r="L47" s="11"/>
      <c r="O47" s="11"/>
      <c r="P47" s="11"/>
      <c r="Q47" s="11"/>
      <c r="R47" s="129">
        <f t="shared" si="17"/>
        <v>0</v>
      </c>
      <c r="S47" s="129">
        <f t="shared" si="18"/>
        <v>0</v>
      </c>
      <c r="T47" s="129">
        <f t="shared" si="19"/>
        <v>0</v>
      </c>
      <c r="U47" s="129">
        <f t="shared" si="20"/>
        <v>0</v>
      </c>
      <c r="V47" s="258"/>
      <c r="W47" s="129" t="str">
        <f t="shared" si="22"/>
        <v/>
      </c>
      <c r="X47" s="129">
        <f t="shared" si="21"/>
        <v>1</v>
      </c>
      <c r="Y47" s="129">
        <f t="shared" si="23"/>
        <v>1</v>
      </c>
      <c r="Z47" s="129" t="str" cm="1">
        <f t="array" ref="Z47">_xlfn.IFS(X47=4,"A",X47=3,"B",X47=2,"C",X47=1,"D")</f>
        <v>D</v>
      </c>
      <c r="AA47" s="129"/>
    </row>
    <row r="48" spans="1:27" customFormat="1" ht="7.5" customHeight="1">
      <c r="B48" s="65"/>
      <c r="C48" s="4"/>
      <c r="D48" s="4"/>
      <c r="E48" s="288"/>
      <c r="F48" s="4"/>
      <c r="G48" s="4"/>
      <c r="H48" s="1204"/>
      <c r="I48" s="1204"/>
      <c r="J48" s="4"/>
      <c r="K48" s="9"/>
      <c r="L48" s="2"/>
      <c r="M48" s="2"/>
      <c r="N48" s="2"/>
      <c r="R48" s="129">
        <f t="shared" si="17"/>
        <v>0</v>
      </c>
      <c r="S48" s="129">
        <f t="shared" si="18"/>
        <v>0</v>
      </c>
      <c r="T48" s="129">
        <f t="shared" si="19"/>
        <v>0</v>
      </c>
      <c r="U48" s="129">
        <f t="shared" si="20"/>
        <v>0</v>
      </c>
      <c r="V48" s="258"/>
      <c r="W48" s="129" t="str">
        <f t="shared" si="22"/>
        <v/>
      </c>
      <c r="X48" s="129">
        <f t="shared" si="21"/>
        <v>1</v>
      </c>
      <c r="Y48" s="129">
        <f t="shared" si="23"/>
        <v>1</v>
      </c>
      <c r="Z48" s="129" t="str" cm="1">
        <f t="array" ref="Z48">_xlfn.IFS(X48=4,"A",X48=3,"B",X48=2,"C",X48=1,"D")</f>
        <v>D</v>
      </c>
      <c r="AA48" s="175"/>
    </row>
    <row r="49" spans="1:27" customFormat="1" ht="6" customHeight="1">
      <c r="E49" s="3"/>
      <c r="H49" s="1198"/>
      <c r="I49" s="1198"/>
      <c r="L49" s="2"/>
      <c r="M49" s="2"/>
      <c r="N49" s="2"/>
      <c r="R49" s="129">
        <f t="shared" si="17"/>
        <v>0</v>
      </c>
      <c r="S49" s="129">
        <f t="shared" si="18"/>
        <v>0</v>
      </c>
      <c r="T49" s="129">
        <f t="shared" si="19"/>
        <v>0</v>
      </c>
      <c r="U49" s="129">
        <f t="shared" si="20"/>
        <v>0</v>
      </c>
      <c r="V49" s="258"/>
      <c r="W49" s="129" t="str">
        <f t="shared" si="22"/>
        <v/>
      </c>
      <c r="X49" s="129">
        <f t="shared" si="21"/>
        <v>1</v>
      </c>
      <c r="Y49" s="129">
        <f t="shared" si="23"/>
        <v>1</v>
      </c>
      <c r="Z49" s="129" t="str" cm="1">
        <f t="array" ref="Z49">_xlfn.IFS(X49=4,"A",X49=3,"B",X49=2,"C",X49=1,"D")</f>
        <v>D</v>
      </c>
      <c r="AA49" s="175"/>
    </row>
    <row r="50" spans="1:27" customFormat="1" ht="103.5" customHeight="1">
      <c r="C50" s="78"/>
      <c r="D50" s="79"/>
      <c r="E50" s="71" t="s">
        <v>236</v>
      </c>
      <c r="F50" s="1452"/>
      <c r="G50" s="1452"/>
      <c r="H50" s="1452"/>
      <c r="I50" s="1452"/>
      <c r="J50" s="1452"/>
      <c r="K50" s="80" t="s">
        <v>132</v>
      </c>
      <c r="L50" s="80"/>
    </row>
    <row r="51" spans="1:27" customFormat="1" ht="146.25" customHeight="1">
      <c r="C51" s="75"/>
      <c r="D51" s="68"/>
      <c r="E51" s="71" t="s">
        <v>235</v>
      </c>
      <c r="F51" s="1452"/>
      <c r="G51" s="1452"/>
      <c r="H51" s="1452"/>
      <c r="I51" s="1452"/>
      <c r="J51" s="1452"/>
      <c r="L51" s="2"/>
      <c r="M51" s="2"/>
      <c r="N51" s="2"/>
    </row>
    <row r="52" spans="1:27" customFormat="1" ht="13.5" customHeight="1" thickBot="1">
      <c r="A52" s="81"/>
      <c r="B52" s="81"/>
      <c r="C52" s="81"/>
      <c r="D52" s="81"/>
      <c r="E52" s="311"/>
      <c r="F52" s="81"/>
      <c r="G52" s="81"/>
      <c r="H52" s="1205"/>
      <c r="I52" s="1205"/>
      <c r="J52" s="81"/>
      <c r="K52" s="81"/>
      <c r="L52" s="82"/>
      <c r="M52" s="2"/>
      <c r="N52" s="2"/>
    </row>
    <row r="53" spans="1:27" customFormat="1" ht="13.5" customHeight="1">
      <c r="E53" s="3"/>
      <c r="H53" s="1198"/>
      <c r="I53" s="1198"/>
      <c r="L53" s="2"/>
      <c r="M53" s="2"/>
      <c r="N53" s="2"/>
    </row>
    <row r="54" spans="1:27" customFormat="1" ht="15" customHeight="1">
      <c r="B54" s="10"/>
      <c r="C54" s="5"/>
      <c r="D54" s="5"/>
      <c r="E54" s="305"/>
      <c r="F54" s="5"/>
      <c r="G54" s="5"/>
      <c r="H54" s="1199"/>
      <c r="I54" s="1199"/>
      <c r="J54" s="5"/>
      <c r="K54" s="6"/>
      <c r="R54" s="11" t="str">
        <f>D55</f>
        <v>(選択してください)</v>
      </c>
    </row>
    <row r="55" spans="1:27" customFormat="1">
      <c r="B55" s="7"/>
      <c r="C55" s="77" t="str">
        <f ca="1">IFERROR(OFFSET('4.3民生部門電力以外の排出削減取組'!$C$1,MATCH(D55,'4.3民生部門電力以外の排出削減取組'!$E:$E,0)-1,0),"")</f>
        <v/>
      </c>
      <c r="D55" s="94" t="s">
        <v>130</v>
      </c>
      <c r="E55" s="72" t="s">
        <v>12</v>
      </c>
      <c r="F55" s="1451" t="str">
        <f ca="1">IFERROR(OFFSET('4.3民生部門電力以外の排出削減取組'!$G$1,MATCH($D55,'4.3民生部門電力以外の排出削減取組'!$E:$E,0)-1,0),"")</f>
        <v/>
      </c>
      <c r="G55" s="1451"/>
      <c r="H55" s="1451"/>
      <c r="I55" s="1451"/>
      <c r="J55" s="1451"/>
      <c r="K55" s="8"/>
      <c r="R55" s="255" t="str">
        <f ca="1">IFERROR(OFFSET('4.3民生部門電力以外の排出削減取組'!$G$1,MATCH($D55,'4.3民生部門電力以外の排出削減取組'!$E:$E,0)-1,0),"")</f>
        <v/>
      </c>
      <c r="S55" s="175"/>
      <c r="T55" s="175"/>
      <c r="U55" s="175"/>
      <c r="V55" s="175"/>
      <c r="W55" s="175"/>
      <c r="X55" s="175"/>
      <c r="Y55" s="175"/>
      <c r="Z55" s="175"/>
      <c r="AA55" s="175">
        <f ca="1">(F55=R55)*1</f>
        <v>1</v>
      </c>
    </row>
    <row r="56" spans="1:27" customFormat="1">
      <c r="B56" s="7"/>
      <c r="C56" s="915"/>
      <c r="D56" s="97"/>
      <c r="E56" s="72" t="s">
        <v>612</v>
      </c>
      <c r="F56" s="1447" t="str">
        <f ca="1">IFERROR(OFFSET('4.3民生部門電力以外の排出削減取組'!$J$1,MATCH($D55,'4.3民生部門電力以外の排出削減取組'!$E:$E,0)-1,0),"")</f>
        <v/>
      </c>
      <c r="G56" s="1448"/>
      <c r="H56" s="1448"/>
      <c r="I56" s="1448"/>
      <c r="J56" s="1449"/>
      <c r="K56" s="8"/>
      <c r="R56" s="255" t="str">
        <f ca="1">IFERROR(OFFSET('4.3民生部門電力以外の排出削減取組'!$J$1,MATCH($D55,'4.3民生部門電力以外の排出削減取組'!$E:$E,0)-1,0),"")</f>
        <v/>
      </c>
      <c r="S56" s="175"/>
      <c r="T56" s="175"/>
      <c r="U56" s="175"/>
      <c r="V56" s="175"/>
      <c r="W56" s="175"/>
      <c r="X56" s="175"/>
      <c r="Y56" s="175"/>
      <c r="Z56" s="175"/>
      <c r="AA56" s="175">
        <f ca="1">(F56=R56)*1</f>
        <v>1</v>
      </c>
    </row>
    <row r="57" spans="1:27" customFormat="1">
      <c r="B57" s="7"/>
      <c r="C57" s="74"/>
      <c r="D57" s="66"/>
      <c r="E57" s="72" t="s">
        <v>280</v>
      </c>
      <c r="F57" s="1470" t="str">
        <f ca="1">IFERROR(OFFSET('4.3民生部門電力以外の排出削減取組'!$H$1,MATCH($D55,'4.3民生部門電力以外の排出削減取組'!$E:$E,0)-1,0),"")</f>
        <v/>
      </c>
      <c r="G57" s="1470"/>
      <c r="H57" s="1470"/>
      <c r="I57" s="1470"/>
      <c r="J57" s="1470"/>
      <c r="K57" s="8"/>
      <c r="R57" s="175" t="str">
        <f ca="1">IFERROR(OFFSET('4.3民生部門電力以外の排出削減取組'!$H$1,MATCH($D55,'4.3民生部門電力以外の排出削減取組'!$E:$E,0)-1,0),"")</f>
        <v/>
      </c>
      <c r="S57" s="175"/>
      <c r="T57" s="175"/>
      <c r="U57" s="175"/>
      <c r="V57" s="175"/>
      <c r="W57" s="175"/>
      <c r="X57" s="175"/>
      <c r="Y57" s="175"/>
      <c r="Z57" s="175"/>
      <c r="AA57" s="175">
        <f t="shared" ref="AA57:AA58" ca="1" si="24">(F57=R57)*1</f>
        <v>1</v>
      </c>
    </row>
    <row r="58" spans="1:27" customFormat="1">
      <c r="B58" s="7"/>
      <c r="C58" s="74"/>
      <c r="D58" s="66"/>
      <c r="E58" s="72" t="s">
        <v>175</v>
      </c>
      <c r="F58" s="1451" t="str">
        <f>_xlfn.IFNA(R58,"")</f>
        <v/>
      </c>
      <c r="G58" s="1451"/>
      <c r="H58" s="1451"/>
      <c r="I58" s="1451"/>
      <c r="J58" s="1451"/>
      <c r="K58" s="8"/>
      <c r="R58" s="129" t="str">
        <f>IF(OR(COUNTIF($E60:$E65,"&lt;&gt;〇〇(合意形成対象者名に書き換え)")=3,COUNTIF($E60:$E65,"")&gt;3),"",IF(PRODUCT($Y60:$Y65)=1,Z60,""))</f>
        <v/>
      </c>
      <c r="S58" s="175"/>
      <c r="T58" s="175"/>
      <c r="U58" s="175"/>
      <c r="V58" s="175"/>
      <c r="W58" s="175"/>
      <c r="X58" s="175"/>
      <c r="Y58" s="175"/>
      <c r="Z58" s="175"/>
      <c r="AA58" s="175">
        <f t="shared" si="24"/>
        <v>1</v>
      </c>
    </row>
    <row r="59" spans="1:27" ht="63.75" customHeight="1">
      <c r="B59" s="95"/>
      <c r="C59" s="96"/>
      <c r="D59" s="97"/>
      <c r="E59" s="888"/>
      <c r="F59" s="313" t="s">
        <v>278</v>
      </c>
      <c r="G59" s="313" t="s">
        <v>268</v>
      </c>
      <c r="H59" s="1200" t="s">
        <v>437</v>
      </c>
      <c r="I59" s="1200" t="s">
        <v>439</v>
      </c>
      <c r="J59" s="313" t="s">
        <v>279</v>
      </c>
      <c r="K59" s="98"/>
      <c r="L59" s="11"/>
      <c r="R59" s="126" t="s">
        <v>278</v>
      </c>
      <c r="S59" s="126" t="s">
        <v>440</v>
      </c>
      <c r="T59" s="295" t="s">
        <v>437</v>
      </c>
      <c r="U59" s="295" t="s">
        <v>438</v>
      </c>
      <c r="V59" s="256" t="s">
        <v>270</v>
      </c>
      <c r="W59" s="126" t="s">
        <v>426</v>
      </c>
      <c r="X59" s="129" t="s">
        <v>402</v>
      </c>
      <c r="Y59" s="129" t="s">
        <v>430</v>
      </c>
      <c r="Z59" s="126" t="s">
        <v>425</v>
      </c>
      <c r="AA59" s="255"/>
    </row>
    <row r="60" spans="1:27" hidden="1">
      <c r="B60" s="95"/>
      <c r="C60" s="96"/>
      <c r="D60" s="97"/>
      <c r="E60" s="889"/>
      <c r="F60" s="439"/>
      <c r="G60" s="439"/>
      <c r="H60" s="1201"/>
      <c r="I60" s="1201"/>
      <c r="J60" s="439"/>
      <c r="K60" s="98"/>
      <c r="L60" s="11"/>
      <c r="R60" s="129">
        <f t="shared" ref="R60:R65" si="25">IF(F60="実施済",1,0)</f>
        <v>0</v>
      </c>
      <c r="S60" s="129">
        <f t="shared" ref="S60:S65" si="26">IF(G60="実施済",R60*1,0)</f>
        <v>0</v>
      </c>
      <c r="T60" s="129">
        <f t="shared" ref="T60:T65" si="27">IF(H60="実施済",S60*1,0)</f>
        <v>0</v>
      </c>
      <c r="U60" s="129">
        <f t="shared" ref="U60:U65" si="28">IF(I60="実施済",T60*1,0)</f>
        <v>0</v>
      </c>
      <c r="V60" s="258"/>
      <c r="W60" s="129" t="str">
        <f>IF(OR(E60="〇〇(合意形成対象者名に書き換え)",E60=""),"",SUM(S60,T60,U60))</f>
        <v/>
      </c>
      <c r="X60" s="129">
        <f t="shared" ref="X60:X65" si="29">MIN($W$60:$W$65)+1</f>
        <v>1</v>
      </c>
      <c r="Y60" s="129">
        <f>IF(E60="",1,IF(AND(E60="〇〇(合意形成対象者名に書き換え)",COUNTA($F60:$J60)=0),1,IF(AND(E60&lt;&gt;"〇〇(合意形成対象者名に書き換え)",COUNTA($F60:$J60)=5),1,0)))</f>
        <v>1</v>
      </c>
      <c r="Z60" s="129" t="str" cm="1">
        <f t="array" ref="Z60">_xlfn.IFS(X60=4,"A",X60=3,"B",X60=2,"C",X60=1,"D")</f>
        <v>D</v>
      </c>
      <c r="AA60" s="255"/>
    </row>
    <row r="61" spans="1:27">
      <c r="B61" s="95"/>
      <c r="C61" s="96"/>
      <c r="D61" s="97"/>
      <c r="E61" s="890" t="s">
        <v>129</v>
      </c>
      <c r="F61" s="445"/>
      <c r="G61" s="445"/>
      <c r="H61" s="1202"/>
      <c r="I61" s="1202"/>
      <c r="J61" s="445"/>
      <c r="K61" s="98"/>
      <c r="L61" s="11"/>
      <c r="R61" s="129">
        <f t="shared" si="25"/>
        <v>0</v>
      </c>
      <c r="S61" s="129">
        <f t="shared" si="26"/>
        <v>0</v>
      </c>
      <c r="T61" s="129">
        <f t="shared" si="27"/>
        <v>0</v>
      </c>
      <c r="U61" s="129">
        <f t="shared" si="28"/>
        <v>0</v>
      </c>
      <c r="V61" s="258"/>
      <c r="W61" s="129" t="str">
        <f t="shared" ref="W61:W65" si="30">IF(OR(E61="〇〇(合意形成対象者名に書き換え)",E61=""),"",SUM(S61,T61,U61))</f>
        <v/>
      </c>
      <c r="X61" s="129">
        <f t="shared" si="29"/>
        <v>1</v>
      </c>
      <c r="Y61" s="129">
        <f t="shared" ref="Y61:Y65" si="31">IF(E61="",1,IF(AND(E61="〇〇(合意形成対象者名に書き換え)",COUNTA($F61:$J61)=0),1,IF(AND(E61&lt;&gt;"〇〇(合意形成対象者名に書き換え)",COUNTA($F61:$J61)=5),1,0)))</f>
        <v>1</v>
      </c>
      <c r="Z61" s="129" t="str" cm="1">
        <f t="array" ref="Z61">_xlfn.IFS(X61=4,"A",X61=3,"B",X61=2,"C",X61=1,"D")</f>
        <v>D</v>
      </c>
      <c r="AA61" s="255"/>
    </row>
    <row r="62" spans="1:27">
      <c r="B62" s="95"/>
      <c r="C62" s="96"/>
      <c r="D62" s="97"/>
      <c r="E62" s="890" t="s">
        <v>129</v>
      </c>
      <c r="F62" s="441"/>
      <c r="G62" s="441"/>
      <c r="H62" s="1203"/>
      <c r="I62" s="1203"/>
      <c r="J62" s="441"/>
      <c r="K62" s="98"/>
      <c r="L62" s="11"/>
      <c r="R62" s="129">
        <f t="shared" si="25"/>
        <v>0</v>
      </c>
      <c r="S62" s="129">
        <f t="shared" si="26"/>
        <v>0</v>
      </c>
      <c r="T62" s="129">
        <f t="shared" si="27"/>
        <v>0</v>
      </c>
      <c r="U62" s="129">
        <f t="shared" si="28"/>
        <v>0</v>
      </c>
      <c r="V62" s="258"/>
      <c r="W62" s="129" t="str">
        <f t="shared" si="30"/>
        <v/>
      </c>
      <c r="X62" s="129">
        <f t="shared" si="29"/>
        <v>1</v>
      </c>
      <c r="Y62" s="129">
        <f t="shared" si="31"/>
        <v>1</v>
      </c>
      <c r="Z62" s="129" t="str" cm="1">
        <f t="array" ref="Z62">_xlfn.IFS(X62=4,"A",X62=3,"B",X62=2,"C",X62=1,"D")</f>
        <v>D</v>
      </c>
      <c r="AA62" s="255"/>
    </row>
    <row r="63" spans="1:27" s="99" customFormat="1">
      <c r="A63" s="11"/>
      <c r="B63" s="95"/>
      <c r="C63" s="96"/>
      <c r="D63" s="97"/>
      <c r="E63" s="890" t="s">
        <v>129</v>
      </c>
      <c r="F63" s="441"/>
      <c r="G63" s="441"/>
      <c r="H63" s="1203"/>
      <c r="I63" s="1203"/>
      <c r="J63" s="441"/>
      <c r="K63" s="98"/>
      <c r="L63" s="11"/>
      <c r="O63" s="11"/>
      <c r="P63" s="11"/>
      <c r="Q63" s="11"/>
      <c r="R63" s="129">
        <f t="shared" si="25"/>
        <v>0</v>
      </c>
      <c r="S63" s="129">
        <f t="shared" si="26"/>
        <v>0</v>
      </c>
      <c r="T63" s="129">
        <f t="shared" si="27"/>
        <v>0</v>
      </c>
      <c r="U63" s="129">
        <f t="shared" si="28"/>
        <v>0</v>
      </c>
      <c r="V63" s="258"/>
      <c r="W63" s="129" t="str">
        <f t="shared" si="30"/>
        <v/>
      </c>
      <c r="X63" s="129">
        <f t="shared" si="29"/>
        <v>1</v>
      </c>
      <c r="Y63" s="129">
        <f t="shared" si="31"/>
        <v>1</v>
      </c>
      <c r="Z63" s="129" t="str" cm="1">
        <f t="array" ref="Z63">_xlfn.IFS(X63=4,"A",X63=3,"B",X63=2,"C",X63=1,"D")</f>
        <v>D</v>
      </c>
      <c r="AA63" s="129"/>
    </row>
    <row r="64" spans="1:27" customFormat="1" ht="7.5" customHeight="1">
      <c r="B64" s="65"/>
      <c r="C64" s="4"/>
      <c r="D64" s="4"/>
      <c r="E64" s="288"/>
      <c r="F64" s="4"/>
      <c r="G64" s="4"/>
      <c r="H64" s="1204"/>
      <c r="I64" s="1204"/>
      <c r="J64" s="4"/>
      <c r="K64" s="9"/>
      <c r="L64" s="2"/>
      <c r="M64" s="2"/>
      <c r="N64" s="2"/>
      <c r="R64" s="129">
        <f t="shared" si="25"/>
        <v>0</v>
      </c>
      <c r="S64" s="129">
        <f t="shared" si="26"/>
        <v>0</v>
      </c>
      <c r="T64" s="129">
        <f t="shared" si="27"/>
        <v>0</v>
      </c>
      <c r="U64" s="129">
        <f t="shared" si="28"/>
        <v>0</v>
      </c>
      <c r="V64" s="258"/>
      <c r="W64" s="129" t="str">
        <f t="shared" si="30"/>
        <v/>
      </c>
      <c r="X64" s="129">
        <f t="shared" si="29"/>
        <v>1</v>
      </c>
      <c r="Y64" s="129">
        <f t="shared" si="31"/>
        <v>1</v>
      </c>
      <c r="Z64" s="129" t="str" cm="1">
        <f t="array" ref="Z64">_xlfn.IFS(X64=4,"A",X64=3,"B",X64=2,"C",X64=1,"D")</f>
        <v>D</v>
      </c>
      <c r="AA64" s="175"/>
    </row>
    <row r="65" spans="1:27" customFormat="1" ht="6" customHeight="1">
      <c r="E65" s="3"/>
      <c r="H65" s="1198"/>
      <c r="I65" s="1198"/>
      <c r="L65" s="2"/>
      <c r="M65" s="2"/>
      <c r="N65" s="2"/>
      <c r="R65" s="129">
        <f t="shared" si="25"/>
        <v>0</v>
      </c>
      <c r="S65" s="129">
        <f t="shared" si="26"/>
        <v>0</v>
      </c>
      <c r="T65" s="129">
        <f t="shared" si="27"/>
        <v>0</v>
      </c>
      <c r="U65" s="129">
        <f t="shared" si="28"/>
        <v>0</v>
      </c>
      <c r="V65" s="258"/>
      <c r="W65" s="129" t="str">
        <f t="shared" si="30"/>
        <v/>
      </c>
      <c r="X65" s="129">
        <f t="shared" si="29"/>
        <v>1</v>
      </c>
      <c r="Y65" s="129">
        <f t="shared" si="31"/>
        <v>1</v>
      </c>
      <c r="Z65" s="129" t="str" cm="1">
        <f t="array" ref="Z65">_xlfn.IFS(X65=4,"A",X65=3,"B",X65=2,"C",X65=1,"D")</f>
        <v>D</v>
      </c>
      <c r="AA65" s="175"/>
    </row>
    <row r="66" spans="1:27" customFormat="1" ht="103.5" customHeight="1">
      <c r="C66" s="78"/>
      <c r="D66" s="79"/>
      <c r="E66" s="71" t="s">
        <v>236</v>
      </c>
      <c r="F66" s="1452"/>
      <c r="G66" s="1452"/>
      <c r="H66" s="1452"/>
      <c r="I66" s="1452"/>
      <c r="J66" s="1452"/>
      <c r="K66" s="80" t="s">
        <v>132</v>
      </c>
      <c r="L66" s="80"/>
    </row>
    <row r="67" spans="1:27" customFormat="1" ht="146.25" customHeight="1">
      <c r="C67" s="75"/>
      <c r="D67" s="68"/>
      <c r="E67" s="71" t="s">
        <v>235</v>
      </c>
      <c r="F67" s="1452"/>
      <c r="G67" s="1452"/>
      <c r="H67" s="1452"/>
      <c r="I67" s="1452"/>
      <c r="J67" s="1452"/>
      <c r="L67" s="2"/>
      <c r="M67" s="2"/>
      <c r="N67" s="2"/>
    </row>
    <row r="68" spans="1:27" customFormat="1" ht="13.5" customHeight="1" thickBot="1">
      <c r="A68" s="81"/>
      <c r="B68" s="81"/>
      <c r="C68" s="81"/>
      <c r="D68" s="81"/>
      <c r="E68" s="311"/>
      <c r="F68" s="81"/>
      <c r="G68" s="81"/>
      <c r="H68" s="1205"/>
      <c r="I68" s="1205"/>
      <c r="J68" s="81"/>
      <c r="K68" s="81"/>
      <c r="L68" s="82"/>
      <c r="M68" s="2"/>
      <c r="N68" s="2"/>
    </row>
    <row r="69" spans="1:27" customFormat="1" ht="13.5" customHeight="1">
      <c r="E69" s="3"/>
      <c r="H69" s="1198"/>
      <c r="I69" s="1198"/>
      <c r="L69" s="2"/>
      <c r="M69" s="2"/>
      <c r="N69" s="2"/>
    </row>
    <row r="70" spans="1:27" customFormat="1" ht="15" customHeight="1">
      <c r="B70" s="10"/>
      <c r="C70" s="5"/>
      <c r="D70" s="5"/>
      <c r="E70" s="305"/>
      <c r="F70" s="5"/>
      <c r="G70" s="5"/>
      <c r="H70" s="1199"/>
      <c r="I70" s="1199"/>
      <c r="J70" s="5"/>
      <c r="K70" s="6"/>
      <c r="R70" s="11" t="str">
        <f>D71</f>
        <v>(選択してください)</v>
      </c>
    </row>
    <row r="71" spans="1:27" customFormat="1">
      <c r="B71" s="7"/>
      <c r="C71" s="77" t="str">
        <f ca="1">IFERROR(OFFSET('4.3民生部門電力以外の排出削減取組'!$C$1,MATCH(D71,'4.3民生部門電力以外の排出削減取組'!$E:$E,0)-1,0),"")</f>
        <v/>
      </c>
      <c r="D71" s="94" t="s">
        <v>130</v>
      </c>
      <c r="E71" s="72" t="s">
        <v>12</v>
      </c>
      <c r="F71" s="1451" t="str">
        <f ca="1">IFERROR(OFFSET('4.3民生部門電力以外の排出削減取組'!$G$1,MATCH($D71,'4.3民生部門電力以外の排出削減取組'!$E:$E,0)-1,0),"")</f>
        <v/>
      </c>
      <c r="G71" s="1451"/>
      <c r="H71" s="1451"/>
      <c r="I71" s="1451"/>
      <c r="J71" s="1451"/>
      <c r="K71" s="8"/>
      <c r="R71" s="255" t="str">
        <f ca="1">IFERROR(OFFSET('4.3民生部門電力以外の排出削減取組'!$G$1,MATCH($D71,'4.3民生部門電力以外の排出削減取組'!$E:$E,0)-1,0),"")</f>
        <v/>
      </c>
      <c r="S71" s="175"/>
      <c r="T71" s="175"/>
      <c r="U71" s="175"/>
      <c r="V71" s="175"/>
      <c r="W71" s="175"/>
      <c r="X71" s="175"/>
      <c r="Y71" s="175"/>
      <c r="Z71" s="175"/>
      <c r="AA71" s="175">
        <f ca="1">(F71=R71)*1</f>
        <v>1</v>
      </c>
    </row>
    <row r="72" spans="1:27" customFormat="1">
      <c r="B72" s="7"/>
      <c r="C72" s="915"/>
      <c r="D72" s="97"/>
      <c r="E72" s="72" t="s">
        <v>612</v>
      </c>
      <c r="F72" s="1447" t="str">
        <f ca="1">IFERROR(OFFSET('4.3民生部門電力以外の排出削減取組'!$J$1,MATCH($D71,'4.3民生部門電力以外の排出削減取組'!$E:$E,0)-1,0),"")</f>
        <v/>
      </c>
      <c r="G72" s="1448"/>
      <c r="H72" s="1448"/>
      <c r="I72" s="1448"/>
      <c r="J72" s="1449"/>
      <c r="K72" s="8"/>
      <c r="R72" s="255" t="str">
        <f ca="1">IFERROR(OFFSET('4.3民生部門電力以外の排出削減取組'!$J$1,MATCH($D71,'4.3民生部門電力以外の排出削減取組'!$E:$E,0)-1,0),"")</f>
        <v/>
      </c>
      <c r="S72" s="175"/>
      <c r="T72" s="175"/>
      <c r="U72" s="175"/>
      <c r="V72" s="175"/>
      <c r="W72" s="175"/>
      <c r="X72" s="175"/>
      <c r="Y72" s="175"/>
      <c r="Z72" s="175"/>
      <c r="AA72" s="175">
        <f ca="1">(F72=R72)*1</f>
        <v>1</v>
      </c>
    </row>
    <row r="73" spans="1:27" customFormat="1">
      <c r="B73" s="7"/>
      <c r="C73" s="74"/>
      <c r="D73" s="66"/>
      <c r="E73" s="72" t="s">
        <v>280</v>
      </c>
      <c r="F73" s="1470" t="str">
        <f ca="1">IFERROR(OFFSET('4.3民生部門電力以外の排出削減取組'!$H$1,MATCH($D71,'4.3民生部門電力以外の排出削減取組'!$E:$E,0)-1,0),"")</f>
        <v/>
      </c>
      <c r="G73" s="1470"/>
      <c r="H73" s="1470"/>
      <c r="I73" s="1470"/>
      <c r="J73" s="1470"/>
      <c r="K73" s="8"/>
      <c r="R73" s="175" t="str">
        <f ca="1">IFERROR(OFFSET('4.3民生部門電力以外の排出削減取組'!$H$1,MATCH($D71,'4.3民生部門電力以外の排出削減取組'!$E:$E,0)-1,0),"")</f>
        <v/>
      </c>
      <c r="S73" s="175"/>
      <c r="T73" s="175"/>
      <c r="U73" s="175"/>
      <c r="V73" s="175"/>
      <c r="W73" s="175"/>
      <c r="X73" s="175"/>
      <c r="Y73" s="175"/>
      <c r="Z73" s="175"/>
      <c r="AA73" s="175">
        <f t="shared" ref="AA73:AA74" ca="1" si="32">(F73=R73)*1</f>
        <v>1</v>
      </c>
    </row>
    <row r="74" spans="1:27" customFormat="1">
      <c r="B74" s="7"/>
      <c r="C74" s="74"/>
      <c r="D74" s="66"/>
      <c r="E74" s="72" t="s">
        <v>175</v>
      </c>
      <c r="F74" s="1451" t="str">
        <f>_xlfn.IFNA(R74,"")</f>
        <v/>
      </c>
      <c r="G74" s="1451"/>
      <c r="H74" s="1451"/>
      <c r="I74" s="1451"/>
      <c r="J74" s="1451"/>
      <c r="K74" s="8"/>
      <c r="R74" s="129" t="str">
        <f>IF(OR(COUNTIF($E76:$E81,"&lt;&gt;〇〇(合意形成対象者名に書き換え)")=3,COUNTIF($E76:$E81,"")&gt;3),"",IF(PRODUCT($Y76:$Y81)=1,Z76,""))</f>
        <v/>
      </c>
      <c r="S74" s="175"/>
      <c r="T74" s="175"/>
      <c r="U74" s="175"/>
      <c r="V74" s="175"/>
      <c r="W74" s="175"/>
      <c r="X74" s="175"/>
      <c r="Y74" s="175"/>
      <c r="Z74" s="175"/>
      <c r="AA74" s="175">
        <f t="shared" si="32"/>
        <v>1</v>
      </c>
    </row>
    <row r="75" spans="1:27" ht="63.75" customHeight="1">
      <c r="B75" s="95"/>
      <c r="C75" s="96"/>
      <c r="D75" s="97"/>
      <c r="E75" s="888"/>
      <c r="F75" s="313" t="s">
        <v>278</v>
      </c>
      <c r="G75" s="313" t="s">
        <v>268</v>
      </c>
      <c r="H75" s="1200" t="s">
        <v>437</v>
      </c>
      <c r="I75" s="1200" t="s">
        <v>439</v>
      </c>
      <c r="J75" s="313" t="s">
        <v>279</v>
      </c>
      <c r="K75" s="98"/>
      <c r="L75" s="11"/>
      <c r="R75" s="126" t="s">
        <v>278</v>
      </c>
      <c r="S75" s="126" t="s">
        <v>440</v>
      </c>
      <c r="T75" s="295" t="s">
        <v>437</v>
      </c>
      <c r="U75" s="295" t="s">
        <v>438</v>
      </c>
      <c r="V75" s="256" t="s">
        <v>270</v>
      </c>
      <c r="W75" s="126" t="s">
        <v>426</v>
      </c>
      <c r="X75" s="129" t="s">
        <v>402</v>
      </c>
      <c r="Y75" s="129" t="s">
        <v>430</v>
      </c>
      <c r="Z75" s="126" t="s">
        <v>425</v>
      </c>
      <c r="AA75" s="255"/>
    </row>
    <row r="76" spans="1:27" hidden="1">
      <c r="B76" s="95"/>
      <c r="C76" s="96"/>
      <c r="D76" s="97"/>
      <c r="E76" s="889"/>
      <c r="F76" s="439"/>
      <c r="G76" s="439"/>
      <c r="H76" s="1201"/>
      <c r="I76" s="1201"/>
      <c r="J76" s="439"/>
      <c r="K76" s="98"/>
      <c r="L76" s="11"/>
      <c r="R76" s="129">
        <f t="shared" ref="R76:R81" si="33">IF(F76="実施済",1,0)</f>
        <v>0</v>
      </c>
      <c r="S76" s="129">
        <f t="shared" ref="S76:S81" si="34">IF(G76="実施済",R76*1,0)</f>
        <v>0</v>
      </c>
      <c r="T76" s="129">
        <f t="shared" ref="T76:T81" si="35">IF(H76="実施済",S76*1,0)</f>
        <v>0</v>
      </c>
      <c r="U76" s="129">
        <f t="shared" ref="U76:U81" si="36">IF(I76="実施済",T76*1,0)</f>
        <v>0</v>
      </c>
      <c r="V76" s="258"/>
      <c r="W76" s="129" t="str">
        <f>IF(OR(E76="〇〇(合意形成対象者名に書き換え)",E76=""),"",SUM(S76,T76,U76))</f>
        <v/>
      </c>
      <c r="X76" s="129">
        <f t="shared" ref="X76:X81" si="37">MIN($W$76:$W$81)+1</f>
        <v>1</v>
      </c>
      <c r="Y76" s="129">
        <f>IF(E76="",1,IF(AND(E76="〇〇(合意形成対象者名に書き換え)",COUNTA($F76:$J76)=0),1,IF(AND(E76&lt;&gt;"〇〇(合意形成対象者名に書き換え)",COUNTA($F76:$J76)=5),1,0)))</f>
        <v>1</v>
      </c>
      <c r="Z76" s="129" t="str" cm="1">
        <f t="array" ref="Z76">_xlfn.IFS(X76=4,"A",X76=3,"B",X76=2,"C",X76=1,"D")</f>
        <v>D</v>
      </c>
      <c r="AA76" s="255"/>
    </row>
    <row r="77" spans="1:27">
      <c r="B77" s="95"/>
      <c r="C77" s="96"/>
      <c r="D77" s="97"/>
      <c r="E77" s="890" t="s">
        <v>129</v>
      </c>
      <c r="F77" s="445"/>
      <c r="G77" s="445"/>
      <c r="H77" s="1202"/>
      <c r="I77" s="1202"/>
      <c r="J77" s="445"/>
      <c r="K77" s="98"/>
      <c r="L77" s="11"/>
      <c r="R77" s="129">
        <f t="shared" si="33"/>
        <v>0</v>
      </c>
      <c r="S77" s="129">
        <f t="shared" si="34"/>
        <v>0</v>
      </c>
      <c r="T77" s="129">
        <f t="shared" si="35"/>
        <v>0</v>
      </c>
      <c r="U77" s="129">
        <f t="shared" si="36"/>
        <v>0</v>
      </c>
      <c r="V77" s="258"/>
      <c r="W77" s="129" t="str">
        <f t="shared" ref="W77:W81" si="38">IF(OR(E77="〇〇(合意形成対象者名に書き換え)",E77=""),"",SUM(S77,T77,U77))</f>
        <v/>
      </c>
      <c r="X77" s="129">
        <f t="shared" si="37"/>
        <v>1</v>
      </c>
      <c r="Y77" s="129">
        <f t="shared" ref="Y77:Y81" si="39">IF(E77="",1,IF(AND(E77="〇〇(合意形成対象者名に書き換え)",COUNTA($F77:$J77)=0),1,IF(AND(E77&lt;&gt;"〇〇(合意形成対象者名に書き換え)",COUNTA($F77:$J77)=5),1,0)))</f>
        <v>1</v>
      </c>
      <c r="Z77" s="129" t="str" cm="1">
        <f t="array" ref="Z77">_xlfn.IFS(X77=4,"A",X77=3,"B",X77=2,"C",X77=1,"D")</f>
        <v>D</v>
      </c>
      <c r="AA77" s="255"/>
    </row>
    <row r="78" spans="1:27">
      <c r="B78" s="95"/>
      <c r="C78" s="96"/>
      <c r="D78" s="97"/>
      <c r="E78" s="890" t="s">
        <v>129</v>
      </c>
      <c r="F78" s="441"/>
      <c r="G78" s="441"/>
      <c r="H78" s="1203"/>
      <c r="I78" s="1203"/>
      <c r="J78" s="441"/>
      <c r="K78" s="98"/>
      <c r="L78" s="11"/>
      <c r="R78" s="129">
        <f t="shared" si="33"/>
        <v>0</v>
      </c>
      <c r="S78" s="129">
        <f t="shared" si="34"/>
        <v>0</v>
      </c>
      <c r="T78" s="129">
        <f t="shared" si="35"/>
        <v>0</v>
      </c>
      <c r="U78" s="129">
        <f t="shared" si="36"/>
        <v>0</v>
      </c>
      <c r="V78" s="258"/>
      <c r="W78" s="129" t="str">
        <f t="shared" si="38"/>
        <v/>
      </c>
      <c r="X78" s="129">
        <f t="shared" si="37"/>
        <v>1</v>
      </c>
      <c r="Y78" s="129">
        <f t="shared" si="39"/>
        <v>1</v>
      </c>
      <c r="Z78" s="129" t="str" cm="1">
        <f t="array" ref="Z78">_xlfn.IFS(X78=4,"A",X78=3,"B",X78=2,"C",X78=1,"D")</f>
        <v>D</v>
      </c>
      <c r="AA78" s="255"/>
    </row>
    <row r="79" spans="1:27" s="99" customFormat="1">
      <c r="A79" s="11"/>
      <c r="B79" s="95"/>
      <c r="C79" s="96"/>
      <c r="D79" s="97"/>
      <c r="E79" s="890" t="s">
        <v>129</v>
      </c>
      <c r="F79" s="441"/>
      <c r="G79" s="441"/>
      <c r="H79" s="1203"/>
      <c r="I79" s="1203"/>
      <c r="J79" s="441"/>
      <c r="K79" s="98"/>
      <c r="L79" s="11"/>
      <c r="O79" s="11"/>
      <c r="P79" s="11"/>
      <c r="Q79" s="11"/>
      <c r="R79" s="129">
        <f t="shared" si="33"/>
        <v>0</v>
      </c>
      <c r="S79" s="129">
        <f t="shared" si="34"/>
        <v>0</v>
      </c>
      <c r="T79" s="129">
        <f t="shared" si="35"/>
        <v>0</v>
      </c>
      <c r="U79" s="129">
        <f t="shared" si="36"/>
        <v>0</v>
      </c>
      <c r="V79" s="258"/>
      <c r="W79" s="129" t="str">
        <f t="shared" si="38"/>
        <v/>
      </c>
      <c r="X79" s="129">
        <f t="shared" si="37"/>
        <v>1</v>
      </c>
      <c r="Y79" s="129">
        <f t="shared" si="39"/>
        <v>1</v>
      </c>
      <c r="Z79" s="129" t="str" cm="1">
        <f t="array" ref="Z79">_xlfn.IFS(X79=4,"A",X79=3,"B",X79=2,"C",X79=1,"D")</f>
        <v>D</v>
      </c>
      <c r="AA79" s="129"/>
    </row>
    <row r="80" spans="1:27" customFormat="1" ht="7.5" customHeight="1">
      <c r="B80" s="65"/>
      <c r="C80" s="4"/>
      <c r="D80" s="4"/>
      <c r="E80" s="288"/>
      <c r="F80" s="4"/>
      <c r="G80" s="4"/>
      <c r="H80" s="1204"/>
      <c r="I80" s="1204"/>
      <c r="J80" s="4"/>
      <c r="K80" s="9"/>
      <c r="L80" s="2"/>
      <c r="M80" s="2"/>
      <c r="N80" s="2"/>
      <c r="R80" s="129">
        <f t="shared" si="33"/>
        <v>0</v>
      </c>
      <c r="S80" s="129">
        <f t="shared" si="34"/>
        <v>0</v>
      </c>
      <c r="T80" s="129">
        <f t="shared" si="35"/>
        <v>0</v>
      </c>
      <c r="U80" s="129">
        <f t="shared" si="36"/>
        <v>0</v>
      </c>
      <c r="V80" s="258"/>
      <c r="W80" s="129" t="str">
        <f t="shared" si="38"/>
        <v/>
      </c>
      <c r="X80" s="129">
        <f t="shared" si="37"/>
        <v>1</v>
      </c>
      <c r="Y80" s="129">
        <f t="shared" si="39"/>
        <v>1</v>
      </c>
      <c r="Z80" s="129" t="str" cm="1">
        <f t="array" ref="Z80">_xlfn.IFS(X80=4,"A",X80=3,"B",X80=2,"C",X80=1,"D")</f>
        <v>D</v>
      </c>
      <c r="AA80" s="175"/>
    </row>
    <row r="81" spans="1:27" customFormat="1" ht="6" customHeight="1">
      <c r="E81" s="3"/>
      <c r="H81" s="1198"/>
      <c r="I81" s="1198"/>
      <c r="L81" s="2"/>
      <c r="M81" s="2"/>
      <c r="N81" s="2"/>
      <c r="R81" s="129">
        <f t="shared" si="33"/>
        <v>0</v>
      </c>
      <c r="S81" s="129">
        <f t="shared" si="34"/>
        <v>0</v>
      </c>
      <c r="T81" s="129">
        <f t="shared" si="35"/>
        <v>0</v>
      </c>
      <c r="U81" s="129">
        <f t="shared" si="36"/>
        <v>0</v>
      </c>
      <c r="V81" s="258"/>
      <c r="W81" s="129" t="str">
        <f t="shared" si="38"/>
        <v/>
      </c>
      <c r="X81" s="129">
        <f t="shared" si="37"/>
        <v>1</v>
      </c>
      <c r="Y81" s="129">
        <f t="shared" si="39"/>
        <v>1</v>
      </c>
      <c r="Z81" s="129" t="str" cm="1">
        <f t="array" ref="Z81">_xlfn.IFS(X81=4,"A",X81=3,"B",X81=2,"C",X81=1,"D")</f>
        <v>D</v>
      </c>
      <c r="AA81" s="175"/>
    </row>
    <row r="82" spans="1:27" customFormat="1" ht="103.5" customHeight="1">
      <c r="C82" s="78"/>
      <c r="D82" s="79"/>
      <c r="E82" s="71" t="s">
        <v>236</v>
      </c>
      <c r="F82" s="1452"/>
      <c r="G82" s="1452"/>
      <c r="H82" s="1452"/>
      <c r="I82" s="1452"/>
      <c r="J82" s="1452"/>
      <c r="K82" s="80" t="s">
        <v>132</v>
      </c>
      <c r="L82" s="80"/>
    </row>
    <row r="83" spans="1:27" customFormat="1" ht="146.25" customHeight="1">
      <c r="C83" s="75"/>
      <c r="D83" s="68"/>
      <c r="E83" s="71" t="s">
        <v>235</v>
      </c>
      <c r="F83" s="1452"/>
      <c r="G83" s="1452"/>
      <c r="H83" s="1452"/>
      <c r="I83" s="1452"/>
      <c r="J83" s="1452"/>
      <c r="L83" s="2"/>
      <c r="M83" s="2"/>
      <c r="N83" s="2"/>
    </row>
    <row r="84" spans="1:27" customFormat="1" ht="13.5" customHeight="1" thickBot="1">
      <c r="A84" s="81"/>
      <c r="B84" s="81"/>
      <c r="C84" s="81"/>
      <c r="D84" s="81"/>
      <c r="E84" s="311"/>
      <c r="F84" s="81"/>
      <c r="G84" s="81"/>
      <c r="H84" s="1205"/>
      <c r="I84" s="1205"/>
      <c r="J84" s="81"/>
      <c r="K84" s="81"/>
      <c r="L84" s="82"/>
      <c r="M84" s="2"/>
      <c r="N84" s="2"/>
    </row>
    <row r="85" spans="1:27" customFormat="1" ht="13.5" customHeight="1">
      <c r="E85" s="3"/>
      <c r="H85" s="1198"/>
      <c r="I85" s="1198"/>
      <c r="L85" s="2"/>
      <c r="M85" s="2"/>
      <c r="N85" s="2"/>
    </row>
    <row r="86" spans="1:27" customFormat="1" ht="15" customHeight="1">
      <c r="B86" s="10"/>
      <c r="C86" s="5"/>
      <c r="D86" s="5"/>
      <c r="E86" s="305"/>
      <c r="F86" s="5"/>
      <c r="G86" s="5"/>
      <c r="H86" s="1199"/>
      <c r="I86" s="1199"/>
      <c r="J86" s="5"/>
      <c r="K86" s="6"/>
      <c r="R86" s="11" t="str">
        <f>D87</f>
        <v>(選択してください)</v>
      </c>
    </row>
    <row r="87" spans="1:27" customFormat="1">
      <c r="B87" s="7"/>
      <c r="C87" s="77" t="str">
        <f ca="1">IFERROR(OFFSET('4.3民生部門電力以外の排出削減取組'!$C$1,MATCH(D87,'4.3民生部門電力以外の排出削減取組'!$E:$E,0)-1,0),"")</f>
        <v/>
      </c>
      <c r="D87" s="94" t="s">
        <v>130</v>
      </c>
      <c r="E87" s="72" t="s">
        <v>12</v>
      </c>
      <c r="F87" s="1451" t="str">
        <f ca="1">IFERROR(OFFSET('4.3民生部門電力以外の排出削減取組'!$G$1,MATCH($D87,'4.3民生部門電力以外の排出削減取組'!$E:$E,0)-1,0),"")</f>
        <v/>
      </c>
      <c r="G87" s="1451"/>
      <c r="H87" s="1451"/>
      <c r="I87" s="1451"/>
      <c r="J87" s="1451"/>
      <c r="K87" s="8"/>
      <c r="R87" s="255" t="str">
        <f ca="1">IFERROR(OFFSET('4.3民生部門電力以外の排出削減取組'!$G$1,MATCH($D87,'4.3民生部門電力以外の排出削減取組'!$E:$E,0)-1,0),"")</f>
        <v/>
      </c>
      <c r="S87" s="175"/>
      <c r="T87" s="175"/>
      <c r="U87" s="175"/>
      <c r="V87" s="175"/>
      <c r="W87" s="175"/>
      <c r="X87" s="175"/>
      <c r="Y87" s="175"/>
      <c r="Z87" s="175"/>
      <c r="AA87" s="175">
        <f ca="1">(F87=R87)*1</f>
        <v>1</v>
      </c>
    </row>
    <row r="88" spans="1:27" customFormat="1">
      <c r="B88" s="7"/>
      <c r="C88" s="915"/>
      <c r="D88" s="97"/>
      <c r="E88" s="72" t="s">
        <v>612</v>
      </c>
      <c r="F88" s="1447" t="str">
        <f ca="1">IFERROR(OFFSET('4.3民生部門電力以外の排出削減取組'!$J$1,MATCH($D87,'4.3民生部門電力以外の排出削減取組'!$E:$E,0)-1,0),"")</f>
        <v/>
      </c>
      <c r="G88" s="1448"/>
      <c r="H88" s="1448"/>
      <c r="I88" s="1448"/>
      <c r="J88" s="1449"/>
      <c r="K88" s="8"/>
      <c r="R88" s="255" t="str">
        <f ca="1">IFERROR(OFFSET('4.3民生部門電力以外の排出削減取組'!$J$1,MATCH($D87,'4.3民生部門電力以外の排出削減取組'!$E:$E,0)-1,0),"")</f>
        <v/>
      </c>
      <c r="S88" s="175"/>
      <c r="T88" s="175"/>
      <c r="U88" s="175"/>
      <c r="V88" s="175"/>
      <c r="W88" s="175"/>
      <c r="X88" s="175"/>
      <c r="Y88" s="175"/>
      <c r="Z88" s="175"/>
      <c r="AA88" s="175">
        <f ca="1">(F88=R88)*1</f>
        <v>1</v>
      </c>
    </row>
    <row r="89" spans="1:27" customFormat="1">
      <c r="B89" s="7"/>
      <c r="C89" s="74"/>
      <c r="D89" s="66"/>
      <c r="E89" s="72" t="s">
        <v>280</v>
      </c>
      <c r="F89" s="1470" t="str">
        <f ca="1">IFERROR(OFFSET('4.3民生部門電力以外の排出削減取組'!$H$1,MATCH($D87,'4.3民生部門電力以外の排出削減取組'!$E:$E,0)-1,0),"")</f>
        <v/>
      </c>
      <c r="G89" s="1470"/>
      <c r="H89" s="1470"/>
      <c r="I89" s="1470"/>
      <c r="J89" s="1470"/>
      <c r="K89" s="8"/>
      <c r="R89" s="175" t="str">
        <f ca="1">IFERROR(OFFSET('4.3民生部門電力以外の排出削減取組'!$H$1,MATCH($D87,'4.3民生部門電力以外の排出削減取組'!$E:$E,0)-1,0),"")</f>
        <v/>
      </c>
      <c r="S89" s="175"/>
      <c r="T89" s="175"/>
      <c r="U89" s="175"/>
      <c r="V89" s="175"/>
      <c r="W89" s="175"/>
      <c r="X89" s="175"/>
      <c r="Y89" s="175"/>
      <c r="Z89" s="175"/>
      <c r="AA89" s="175">
        <f t="shared" ref="AA89:AA90" ca="1" si="40">(F89=R89)*1</f>
        <v>1</v>
      </c>
    </row>
    <row r="90" spans="1:27" customFormat="1">
      <c r="B90" s="7"/>
      <c r="C90" s="74"/>
      <c r="D90" s="66"/>
      <c r="E90" s="72" t="s">
        <v>175</v>
      </c>
      <c r="F90" s="1451" t="str">
        <f>_xlfn.IFNA(R90,"")</f>
        <v/>
      </c>
      <c r="G90" s="1451"/>
      <c r="H90" s="1451"/>
      <c r="I90" s="1451"/>
      <c r="J90" s="1451"/>
      <c r="K90" s="8"/>
      <c r="R90" s="129" t="str">
        <f>IF(OR(COUNTIF($E92:$E97,"&lt;&gt;〇〇(合意形成対象者名に書き換え)")=3,COUNTIF($E92:$E97,"")&gt;3),"",IF(PRODUCT($Y92:$Y97)=1,Z92,""))</f>
        <v/>
      </c>
      <c r="S90" s="175"/>
      <c r="T90" s="175"/>
      <c r="U90" s="175"/>
      <c r="V90" s="175"/>
      <c r="W90" s="175"/>
      <c r="X90" s="175"/>
      <c r="Y90" s="175"/>
      <c r="Z90" s="175"/>
      <c r="AA90" s="175">
        <f t="shared" si="40"/>
        <v>1</v>
      </c>
    </row>
    <row r="91" spans="1:27" ht="63.75" customHeight="1">
      <c r="B91" s="95"/>
      <c r="C91" s="96"/>
      <c r="D91" s="97"/>
      <c r="E91" s="888"/>
      <c r="F91" s="313" t="s">
        <v>278</v>
      </c>
      <c r="G91" s="313" t="s">
        <v>268</v>
      </c>
      <c r="H91" s="1200" t="s">
        <v>437</v>
      </c>
      <c r="I91" s="1200" t="s">
        <v>439</v>
      </c>
      <c r="J91" s="313" t="s">
        <v>279</v>
      </c>
      <c r="K91" s="98"/>
      <c r="L91" s="11"/>
      <c r="R91" s="126" t="s">
        <v>278</v>
      </c>
      <c r="S91" s="126" t="s">
        <v>440</v>
      </c>
      <c r="T91" s="295" t="s">
        <v>437</v>
      </c>
      <c r="U91" s="295" t="s">
        <v>438</v>
      </c>
      <c r="V91" s="256" t="s">
        <v>270</v>
      </c>
      <c r="W91" s="126" t="s">
        <v>426</v>
      </c>
      <c r="X91" s="129" t="s">
        <v>402</v>
      </c>
      <c r="Y91" s="129" t="s">
        <v>430</v>
      </c>
      <c r="Z91" s="126" t="s">
        <v>425</v>
      </c>
      <c r="AA91" s="255"/>
    </row>
    <row r="92" spans="1:27" hidden="1">
      <c r="B92" s="95"/>
      <c r="C92" s="96"/>
      <c r="D92" s="97"/>
      <c r="E92" s="889"/>
      <c r="F92" s="439"/>
      <c r="G92" s="439"/>
      <c r="H92" s="1201"/>
      <c r="I92" s="1201"/>
      <c r="J92" s="439"/>
      <c r="K92" s="98"/>
      <c r="L92" s="11"/>
      <c r="R92" s="129">
        <f t="shared" ref="R92:R97" si="41">IF(F92="実施済",1,0)</f>
        <v>0</v>
      </c>
      <c r="S92" s="129">
        <f t="shared" ref="S92:S97" si="42">IF(G92="実施済",R92*1,0)</f>
        <v>0</v>
      </c>
      <c r="T92" s="129">
        <f t="shared" ref="T92:T97" si="43">IF(H92="実施済",S92*1,0)</f>
        <v>0</v>
      </c>
      <c r="U92" s="129">
        <f t="shared" ref="U92:U97" si="44">IF(I92="実施済",T92*1,0)</f>
        <v>0</v>
      </c>
      <c r="V92" s="258"/>
      <c r="W92" s="129" t="str">
        <f>IF(OR(E92="〇〇(合意形成対象者名に書き換え)",E92=""),"",SUM(S92,T92,U92))</f>
        <v/>
      </c>
      <c r="X92" s="129">
        <f t="shared" ref="X92:X97" si="45">MIN($W$92:$W$97)+1</f>
        <v>1</v>
      </c>
      <c r="Y92" s="129">
        <f>IF(E92="",1,IF(AND(E92="〇〇(合意形成対象者名に書き換え)",COUNTA($F92:$J92)=0),1,IF(AND(E92&lt;&gt;"〇〇(合意形成対象者名に書き換え)",COUNTA($F92:$J92)=5),1,0)))</f>
        <v>1</v>
      </c>
      <c r="Z92" s="129" t="str" cm="1">
        <f t="array" ref="Z92">_xlfn.IFS(X92=4,"A",X92=3,"B",X92=2,"C",X92=1,"D")</f>
        <v>D</v>
      </c>
      <c r="AA92" s="255"/>
    </row>
    <row r="93" spans="1:27">
      <c r="B93" s="95"/>
      <c r="C93" s="96"/>
      <c r="D93" s="97"/>
      <c r="E93" s="890" t="s">
        <v>129</v>
      </c>
      <c r="F93" s="445"/>
      <c r="G93" s="445"/>
      <c r="H93" s="1202"/>
      <c r="I93" s="1202"/>
      <c r="J93" s="445"/>
      <c r="K93" s="98"/>
      <c r="L93" s="11"/>
      <c r="R93" s="129">
        <f t="shared" si="41"/>
        <v>0</v>
      </c>
      <c r="S93" s="129">
        <f t="shared" si="42"/>
        <v>0</v>
      </c>
      <c r="T93" s="129">
        <f t="shared" si="43"/>
        <v>0</v>
      </c>
      <c r="U93" s="129">
        <f t="shared" si="44"/>
        <v>0</v>
      </c>
      <c r="V93" s="258"/>
      <c r="W93" s="129" t="str">
        <f t="shared" ref="W93:W97" si="46">IF(OR(E93="〇〇(合意形成対象者名に書き換え)",E93=""),"",SUM(S93,T93,U93))</f>
        <v/>
      </c>
      <c r="X93" s="129">
        <f t="shared" si="45"/>
        <v>1</v>
      </c>
      <c r="Y93" s="129">
        <f t="shared" ref="Y93:Y97" si="47">IF(E93="",1,IF(AND(E93="〇〇(合意形成対象者名に書き換え)",COUNTA($F93:$J93)=0),1,IF(AND(E93&lt;&gt;"〇〇(合意形成対象者名に書き換え)",COUNTA($F93:$J93)=5),1,0)))</f>
        <v>1</v>
      </c>
      <c r="Z93" s="129" t="str" cm="1">
        <f t="array" ref="Z93">_xlfn.IFS(X93=4,"A",X93=3,"B",X93=2,"C",X93=1,"D")</f>
        <v>D</v>
      </c>
      <c r="AA93" s="255"/>
    </row>
    <row r="94" spans="1:27">
      <c r="B94" s="95"/>
      <c r="C94" s="96"/>
      <c r="D94" s="97"/>
      <c r="E94" s="890" t="s">
        <v>129</v>
      </c>
      <c r="F94" s="441"/>
      <c r="G94" s="441"/>
      <c r="H94" s="1203"/>
      <c r="I94" s="1203"/>
      <c r="J94" s="441"/>
      <c r="K94" s="98"/>
      <c r="L94" s="11"/>
      <c r="R94" s="129">
        <f t="shared" si="41"/>
        <v>0</v>
      </c>
      <c r="S94" s="129">
        <f t="shared" si="42"/>
        <v>0</v>
      </c>
      <c r="T94" s="129">
        <f t="shared" si="43"/>
        <v>0</v>
      </c>
      <c r="U94" s="129">
        <f t="shared" si="44"/>
        <v>0</v>
      </c>
      <c r="V94" s="258"/>
      <c r="W94" s="129" t="str">
        <f t="shared" si="46"/>
        <v/>
      </c>
      <c r="X94" s="129">
        <f t="shared" si="45"/>
        <v>1</v>
      </c>
      <c r="Y94" s="129">
        <f t="shared" si="47"/>
        <v>1</v>
      </c>
      <c r="Z94" s="129" t="str" cm="1">
        <f t="array" ref="Z94">_xlfn.IFS(X94=4,"A",X94=3,"B",X94=2,"C",X94=1,"D")</f>
        <v>D</v>
      </c>
      <c r="AA94" s="255"/>
    </row>
    <row r="95" spans="1:27" s="99" customFormat="1">
      <c r="A95" s="11"/>
      <c r="B95" s="95"/>
      <c r="C95" s="96"/>
      <c r="D95" s="97"/>
      <c r="E95" s="890" t="s">
        <v>129</v>
      </c>
      <c r="F95" s="441"/>
      <c r="G95" s="441"/>
      <c r="H95" s="1203"/>
      <c r="I95" s="1203"/>
      <c r="J95" s="441"/>
      <c r="K95" s="98"/>
      <c r="L95" s="11"/>
      <c r="O95" s="11"/>
      <c r="P95" s="11"/>
      <c r="Q95" s="11"/>
      <c r="R95" s="129">
        <f t="shared" si="41"/>
        <v>0</v>
      </c>
      <c r="S95" s="129">
        <f t="shared" si="42"/>
        <v>0</v>
      </c>
      <c r="T95" s="129">
        <f t="shared" si="43"/>
        <v>0</v>
      </c>
      <c r="U95" s="129">
        <f t="shared" si="44"/>
        <v>0</v>
      </c>
      <c r="V95" s="258"/>
      <c r="W95" s="129" t="str">
        <f t="shared" si="46"/>
        <v/>
      </c>
      <c r="X95" s="129">
        <f t="shared" si="45"/>
        <v>1</v>
      </c>
      <c r="Y95" s="129">
        <f t="shared" si="47"/>
        <v>1</v>
      </c>
      <c r="Z95" s="129" t="str" cm="1">
        <f t="array" ref="Z95">_xlfn.IFS(X95=4,"A",X95=3,"B",X95=2,"C",X95=1,"D")</f>
        <v>D</v>
      </c>
      <c r="AA95" s="129"/>
    </row>
    <row r="96" spans="1:27" customFormat="1" ht="7.5" customHeight="1">
      <c r="B96" s="65"/>
      <c r="C96" s="4"/>
      <c r="D96" s="4"/>
      <c r="E96" s="288"/>
      <c r="F96" s="4"/>
      <c r="G96" s="4"/>
      <c r="H96" s="1204"/>
      <c r="I96" s="1204"/>
      <c r="J96" s="4"/>
      <c r="K96" s="9"/>
      <c r="L96" s="2"/>
      <c r="M96" s="2"/>
      <c r="N96" s="2"/>
      <c r="R96" s="129">
        <f t="shared" si="41"/>
        <v>0</v>
      </c>
      <c r="S96" s="129">
        <f t="shared" si="42"/>
        <v>0</v>
      </c>
      <c r="T96" s="129">
        <f t="shared" si="43"/>
        <v>0</v>
      </c>
      <c r="U96" s="129">
        <f t="shared" si="44"/>
        <v>0</v>
      </c>
      <c r="V96" s="258"/>
      <c r="W96" s="129" t="str">
        <f t="shared" si="46"/>
        <v/>
      </c>
      <c r="X96" s="129">
        <f t="shared" si="45"/>
        <v>1</v>
      </c>
      <c r="Y96" s="129">
        <f t="shared" si="47"/>
        <v>1</v>
      </c>
      <c r="Z96" s="129" t="str" cm="1">
        <f t="array" ref="Z96">_xlfn.IFS(X96=4,"A",X96=3,"B",X96=2,"C",X96=1,"D")</f>
        <v>D</v>
      </c>
      <c r="AA96" s="175"/>
    </row>
    <row r="97" spans="1:27" customFormat="1" ht="6" customHeight="1">
      <c r="E97" s="3"/>
      <c r="H97" s="1198"/>
      <c r="I97" s="1198"/>
      <c r="L97" s="2"/>
      <c r="M97" s="2"/>
      <c r="N97" s="2"/>
      <c r="R97" s="129">
        <f t="shared" si="41"/>
        <v>0</v>
      </c>
      <c r="S97" s="129">
        <f t="shared" si="42"/>
        <v>0</v>
      </c>
      <c r="T97" s="129">
        <f t="shared" si="43"/>
        <v>0</v>
      </c>
      <c r="U97" s="129">
        <f t="shared" si="44"/>
        <v>0</v>
      </c>
      <c r="V97" s="258"/>
      <c r="W97" s="129" t="str">
        <f t="shared" si="46"/>
        <v/>
      </c>
      <c r="X97" s="129">
        <f t="shared" si="45"/>
        <v>1</v>
      </c>
      <c r="Y97" s="129">
        <f t="shared" si="47"/>
        <v>1</v>
      </c>
      <c r="Z97" s="129" t="str" cm="1">
        <f t="array" ref="Z97">_xlfn.IFS(X97=4,"A",X97=3,"B",X97=2,"C",X97=1,"D")</f>
        <v>D</v>
      </c>
      <c r="AA97" s="175"/>
    </row>
    <row r="98" spans="1:27" customFormat="1" ht="103.5" customHeight="1">
      <c r="C98" s="78"/>
      <c r="D98" s="79"/>
      <c r="E98" s="71" t="s">
        <v>236</v>
      </c>
      <c r="F98" s="1452"/>
      <c r="G98" s="1452"/>
      <c r="H98" s="1452"/>
      <c r="I98" s="1452"/>
      <c r="J98" s="1452"/>
      <c r="K98" s="80" t="s">
        <v>132</v>
      </c>
      <c r="L98" s="80"/>
    </row>
    <row r="99" spans="1:27" customFormat="1" ht="146.25" customHeight="1">
      <c r="C99" s="75"/>
      <c r="D99" s="68"/>
      <c r="E99" s="71" t="s">
        <v>235</v>
      </c>
      <c r="F99" s="1452"/>
      <c r="G99" s="1452"/>
      <c r="H99" s="1452"/>
      <c r="I99" s="1452"/>
      <c r="J99" s="1452"/>
      <c r="L99" s="2"/>
      <c r="M99" s="2"/>
      <c r="N99" s="2"/>
    </row>
    <row r="100" spans="1:27" customFormat="1" ht="13.5" customHeight="1" thickBot="1">
      <c r="A100" s="81"/>
      <c r="B100" s="81"/>
      <c r="C100" s="81"/>
      <c r="D100" s="81"/>
      <c r="E100" s="311"/>
      <c r="F100" s="81"/>
      <c r="G100" s="81"/>
      <c r="H100" s="1205"/>
      <c r="I100" s="1205"/>
      <c r="J100" s="81"/>
      <c r="K100" s="81"/>
      <c r="L100" s="82"/>
      <c r="M100" s="2"/>
      <c r="N100" s="2"/>
    </row>
    <row r="101" spans="1:27" customFormat="1" ht="13.5" customHeight="1">
      <c r="E101" s="3"/>
      <c r="H101" s="1198"/>
      <c r="I101" s="1198"/>
      <c r="L101" s="2"/>
      <c r="M101" s="2"/>
      <c r="N101" s="2"/>
    </row>
    <row r="102" spans="1:27" customFormat="1" ht="15" customHeight="1">
      <c r="B102" s="10"/>
      <c r="C102" s="5"/>
      <c r="D102" s="5"/>
      <c r="E102" s="305"/>
      <c r="F102" s="5"/>
      <c r="G102" s="5"/>
      <c r="H102" s="1199"/>
      <c r="I102" s="1199"/>
      <c r="J102" s="5"/>
      <c r="K102" s="6"/>
      <c r="R102" s="11" t="str">
        <f>D103</f>
        <v>(選択してください)</v>
      </c>
    </row>
    <row r="103" spans="1:27" customFormat="1">
      <c r="B103" s="7"/>
      <c r="C103" s="77" t="str">
        <f ca="1">IFERROR(OFFSET('4.3民生部門電力以外の排出削減取組'!$C$1,MATCH(D103,'4.3民生部門電力以外の排出削減取組'!$E:$E,0)-1,0),"")</f>
        <v/>
      </c>
      <c r="D103" s="94" t="s">
        <v>130</v>
      </c>
      <c r="E103" s="72" t="s">
        <v>12</v>
      </c>
      <c r="F103" s="1451" t="str">
        <f ca="1">IFERROR(OFFSET('4.3民生部門電力以外の排出削減取組'!$G$1,MATCH($D103,'4.3民生部門電力以外の排出削減取組'!$E:$E,0)-1,0),"")</f>
        <v/>
      </c>
      <c r="G103" s="1451"/>
      <c r="H103" s="1451"/>
      <c r="I103" s="1451"/>
      <c r="J103" s="1451"/>
      <c r="K103" s="8"/>
      <c r="R103" s="255" t="str">
        <f ca="1">IFERROR(OFFSET('4.3民生部門電力以外の排出削減取組'!$G$1,MATCH($D103,'4.3民生部門電力以外の排出削減取組'!$E:$E,0)-1,0),"")</f>
        <v/>
      </c>
      <c r="S103" s="175"/>
      <c r="T103" s="175"/>
      <c r="U103" s="175"/>
      <c r="V103" s="175"/>
      <c r="W103" s="175"/>
      <c r="X103" s="175"/>
      <c r="Y103" s="175"/>
      <c r="Z103" s="175"/>
      <c r="AA103" s="175">
        <f ca="1">(F103=R103)*1</f>
        <v>1</v>
      </c>
    </row>
    <row r="104" spans="1:27" customFormat="1">
      <c r="B104" s="7"/>
      <c r="C104" s="915"/>
      <c r="D104" s="97"/>
      <c r="E104" s="72" t="s">
        <v>612</v>
      </c>
      <c r="F104" s="1447" t="str">
        <f ca="1">IFERROR(OFFSET('4.3民生部門電力以外の排出削減取組'!$J$1,MATCH($D103,'4.3民生部門電力以外の排出削減取組'!$E:$E,0)-1,0),"")</f>
        <v/>
      </c>
      <c r="G104" s="1448"/>
      <c r="H104" s="1448"/>
      <c r="I104" s="1448"/>
      <c r="J104" s="1449"/>
      <c r="K104" s="8"/>
      <c r="R104" s="255" t="str">
        <f ca="1">IFERROR(OFFSET('4.3民生部門電力以外の排出削減取組'!$J$1,MATCH($D103,'4.3民生部門電力以外の排出削減取組'!$E:$E,0)-1,0),"")</f>
        <v/>
      </c>
      <c r="S104" s="175"/>
      <c r="T104" s="175"/>
      <c r="U104" s="175"/>
      <c r="V104" s="175"/>
      <c r="W104" s="175"/>
      <c r="X104" s="175"/>
      <c r="Y104" s="175"/>
      <c r="Z104" s="175"/>
      <c r="AA104" s="175">
        <f ca="1">(F104=R104)*1</f>
        <v>1</v>
      </c>
    </row>
    <row r="105" spans="1:27" customFormat="1">
      <c r="B105" s="7"/>
      <c r="C105" s="74"/>
      <c r="D105" s="66"/>
      <c r="E105" s="72" t="s">
        <v>280</v>
      </c>
      <c r="F105" s="1470" t="str">
        <f ca="1">IFERROR(OFFSET('4.3民生部門電力以外の排出削減取組'!$H$1,MATCH($D103,'4.3民生部門電力以外の排出削減取組'!$E:$E,0)-1,0),"")</f>
        <v/>
      </c>
      <c r="G105" s="1470"/>
      <c r="H105" s="1470"/>
      <c r="I105" s="1470"/>
      <c r="J105" s="1470"/>
      <c r="K105" s="8"/>
      <c r="R105" s="175" t="str">
        <f ca="1">IFERROR(OFFSET('4.3民生部門電力以外の排出削減取組'!$H$1,MATCH($D103,'4.3民生部門電力以外の排出削減取組'!$E:$E,0)-1,0),"")</f>
        <v/>
      </c>
      <c r="S105" s="175"/>
      <c r="T105" s="175"/>
      <c r="U105" s="175"/>
      <c r="V105" s="175"/>
      <c r="W105" s="175"/>
      <c r="X105" s="175"/>
      <c r="Y105" s="175"/>
      <c r="Z105" s="175"/>
      <c r="AA105" s="175">
        <f t="shared" ref="AA105:AA106" ca="1" si="48">(F105=R105)*1</f>
        <v>1</v>
      </c>
    </row>
    <row r="106" spans="1:27" customFormat="1">
      <c r="B106" s="7"/>
      <c r="C106" s="74"/>
      <c r="D106" s="66"/>
      <c r="E106" s="72" t="s">
        <v>175</v>
      </c>
      <c r="F106" s="1451" t="str">
        <f>_xlfn.IFNA(R106,"")</f>
        <v/>
      </c>
      <c r="G106" s="1451"/>
      <c r="H106" s="1451"/>
      <c r="I106" s="1451"/>
      <c r="J106" s="1451"/>
      <c r="K106" s="8"/>
      <c r="R106" s="129" t="str">
        <f>IF(OR(COUNTIF($E108:$E113,"&lt;&gt;〇〇(合意形成対象者名に書き換え)")=3,COUNTIF($E108:$E113,"")&gt;3),"",IF(PRODUCT($Y108:$Y113)=1,Z108,""))</f>
        <v/>
      </c>
      <c r="S106" s="175"/>
      <c r="T106" s="175"/>
      <c r="U106" s="175"/>
      <c r="V106" s="175"/>
      <c r="W106" s="175"/>
      <c r="X106" s="175"/>
      <c r="Y106" s="175"/>
      <c r="Z106" s="175"/>
      <c r="AA106" s="175">
        <f t="shared" si="48"/>
        <v>1</v>
      </c>
    </row>
    <row r="107" spans="1:27" ht="63.75" customHeight="1">
      <c r="B107" s="95"/>
      <c r="C107" s="96"/>
      <c r="D107" s="97"/>
      <c r="E107" s="888"/>
      <c r="F107" s="313" t="s">
        <v>278</v>
      </c>
      <c r="G107" s="313" t="s">
        <v>268</v>
      </c>
      <c r="H107" s="1200" t="s">
        <v>437</v>
      </c>
      <c r="I107" s="1200" t="s">
        <v>439</v>
      </c>
      <c r="J107" s="313" t="s">
        <v>279</v>
      </c>
      <c r="K107" s="98"/>
      <c r="L107" s="11"/>
      <c r="R107" s="126" t="s">
        <v>278</v>
      </c>
      <c r="S107" s="126" t="s">
        <v>440</v>
      </c>
      <c r="T107" s="295" t="s">
        <v>437</v>
      </c>
      <c r="U107" s="295" t="s">
        <v>438</v>
      </c>
      <c r="V107" s="256" t="s">
        <v>270</v>
      </c>
      <c r="W107" s="126" t="s">
        <v>426</v>
      </c>
      <c r="X107" s="129" t="s">
        <v>402</v>
      </c>
      <c r="Y107" s="129" t="s">
        <v>430</v>
      </c>
      <c r="Z107" s="126" t="s">
        <v>425</v>
      </c>
      <c r="AA107" s="255"/>
    </row>
    <row r="108" spans="1:27" hidden="1">
      <c r="B108" s="95"/>
      <c r="C108" s="96"/>
      <c r="D108" s="97"/>
      <c r="E108" s="889"/>
      <c r="F108" s="439"/>
      <c r="G108" s="439"/>
      <c r="H108" s="1201"/>
      <c r="I108" s="1201"/>
      <c r="J108" s="439"/>
      <c r="K108" s="98"/>
      <c r="L108" s="11"/>
      <c r="R108" s="129">
        <f t="shared" ref="R108:R113" si="49">IF(F108="実施済",1,0)</f>
        <v>0</v>
      </c>
      <c r="S108" s="129">
        <f t="shared" ref="S108:S113" si="50">IF(G108="実施済",R108*1,0)</f>
        <v>0</v>
      </c>
      <c r="T108" s="129">
        <f t="shared" ref="T108:T113" si="51">IF(H108="実施済",S108*1,0)</f>
        <v>0</v>
      </c>
      <c r="U108" s="129">
        <f t="shared" ref="U108:U113" si="52">IF(I108="実施済",T108*1,0)</f>
        <v>0</v>
      </c>
      <c r="V108" s="258"/>
      <c r="W108" s="129" t="str">
        <f>IF(OR(E108="〇〇(合意形成対象者名に書き換え)",E108=""),"",SUM(S108,T108,U108))</f>
        <v/>
      </c>
      <c r="X108" s="129">
        <f t="shared" ref="X108:X113" si="53">MIN($W$108:$W$113)+1</f>
        <v>1</v>
      </c>
      <c r="Y108" s="129">
        <f>IF(E108="",1,IF(AND(E108="〇〇(合意形成対象者名に書き換え)",COUNTA($F108:$J108)=0),1,IF(AND(E108&lt;&gt;"〇〇(合意形成対象者名に書き換え)",COUNTA($F108:$J108)=5),1,0)))</f>
        <v>1</v>
      </c>
      <c r="Z108" s="129" t="str" cm="1">
        <f t="array" ref="Z108">_xlfn.IFS(X108=4,"A",X108=3,"B",X108=2,"C",X108=1,"D")</f>
        <v>D</v>
      </c>
      <c r="AA108" s="255"/>
    </row>
    <row r="109" spans="1:27">
      <c r="B109" s="95"/>
      <c r="C109" s="96"/>
      <c r="D109" s="97"/>
      <c r="E109" s="890" t="s">
        <v>129</v>
      </c>
      <c r="F109" s="445"/>
      <c r="G109" s="445"/>
      <c r="H109" s="1202"/>
      <c r="I109" s="1202"/>
      <c r="J109" s="445"/>
      <c r="K109" s="98"/>
      <c r="L109" s="11"/>
      <c r="R109" s="129">
        <f t="shared" si="49"/>
        <v>0</v>
      </c>
      <c r="S109" s="129">
        <f t="shared" si="50"/>
        <v>0</v>
      </c>
      <c r="T109" s="129">
        <f t="shared" si="51"/>
        <v>0</v>
      </c>
      <c r="U109" s="129">
        <f t="shared" si="52"/>
        <v>0</v>
      </c>
      <c r="V109" s="258"/>
      <c r="W109" s="129" t="str">
        <f t="shared" ref="W109:W113" si="54">IF(OR(E109="〇〇(合意形成対象者名に書き換え)",E109=""),"",SUM(S109,T109,U109))</f>
        <v/>
      </c>
      <c r="X109" s="129">
        <f t="shared" si="53"/>
        <v>1</v>
      </c>
      <c r="Y109" s="129">
        <f t="shared" ref="Y109:Y113" si="55">IF(E109="",1,IF(AND(E109="〇〇(合意形成対象者名に書き換え)",COUNTA($F109:$J109)=0),1,IF(AND(E109&lt;&gt;"〇〇(合意形成対象者名に書き換え)",COUNTA($F109:$J109)=5),1,0)))</f>
        <v>1</v>
      </c>
      <c r="Z109" s="129" t="str" cm="1">
        <f t="array" ref="Z109">_xlfn.IFS(X109=4,"A",X109=3,"B",X109=2,"C",X109=1,"D")</f>
        <v>D</v>
      </c>
      <c r="AA109" s="255"/>
    </row>
    <row r="110" spans="1:27">
      <c r="B110" s="95"/>
      <c r="C110" s="96"/>
      <c r="D110" s="97"/>
      <c r="E110" s="890" t="s">
        <v>129</v>
      </c>
      <c r="F110" s="441"/>
      <c r="G110" s="441"/>
      <c r="H110" s="1203"/>
      <c r="I110" s="1203"/>
      <c r="J110" s="441"/>
      <c r="K110" s="98"/>
      <c r="L110" s="11"/>
      <c r="R110" s="129">
        <f t="shared" si="49"/>
        <v>0</v>
      </c>
      <c r="S110" s="129">
        <f t="shared" si="50"/>
        <v>0</v>
      </c>
      <c r="T110" s="129">
        <f t="shared" si="51"/>
        <v>0</v>
      </c>
      <c r="U110" s="129">
        <f t="shared" si="52"/>
        <v>0</v>
      </c>
      <c r="V110" s="258"/>
      <c r="W110" s="129" t="str">
        <f t="shared" si="54"/>
        <v/>
      </c>
      <c r="X110" s="129">
        <f t="shared" si="53"/>
        <v>1</v>
      </c>
      <c r="Y110" s="129">
        <f t="shared" si="55"/>
        <v>1</v>
      </c>
      <c r="Z110" s="129" t="str" cm="1">
        <f t="array" ref="Z110">_xlfn.IFS(X110=4,"A",X110=3,"B",X110=2,"C",X110=1,"D")</f>
        <v>D</v>
      </c>
      <c r="AA110" s="255"/>
    </row>
    <row r="111" spans="1:27" s="99" customFormat="1">
      <c r="A111" s="11"/>
      <c r="B111" s="95"/>
      <c r="C111" s="96"/>
      <c r="D111" s="97"/>
      <c r="E111" s="890" t="s">
        <v>129</v>
      </c>
      <c r="F111" s="441"/>
      <c r="G111" s="441"/>
      <c r="H111" s="1203"/>
      <c r="I111" s="1203"/>
      <c r="J111" s="441"/>
      <c r="K111" s="98"/>
      <c r="L111" s="11"/>
      <c r="O111" s="11"/>
      <c r="P111" s="11"/>
      <c r="Q111" s="11"/>
      <c r="R111" s="129">
        <f t="shared" si="49"/>
        <v>0</v>
      </c>
      <c r="S111" s="129">
        <f t="shared" si="50"/>
        <v>0</v>
      </c>
      <c r="T111" s="129">
        <f t="shared" si="51"/>
        <v>0</v>
      </c>
      <c r="U111" s="129">
        <f t="shared" si="52"/>
        <v>0</v>
      </c>
      <c r="V111" s="258"/>
      <c r="W111" s="129" t="str">
        <f t="shared" si="54"/>
        <v/>
      </c>
      <c r="X111" s="129">
        <f t="shared" si="53"/>
        <v>1</v>
      </c>
      <c r="Y111" s="129">
        <f t="shared" si="55"/>
        <v>1</v>
      </c>
      <c r="Z111" s="129" t="str" cm="1">
        <f t="array" ref="Z111">_xlfn.IFS(X111=4,"A",X111=3,"B",X111=2,"C",X111=1,"D")</f>
        <v>D</v>
      </c>
      <c r="AA111" s="129"/>
    </row>
    <row r="112" spans="1:27" customFormat="1" ht="7.5" customHeight="1">
      <c r="B112" s="65"/>
      <c r="C112" s="4"/>
      <c r="D112" s="4"/>
      <c r="E112" s="288"/>
      <c r="F112" s="4"/>
      <c r="G112" s="4"/>
      <c r="H112" s="1204"/>
      <c r="I112" s="1204"/>
      <c r="J112" s="4"/>
      <c r="K112" s="9"/>
      <c r="L112" s="2"/>
      <c r="M112" s="2"/>
      <c r="N112" s="2"/>
      <c r="R112" s="129">
        <f t="shared" si="49"/>
        <v>0</v>
      </c>
      <c r="S112" s="129">
        <f t="shared" si="50"/>
        <v>0</v>
      </c>
      <c r="T112" s="129">
        <f t="shared" si="51"/>
        <v>0</v>
      </c>
      <c r="U112" s="129">
        <f t="shared" si="52"/>
        <v>0</v>
      </c>
      <c r="V112" s="258"/>
      <c r="W112" s="129" t="str">
        <f t="shared" si="54"/>
        <v/>
      </c>
      <c r="X112" s="129">
        <f t="shared" si="53"/>
        <v>1</v>
      </c>
      <c r="Y112" s="129">
        <f t="shared" si="55"/>
        <v>1</v>
      </c>
      <c r="Z112" s="129" t="str" cm="1">
        <f t="array" ref="Z112">_xlfn.IFS(X112=4,"A",X112=3,"B",X112=2,"C",X112=1,"D")</f>
        <v>D</v>
      </c>
      <c r="AA112" s="175"/>
    </row>
    <row r="113" spans="1:27" customFormat="1" ht="6" customHeight="1">
      <c r="E113" s="3"/>
      <c r="H113" s="1198"/>
      <c r="I113" s="1198"/>
      <c r="L113" s="2"/>
      <c r="M113" s="2"/>
      <c r="N113" s="2"/>
      <c r="R113" s="129">
        <f t="shared" si="49"/>
        <v>0</v>
      </c>
      <c r="S113" s="129">
        <f t="shared" si="50"/>
        <v>0</v>
      </c>
      <c r="T113" s="129">
        <f t="shared" si="51"/>
        <v>0</v>
      </c>
      <c r="U113" s="129">
        <f t="shared" si="52"/>
        <v>0</v>
      </c>
      <c r="V113" s="258"/>
      <c r="W113" s="129" t="str">
        <f t="shared" si="54"/>
        <v/>
      </c>
      <c r="X113" s="129">
        <f t="shared" si="53"/>
        <v>1</v>
      </c>
      <c r="Y113" s="129">
        <f t="shared" si="55"/>
        <v>1</v>
      </c>
      <c r="Z113" s="129" t="str" cm="1">
        <f t="array" ref="Z113">_xlfn.IFS(X113=4,"A",X113=3,"B",X113=2,"C",X113=1,"D")</f>
        <v>D</v>
      </c>
      <c r="AA113" s="175"/>
    </row>
    <row r="114" spans="1:27" customFormat="1" ht="103.5" customHeight="1">
      <c r="C114" s="78"/>
      <c r="D114" s="79"/>
      <c r="E114" s="71" t="s">
        <v>236</v>
      </c>
      <c r="F114" s="1452"/>
      <c r="G114" s="1452"/>
      <c r="H114" s="1452"/>
      <c r="I114" s="1452"/>
      <c r="J114" s="1452"/>
      <c r="K114" s="80" t="s">
        <v>132</v>
      </c>
      <c r="L114" s="80"/>
    </row>
    <row r="115" spans="1:27" customFormat="1" ht="146.25" customHeight="1">
      <c r="C115" s="75"/>
      <c r="D115" s="68"/>
      <c r="E115" s="71" t="s">
        <v>235</v>
      </c>
      <c r="F115" s="1452"/>
      <c r="G115" s="1452"/>
      <c r="H115" s="1452"/>
      <c r="I115" s="1452"/>
      <c r="J115" s="1452"/>
      <c r="L115" s="2"/>
      <c r="M115" s="2"/>
      <c r="N115" s="2"/>
    </row>
    <row r="116" spans="1:27" customFormat="1" ht="13.5" customHeight="1" thickBot="1">
      <c r="A116" s="81"/>
      <c r="B116" s="81"/>
      <c r="C116" s="81"/>
      <c r="D116" s="81"/>
      <c r="E116" s="311"/>
      <c r="F116" s="81"/>
      <c r="G116" s="81"/>
      <c r="H116" s="1205"/>
      <c r="I116" s="1205"/>
      <c r="J116" s="81"/>
      <c r="K116" s="81"/>
      <c r="L116" s="82"/>
      <c r="M116" s="2"/>
      <c r="N116" s="2"/>
    </row>
    <row r="117" spans="1:27" customFormat="1" ht="13.5" customHeight="1">
      <c r="E117" s="3"/>
      <c r="H117" s="1198"/>
      <c r="I117" s="1198"/>
      <c r="L117" s="2"/>
      <c r="M117" s="2"/>
      <c r="N117" s="2"/>
    </row>
    <row r="118" spans="1:27" customFormat="1" ht="15" customHeight="1">
      <c r="B118" s="10"/>
      <c r="C118" s="5"/>
      <c r="D118" s="5"/>
      <c r="E118" s="305"/>
      <c r="F118" s="5"/>
      <c r="G118" s="5"/>
      <c r="H118" s="1199"/>
      <c r="I118" s="1199"/>
      <c r="J118" s="5"/>
      <c r="K118" s="6"/>
      <c r="R118" s="11" t="str">
        <f>D119</f>
        <v>(選択してください)</v>
      </c>
    </row>
    <row r="119" spans="1:27" customFormat="1">
      <c r="B119" s="7"/>
      <c r="C119" s="77" t="str">
        <f ca="1">IFERROR(OFFSET('4.3民生部門電力以外の排出削減取組'!$C$1,MATCH(D119,'4.3民生部門電力以外の排出削減取組'!$E:$E,0)-1,0),"")</f>
        <v/>
      </c>
      <c r="D119" s="94" t="s">
        <v>130</v>
      </c>
      <c r="E119" s="72" t="s">
        <v>12</v>
      </c>
      <c r="F119" s="1451" t="str">
        <f ca="1">IFERROR(OFFSET('4.3民生部門電力以外の排出削減取組'!$G$1,MATCH($D119,'4.3民生部門電力以外の排出削減取組'!$E:$E,0)-1,0),"")</f>
        <v/>
      </c>
      <c r="G119" s="1451"/>
      <c r="H119" s="1451"/>
      <c r="I119" s="1451"/>
      <c r="J119" s="1451"/>
      <c r="K119" s="8"/>
      <c r="R119" s="255" t="str">
        <f ca="1">IFERROR(OFFSET('4.3民生部門電力以外の排出削減取組'!$G$1,MATCH($D119,'4.3民生部門電力以外の排出削減取組'!$E:$E,0)-1,0),"")</f>
        <v/>
      </c>
      <c r="S119" s="175"/>
      <c r="T119" s="175"/>
      <c r="U119" s="175"/>
      <c r="V119" s="175"/>
      <c r="W119" s="175"/>
      <c r="X119" s="175"/>
      <c r="Y119" s="175"/>
      <c r="Z119" s="175"/>
      <c r="AA119" s="175">
        <f ca="1">(F119=R119)*1</f>
        <v>1</v>
      </c>
    </row>
    <row r="120" spans="1:27" customFormat="1">
      <c r="B120" s="7"/>
      <c r="C120" s="915"/>
      <c r="D120" s="97"/>
      <c r="E120" s="72" t="s">
        <v>612</v>
      </c>
      <c r="F120" s="1447" t="str">
        <f ca="1">IFERROR(OFFSET('4.3民生部門電力以外の排出削減取組'!$J$1,MATCH($D119,'4.3民生部門電力以外の排出削減取組'!$E:$E,0)-1,0),"")</f>
        <v/>
      </c>
      <c r="G120" s="1448"/>
      <c r="H120" s="1448"/>
      <c r="I120" s="1448"/>
      <c r="J120" s="1449"/>
      <c r="K120" s="8"/>
      <c r="R120" s="255" t="str">
        <f ca="1">IFERROR(OFFSET('4.3民生部門電力以外の排出削減取組'!$J$1,MATCH($D119,'4.3民生部門電力以外の排出削減取組'!$E:$E,0)-1,0),"")</f>
        <v/>
      </c>
      <c r="S120" s="175"/>
      <c r="T120" s="175"/>
      <c r="U120" s="175"/>
      <c r="V120" s="175"/>
      <c r="W120" s="175"/>
      <c r="X120" s="175"/>
      <c r="Y120" s="175"/>
      <c r="Z120" s="175"/>
      <c r="AA120" s="175">
        <f ca="1">(F120=R120)*1</f>
        <v>1</v>
      </c>
    </row>
    <row r="121" spans="1:27" customFormat="1">
      <c r="B121" s="7"/>
      <c r="C121" s="74"/>
      <c r="D121" s="66"/>
      <c r="E121" s="72" t="s">
        <v>280</v>
      </c>
      <c r="F121" s="1470" t="str">
        <f ca="1">IFERROR(OFFSET('4.3民生部門電力以外の排出削減取組'!$H$1,MATCH($D119,'4.3民生部門電力以外の排出削減取組'!$E:$E,0)-1,0),"")</f>
        <v/>
      </c>
      <c r="G121" s="1470"/>
      <c r="H121" s="1470"/>
      <c r="I121" s="1470"/>
      <c r="J121" s="1470"/>
      <c r="K121" s="8"/>
      <c r="R121" s="175" t="str">
        <f ca="1">IFERROR(OFFSET('4.3民生部門電力以外の排出削減取組'!$H$1,MATCH($D119,'4.3民生部門電力以外の排出削減取組'!$E:$E,0)-1,0),"")</f>
        <v/>
      </c>
      <c r="S121" s="175"/>
      <c r="T121" s="175"/>
      <c r="U121" s="175"/>
      <c r="V121" s="175"/>
      <c r="W121" s="175"/>
      <c r="X121" s="175"/>
      <c r="Y121" s="175"/>
      <c r="Z121" s="175"/>
      <c r="AA121" s="175">
        <f t="shared" ref="AA121:AA122" ca="1" si="56">(F121=R121)*1</f>
        <v>1</v>
      </c>
    </row>
    <row r="122" spans="1:27" customFormat="1">
      <c r="B122" s="7"/>
      <c r="C122" s="74"/>
      <c r="D122" s="66"/>
      <c r="E122" s="72" t="s">
        <v>175</v>
      </c>
      <c r="F122" s="1451" t="str">
        <f>_xlfn.IFNA(R122,"")</f>
        <v/>
      </c>
      <c r="G122" s="1451"/>
      <c r="H122" s="1451"/>
      <c r="I122" s="1451"/>
      <c r="J122" s="1451"/>
      <c r="K122" s="8"/>
      <c r="R122" s="129" t="str">
        <f>IF(OR(COUNTIF($E124:$E129,"&lt;&gt;〇〇(合意形成対象者名に書き換え)")=3,COUNTIF($E124:$E129,"")&gt;3),"",IF(PRODUCT($Y124:$Y129)=1,Z124,""))</f>
        <v/>
      </c>
      <c r="S122" s="175"/>
      <c r="T122" s="175"/>
      <c r="U122" s="175"/>
      <c r="V122" s="175"/>
      <c r="W122" s="175"/>
      <c r="X122" s="175"/>
      <c r="Y122" s="175"/>
      <c r="Z122" s="175"/>
      <c r="AA122" s="175">
        <f t="shared" si="56"/>
        <v>1</v>
      </c>
    </row>
    <row r="123" spans="1:27" ht="63.75" customHeight="1">
      <c r="B123" s="95"/>
      <c r="C123" s="96"/>
      <c r="D123" s="97"/>
      <c r="E123" s="888"/>
      <c r="F123" s="313" t="s">
        <v>278</v>
      </c>
      <c r="G123" s="313" t="s">
        <v>268</v>
      </c>
      <c r="H123" s="1200" t="s">
        <v>437</v>
      </c>
      <c r="I123" s="1200" t="s">
        <v>439</v>
      </c>
      <c r="J123" s="313" t="s">
        <v>279</v>
      </c>
      <c r="K123" s="98"/>
      <c r="L123" s="11"/>
      <c r="R123" s="126" t="s">
        <v>278</v>
      </c>
      <c r="S123" s="126" t="s">
        <v>440</v>
      </c>
      <c r="T123" s="295" t="s">
        <v>437</v>
      </c>
      <c r="U123" s="295" t="s">
        <v>438</v>
      </c>
      <c r="V123" s="256" t="s">
        <v>270</v>
      </c>
      <c r="W123" s="126" t="s">
        <v>426</v>
      </c>
      <c r="X123" s="129" t="s">
        <v>402</v>
      </c>
      <c r="Y123" s="129" t="s">
        <v>430</v>
      </c>
      <c r="Z123" s="126" t="s">
        <v>425</v>
      </c>
      <c r="AA123" s="255"/>
    </row>
    <row r="124" spans="1:27" hidden="1">
      <c r="B124" s="95"/>
      <c r="C124" s="96"/>
      <c r="D124" s="97"/>
      <c r="E124" s="889"/>
      <c r="F124" s="439"/>
      <c r="G124" s="439"/>
      <c r="H124" s="1201"/>
      <c r="I124" s="1201"/>
      <c r="J124" s="439"/>
      <c r="K124" s="98"/>
      <c r="L124" s="11"/>
      <c r="R124" s="129">
        <f t="shared" ref="R124:R129" si="57">IF(F124="実施済",1,0)</f>
        <v>0</v>
      </c>
      <c r="S124" s="129">
        <f t="shared" ref="S124:S129" si="58">IF(G124="実施済",R124*1,0)</f>
        <v>0</v>
      </c>
      <c r="T124" s="129">
        <f t="shared" ref="T124:T129" si="59">IF(H124="実施済",S124*1,0)</f>
        <v>0</v>
      </c>
      <c r="U124" s="129">
        <f t="shared" ref="U124:U129" si="60">IF(I124="実施済",T124*1,0)</f>
        <v>0</v>
      </c>
      <c r="V124" s="258"/>
      <c r="W124" s="129" t="str">
        <f>IF(OR(E124="〇〇(合意形成対象者名に書き換え)",E124=""),"",SUM(S124,T124,U124))</f>
        <v/>
      </c>
      <c r="X124" s="129">
        <f t="shared" ref="X124:X129" si="61">MIN($W$124:$W$129)+1</f>
        <v>1</v>
      </c>
      <c r="Y124" s="129">
        <f>IF(E124="",1,IF(AND(E124="〇〇(合意形成対象者名に書き換え)",COUNTA($F124:$J124)=0),1,IF(AND(E124&lt;&gt;"〇〇(合意形成対象者名に書き換え)",COUNTA($F124:$J124)=5),1,0)))</f>
        <v>1</v>
      </c>
      <c r="Z124" s="129" t="str" cm="1">
        <f t="array" ref="Z124">_xlfn.IFS(X124=4,"A",X124=3,"B",X124=2,"C",X124=1,"D")</f>
        <v>D</v>
      </c>
      <c r="AA124" s="255"/>
    </row>
    <row r="125" spans="1:27">
      <c r="B125" s="95"/>
      <c r="C125" s="96"/>
      <c r="D125" s="97"/>
      <c r="E125" s="890" t="s">
        <v>129</v>
      </c>
      <c r="F125" s="445"/>
      <c r="G125" s="445"/>
      <c r="H125" s="1202"/>
      <c r="I125" s="1202"/>
      <c r="J125" s="445"/>
      <c r="K125" s="98"/>
      <c r="L125" s="11"/>
      <c r="R125" s="129">
        <f t="shared" si="57"/>
        <v>0</v>
      </c>
      <c r="S125" s="129">
        <f t="shared" si="58"/>
        <v>0</v>
      </c>
      <c r="T125" s="129">
        <f t="shared" si="59"/>
        <v>0</v>
      </c>
      <c r="U125" s="129">
        <f t="shared" si="60"/>
        <v>0</v>
      </c>
      <c r="V125" s="258"/>
      <c r="W125" s="129" t="str">
        <f t="shared" ref="W125:W129" si="62">IF(OR(E125="〇〇(合意形成対象者名に書き換え)",E125=""),"",SUM(S125,T125,U125))</f>
        <v/>
      </c>
      <c r="X125" s="129">
        <f t="shared" si="61"/>
        <v>1</v>
      </c>
      <c r="Y125" s="129">
        <f t="shared" ref="Y125:Y129" si="63">IF(E125="",1,IF(AND(E125="〇〇(合意形成対象者名に書き換え)",COUNTA($F125:$J125)=0),1,IF(AND(E125&lt;&gt;"〇〇(合意形成対象者名に書き換え)",COUNTA($F125:$J125)=5),1,0)))</f>
        <v>1</v>
      </c>
      <c r="Z125" s="129" t="str" cm="1">
        <f t="array" ref="Z125">_xlfn.IFS(X125=4,"A",X125=3,"B",X125=2,"C",X125=1,"D")</f>
        <v>D</v>
      </c>
      <c r="AA125" s="255"/>
    </row>
    <row r="126" spans="1:27">
      <c r="B126" s="95"/>
      <c r="C126" s="96"/>
      <c r="D126" s="97"/>
      <c r="E126" s="890" t="s">
        <v>129</v>
      </c>
      <c r="F126" s="441"/>
      <c r="G126" s="441"/>
      <c r="H126" s="1203"/>
      <c r="I126" s="1203"/>
      <c r="J126" s="441"/>
      <c r="K126" s="98"/>
      <c r="L126" s="11"/>
      <c r="R126" s="129">
        <f t="shared" si="57"/>
        <v>0</v>
      </c>
      <c r="S126" s="129">
        <f t="shared" si="58"/>
        <v>0</v>
      </c>
      <c r="T126" s="129">
        <f t="shared" si="59"/>
        <v>0</v>
      </c>
      <c r="U126" s="129">
        <f t="shared" si="60"/>
        <v>0</v>
      </c>
      <c r="V126" s="258"/>
      <c r="W126" s="129" t="str">
        <f t="shared" si="62"/>
        <v/>
      </c>
      <c r="X126" s="129">
        <f t="shared" si="61"/>
        <v>1</v>
      </c>
      <c r="Y126" s="129">
        <f t="shared" si="63"/>
        <v>1</v>
      </c>
      <c r="Z126" s="129" t="str" cm="1">
        <f t="array" ref="Z126">_xlfn.IFS(X126=4,"A",X126=3,"B",X126=2,"C",X126=1,"D")</f>
        <v>D</v>
      </c>
      <c r="AA126" s="255"/>
    </row>
    <row r="127" spans="1:27" s="99" customFormat="1">
      <c r="A127" s="11"/>
      <c r="B127" s="95"/>
      <c r="C127" s="96"/>
      <c r="D127" s="97"/>
      <c r="E127" s="890" t="s">
        <v>129</v>
      </c>
      <c r="F127" s="441"/>
      <c r="G127" s="441"/>
      <c r="H127" s="1203"/>
      <c r="I127" s="1203"/>
      <c r="J127" s="441"/>
      <c r="K127" s="98"/>
      <c r="L127" s="11"/>
      <c r="O127" s="11"/>
      <c r="P127" s="11"/>
      <c r="Q127" s="11"/>
      <c r="R127" s="129">
        <f t="shared" si="57"/>
        <v>0</v>
      </c>
      <c r="S127" s="129">
        <f t="shared" si="58"/>
        <v>0</v>
      </c>
      <c r="T127" s="129">
        <f t="shared" si="59"/>
        <v>0</v>
      </c>
      <c r="U127" s="129">
        <f t="shared" si="60"/>
        <v>0</v>
      </c>
      <c r="V127" s="258"/>
      <c r="W127" s="129" t="str">
        <f t="shared" si="62"/>
        <v/>
      </c>
      <c r="X127" s="129">
        <f t="shared" si="61"/>
        <v>1</v>
      </c>
      <c r="Y127" s="129">
        <f t="shared" si="63"/>
        <v>1</v>
      </c>
      <c r="Z127" s="129" t="str" cm="1">
        <f t="array" ref="Z127">_xlfn.IFS(X127=4,"A",X127=3,"B",X127=2,"C",X127=1,"D")</f>
        <v>D</v>
      </c>
      <c r="AA127" s="129"/>
    </row>
    <row r="128" spans="1:27" customFormat="1" ht="7.5" customHeight="1">
      <c r="B128" s="65"/>
      <c r="C128" s="4"/>
      <c r="D128" s="4"/>
      <c r="E128" s="288"/>
      <c r="F128" s="4"/>
      <c r="G128" s="4"/>
      <c r="H128" s="1204"/>
      <c r="I128" s="1204"/>
      <c r="J128" s="4"/>
      <c r="K128" s="9"/>
      <c r="L128" s="2"/>
      <c r="M128" s="2"/>
      <c r="N128" s="2"/>
      <c r="R128" s="129">
        <f t="shared" si="57"/>
        <v>0</v>
      </c>
      <c r="S128" s="129">
        <f t="shared" si="58"/>
        <v>0</v>
      </c>
      <c r="T128" s="129">
        <f t="shared" si="59"/>
        <v>0</v>
      </c>
      <c r="U128" s="129">
        <f t="shared" si="60"/>
        <v>0</v>
      </c>
      <c r="V128" s="258"/>
      <c r="W128" s="129" t="str">
        <f t="shared" si="62"/>
        <v/>
      </c>
      <c r="X128" s="129">
        <f t="shared" si="61"/>
        <v>1</v>
      </c>
      <c r="Y128" s="129">
        <f t="shared" si="63"/>
        <v>1</v>
      </c>
      <c r="Z128" s="129" t="str" cm="1">
        <f t="array" ref="Z128">_xlfn.IFS(X128=4,"A",X128=3,"B",X128=2,"C",X128=1,"D")</f>
        <v>D</v>
      </c>
      <c r="AA128" s="175"/>
    </row>
    <row r="129" spans="1:27" customFormat="1" ht="6" customHeight="1">
      <c r="E129" s="3"/>
      <c r="H129" s="1198"/>
      <c r="I129" s="1198"/>
      <c r="L129" s="2"/>
      <c r="M129" s="2"/>
      <c r="N129" s="2"/>
      <c r="R129" s="129">
        <f t="shared" si="57"/>
        <v>0</v>
      </c>
      <c r="S129" s="129">
        <f t="shared" si="58"/>
        <v>0</v>
      </c>
      <c r="T129" s="129">
        <f t="shared" si="59"/>
        <v>0</v>
      </c>
      <c r="U129" s="129">
        <f t="shared" si="60"/>
        <v>0</v>
      </c>
      <c r="V129" s="258"/>
      <c r="W129" s="129" t="str">
        <f t="shared" si="62"/>
        <v/>
      </c>
      <c r="X129" s="129">
        <f t="shared" si="61"/>
        <v>1</v>
      </c>
      <c r="Y129" s="129">
        <f t="shared" si="63"/>
        <v>1</v>
      </c>
      <c r="Z129" s="129" t="str" cm="1">
        <f t="array" ref="Z129">_xlfn.IFS(X129=4,"A",X129=3,"B",X129=2,"C",X129=1,"D")</f>
        <v>D</v>
      </c>
      <c r="AA129" s="175"/>
    </row>
    <row r="130" spans="1:27" customFormat="1" ht="103.5" customHeight="1">
      <c r="C130" s="78"/>
      <c r="D130" s="79"/>
      <c r="E130" s="71" t="s">
        <v>236</v>
      </c>
      <c r="F130" s="1452"/>
      <c r="G130" s="1452"/>
      <c r="H130" s="1452"/>
      <c r="I130" s="1452"/>
      <c r="J130" s="1452"/>
      <c r="K130" s="80" t="s">
        <v>132</v>
      </c>
      <c r="L130" s="80"/>
    </row>
    <row r="131" spans="1:27" customFormat="1" ht="146.25" customHeight="1">
      <c r="C131" s="75"/>
      <c r="D131" s="68"/>
      <c r="E131" s="71" t="s">
        <v>235</v>
      </c>
      <c r="F131" s="1452"/>
      <c r="G131" s="1452"/>
      <c r="H131" s="1452"/>
      <c r="I131" s="1452"/>
      <c r="J131" s="1452"/>
      <c r="L131" s="2"/>
      <c r="M131" s="2"/>
      <c r="N131" s="2"/>
    </row>
    <row r="132" spans="1:27" customFormat="1" ht="13.5" customHeight="1" thickBot="1">
      <c r="A132" s="81"/>
      <c r="B132" s="81"/>
      <c r="C132" s="81"/>
      <c r="D132" s="81"/>
      <c r="E132" s="311"/>
      <c r="F132" s="81"/>
      <c r="G132" s="81"/>
      <c r="H132" s="1205"/>
      <c r="I132" s="1205"/>
      <c r="J132" s="81"/>
      <c r="K132" s="81"/>
      <c r="L132" s="82"/>
      <c r="M132" s="2"/>
      <c r="N132" s="2"/>
    </row>
    <row r="133" spans="1:27" customFormat="1" ht="13.5" customHeight="1">
      <c r="E133" s="3"/>
      <c r="H133" s="1198"/>
      <c r="I133" s="1198"/>
      <c r="L133" s="2"/>
      <c r="M133" s="2"/>
      <c r="N133" s="2"/>
    </row>
    <row r="134" spans="1:27" customFormat="1" ht="15" customHeight="1">
      <c r="B134" s="10"/>
      <c r="C134" s="5"/>
      <c r="D134" s="5"/>
      <c r="E134" s="305"/>
      <c r="F134" s="5"/>
      <c r="G134" s="5"/>
      <c r="H134" s="1199"/>
      <c r="I134" s="1199"/>
      <c r="J134" s="5"/>
      <c r="K134" s="6"/>
      <c r="R134" s="11" t="str">
        <f>D135</f>
        <v>(選択してください)</v>
      </c>
    </row>
    <row r="135" spans="1:27" customFormat="1">
      <c r="B135" s="7"/>
      <c r="C135" s="77" t="str">
        <f ca="1">IFERROR(OFFSET('4.3民生部門電力以外の排出削減取組'!$C$1,MATCH(D135,'4.3民生部門電力以外の排出削減取組'!$E:$E,0)-1,0),"")</f>
        <v/>
      </c>
      <c r="D135" s="94" t="s">
        <v>130</v>
      </c>
      <c r="E135" s="72" t="s">
        <v>12</v>
      </c>
      <c r="F135" s="1451" t="str">
        <f ca="1">IFERROR(OFFSET('4.3民生部門電力以外の排出削減取組'!$G$1,MATCH($D135,'4.3民生部門電力以外の排出削減取組'!$E:$E,0)-1,0),"")</f>
        <v/>
      </c>
      <c r="G135" s="1451"/>
      <c r="H135" s="1451"/>
      <c r="I135" s="1451"/>
      <c r="J135" s="1451"/>
      <c r="K135" s="8"/>
      <c r="R135" s="255" t="str">
        <f ca="1">IFERROR(OFFSET('4.3民生部門電力以外の排出削減取組'!$G$1,MATCH($D135,'4.3民生部門電力以外の排出削減取組'!$E:$E,0)-1,0),"")</f>
        <v/>
      </c>
      <c r="S135" s="175"/>
      <c r="T135" s="175"/>
      <c r="U135" s="175"/>
      <c r="V135" s="175"/>
      <c r="W135" s="175"/>
      <c r="X135" s="175"/>
      <c r="Y135" s="175"/>
      <c r="Z135" s="175"/>
      <c r="AA135" s="175">
        <f ca="1">(F135=R135)*1</f>
        <v>1</v>
      </c>
    </row>
    <row r="136" spans="1:27" customFormat="1">
      <c r="B136" s="7"/>
      <c r="C136" s="915"/>
      <c r="D136" s="97"/>
      <c r="E136" s="72" t="s">
        <v>612</v>
      </c>
      <c r="F136" s="1447" t="str">
        <f ca="1">IFERROR(OFFSET('4.3民生部門電力以外の排出削減取組'!$J$1,MATCH($D135,'4.3民生部門電力以外の排出削減取組'!$E:$E,0)-1,0),"")</f>
        <v/>
      </c>
      <c r="G136" s="1448"/>
      <c r="H136" s="1448"/>
      <c r="I136" s="1448"/>
      <c r="J136" s="1449"/>
      <c r="K136" s="8"/>
      <c r="R136" s="255" t="str">
        <f ca="1">IFERROR(OFFSET('4.3民生部門電力以外の排出削減取組'!$J$1,MATCH($D135,'4.3民生部門電力以外の排出削減取組'!$E:$E,0)-1,0),"")</f>
        <v/>
      </c>
      <c r="S136" s="175"/>
      <c r="T136" s="175"/>
      <c r="U136" s="175"/>
      <c r="V136" s="175"/>
      <c r="W136" s="175"/>
      <c r="X136" s="175"/>
      <c r="Y136" s="175"/>
      <c r="Z136" s="175"/>
      <c r="AA136" s="175">
        <f ca="1">(F136=R136)*1</f>
        <v>1</v>
      </c>
    </row>
    <row r="137" spans="1:27" customFormat="1">
      <c r="B137" s="7"/>
      <c r="C137" s="74"/>
      <c r="D137" s="66"/>
      <c r="E137" s="72" t="s">
        <v>280</v>
      </c>
      <c r="F137" s="1470" t="str">
        <f ca="1">IFERROR(OFFSET('4.3民生部門電力以外の排出削減取組'!$H$1,MATCH($D135,'4.3民生部門電力以外の排出削減取組'!$E:$E,0)-1,0),"")</f>
        <v/>
      </c>
      <c r="G137" s="1470"/>
      <c r="H137" s="1470"/>
      <c r="I137" s="1470"/>
      <c r="J137" s="1470"/>
      <c r="K137" s="8"/>
      <c r="R137" s="175" t="str">
        <f ca="1">IFERROR(OFFSET('4.3民生部門電力以外の排出削減取組'!$H$1,MATCH($D135,'4.3民生部門電力以外の排出削減取組'!$E:$E,0)-1,0),"")</f>
        <v/>
      </c>
      <c r="S137" s="175"/>
      <c r="T137" s="175"/>
      <c r="U137" s="175"/>
      <c r="V137" s="175"/>
      <c r="W137" s="175"/>
      <c r="X137" s="175"/>
      <c r="Y137" s="175"/>
      <c r="Z137" s="175"/>
      <c r="AA137" s="175">
        <f t="shared" ref="AA137:AA138" ca="1" si="64">(F137=R137)*1</f>
        <v>1</v>
      </c>
    </row>
    <row r="138" spans="1:27" customFormat="1">
      <c r="B138" s="7"/>
      <c r="C138" s="74"/>
      <c r="D138" s="66"/>
      <c r="E138" s="72" t="s">
        <v>175</v>
      </c>
      <c r="F138" s="1451" t="str">
        <f>_xlfn.IFNA(R138,"")</f>
        <v/>
      </c>
      <c r="G138" s="1451"/>
      <c r="H138" s="1451"/>
      <c r="I138" s="1451"/>
      <c r="J138" s="1451"/>
      <c r="K138" s="8"/>
      <c r="R138" s="129" t="str">
        <f>IF(OR(COUNTIF($E140:$E145,"&lt;&gt;〇〇(合意形成対象者名に書き換え)")=3,COUNTIF($E140:$E145,"")&gt;3),"",IF(PRODUCT($Y140:$Y145)=1,Z140,""))</f>
        <v/>
      </c>
      <c r="S138" s="175"/>
      <c r="T138" s="175"/>
      <c r="U138" s="175"/>
      <c r="V138" s="175"/>
      <c r="W138" s="175"/>
      <c r="X138" s="175"/>
      <c r="Y138" s="175"/>
      <c r="Z138" s="175"/>
      <c r="AA138" s="175">
        <f t="shared" si="64"/>
        <v>1</v>
      </c>
    </row>
    <row r="139" spans="1:27" ht="63.75" customHeight="1">
      <c r="B139" s="95"/>
      <c r="C139" s="96"/>
      <c r="D139" s="97"/>
      <c r="E139" s="888"/>
      <c r="F139" s="313" t="s">
        <v>278</v>
      </c>
      <c r="G139" s="313" t="s">
        <v>268</v>
      </c>
      <c r="H139" s="1200" t="s">
        <v>437</v>
      </c>
      <c r="I139" s="1200" t="s">
        <v>439</v>
      </c>
      <c r="J139" s="313" t="s">
        <v>279</v>
      </c>
      <c r="K139" s="98"/>
      <c r="L139" s="11"/>
      <c r="R139" s="126" t="s">
        <v>278</v>
      </c>
      <c r="S139" s="126" t="s">
        <v>440</v>
      </c>
      <c r="T139" s="295" t="s">
        <v>437</v>
      </c>
      <c r="U139" s="295" t="s">
        <v>438</v>
      </c>
      <c r="V139" s="256" t="s">
        <v>270</v>
      </c>
      <c r="W139" s="126" t="s">
        <v>426</v>
      </c>
      <c r="X139" s="129" t="s">
        <v>402</v>
      </c>
      <c r="Y139" s="129" t="s">
        <v>430</v>
      </c>
      <c r="Z139" s="126" t="s">
        <v>425</v>
      </c>
      <c r="AA139" s="255"/>
    </row>
    <row r="140" spans="1:27" hidden="1">
      <c r="B140" s="95"/>
      <c r="C140" s="96"/>
      <c r="D140" s="97"/>
      <c r="E140" s="889"/>
      <c r="F140" s="439"/>
      <c r="G140" s="439"/>
      <c r="H140" s="1201"/>
      <c r="I140" s="1201"/>
      <c r="J140" s="439"/>
      <c r="K140" s="98"/>
      <c r="L140" s="11"/>
      <c r="R140" s="129">
        <f t="shared" ref="R140:R145" si="65">IF(F140="実施済",1,0)</f>
        <v>0</v>
      </c>
      <c r="S140" s="129">
        <f t="shared" ref="S140:S145" si="66">IF(G140="実施済",R140*1,0)</f>
        <v>0</v>
      </c>
      <c r="T140" s="129">
        <f t="shared" ref="T140:T145" si="67">IF(H140="実施済",S140*1,0)</f>
        <v>0</v>
      </c>
      <c r="U140" s="129">
        <f t="shared" ref="U140:U145" si="68">IF(I140="実施済",T140*1,0)</f>
        <v>0</v>
      </c>
      <c r="V140" s="258"/>
      <c r="W140" s="129" t="str">
        <f>IF(OR(E140="〇〇(合意形成対象者名に書き換え)",E140=""),"",SUM(S140,T140,U140))</f>
        <v/>
      </c>
      <c r="X140" s="129">
        <f t="shared" ref="X140:X145" si="69">MIN($W$140:$W$145)+1</f>
        <v>1</v>
      </c>
      <c r="Y140" s="129">
        <f>IF(E140="",1,IF(AND(E140="〇〇(合意形成対象者名に書き換え)",COUNTA($F140:$J140)=0),1,IF(AND(E140&lt;&gt;"〇〇(合意形成対象者名に書き換え)",COUNTA($F140:$J140)=5),1,0)))</f>
        <v>1</v>
      </c>
      <c r="Z140" s="129" t="str" cm="1">
        <f t="array" ref="Z140">_xlfn.IFS(X140=4,"A",X140=3,"B",X140=2,"C",X140=1,"D")</f>
        <v>D</v>
      </c>
      <c r="AA140" s="255"/>
    </row>
    <row r="141" spans="1:27">
      <c r="B141" s="95"/>
      <c r="C141" s="96"/>
      <c r="D141" s="97"/>
      <c r="E141" s="890" t="s">
        <v>129</v>
      </c>
      <c r="F141" s="445"/>
      <c r="G141" s="445"/>
      <c r="H141" s="1202"/>
      <c r="I141" s="1202"/>
      <c r="J141" s="445"/>
      <c r="K141" s="98"/>
      <c r="L141" s="11"/>
      <c r="R141" s="129">
        <f t="shared" si="65"/>
        <v>0</v>
      </c>
      <c r="S141" s="129">
        <f t="shared" si="66"/>
        <v>0</v>
      </c>
      <c r="T141" s="129">
        <f t="shared" si="67"/>
        <v>0</v>
      </c>
      <c r="U141" s="129">
        <f t="shared" si="68"/>
        <v>0</v>
      </c>
      <c r="V141" s="258"/>
      <c r="W141" s="129" t="str">
        <f t="shared" ref="W141:W145" si="70">IF(OR(E141="〇〇(合意形成対象者名に書き換え)",E141=""),"",SUM(S141,T141,U141))</f>
        <v/>
      </c>
      <c r="X141" s="129">
        <f t="shared" si="69"/>
        <v>1</v>
      </c>
      <c r="Y141" s="129">
        <f t="shared" ref="Y141:Y145" si="71">IF(E141="",1,IF(AND(E141="〇〇(合意形成対象者名に書き換え)",COUNTA($F141:$J141)=0),1,IF(AND(E141&lt;&gt;"〇〇(合意形成対象者名に書き換え)",COUNTA($F141:$J141)=5),1,0)))</f>
        <v>1</v>
      </c>
      <c r="Z141" s="129" t="str" cm="1">
        <f t="array" ref="Z141">_xlfn.IFS(X141=4,"A",X141=3,"B",X141=2,"C",X141=1,"D")</f>
        <v>D</v>
      </c>
      <c r="AA141" s="255"/>
    </row>
    <row r="142" spans="1:27">
      <c r="B142" s="95"/>
      <c r="C142" s="96"/>
      <c r="D142" s="97"/>
      <c r="E142" s="890" t="s">
        <v>129</v>
      </c>
      <c r="F142" s="441"/>
      <c r="G142" s="441"/>
      <c r="H142" s="1203"/>
      <c r="I142" s="1203"/>
      <c r="J142" s="441"/>
      <c r="K142" s="98"/>
      <c r="L142" s="11"/>
      <c r="R142" s="129">
        <f t="shared" si="65"/>
        <v>0</v>
      </c>
      <c r="S142" s="129">
        <f t="shared" si="66"/>
        <v>0</v>
      </c>
      <c r="T142" s="129">
        <f t="shared" si="67"/>
        <v>0</v>
      </c>
      <c r="U142" s="129">
        <f t="shared" si="68"/>
        <v>0</v>
      </c>
      <c r="V142" s="258"/>
      <c r="W142" s="129" t="str">
        <f t="shared" si="70"/>
        <v/>
      </c>
      <c r="X142" s="129">
        <f t="shared" si="69"/>
        <v>1</v>
      </c>
      <c r="Y142" s="129">
        <f t="shared" si="71"/>
        <v>1</v>
      </c>
      <c r="Z142" s="129" t="str" cm="1">
        <f t="array" ref="Z142">_xlfn.IFS(X142=4,"A",X142=3,"B",X142=2,"C",X142=1,"D")</f>
        <v>D</v>
      </c>
      <c r="AA142" s="255"/>
    </row>
    <row r="143" spans="1:27" s="99" customFormat="1">
      <c r="A143" s="11"/>
      <c r="B143" s="95"/>
      <c r="C143" s="96"/>
      <c r="D143" s="97"/>
      <c r="E143" s="890" t="s">
        <v>129</v>
      </c>
      <c r="F143" s="441"/>
      <c r="G143" s="441"/>
      <c r="H143" s="1203"/>
      <c r="I143" s="1203"/>
      <c r="J143" s="441"/>
      <c r="K143" s="98"/>
      <c r="L143" s="11"/>
      <c r="O143" s="11"/>
      <c r="P143" s="11"/>
      <c r="Q143" s="11"/>
      <c r="R143" s="129">
        <f t="shared" si="65"/>
        <v>0</v>
      </c>
      <c r="S143" s="129">
        <f t="shared" si="66"/>
        <v>0</v>
      </c>
      <c r="T143" s="129">
        <f t="shared" si="67"/>
        <v>0</v>
      </c>
      <c r="U143" s="129">
        <f t="shared" si="68"/>
        <v>0</v>
      </c>
      <c r="V143" s="258"/>
      <c r="W143" s="129" t="str">
        <f t="shared" si="70"/>
        <v/>
      </c>
      <c r="X143" s="129">
        <f t="shared" si="69"/>
        <v>1</v>
      </c>
      <c r="Y143" s="129">
        <f t="shared" si="71"/>
        <v>1</v>
      </c>
      <c r="Z143" s="129" t="str" cm="1">
        <f t="array" ref="Z143">_xlfn.IFS(X143=4,"A",X143=3,"B",X143=2,"C",X143=1,"D")</f>
        <v>D</v>
      </c>
      <c r="AA143" s="129"/>
    </row>
    <row r="144" spans="1:27" customFormat="1" ht="7.5" customHeight="1">
      <c r="B144" s="65"/>
      <c r="C144" s="4"/>
      <c r="D144" s="4"/>
      <c r="E144" s="288"/>
      <c r="F144" s="4"/>
      <c r="G144" s="4"/>
      <c r="H144" s="1204"/>
      <c r="I144" s="1204"/>
      <c r="J144" s="4"/>
      <c r="K144" s="9"/>
      <c r="L144" s="2"/>
      <c r="M144" s="2"/>
      <c r="N144" s="2"/>
      <c r="R144" s="129">
        <f t="shared" si="65"/>
        <v>0</v>
      </c>
      <c r="S144" s="129">
        <f t="shared" si="66"/>
        <v>0</v>
      </c>
      <c r="T144" s="129">
        <f t="shared" si="67"/>
        <v>0</v>
      </c>
      <c r="U144" s="129">
        <f t="shared" si="68"/>
        <v>0</v>
      </c>
      <c r="V144" s="258"/>
      <c r="W144" s="129" t="str">
        <f t="shared" si="70"/>
        <v/>
      </c>
      <c r="X144" s="129">
        <f t="shared" si="69"/>
        <v>1</v>
      </c>
      <c r="Y144" s="129">
        <f t="shared" si="71"/>
        <v>1</v>
      </c>
      <c r="Z144" s="129" t="str" cm="1">
        <f t="array" ref="Z144">_xlfn.IFS(X144=4,"A",X144=3,"B",X144=2,"C",X144=1,"D")</f>
        <v>D</v>
      </c>
      <c r="AA144" s="175"/>
    </row>
    <row r="145" spans="1:27" customFormat="1" ht="6" customHeight="1">
      <c r="E145" s="3"/>
      <c r="H145" s="1198"/>
      <c r="I145" s="1198"/>
      <c r="L145" s="2"/>
      <c r="M145" s="2"/>
      <c r="N145" s="2"/>
      <c r="R145" s="129">
        <f t="shared" si="65"/>
        <v>0</v>
      </c>
      <c r="S145" s="129">
        <f t="shared" si="66"/>
        <v>0</v>
      </c>
      <c r="T145" s="129">
        <f t="shared" si="67"/>
        <v>0</v>
      </c>
      <c r="U145" s="129">
        <f t="shared" si="68"/>
        <v>0</v>
      </c>
      <c r="V145" s="258"/>
      <c r="W145" s="129" t="str">
        <f t="shared" si="70"/>
        <v/>
      </c>
      <c r="X145" s="129">
        <f t="shared" si="69"/>
        <v>1</v>
      </c>
      <c r="Y145" s="129">
        <f t="shared" si="71"/>
        <v>1</v>
      </c>
      <c r="Z145" s="129" t="str" cm="1">
        <f t="array" ref="Z145">_xlfn.IFS(X145=4,"A",X145=3,"B",X145=2,"C",X145=1,"D")</f>
        <v>D</v>
      </c>
      <c r="AA145" s="175"/>
    </row>
    <row r="146" spans="1:27" customFormat="1" ht="103.5" customHeight="1">
      <c r="C146" s="78"/>
      <c r="D146" s="79"/>
      <c r="E146" s="71" t="s">
        <v>236</v>
      </c>
      <c r="F146" s="1452"/>
      <c r="G146" s="1452"/>
      <c r="H146" s="1452"/>
      <c r="I146" s="1452"/>
      <c r="J146" s="1452"/>
      <c r="K146" s="80" t="s">
        <v>132</v>
      </c>
      <c r="L146" s="80"/>
    </row>
    <row r="147" spans="1:27" customFormat="1" ht="146.25" customHeight="1">
      <c r="C147" s="75"/>
      <c r="D147" s="68"/>
      <c r="E147" s="71" t="s">
        <v>235</v>
      </c>
      <c r="F147" s="1452"/>
      <c r="G147" s="1452"/>
      <c r="H147" s="1452"/>
      <c r="I147" s="1452"/>
      <c r="J147" s="1452"/>
      <c r="L147" s="2"/>
      <c r="M147" s="2"/>
      <c r="N147" s="2"/>
    </row>
    <row r="148" spans="1:27" customFormat="1" ht="13.5" customHeight="1" thickBot="1">
      <c r="A148" s="81"/>
      <c r="B148" s="81"/>
      <c r="C148" s="81"/>
      <c r="D148" s="81"/>
      <c r="E148" s="311"/>
      <c r="F148" s="81"/>
      <c r="G148" s="81"/>
      <c r="H148" s="1205"/>
      <c r="I148" s="1205"/>
      <c r="J148" s="81"/>
      <c r="K148" s="81"/>
      <c r="L148" s="82"/>
      <c r="M148" s="2"/>
      <c r="N148" s="2"/>
    </row>
    <row r="149" spans="1:27" customFormat="1" ht="13.5" customHeight="1">
      <c r="E149" s="3"/>
      <c r="H149" s="1198"/>
      <c r="I149" s="1198"/>
      <c r="L149" s="2"/>
      <c r="M149" s="2"/>
      <c r="N149" s="2"/>
    </row>
    <row r="150" spans="1:27" customFormat="1" ht="15" customHeight="1">
      <c r="B150" s="10"/>
      <c r="C150" s="5"/>
      <c r="D150" s="5"/>
      <c r="E150" s="305"/>
      <c r="F150" s="5"/>
      <c r="G150" s="5"/>
      <c r="H150" s="1199"/>
      <c r="I150" s="1199"/>
      <c r="J150" s="5"/>
      <c r="K150" s="6"/>
      <c r="R150" s="11" t="str">
        <f>D151</f>
        <v>(選択してください)</v>
      </c>
    </row>
    <row r="151" spans="1:27" customFormat="1">
      <c r="B151" s="7"/>
      <c r="C151" s="77" t="str">
        <f ca="1">IFERROR(OFFSET('4.3民生部門電力以外の排出削減取組'!$C$1,MATCH(D151,'4.3民生部門電力以外の排出削減取組'!$E:$E,0)-1,0),"")</f>
        <v/>
      </c>
      <c r="D151" s="94" t="s">
        <v>130</v>
      </c>
      <c r="E151" s="72" t="s">
        <v>12</v>
      </c>
      <c r="F151" s="1451" t="str">
        <f ca="1">IFERROR(OFFSET('4.3民生部門電力以外の排出削減取組'!$G$1,MATCH($D151,'4.3民生部門電力以外の排出削減取組'!$E:$E,0)-1,0),"")</f>
        <v/>
      </c>
      <c r="G151" s="1451"/>
      <c r="H151" s="1451"/>
      <c r="I151" s="1451"/>
      <c r="J151" s="1451"/>
      <c r="K151" s="8"/>
      <c r="R151" s="255" t="str">
        <f ca="1">IFERROR(OFFSET('4.3民生部門電力以外の排出削減取組'!$G$1,MATCH($D151,'4.3民生部門電力以外の排出削減取組'!$E:$E,0)-1,0),"")</f>
        <v/>
      </c>
      <c r="S151" s="175"/>
      <c r="T151" s="175"/>
      <c r="U151" s="175"/>
      <c r="V151" s="175"/>
      <c r="W151" s="175"/>
      <c r="X151" s="175"/>
      <c r="Y151" s="175"/>
      <c r="Z151" s="175"/>
      <c r="AA151" s="175">
        <f ca="1">(F151=R151)*1</f>
        <v>1</v>
      </c>
    </row>
    <row r="152" spans="1:27" customFormat="1">
      <c r="B152" s="7"/>
      <c r="C152" s="915"/>
      <c r="D152" s="97"/>
      <c r="E152" s="72" t="s">
        <v>612</v>
      </c>
      <c r="F152" s="1447" t="str">
        <f ca="1">IFERROR(OFFSET('4.3民生部門電力以外の排出削減取組'!$J$1,MATCH($D151,'4.3民生部門電力以外の排出削減取組'!$E:$E,0)-1,0),"")</f>
        <v/>
      </c>
      <c r="G152" s="1448"/>
      <c r="H152" s="1448"/>
      <c r="I152" s="1448"/>
      <c r="J152" s="1449"/>
      <c r="K152" s="8"/>
      <c r="R152" s="255" t="str">
        <f ca="1">IFERROR(OFFSET('4.3民生部門電力以外の排出削減取組'!$J$1,MATCH($D151,'4.3民生部門電力以外の排出削減取組'!$E:$E,0)-1,0),"")</f>
        <v/>
      </c>
      <c r="S152" s="175"/>
      <c r="T152" s="175"/>
      <c r="U152" s="175"/>
      <c r="V152" s="175"/>
      <c r="W152" s="175"/>
      <c r="X152" s="175"/>
      <c r="Y152" s="175"/>
      <c r="Z152" s="175"/>
      <c r="AA152" s="175">
        <f ca="1">(F152=R152)*1</f>
        <v>1</v>
      </c>
    </row>
    <row r="153" spans="1:27" customFormat="1">
      <c r="B153" s="7"/>
      <c r="C153" s="74"/>
      <c r="D153" s="66"/>
      <c r="E153" s="72" t="s">
        <v>280</v>
      </c>
      <c r="F153" s="1470" t="str">
        <f ca="1">IFERROR(OFFSET('4.3民生部門電力以外の排出削減取組'!$H$1,MATCH($D151,'4.3民生部門電力以外の排出削減取組'!$E:$E,0)-1,0),"")</f>
        <v/>
      </c>
      <c r="G153" s="1470"/>
      <c r="H153" s="1470"/>
      <c r="I153" s="1470"/>
      <c r="J153" s="1470"/>
      <c r="K153" s="8"/>
      <c r="R153" s="175" t="str">
        <f ca="1">IFERROR(OFFSET('4.3民生部門電力以外の排出削減取組'!$H$1,MATCH($D151,'4.3民生部門電力以外の排出削減取組'!$E:$E,0)-1,0),"")</f>
        <v/>
      </c>
      <c r="S153" s="175"/>
      <c r="T153" s="175"/>
      <c r="U153" s="175"/>
      <c r="V153" s="175"/>
      <c r="W153" s="175"/>
      <c r="X153" s="175"/>
      <c r="Y153" s="175"/>
      <c r="Z153" s="175"/>
      <c r="AA153" s="175">
        <f t="shared" ref="AA153:AA154" ca="1" si="72">(F153=R153)*1</f>
        <v>1</v>
      </c>
    </row>
    <row r="154" spans="1:27" customFormat="1">
      <c r="B154" s="7"/>
      <c r="C154" s="74"/>
      <c r="D154" s="66"/>
      <c r="E154" s="72" t="s">
        <v>175</v>
      </c>
      <c r="F154" s="1451" t="str">
        <f>_xlfn.IFNA(R154,"")</f>
        <v/>
      </c>
      <c r="G154" s="1451"/>
      <c r="H154" s="1451"/>
      <c r="I154" s="1451"/>
      <c r="J154" s="1451"/>
      <c r="K154" s="8"/>
      <c r="R154" s="129" t="str">
        <f>IF(OR(COUNTIF($E156:$E161,"&lt;&gt;〇〇(合意形成対象者名に書き換え)")=3,COUNTIF($E156:$E161,"")&gt;3),"",IF(PRODUCT($Y156:$Y161)=1,Z156,""))</f>
        <v/>
      </c>
      <c r="S154" s="175"/>
      <c r="T154" s="175"/>
      <c r="U154" s="175"/>
      <c r="V154" s="175"/>
      <c r="W154" s="175"/>
      <c r="X154" s="175"/>
      <c r="Y154" s="175"/>
      <c r="Z154" s="175"/>
      <c r="AA154" s="175">
        <f t="shared" si="72"/>
        <v>1</v>
      </c>
    </row>
    <row r="155" spans="1:27" ht="63.75" customHeight="1">
      <c r="B155" s="95"/>
      <c r="C155" s="96"/>
      <c r="D155" s="97"/>
      <c r="E155" s="888"/>
      <c r="F155" s="313" t="s">
        <v>278</v>
      </c>
      <c r="G155" s="313" t="s">
        <v>268</v>
      </c>
      <c r="H155" s="1200" t="s">
        <v>437</v>
      </c>
      <c r="I155" s="1200" t="s">
        <v>439</v>
      </c>
      <c r="J155" s="313" t="s">
        <v>279</v>
      </c>
      <c r="K155" s="98"/>
      <c r="L155" s="11"/>
      <c r="R155" s="126" t="s">
        <v>278</v>
      </c>
      <c r="S155" s="126" t="s">
        <v>440</v>
      </c>
      <c r="T155" s="295" t="s">
        <v>437</v>
      </c>
      <c r="U155" s="295" t="s">
        <v>438</v>
      </c>
      <c r="V155" s="256" t="s">
        <v>270</v>
      </c>
      <c r="W155" s="126" t="s">
        <v>426</v>
      </c>
      <c r="X155" s="129" t="s">
        <v>402</v>
      </c>
      <c r="Y155" s="129" t="s">
        <v>430</v>
      </c>
      <c r="Z155" s="126" t="s">
        <v>425</v>
      </c>
      <c r="AA155" s="255"/>
    </row>
    <row r="156" spans="1:27" hidden="1">
      <c r="B156" s="95"/>
      <c r="C156" s="96"/>
      <c r="D156" s="97"/>
      <c r="E156" s="889"/>
      <c r="F156" s="439"/>
      <c r="G156" s="439"/>
      <c r="H156" s="1201"/>
      <c r="I156" s="1201"/>
      <c r="J156" s="439"/>
      <c r="K156" s="98"/>
      <c r="L156" s="11"/>
      <c r="R156" s="129">
        <f t="shared" ref="R156:R161" si="73">IF(F156="実施済",1,0)</f>
        <v>0</v>
      </c>
      <c r="S156" s="129">
        <f t="shared" ref="S156:S161" si="74">IF(G156="実施済",R156*1,0)</f>
        <v>0</v>
      </c>
      <c r="T156" s="129">
        <f t="shared" ref="T156:T161" si="75">IF(H156="実施済",S156*1,0)</f>
        <v>0</v>
      </c>
      <c r="U156" s="129">
        <f t="shared" ref="U156:U161" si="76">IF(I156="実施済",T156*1,0)</f>
        <v>0</v>
      </c>
      <c r="V156" s="258"/>
      <c r="W156" s="129" t="str">
        <f>IF(OR(E156="〇〇(合意形成対象者名に書き換え)",E156=""),"",SUM(S156,T156,U156))</f>
        <v/>
      </c>
      <c r="X156" s="129">
        <f t="shared" ref="X156:X161" si="77">MIN($W$156:$W$161)+1</f>
        <v>1</v>
      </c>
      <c r="Y156" s="129">
        <f>IF(E156="",1,IF(AND(E156="〇〇(合意形成対象者名に書き換え)",COUNTA($F156:$J156)=0),1,IF(AND(E156&lt;&gt;"〇〇(合意形成対象者名に書き換え)",COUNTA($F156:$J156)=5),1,0)))</f>
        <v>1</v>
      </c>
      <c r="Z156" s="129" t="str" cm="1">
        <f t="array" ref="Z156">_xlfn.IFS(X156=4,"A",X156=3,"B",X156=2,"C",X156=1,"D")</f>
        <v>D</v>
      </c>
      <c r="AA156" s="255"/>
    </row>
    <row r="157" spans="1:27">
      <c r="B157" s="95"/>
      <c r="C157" s="96"/>
      <c r="D157" s="97"/>
      <c r="E157" s="890" t="s">
        <v>129</v>
      </c>
      <c r="F157" s="445"/>
      <c r="G157" s="445"/>
      <c r="H157" s="1202"/>
      <c r="I157" s="1202"/>
      <c r="J157" s="445"/>
      <c r="K157" s="98"/>
      <c r="L157" s="11"/>
      <c r="R157" s="129">
        <f t="shared" si="73"/>
        <v>0</v>
      </c>
      <c r="S157" s="129">
        <f t="shared" si="74"/>
        <v>0</v>
      </c>
      <c r="T157" s="129">
        <f t="shared" si="75"/>
        <v>0</v>
      </c>
      <c r="U157" s="129">
        <f t="shared" si="76"/>
        <v>0</v>
      </c>
      <c r="V157" s="258"/>
      <c r="W157" s="129" t="str">
        <f t="shared" ref="W157:W161" si="78">IF(OR(E157="〇〇(合意形成対象者名に書き換え)",E157=""),"",SUM(S157,T157,U157))</f>
        <v/>
      </c>
      <c r="X157" s="129">
        <f t="shared" si="77"/>
        <v>1</v>
      </c>
      <c r="Y157" s="129">
        <f t="shared" ref="Y157:Y161" si="79">IF(E157="",1,IF(AND(E157="〇〇(合意形成対象者名に書き換え)",COUNTA($F157:$J157)=0),1,IF(AND(E157&lt;&gt;"〇〇(合意形成対象者名に書き換え)",COUNTA($F157:$J157)=5),1,0)))</f>
        <v>1</v>
      </c>
      <c r="Z157" s="129" t="str" cm="1">
        <f t="array" ref="Z157">_xlfn.IFS(X157=4,"A",X157=3,"B",X157=2,"C",X157=1,"D")</f>
        <v>D</v>
      </c>
      <c r="AA157" s="255"/>
    </row>
    <row r="158" spans="1:27">
      <c r="B158" s="95"/>
      <c r="C158" s="96"/>
      <c r="D158" s="97"/>
      <c r="E158" s="890" t="s">
        <v>129</v>
      </c>
      <c r="F158" s="441"/>
      <c r="G158" s="441"/>
      <c r="H158" s="1203"/>
      <c r="I158" s="1203"/>
      <c r="J158" s="441"/>
      <c r="K158" s="98"/>
      <c r="L158" s="11"/>
      <c r="R158" s="129">
        <f t="shared" si="73"/>
        <v>0</v>
      </c>
      <c r="S158" s="129">
        <f t="shared" si="74"/>
        <v>0</v>
      </c>
      <c r="T158" s="129">
        <f t="shared" si="75"/>
        <v>0</v>
      </c>
      <c r="U158" s="129">
        <f t="shared" si="76"/>
        <v>0</v>
      </c>
      <c r="V158" s="258"/>
      <c r="W158" s="129" t="str">
        <f t="shared" si="78"/>
        <v/>
      </c>
      <c r="X158" s="129">
        <f t="shared" si="77"/>
        <v>1</v>
      </c>
      <c r="Y158" s="129">
        <f t="shared" si="79"/>
        <v>1</v>
      </c>
      <c r="Z158" s="129" t="str" cm="1">
        <f t="array" ref="Z158">_xlfn.IFS(X158=4,"A",X158=3,"B",X158=2,"C",X158=1,"D")</f>
        <v>D</v>
      </c>
      <c r="AA158" s="255"/>
    </row>
    <row r="159" spans="1:27" s="99" customFormat="1">
      <c r="A159" s="11"/>
      <c r="B159" s="95"/>
      <c r="C159" s="96"/>
      <c r="D159" s="97"/>
      <c r="E159" s="890" t="s">
        <v>129</v>
      </c>
      <c r="F159" s="441"/>
      <c r="G159" s="441"/>
      <c r="H159" s="1203"/>
      <c r="I159" s="1203"/>
      <c r="J159" s="441"/>
      <c r="K159" s="98"/>
      <c r="L159" s="11"/>
      <c r="O159" s="11"/>
      <c r="P159" s="11"/>
      <c r="Q159" s="11"/>
      <c r="R159" s="129">
        <f t="shared" si="73"/>
        <v>0</v>
      </c>
      <c r="S159" s="129">
        <f t="shared" si="74"/>
        <v>0</v>
      </c>
      <c r="T159" s="129">
        <f t="shared" si="75"/>
        <v>0</v>
      </c>
      <c r="U159" s="129">
        <f t="shared" si="76"/>
        <v>0</v>
      </c>
      <c r="V159" s="258"/>
      <c r="W159" s="129" t="str">
        <f t="shared" si="78"/>
        <v/>
      </c>
      <c r="X159" s="129">
        <f t="shared" si="77"/>
        <v>1</v>
      </c>
      <c r="Y159" s="129">
        <f t="shared" si="79"/>
        <v>1</v>
      </c>
      <c r="Z159" s="129" t="str" cm="1">
        <f t="array" ref="Z159">_xlfn.IFS(X159=4,"A",X159=3,"B",X159=2,"C",X159=1,"D")</f>
        <v>D</v>
      </c>
      <c r="AA159" s="129"/>
    </row>
    <row r="160" spans="1:27" customFormat="1" ht="7.5" customHeight="1">
      <c r="B160" s="65"/>
      <c r="C160" s="4"/>
      <c r="D160" s="4"/>
      <c r="E160" s="288"/>
      <c r="F160" s="4"/>
      <c r="G160" s="4"/>
      <c r="H160" s="1204"/>
      <c r="I160" s="1204"/>
      <c r="J160" s="4"/>
      <c r="K160" s="9"/>
      <c r="L160" s="2"/>
      <c r="M160" s="2"/>
      <c r="N160" s="2"/>
      <c r="R160" s="129">
        <f t="shared" si="73"/>
        <v>0</v>
      </c>
      <c r="S160" s="129">
        <f t="shared" si="74"/>
        <v>0</v>
      </c>
      <c r="T160" s="129">
        <f t="shared" si="75"/>
        <v>0</v>
      </c>
      <c r="U160" s="129">
        <f t="shared" si="76"/>
        <v>0</v>
      </c>
      <c r="V160" s="258"/>
      <c r="W160" s="129" t="str">
        <f t="shared" si="78"/>
        <v/>
      </c>
      <c r="X160" s="129">
        <f t="shared" si="77"/>
        <v>1</v>
      </c>
      <c r="Y160" s="129">
        <f t="shared" si="79"/>
        <v>1</v>
      </c>
      <c r="Z160" s="129" t="str" cm="1">
        <f t="array" ref="Z160">_xlfn.IFS(X160=4,"A",X160=3,"B",X160=2,"C",X160=1,"D")</f>
        <v>D</v>
      </c>
      <c r="AA160" s="175"/>
    </row>
    <row r="161" spans="1:27" customFormat="1" ht="6" customHeight="1">
      <c r="E161" s="3"/>
      <c r="H161" s="1198"/>
      <c r="I161" s="1198"/>
      <c r="L161" s="2"/>
      <c r="M161" s="2"/>
      <c r="N161" s="2"/>
      <c r="R161" s="129">
        <f t="shared" si="73"/>
        <v>0</v>
      </c>
      <c r="S161" s="129">
        <f t="shared" si="74"/>
        <v>0</v>
      </c>
      <c r="T161" s="129">
        <f t="shared" si="75"/>
        <v>0</v>
      </c>
      <c r="U161" s="129">
        <f t="shared" si="76"/>
        <v>0</v>
      </c>
      <c r="V161" s="258"/>
      <c r="W161" s="129" t="str">
        <f t="shared" si="78"/>
        <v/>
      </c>
      <c r="X161" s="129">
        <f t="shared" si="77"/>
        <v>1</v>
      </c>
      <c r="Y161" s="129">
        <f t="shared" si="79"/>
        <v>1</v>
      </c>
      <c r="Z161" s="129" t="str" cm="1">
        <f t="array" ref="Z161">_xlfn.IFS(X161=4,"A",X161=3,"B",X161=2,"C",X161=1,"D")</f>
        <v>D</v>
      </c>
      <c r="AA161" s="175"/>
    </row>
    <row r="162" spans="1:27" customFormat="1" ht="103.5" customHeight="1">
      <c r="C162" s="78"/>
      <c r="D162" s="79"/>
      <c r="E162" s="71" t="s">
        <v>236</v>
      </c>
      <c r="F162" s="1452"/>
      <c r="G162" s="1452"/>
      <c r="H162" s="1452"/>
      <c r="I162" s="1452"/>
      <c r="J162" s="1452"/>
      <c r="K162" s="80" t="s">
        <v>132</v>
      </c>
      <c r="L162" s="80"/>
    </row>
    <row r="163" spans="1:27" customFormat="1" ht="146.25" customHeight="1">
      <c r="C163" s="75"/>
      <c r="D163" s="68"/>
      <c r="E163" s="71" t="s">
        <v>235</v>
      </c>
      <c r="F163" s="1452"/>
      <c r="G163" s="1452"/>
      <c r="H163" s="1452"/>
      <c r="I163" s="1452"/>
      <c r="J163" s="1452"/>
      <c r="L163" s="2"/>
      <c r="M163" s="2"/>
      <c r="N163" s="2"/>
    </row>
    <row r="164" spans="1:27" customFormat="1" ht="13.5" customHeight="1" thickBot="1">
      <c r="A164" s="81"/>
      <c r="B164" s="81"/>
      <c r="C164" s="81"/>
      <c r="D164" s="81"/>
      <c r="E164" s="311"/>
      <c r="F164" s="81"/>
      <c r="G164" s="81"/>
      <c r="H164" s="1205"/>
      <c r="I164" s="1205"/>
      <c r="J164" s="81"/>
      <c r="K164" s="81"/>
      <c r="L164" s="82"/>
      <c r="M164" s="2"/>
      <c r="N164" s="2"/>
    </row>
    <row r="165" spans="1:27" customFormat="1" ht="13.5" customHeight="1">
      <c r="E165" s="3"/>
      <c r="H165" s="1198"/>
      <c r="I165" s="1198"/>
      <c r="L165" s="2"/>
      <c r="M165" s="2"/>
      <c r="N165" s="2"/>
    </row>
    <row r="166" spans="1:27" customFormat="1" ht="15" customHeight="1">
      <c r="B166" s="10"/>
      <c r="C166" s="5"/>
      <c r="D166" s="5"/>
      <c r="E166" s="305"/>
      <c r="F166" s="5"/>
      <c r="G166" s="5"/>
      <c r="H166" s="1199"/>
      <c r="I166" s="1199"/>
      <c r="J166" s="5"/>
      <c r="K166" s="6"/>
      <c r="R166" s="11" t="str">
        <f>D167</f>
        <v>(選択してください)</v>
      </c>
    </row>
    <row r="167" spans="1:27" customFormat="1">
      <c r="B167" s="7"/>
      <c r="C167" s="77" t="str">
        <f ca="1">IFERROR(OFFSET('4.3民生部門電力以外の排出削減取組'!$C$1,MATCH(D167,'4.3民生部門電力以外の排出削減取組'!$E:$E,0)-1,0),"")</f>
        <v/>
      </c>
      <c r="D167" s="94" t="s">
        <v>130</v>
      </c>
      <c r="E167" s="72" t="s">
        <v>12</v>
      </c>
      <c r="F167" s="1451" t="str">
        <f ca="1">IFERROR(OFFSET('4.3民生部門電力以外の排出削減取組'!$G$1,MATCH($D167,'4.3民生部門電力以外の排出削減取組'!$E:$E,0)-1,0),"")</f>
        <v/>
      </c>
      <c r="G167" s="1451"/>
      <c r="H167" s="1451"/>
      <c r="I167" s="1451"/>
      <c r="J167" s="1451"/>
      <c r="K167" s="8"/>
      <c r="R167" s="255" t="str">
        <f ca="1">IFERROR(OFFSET('4.3民生部門電力以外の排出削減取組'!$G$1,MATCH($D167,'4.3民生部門電力以外の排出削減取組'!$E:$E,0)-1,0),"")</f>
        <v/>
      </c>
      <c r="S167" s="175"/>
      <c r="T167" s="175"/>
      <c r="U167" s="175"/>
      <c r="V167" s="175"/>
      <c r="W167" s="175"/>
      <c r="X167" s="175"/>
      <c r="Y167" s="175"/>
      <c r="Z167" s="175"/>
      <c r="AA167" s="175">
        <f ca="1">(F167=R167)*1</f>
        <v>1</v>
      </c>
    </row>
    <row r="168" spans="1:27" customFormat="1">
      <c r="B168" s="7"/>
      <c r="C168" s="915"/>
      <c r="D168" s="97"/>
      <c r="E168" s="72" t="s">
        <v>612</v>
      </c>
      <c r="F168" s="1447" t="str">
        <f ca="1">IFERROR(OFFSET('4.3民生部門電力以外の排出削減取組'!$J$1,MATCH($D167,'4.3民生部門電力以外の排出削減取組'!$E:$E,0)-1,0),"")</f>
        <v/>
      </c>
      <c r="G168" s="1448"/>
      <c r="H168" s="1448"/>
      <c r="I168" s="1448"/>
      <c r="J168" s="1449"/>
      <c r="K168" s="8"/>
      <c r="R168" s="255" t="str">
        <f ca="1">IFERROR(OFFSET('4.3民生部門電力以外の排出削減取組'!$J$1,MATCH($D167,'4.3民生部門電力以外の排出削減取組'!$E:$E,0)-1,0),"")</f>
        <v/>
      </c>
      <c r="S168" s="175"/>
      <c r="T168" s="175"/>
      <c r="U168" s="175"/>
      <c r="V168" s="175"/>
      <c r="W168" s="175"/>
      <c r="X168" s="175"/>
      <c r="Y168" s="175"/>
      <c r="Z168" s="175"/>
      <c r="AA168" s="175">
        <f ca="1">(F168=R168)*1</f>
        <v>1</v>
      </c>
    </row>
    <row r="169" spans="1:27" customFormat="1">
      <c r="B169" s="7"/>
      <c r="C169" s="74"/>
      <c r="D169" s="66"/>
      <c r="E169" s="72" t="s">
        <v>280</v>
      </c>
      <c r="F169" s="1470" t="str">
        <f ca="1">IFERROR(OFFSET('4.3民生部門電力以外の排出削減取組'!$H$1,MATCH($D167,'4.3民生部門電力以外の排出削減取組'!$E:$E,0)-1,0),"")</f>
        <v/>
      </c>
      <c r="G169" s="1470"/>
      <c r="H169" s="1470"/>
      <c r="I169" s="1470"/>
      <c r="J169" s="1470"/>
      <c r="K169" s="8"/>
      <c r="R169" s="175" t="str">
        <f ca="1">IFERROR(OFFSET('4.3民生部門電力以外の排出削減取組'!$H$1,MATCH($D167,'4.3民生部門電力以外の排出削減取組'!$E:$E,0)-1,0),"")</f>
        <v/>
      </c>
      <c r="S169" s="175"/>
      <c r="T169" s="175"/>
      <c r="U169" s="175"/>
      <c r="V169" s="175"/>
      <c r="W169" s="175"/>
      <c r="X169" s="175"/>
      <c r="Y169" s="175"/>
      <c r="Z169" s="175"/>
      <c r="AA169" s="175">
        <f t="shared" ref="AA169:AA170" ca="1" si="80">(F169=R169)*1</f>
        <v>1</v>
      </c>
    </row>
    <row r="170" spans="1:27" customFormat="1">
      <c r="B170" s="7"/>
      <c r="C170" s="74"/>
      <c r="D170" s="66"/>
      <c r="E170" s="72" t="s">
        <v>175</v>
      </c>
      <c r="F170" s="1451" t="str">
        <f>_xlfn.IFNA(R170,"")</f>
        <v/>
      </c>
      <c r="G170" s="1451"/>
      <c r="H170" s="1451"/>
      <c r="I170" s="1451"/>
      <c r="J170" s="1451"/>
      <c r="K170" s="8"/>
      <c r="R170" s="129" t="str">
        <f>IF(OR(COUNTIF($E172:$E177,"&lt;&gt;〇〇(合意形成対象者名に書き換え)")=3,COUNTIF($E172:$E177,"")&gt;3),"",IF(PRODUCT($Y172:$Y177)=1,Z172,""))</f>
        <v/>
      </c>
      <c r="S170" s="175"/>
      <c r="T170" s="175"/>
      <c r="U170" s="175"/>
      <c r="V170" s="175"/>
      <c r="W170" s="175"/>
      <c r="X170" s="175"/>
      <c r="Y170" s="175"/>
      <c r="Z170" s="175"/>
      <c r="AA170" s="175">
        <f t="shared" si="80"/>
        <v>1</v>
      </c>
    </row>
    <row r="171" spans="1:27" ht="63.75" customHeight="1">
      <c r="B171" s="95"/>
      <c r="C171" s="96"/>
      <c r="D171" s="97"/>
      <c r="E171" s="888"/>
      <c r="F171" s="313" t="s">
        <v>278</v>
      </c>
      <c r="G171" s="313" t="s">
        <v>268</v>
      </c>
      <c r="H171" s="1200" t="s">
        <v>437</v>
      </c>
      <c r="I171" s="1200" t="s">
        <v>439</v>
      </c>
      <c r="J171" s="313" t="s">
        <v>279</v>
      </c>
      <c r="K171" s="98"/>
      <c r="L171" s="11"/>
      <c r="R171" s="126" t="s">
        <v>278</v>
      </c>
      <c r="S171" s="126" t="s">
        <v>440</v>
      </c>
      <c r="T171" s="295" t="s">
        <v>437</v>
      </c>
      <c r="U171" s="295" t="s">
        <v>438</v>
      </c>
      <c r="V171" s="256" t="s">
        <v>270</v>
      </c>
      <c r="W171" s="126" t="s">
        <v>426</v>
      </c>
      <c r="X171" s="129" t="s">
        <v>402</v>
      </c>
      <c r="Y171" s="129" t="s">
        <v>430</v>
      </c>
      <c r="Z171" s="126" t="s">
        <v>425</v>
      </c>
      <c r="AA171" s="255"/>
    </row>
    <row r="172" spans="1:27" hidden="1">
      <c r="B172" s="95"/>
      <c r="C172" s="96"/>
      <c r="D172" s="97"/>
      <c r="E172" s="889"/>
      <c r="F172" s="439"/>
      <c r="G172" s="439"/>
      <c r="H172" s="1201"/>
      <c r="I172" s="1201"/>
      <c r="J172" s="439"/>
      <c r="K172" s="98"/>
      <c r="L172" s="11"/>
      <c r="R172" s="129">
        <f t="shared" ref="R172:R177" si="81">IF(F172="実施済",1,0)</f>
        <v>0</v>
      </c>
      <c r="S172" s="129">
        <f t="shared" ref="S172:S177" si="82">IF(G172="実施済",R172*1,0)</f>
        <v>0</v>
      </c>
      <c r="T172" s="129">
        <f t="shared" ref="T172:T177" si="83">IF(H172="実施済",S172*1,0)</f>
        <v>0</v>
      </c>
      <c r="U172" s="129">
        <f t="shared" ref="U172:U177" si="84">IF(I172="実施済",T172*1,0)</f>
        <v>0</v>
      </c>
      <c r="V172" s="258"/>
      <c r="W172" s="129" t="str">
        <f>IF(OR(E172="〇〇(合意形成対象者名に書き換え)",E172=""),"",SUM(S172,T172,U172))</f>
        <v/>
      </c>
      <c r="X172" s="129">
        <f t="shared" ref="X172:X177" si="85">MIN($W$172:$W$177)+1</f>
        <v>1</v>
      </c>
      <c r="Y172" s="129">
        <f>IF(E172="",1,IF(AND(E172="〇〇(合意形成対象者名に書き換え)",COUNTA($F172:$J172)=0),1,IF(AND(E172&lt;&gt;"〇〇(合意形成対象者名に書き換え)",COUNTA($F172:$J172)=5),1,0)))</f>
        <v>1</v>
      </c>
      <c r="Z172" s="129" t="str" cm="1">
        <f t="array" ref="Z172">_xlfn.IFS(X172=4,"A",X172=3,"B",X172=2,"C",X172=1,"D")</f>
        <v>D</v>
      </c>
      <c r="AA172" s="255"/>
    </row>
    <row r="173" spans="1:27">
      <c r="B173" s="95"/>
      <c r="C173" s="96"/>
      <c r="D173" s="97"/>
      <c r="E173" s="890" t="s">
        <v>129</v>
      </c>
      <c r="F173" s="445"/>
      <c r="G173" s="445"/>
      <c r="H173" s="1202"/>
      <c r="I173" s="1202"/>
      <c r="J173" s="445"/>
      <c r="K173" s="98"/>
      <c r="L173" s="11"/>
      <c r="R173" s="129">
        <f t="shared" si="81"/>
        <v>0</v>
      </c>
      <c r="S173" s="129">
        <f t="shared" si="82"/>
        <v>0</v>
      </c>
      <c r="T173" s="129">
        <f t="shared" si="83"/>
        <v>0</v>
      </c>
      <c r="U173" s="129">
        <f t="shared" si="84"/>
        <v>0</v>
      </c>
      <c r="V173" s="258"/>
      <c r="W173" s="129" t="str">
        <f t="shared" ref="W173:W177" si="86">IF(OR(E173="〇〇(合意形成対象者名に書き換え)",E173=""),"",SUM(S173,T173,U173))</f>
        <v/>
      </c>
      <c r="X173" s="129">
        <f t="shared" si="85"/>
        <v>1</v>
      </c>
      <c r="Y173" s="129">
        <f t="shared" ref="Y173:Y177" si="87">IF(E173="",1,IF(AND(E173="〇〇(合意形成対象者名に書き換え)",COUNTA($F173:$J173)=0),1,IF(AND(E173&lt;&gt;"〇〇(合意形成対象者名に書き換え)",COUNTA($F173:$J173)=5),1,0)))</f>
        <v>1</v>
      </c>
      <c r="Z173" s="129" t="str" cm="1">
        <f t="array" ref="Z173">_xlfn.IFS(X173=4,"A",X173=3,"B",X173=2,"C",X173=1,"D")</f>
        <v>D</v>
      </c>
      <c r="AA173" s="255"/>
    </row>
    <row r="174" spans="1:27">
      <c r="B174" s="95"/>
      <c r="C174" s="96"/>
      <c r="D174" s="97"/>
      <c r="E174" s="890" t="s">
        <v>129</v>
      </c>
      <c r="F174" s="441"/>
      <c r="G174" s="441"/>
      <c r="H174" s="1203"/>
      <c r="I174" s="1203"/>
      <c r="J174" s="441"/>
      <c r="K174" s="98"/>
      <c r="L174" s="11"/>
      <c r="R174" s="129">
        <f t="shared" si="81"/>
        <v>0</v>
      </c>
      <c r="S174" s="129">
        <f t="shared" si="82"/>
        <v>0</v>
      </c>
      <c r="T174" s="129">
        <f t="shared" si="83"/>
        <v>0</v>
      </c>
      <c r="U174" s="129">
        <f t="shared" si="84"/>
        <v>0</v>
      </c>
      <c r="V174" s="258"/>
      <c r="W174" s="129" t="str">
        <f t="shared" si="86"/>
        <v/>
      </c>
      <c r="X174" s="129">
        <f t="shared" si="85"/>
        <v>1</v>
      </c>
      <c r="Y174" s="129">
        <f t="shared" si="87"/>
        <v>1</v>
      </c>
      <c r="Z174" s="129" t="str" cm="1">
        <f t="array" ref="Z174">_xlfn.IFS(X174=4,"A",X174=3,"B",X174=2,"C",X174=1,"D")</f>
        <v>D</v>
      </c>
      <c r="AA174" s="255"/>
    </row>
    <row r="175" spans="1:27" s="99" customFormat="1">
      <c r="A175" s="11"/>
      <c r="B175" s="95"/>
      <c r="C175" s="96"/>
      <c r="D175" s="97"/>
      <c r="E175" s="890" t="s">
        <v>129</v>
      </c>
      <c r="F175" s="441"/>
      <c r="G175" s="441"/>
      <c r="H175" s="1203"/>
      <c r="I175" s="1203"/>
      <c r="J175" s="441"/>
      <c r="K175" s="98"/>
      <c r="L175" s="11"/>
      <c r="O175" s="11"/>
      <c r="P175" s="11"/>
      <c r="Q175" s="11"/>
      <c r="R175" s="129">
        <f t="shared" si="81"/>
        <v>0</v>
      </c>
      <c r="S175" s="129">
        <f t="shared" si="82"/>
        <v>0</v>
      </c>
      <c r="T175" s="129">
        <f t="shared" si="83"/>
        <v>0</v>
      </c>
      <c r="U175" s="129">
        <f t="shared" si="84"/>
        <v>0</v>
      </c>
      <c r="V175" s="258"/>
      <c r="W175" s="129" t="str">
        <f t="shared" si="86"/>
        <v/>
      </c>
      <c r="X175" s="129">
        <f t="shared" si="85"/>
        <v>1</v>
      </c>
      <c r="Y175" s="129">
        <f t="shared" si="87"/>
        <v>1</v>
      </c>
      <c r="Z175" s="129" t="str" cm="1">
        <f t="array" ref="Z175">_xlfn.IFS(X175=4,"A",X175=3,"B",X175=2,"C",X175=1,"D")</f>
        <v>D</v>
      </c>
      <c r="AA175" s="129"/>
    </row>
    <row r="176" spans="1:27" customFormat="1" ht="7.5" customHeight="1">
      <c r="B176" s="65"/>
      <c r="C176" s="4"/>
      <c r="D176" s="4"/>
      <c r="E176" s="288"/>
      <c r="F176" s="4"/>
      <c r="G176" s="4"/>
      <c r="H176" s="1204"/>
      <c r="I176" s="1204"/>
      <c r="J176" s="4"/>
      <c r="K176" s="9"/>
      <c r="L176" s="2"/>
      <c r="M176" s="2"/>
      <c r="N176" s="2"/>
      <c r="R176" s="129">
        <f t="shared" si="81"/>
        <v>0</v>
      </c>
      <c r="S176" s="129">
        <f t="shared" si="82"/>
        <v>0</v>
      </c>
      <c r="T176" s="129">
        <f t="shared" si="83"/>
        <v>0</v>
      </c>
      <c r="U176" s="129">
        <f t="shared" si="84"/>
        <v>0</v>
      </c>
      <c r="V176" s="258"/>
      <c r="W176" s="129" t="str">
        <f t="shared" si="86"/>
        <v/>
      </c>
      <c r="X176" s="129">
        <f t="shared" si="85"/>
        <v>1</v>
      </c>
      <c r="Y176" s="129">
        <f t="shared" si="87"/>
        <v>1</v>
      </c>
      <c r="Z176" s="129" t="str" cm="1">
        <f t="array" ref="Z176">_xlfn.IFS(X176=4,"A",X176=3,"B",X176=2,"C",X176=1,"D")</f>
        <v>D</v>
      </c>
      <c r="AA176" s="175"/>
    </row>
    <row r="177" spans="1:27" customFormat="1" ht="6" customHeight="1">
      <c r="E177" s="3"/>
      <c r="H177" s="1198"/>
      <c r="I177" s="1198"/>
      <c r="L177" s="2"/>
      <c r="M177" s="2"/>
      <c r="N177" s="2"/>
      <c r="R177" s="129">
        <f t="shared" si="81"/>
        <v>0</v>
      </c>
      <c r="S177" s="129">
        <f t="shared" si="82"/>
        <v>0</v>
      </c>
      <c r="T177" s="129">
        <f t="shared" si="83"/>
        <v>0</v>
      </c>
      <c r="U177" s="129">
        <f t="shared" si="84"/>
        <v>0</v>
      </c>
      <c r="V177" s="258"/>
      <c r="W177" s="129" t="str">
        <f t="shared" si="86"/>
        <v/>
      </c>
      <c r="X177" s="129">
        <f t="shared" si="85"/>
        <v>1</v>
      </c>
      <c r="Y177" s="129">
        <f t="shared" si="87"/>
        <v>1</v>
      </c>
      <c r="Z177" s="129" t="str" cm="1">
        <f t="array" ref="Z177">_xlfn.IFS(X177=4,"A",X177=3,"B",X177=2,"C",X177=1,"D")</f>
        <v>D</v>
      </c>
      <c r="AA177" s="175"/>
    </row>
    <row r="178" spans="1:27" customFormat="1" ht="103.5" customHeight="1">
      <c r="C178" s="78"/>
      <c r="D178" s="79"/>
      <c r="E178" s="71" t="s">
        <v>236</v>
      </c>
      <c r="F178" s="1452"/>
      <c r="G178" s="1452"/>
      <c r="H178" s="1452"/>
      <c r="I178" s="1452"/>
      <c r="J178" s="1452"/>
      <c r="K178" s="80" t="s">
        <v>132</v>
      </c>
      <c r="L178" s="80"/>
    </row>
    <row r="179" spans="1:27" customFormat="1" ht="146.25" customHeight="1">
      <c r="C179" s="75"/>
      <c r="D179" s="68"/>
      <c r="E179" s="71" t="s">
        <v>235</v>
      </c>
      <c r="F179" s="1452"/>
      <c r="G179" s="1452"/>
      <c r="H179" s="1452"/>
      <c r="I179" s="1452"/>
      <c r="J179" s="1452"/>
      <c r="L179" s="2"/>
      <c r="M179" s="2"/>
      <c r="N179" s="2"/>
    </row>
    <row r="180" spans="1:27" customFormat="1" ht="13.5" customHeight="1" thickBot="1">
      <c r="A180" s="81"/>
      <c r="B180" s="81"/>
      <c r="C180" s="81"/>
      <c r="D180" s="81"/>
      <c r="E180" s="311"/>
      <c r="F180" s="81"/>
      <c r="G180" s="81"/>
      <c r="H180" s="1205"/>
      <c r="I180" s="1205"/>
      <c r="J180" s="81"/>
      <c r="K180" s="81"/>
      <c r="L180" s="82"/>
      <c r="M180" s="2"/>
      <c r="N180" s="2"/>
    </row>
    <row r="181" spans="1:27" customFormat="1" ht="13.5" customHeight="1">
      <c r="E181" s="3"/>
      <c r="H181" s="1198"/>
      <c r="I181" s="1198"/>
      <c r="L181" s="2"/>
      <c r="M181" s="2"/>
      <c r="N181" s="2"/>
    </row>
    <row r="182" spans="1:27" customFormat="1" ht="15" customHeight="1">
      <c r="B182" s="10"/>
      <c r="C182" s="5"/>
      <c r="D182" s="5"/>
      <c r="E182" s="305"/>
      <c r="F182" s="5"/>
      <c r="G182" s="5"/>
      <c r="H182" s="1199"/>
      <c r="I182" s="1199"/>
      <c r="J182" s="5"/>
      <c r="K182" s="6"/>
      <c r="R182" s="11" t="str">
        <f>D183</f>
        <v>(選択してください)</v>
      </c>
    </row>
    <row r="183" spans="1:27" customFormat="1">
      <c r="B183" s="7"/>
      <c r="C183" s="77" t="str">
        <f ca="1">IFERROR(OFFSET('4.3民生部門電力以外の排出削減取組'!$C$1,MATCH(D183,'4.3民生部門電力以外の排出削減取組'!$E:$E,0)-1,0),"")</f>
        <v/>
      </c>
      <c r="D183" s="94" t="s">
        <v>130</v>
      </c>
      <c r="E183" s="72" t="s">
        <v>12</v>
      </c>
      <c r="F183" s="1451" t="str">
        <f ca="1">IFERROR(OFFSET('4.3民生部門電力以外の排出削減取組'!$G$1,MATCH($D183,'4.3民生部門電力以外の排出削減取組'!$E:$E,0)-1,0),"")</f>
        <v/>
      </c>
      <c r="G183" s="1451"/>
      <c r="H183" s="1451"/>
      <c r="I183" s="1451"/>
      <c r="J183" s="1451"/>
      <c r="K183" s="8"/>
      <c r="R183" s="255" t="str">
        <f ca="1">IFERROR(OFFSET('4.3民生部門電力以外の排出削減取組'!$G$1,MATCH($D183,'4.3民生部門電力以外の排出削減取組'!$E:$E,0)-1,0),"")</f>
        <v/>
      </c>
      <c r="S183" s="175"/>
      <c r="T183" s="175"/>
      <c r="U183" s="175"/>
      <c r="V183" s="175"/>
      <c r="W183" s="175"/>
      <c r="X183" s="175"/>
      <c r="Y183" s="175"/>
      <c r="Z183" s="175"/>
      <c r="AA183" s="175">
        <f ca="1">(F183=R183)*1</f>
        <v>1</v>
      </c>
    </row>
    <row r="184" spans="1:27" customFormat="1">
      <c r="B184" s="7"/>
      <c r="C184" s="915"/>
      <c r="D184" s="97"/>
      <c r="E184" s="72" t="s">
        <v>612</v>
      </c>
      <c r="F184" s="1447" t="str">
        <f ca="1">IFERROR(OFFSET('4.3民生部門電力以外の排出削減取組'!$J$1,MATCH($D183,'4.3民生部門電力以外の排出削減取組'!$E:$E,0)-1,0),"")</f>
        <v/>
      </c>
      <c r="G184" s="1448"/>
      <c r="H184" s="1448"/>
      <c r="I184" s="1448"/>
      <c r="J184" s="1449"/>
      <c r="K184" s="8"/>
      <c r="R184" s="255" t="str">
        <f ca="1">IFERROR(OFFSET('4.3民生部門電力以外の排出削減取組'!$J$1,MATCH($D183,'4.3民生部門電力以外の排出削減取組'!$E:$E,0)-1,0),"")</f>
        <v/>
      </c>
      <c r="S184" s="175"/>
      <c r="T184" s="175"/>
      <c r="U184" s="175"/>
      <c r="V184" s="175"/>
      <c r="W184" s="175"/>
      <c r="X184" s="175"/>
      <c r="Y184" s="175"/>
      <c r="Z184" s="175"/>
      <c r="AA184" s="175">
        <f ca="1">(F184=R184)*1</f>
        <v>1</v>
      </c>
    </row>
    <row r="185" spans="1:27" customFormat="1">
      <c r="B185" s="7"/>
      <c r="C185" s="74"/>
      <c r="D185" s="66"/>
      <c r="E185" s="72" t="s">
        <v>280</v>
      </c>
      <c r="F185" s="1470" t="str">
        <f ca="1">IFERROR(OFFSET('4.3民生部門電力以外の排出削減取組'!$H$1,MATCH($D183,'4.3民生部門電力以外の排出削減取組'!$E:$E,0)-1,0),"")</f>
        <v/>
      </c>
      <c r="G185" s="1470"/>
      <c r="H185" s="1470"/>
      <c r="I185" s="1470"/>
      <c r="J185" s="1470"/>
      <c r="K185" s="8"/>
      <c r="R185" s="175" t="str">
        <f ca="1">IFERROR(OFFSET('4.3民生部門電力以外の排出削減取組'!$H$1,MATCH($D183,'4.3民生部門電力以外の排出削減取組'!$E:$E,0)-1,0),"")</f>
        <v/>
      </c>
      <c r="S185" s="175"/>
      <c r="T185" s="175"/>
      <c r="U185" s="175"/>
      <c r="V185" s="175"/>
      <c r="W185" s="175"/>
      <c r="X185" s="175"/>
      <c r="Y185" s="175"/>
      <c r="Z185" s="175"/>
      <c r="AA185" s="175">
        <f t="shared" ref="AA185:AA186" ca="1" si="88">(F185=R185)*1</f>
        <v>1</v>
      </c>
    </row>
    <row r="186" spans="1:27" customFormat="1">
      <c r="B186" s="7"/>
      <c r="C186" s="74"/>
      <c r="D186" s="66"/>
      <c r="E186" s="72" t="s">
        <v>175</v>
      </c>
      <c r="F186" s="1451" t="str">
        <f>_xlfn.IFNA(R186,"")</f>
        <v/>
      </c>
      <c r="G186" s="1451"/>
      <c r="H186" s="1451"/>
      <c r="I186" s="1451"/>
      <c r="J186" s="1451"/>
      <c r="K186" s="8"/>
      <c r="R186" s="129" t="str">
        <f>IF(OR(COUNTIF($E188:$E193,"&lt;&gt;〇〇(合意形成対象者名に書き換え)")=3,COUNTIF($E188:$E193,"")&gt;3),"",IF(PRODUCT($Y188:$Y193)=1,Z188,""))</f>
        <v/>
      </c>
      <c r="S186" s="175"/>
      <c r="T186" s="175"/>
      <c r="U186" s="175"/>
      <c r="V186" s="175"/>
      <c r="W186" s="175"/>
      <c r="X186" s="175"/>
      <c r="Y186" s="175"/>
      <c r="Z186" s="175"/>
      <c r="AA186" s="175">
        <f t="shared" si="88"/>
        <v>1</v>
      </c>
    </row>
    <row r="187" spans="1:27" ht="63.75" customHeight="1">
      <c r="B187" s="95"/>
      <c r="C187" s="96"/>
      <c r="D187" s="97"/>
      <c r="E187" s="888"/>
      <c r="F187" s="313" t="s">
        <v>278</v>
      </c>
      <c r="G187" s="313" t="s">
        <v>268</v>
      </c>
      <c r="H187" s="1200" t="s">
        <v>437</v>
      </c>
      <c r="I187" s="1200" t="s">
        <v>439</v>
      </c>
      <c r="J187" s="313" t="s">
        <v>279</v>
      </c>
      <c r="K187" s="98"/>
      <c r="L187" s="11"/>
      <c r="R187" s="126" t="s">
        <v>278</v>
      </c>
      <c r="S187" s="126" t="s">
        <v>440</v>
      </c>
      <c r="T187" s="295" t="s">
        <v>437</v>
      </c>
      <c r="U187" s="295" t="s">
        <v>438</v>
      </c>
      <c r="V187" s="256" t="s">
        <v>270</v>
      </c>
      <c r="W187" s="126" t="s">
        <v>426</v>
      </c>
      <c r="X187" s="129" t="s">
        <v>402</v>
      </c>
      <c r="Y187" s="129" t="s">
        <v>430</v>
      </c>
      <c r="Z187" s="126" t="s">
        <v>425</v>
      </c>
      <c r="AA187" s="255"/>
    </row>
    <row r="188" spans="1:27" hidden="1">
      <c r="B188" s="95"/>
      <c r="C188" s="96"/>
      <c r="D188" s="97"/>
      <c r="E188" s="889"/>
      <c r="F188" s="439"/>
      <c r="G188" s="439"/>
      <c r="H188" s="1201"/>
      <c r="I188" s="1201"/>
      <c r="J188" s="439"/>
      <c r="K188" s="98"/>
      <c r="L188" s="11"/>
      <c r="R188" s="129">
        <f t="shared" ref="R188:R193" si="89">IF(F188="実施済",1,0)</f>
        <v>0</v>
      </c>
      <c r="S188" s="129">
        <f t="shared" ref="S188:S193" si="90">IF(G188="実施済",R188*1,0)</f>
        <v>0</v>
      </c>
      <c r="T188" s="129">
        <f t="shared" ref="T188:T193" si="91">IF(H188="実施済",S188*1,0)</f>
        <v>0</v>
      </c>
      <c r="U188" s="129">
        <f t="shared" ref="U188:U193" si="92">IF(I188="実施済",T188*1,0)</f>
        <v>0</v>
      </c>
      <c r="V188" s="258"/>
      <c r="W188" s="129" t="str">
        <f>IF(OR(E188="〇〇(合意形成対象者名に書き換え)",E188=""),"",SUM(S188,T188,U188))</f>
        <v/>
      </c>
      <c r="X188" s="129">
        <f t="shared" ref="X188:X193" si="93">MIN($W$188:$W$193)+1</f>
        <v>1</v>
      </c>
      <c r="Y188" s="129">
        <f>IF(E188="",1,IF(AND(E188="〇〇(合意形成対象者名に書き換え)",COUNTA($F188:$J188)=0),1,IF(AND(E188&lt;&gt;"〇〇(合意形成対象者名に書き換え)",COUNTA($F188:$J188)=5),1,0)))</f>
        <v>1</v>
      </c>
      <c r="Z188" s="129" t="str" cm="1">
        <f t="array" ref="Z188">_xlfn.IFS(X188=4,"A",X188=3,"B",X188=2,"C",X188=1,"D")</f>
        <v>D</v>
      </c>
      <c r="AA188" s="255"/>
    </row>
    <row r="189" spans="1:27">
      <c r="B189" s="95"/>
      <c r="C189" s="96"/>
      <c r="D189" s="97"/>
      <c r="E189" s="890" t="s">
        <v>129</v>
      </c>
      <c r="F189" s="445"/>
      <c r="G189" s="445"/>
      <c r="H189" s="1202"/>
      <c r="I189" s="1202"/>
      <c r="J189" s="445"/>
      <c r="K189" s="98"/>
      <c r="L189" s="11"/>
      <c r="R189" s="129">
        <f t="shared" si="89"/>
        <v>0</v>
      </c>
      <c r="S189" s="129">
        <f t="shared" si="90"/>
        <v>0</v>
      </c>
      <c r="T189" s="129">
        <f t="shared" si="91"/>
        <v>0</v>
      </c>
      <c r="U189" s="129">
        <f t="shared" si="92"/>
        <v>0</v>
      </c>
      <c r="V189" s="258"/>
      <c r="W189" s="129" t="str">
        <f t="shared" ref="W189:W193" si="94">IF(OR(E189="〇〇(合意形成対象者名に書き換え)",E189=""),"",SUM(S189,T189,U189))</f>
        <v/>
      </c>
      <c r="X189" s="129">
        <f t="shared" si="93"/>
        <v>1</v>
      </c>
      <c r="Y189" s="129">
        <f t="shared" ref="Y189:Y193" si="95">IF(E189="",1,IF(AND(E189="〇〇(合意形成対象者名に書き換え)",COUNTA($F189:$J189)=0),1,IF(AND(E189&lt;&gt;"〇〇(合意形成対象者名に書き換え)",COUNTA($F189:$J189)=5),1,0)))</f>
        <v>1</v>
      </c>
      <c r="Z189" s="129" t="str" cm="1">
        <f t="array" ref="Z189">_xlfn.IFS(X189=4,"A",X189=3,"B",X189=2,"C",X189=1,"D")</f>
        <v>D</v>
      </c>
      <c r="AA189" s="255"/>
    </row>
    <row r="190" spans="1:27">
      <c r="B190" s="95"/>
      <c r="C190" s="96"/>
      <c r="D190" s="97"/>
      <c r="E190" s="890" t="s">
        <v>129</v>
      </c>
      <c r="F190" s="441"/>
      <c r="G190" s="441"/>
      <c r="H190" s="1203"/>
      <c r="I190" s="1203"/>
      <c r="J190" s="441"/>
      <c r="K190" s="98"/>
      <c r="L190" s="11"/>
      <c r="R190" s="129">
        <f t="shared" si="89"/>
        <v>0</v>
      </c>
      <c r="S190" s="129">
        <f t="shared" si="90"/>
        <v>0</v>
      </c>
      <c r="T190" s="129">
        <f t="shared" si="91"/>
        <v>0</v>
      </c>
      <c r="U190" s="129">
        <f t="shared" si="92"/>
        <v>0</v>
      </c>
      <c r="V190" s="258"/>
      <c r="W190" s="129" t="str">
        <f t="shared" si="94"/>
        <v/>
      </c>
      <c r="X190" s="129">
        <f t="shared" si="93"/>
        <v>1</v>
      </c>
      <c r="Y190" s="129">
        <f t="shared" si="95"/>
        <v>1</v>
      </c>
      <c r="Z190" s="129" t="str" cm="1">
        <f t="array" ref="Z190">_xlfn.IFS(X190=4,"A",X190=3,"B",X190=2,"C",X190=1,"D")</f>
        <v>D</v>
      </c>
      <c r="AA190" s="255"/>
    </row>
    <row r="191" spans="1:27" s="99" customFormat="1">
      <c r="A191" s="11"/>
      <c r="B191" s="95"/>
      <c r="C191" s="96"/>
      <c r="D191" s="97"/>
      <c r="E191" s="890" t="s">
        <v>129</v>
      </c>
      <c r="F191" s="441"/>
      <c r="G191" s="441"/>
      <c r="H191" s="1203"/>
      <c r="I191" s="1203"/>
      <c r="J191" s="441"/>
      <c r="K191" s="98"/>
      <c r="L191" s="11"/>
      <c r="O191" s="11"/>
      <c r="P191" s="11"/>
      <c r="Q191" s="11"/>
      <c r="R191" s="129">
        <f t="shared" si="89"/>
        <v>0</v>
      </c>
      <c r="S191" s="129">
        <f t="shared" si="90"/>
        <v>0</v>
      </c>
      <c r="T191" s="129">
        <f t="shared" si="91"/>
        <v>0</v>
      </c>
      <c r="U191" s="129">
        <f t="shared" si="92"/>
        <v>0</v>
      </c>
      <c r="V191" s="258"/>
      <c r="W191" s="129" t="str">
        <f t="shared" si="94"/>
        <v/>
      </c>
      <c r="X191" s="129">
        <f t="shared" si="93"/>
        <v>1</v>
      </c>
      <c r="Y191" s="129">
        <f t="shared" si="95"/>
        <v>1</v>
      </c>
      <c r="Z191" s="129" t="str" cm="1">
        <f t="array" ref="Z191">_xlfn.IFS(X191=4,"A",X191=3,"B",X191=2,"C",X191=1,"D")</f>
        <v>D</v>
      </c>
      <c r="AA191" s="129"/>
    </row>
    <row r="192" spans="1:27" customFormat="1" ht="7.5" customHeight="1">
      <c r="B192" s="65"/>
      <c r="C192" s="4"/>
      <c r="D192" s="4"/>
      <c r="E192" s="288"/>
      <c r="F192" s="4"/>
      <c r="G192" s="4"/>
      <c r="H192" s="1204"/>
      <c r="I192" s="1204"/>
      <c r="J192" s="4"/>
      <c r="K192" s="9"/>
      <c r="L192" s="2"/>
      <c r="M192" s="2"/>
      <c r="N192" s="2"/>
      <c r="R192" s="129">
        <f t="shared" si="89"/>
        <v>0</v>
      </c>
      <c r="S192" s="129">
        <f t="shared" si="90"/>
        <v>0</v>
      </c>
      <c r="T192" s="129">
        <f t="shared" si="91"/>
        <v>0</v>
      </c>
      <c r="U192" s="129">
        <f t="shared" si="92"/>
        <v>0</v>
      </c>
      <c r="V192" s="258"/>
      <c r="W192" s="129" t="str">
        <f t="shared" si="94"/>
        <v/>
      </c>
      <c r="X192" s="129">
        <f t="shared" si="93"/>
        <v>1</v>
      </c>
      <c r="Y192" s="129">
        <f t="shared" si="95"/>
        <v>1</v>
      </c>
      <c r="Z192" s="129" t="str" cm="1">
        <f t="array" ref="Z192">_xlfn.IFS(X192=4,"A",X192=3,"B",X192=2,"C",X192=1,"D")</f>
        <v>D</v>
      </c>
      <c r="AA192" s="175"/>
    </row>
    <row r="193" spans="1:27" customFormat="1" ht="6" customHeight="1">
      <c r="E193" s="3"/>
      <c r="H193" s="1198"/>
      <c r="I193" s="1198"/>
      <c r="L193" s="2"/>
      <c r="M193" s="2"/>
      <c r="N193" s="2"/>
      <c r="R193" s="129">
        <f t="shared" si="89"/>
        <v>0</v>
      </c>
      <c r="S193" s="129">
        <f t="shared" si="90"/>
        <v>0</v>
      </c>
      <c r="T193" s="129">
        <f t="shared" si="91"/>
        <v>0</v>
      </c>
      <c r="U193" s="129">
        <f t="shared" si="92"/>
        <v>0</v>
      </c>
      <c r="V193" s="258"/>
      <c r="W193" s="129" t="str">
        <f t="shared" si="94"/>
        <v/>
      </c>
      <c r="X193" s="129">
        <f t="shared" si="93"/>
        <v>1</v>
      </c>
      <c r="Y193" s="129">
        <f t="shared" si="95"/>
        <v>1</v>
      </c>
      <c r="Z193" s="129" t="str" cm="1">
        <f t="array" ref="Z193">_xlfn.IFS(X193=4,"A",X193=3,"B",X193=2,"C",X193=1,"D")</f>
        <v>D</v>
      </c>
      <c r="AA193" s="175"/>
    </row>
    <row r="194" spans="1:27" customFormat="1" ht="103.5" customHeight="1">
      <c r="C194" s="78"/>
      <c r="D194" s="79"/>
      <c r="E194" s="71" t="s">
        <v>236</v>
      </c>
      <c r="F194" s="1452"/>
      <c r="G194" s="1452"/>
      <c r="H194" s="1452"/>
      <c r="I194" s="1452"/>
      <c r="J194" s="1452"/>
      <c r="K194" s="80" t="s">
        <v>132</v>
      </c>
      <c r="L194" s="80"/>
    </row>
    <row r="195" spans="1:27" customFormat="1" ht="146.25" customHeight="1">
      <c r="C195" s="75"/>
      <c r="D195" s="68"/>
      <c r="E195" s="71" t="s">
        <v>235</v>
      </c>
      <c r="F195" s="1452"/>
      <c r="G195" s="1452"/>
      <c r="H195" s="1452"/>
      <c r="I195" s="1452"/>
      <c r="J195" s="1452"/>
      <c r="L195" s="2"/>
      <c r="M195" s="2"/>
      <c r="N195" s="2"/>
    </row>
    <row r="196" spans="1:27" customFormat="1" ht="13.5" customHeight="1" thickBot="1">
      <c r="A196" s="81"/>
      <c r="B196" s="81"/>
      <c r="C196" s="81"/>
      <c r="D196" s="81"/>
      <c r="E196" s="311"/>
      <c r="F196" s="81"/>
      <c r="G196" s="81"/>
      <c r="H196" s="1205"/>
      <c r="I196" s="1205"/>
      <c r="J196" s="81"/>
      <c r="K196" s="81"/>
      <c r="L196" s="82"/>
      <c r="M196" s="2"/>
      <c r="N196" s="2"/>
    </row>
    <row r="197" spans="1:27" customFormat="1" ht="13.5" customHeight="1">
      <c r="E197" s="3"/>
      <c r="H197" s="1198"/>
      <c r="I197" s="1198"/>
      <c r="L197" s="2"/>
      <c r="M197" s="2"/>
      <c r="N197" s="2"/>
    </row>
    <row r="198" spans="1:27" customFormat="1" ht="15" customHeight="1">
      <c r="B198" s="10"/>
      <c r="C198" s="5"/>
      <c r="D198" s="5"/>
      <c r="E198" s="305"/>
      <c r="F198" s="5"/>
      <c r="G198" s="5"/>
      <c r="H198" s="1199"/>
      <c r="I198" s="1199"/>
      <c r="J198" s="5"/>
      <c r="K198" s="6"/>
      <c r="R198" s="11" t="str">
        <f>D199</f>
        <v>(選択してください)</v>
      </c>
    </row>
    <row r="199" spans="1:27" customFormat="1">
      <c r="B199" s="7"/>
      <c r="C199" s="77" t="str">
        <f ca="1">IFERROR(OFFSET('4.3民生部門電力以外の排出削減取組'!$C$1,MATCH(D199,'4.3民生部門電力以外の排出削減取組'!$E:$E,0)-1,0),"")</f>
        <v/>
      </c>
      <c r="D199" s="94" t="s">
        <v>130</v>
      </c>
      <c r="E199" s="72" t="s">
        <v>12</v>
      </c>
      <c r="F199" s="1451" t="str">
        <f ca="1">IFERROR(OFFSET('4.3民生部門電力以外の排出削減取組'!$G$1,MATCH($D199,'4.3民生部門電力以外の排出削減取組'!$E:$E,0)-1,0),"")</f>
        <v/>
      </c>
      <c r="G199" s="1451"/>
      <c r="H199" s="1451"/>
      <c r="I199" s="1451"/>
      <c r="J199" s="1451"/>
      <c r="K199" s="8"/>
      <c r="R199" s="255" t="str">
        <f ca="1">IFERROR(OFFSET('4.3民生部門電力以外の排出削減取組'!$G$1,MATCH($D199,'4.3民生部門電力以外の排出削減取組'!$E:$E,0)-1,0),"")</f>
        <v/>
      </c>
      <c r="S199" s="175"/>
      <c r="T199" s="175"/>
      <c r="U199" s="175"/>
      <c r="V199" s="175"/>
      <c r="W199" s="175"/>
      <c r="X199" s="175"/>
      <c r="Y199" s="175"/>
      <c r="Z199" s="175"/>
      <c r="AA199" s="175">
        <f ca="1">(F199=R199)*1</f>
        <v>1</v>
      </c>
    </row>
    <row r="200" spans="1:27" customFormat="1">
      <c r="B200" s="7"/>
      <c r="C200" s="915"/>
      <c r="D200" s="97"/>
      <c r="E200" s="72" t="s">
        <v>612</v>
      </c>
      <c r="F200" s="1447" t="str">
        <f ca="1">IFERROR(OFFSET('4.3民生部門電力以外の排出削減取組'!$J$1,MATCH($D199,'4.3民生部門電力以外の排出削減取組'!$E:$E,0)-1,0),"")</f>
        <v/>
      </c>
      <c r="G200" s="1448"/>
      <c r="H200" s="1448"/>
      <c r="I200" s="1448"/>
      <c r="J200" s="1449"/>
      <c r="K200" s="8"/>
      <c r="R200" s="255" t="str">
        <f ca="1">IFERROR(OFFSET('4.3民生部門電力以外の排出削減取組'!$J$1,MATCH($D199,'4.3民生部門電力以外の排出削減取組'!$E:$E,0)-1,0),"")</f>
        <v/>
      </c>
      <c r="S200" s="175"/>
      <c r="T200" s="175"/>
      <c r="U200" s="175"/>
      <c r="V200" s="175"/>
      <c r="W200" s="175"/>
      <c r="X200" s="175"/>
      <c r="Y200" s="175"/>
      <c r="Z200" s="175"/>
      <c r="AA200" s="175">
        <f ca="1">(F200=R200)*1</f>
        <v>1</v>
      </c>
    </row>
    <row r="201" spans="1:27" customFormat="1">
      <c r="B201" s="7"/>
      <c r="C201" s="74"/>
      <c r="D201" s="66"/>
      <c r="E201" s="72" t="s">
        <v>280</v>
      </c>
      <c r="F201" s="1470" t="str">
        <f ca="1">IFERROR(OFFSET('4.3民生部門電力以外の排出削減取組'!$H$1,MATCH($D199,'4.3民生部門電力以外の排出削減取組'!$E:$E,0)-1,0),"")</f>
        <v/>
      </c>
      <c r="G201" s="1470"/>
      <c r="H201" s="1470"/>
      <c r="I201" s="1470"/>
      <c r="J201" s="1470"/>
      <c r="K201" s="8"/>
      <c r="R201" s="175" t="str">
        <f ca="1">IFERROR(OFFSET('4.3民生部門電力以外の排出削減取組'!$H$1,MATCH($D199,'4.3民生部門電力以外の排出削減取組'!$E:$E,0)-1,0),"")</f>
        <v/>
      </c>
      <c r="S201" s="175"/>
      <c r="T201" s="175"/>
      <c r="U201" s="175"/>
      <c r="V201" s="175"/>
      <c r="W201" s="175"/>
      <c r="X201" s="175"/>
      <c r="Y201" s="175"/>
      <c r="Z201" s="175"/>
      <c r="AA201" s="175">
        <f t="shared" ref="AA201:AA202" ca="1" si="96">(F201=R201)*1</f>
        <v>1</v>
      </c>
    </row>
    <row r="202" spans="1:27" customFormat="1">
      <c r="B202" s="7"/>
      <c r="C202" s="74"/>
      <c r="D202" s="66"/>
      <c r="E202" s="72" t="s">
        <v>175</v>
      </c>
      <c r="F202" s="1451" t="str">
        <f>_xlfn.IFNA(R202,"")</f>
        <v/>
      </c>
      <c r="G202" s="1451"/>
      <c r="H202" s="1451"/>
      <c r="I202" s="1451"/>
      <c r="J202" s="1451"/>
      <c r="K202" s="8"/>
      <c r="R202" s="129" t="str">
        <f>IF(OR(COUNTIF($E204:$E209,"&lt;&gt;〇〇(合意形成対象者名に書き換え)")=3,COUNTIF($E204:$E209,"")&gt;3),"",IF(PRODUCT($Y204:$Y209)=1,Z204,""))</f>
        <v/>
      </c>
      <c r="S202" s="175"/>
      <c r="T202" s="175"/>
      <c r="U202" s="175"/>
      <c r="V202" s="175"/>
      <c r="W202" s="175"/>
      <c r="X202" s="175"/>
      <c r="Y202" s="175"/>
      <c r="Z202" s="175"/>
      <c r="AA202" s="175">
        <f t="shared" si="96"/>
        <v>1</v>
      </c>
    </row>
    <row r="203" spans="1:27" ht="63.75" customHeight="1">
      <c r="B203" s="95"/>
      <c r="C203" s="96"/>
      <c r="D203" s="97"/>
      <c r="E203" s="888"/>
      <c r="F203" s="313" t="s">
        <v>278</v>
      </c>
      <c r="G203" s="313" t="s">
        <v>268</v>
      </c>
      <c r="H203" s="1200" t="s">
        <v>437</v>
      </c>
      <c r="I203" s="1200" t="s">
        <v>439</v>
      </c>
      <c r="J203" s="313" t="s">
        <v>279</v>
      </c>
      <c r="K203" s="98"/>
      <c r="L203" s="11"/>
      <c r="R203" s="126" t="s">
        <v>278</v>
      </c>
      <c r="S203" s="126" t="s">
        <v>440</v>
      </c>
      <c r="T203" s="295" t="s">
        <v>437</v>
      </c>
      <c r="U203" s="295" t="s">
        <v>438</v>
      </c>
      <c r="V203" s="256" t="s">
        <v>270</v>
      </c>
      <c r="W203" s="126" t="s">
        <v>426</v>
      </c>
      <c r="X203" s="129" t="s">
        <v>402</v>
      </c>
      <c r="Y203" s="129" t="s">
        <v>430</v>
      </c>
      <c r="Z203" s="126" t="s">
        <v>425</v>
      </c>
      <c r="AA203" s="255"/>
    </row>
    <row r="204" spans="1:27" hidden="1">
      <c r="B204" s="95"/>
      <c r="C204" s="96"/>
      <c r="D204" s="97"/>
      <c r="E204" s="889"/>
      <c r="F204" s="439"/>
      <c r="G204" s="439"/>
      <c r="H204" s="1201"/>
      <c r="I204" s="1201"/>
      <c r="J204" s="439"/>
      <c r="K204" s="98"/>
      <c r="L204" s="11"/>
      <c r="R204" s="129">
        <f t="shared" ref="R204:R209" si="97">IF(F204="実施済",1,0)</f>
        <v>0</v>
      </c>
      <c r="S204" s="129">
        <f t="shared" ref="S204:S209" si="98">IF(G204="実施済",R204*1,0)</f>
        <v>0</v>
      </c>
      <c r="T204" s="129">
        <f t="shared" ref="T204:T209" si="99">IF(H204="実施済",S204*1,0)</f>
        <v>0</v>
      </c>
      <c r="U204" s="129">
        <f t="shared" ref="U204:U209" si="100">IF(I204="実施済",T204*1,0)</f>
        <v>0</v>
      </c>
      <c r="V204" s="258"/>
      <c r="W204" s="129" t="str">
        <f>IF(OR(E204="〇〇(合意形成対象者名に書き換え)",E204=""),"",SUM(S204,T204,U204))</f>
        <v/>
      </c>
      <c r="X204" s="129">
        <f t="shared" ref="X204:X209" si="101">MIN($W$204:$W$209)+1</f>
        <v>1</v>
      </c>
      <c r="Y204" s="129">
        <f>IF(E204="",1,IF(AND(E204="〇〇(合意形成対象者名に書き換え)",COUNTA($F204:$J204)=0),1,IF(AND(E204&lt;&gt;"〇〇(合意形成対象者名に書き換え)",COUNTA($F204:$J204)=5),1,0)))</f>
        <v>1</v>
      </c>
      <c r="Z204" s="129" t="str" cm="1">
        <f t="array" ref="Z204">_xlfn.IFS(X204=4,"A",X204=3,"B",X204=2,"C",X204=1,"D")</f>
        <v>D</v>
      </c>
      <c r="AA204" s="255"/>
    </row>
    <row r="205" spans="1:27">
      <c r="B205" s="95"/>
      <c r="C205" s="96"/>
      <c r="D205" s="97"/>
      <c r="E205" s="890" t="s">
        <v>129</v>
      </c>
      <c r="F205" s="445"/>
      <c r="G205" s="445"/>
      <c r="H205" s="1202"/>
      <c r="I205" s="1202"/>
      <c r="J205" s="445"/>
      <c r="K205" s="98"/>
      <c r="L205" s="11"/>
      <c r="R205" s="129">
        <f t="shared" si="97"/>
        <v>0</v>
      </c>
      <c r="S205" s="129">
        <f t="shared" si="98"/>
        <v>0</v>
      </c>
      <c r="T205" s="129">
        <f t="shared" si="99"/>
        <v>0</v>
      </c>
      <c r="U205" s="129">
        <f t="shared" si="100"/>
        <v>0</v>
      </c>
      <c r="V205" s="258"/>
      <c r="W205" s="129" t="str">
        <f t="shared" ref="W205:W209" si="102">IF(OR(E205="〇〇(合意形成対象者名に書き換え)",E205=""),"",SUM(S205,T205,U205))</f>
        <v/>
      </c>
      <c r="X205" s="129">
        <f t="shared" si="101"/>
        <v>1</v>
      </c>
      <c r="Y205" s="129">
        <f t="shared" ref="Y205:Y209" si="103">IF(E205="",1,IF(AND(E205="〇〇(合意形成対象者名に書き換え)",COUNTA($F205:$J205)=0),1,IF(AND(E205&lt;&gt;"〇〇(合意形成対象者名に書き換え)",COUNTA($F205:$J205)=5),1,0)))</f>
        <v>1</v>
      </c>
      <c r="Z205" s="129" t="str" cm="1">
        <f t="array" ref="Z205">_xlfn.IFS(X205=4,"A",X205=3,"B",X205=2,"C",X205=1,"D")</f>
        <v>D</v>
      </c>
      <c r="AA205" s="255"/>
    </row>
    <row r="206" spans="1:27">
      <c r="B206" s="95"/>
      <c r="C206" s="96"/>
      <c r="D206" s="97"/>
      <c r="E206" s="890" t="s">
        <v>129</v>
      </c>
      <c r="F206" s="441"/>
      <c r="G206" s="441"/>
      <c r="H206" s="1203"/>
      <c r="I206" s="1203"/>
      <c r="J206" s="441"/>
      <c r="K206" s="98"/>
      <c r="L206" s="11"/>
      <c r="R206" s="129">
        <f t="shared" si="97"/>
        <v>0</v>
      </c>
      <c r="S206" s="129">
        <f t="shared" si="98"/>
        <v>0</v>
      </c>
      <c r="T206" s="129">
        <f t="shared" si="99"/>
        <v>0</v>
      </c>
      <c r="U206" s="129">
        <f t="shared" si="100"/>
        <v>0</v>
      </c>
      <c r="V206" s="258"/>
      <c r="W206" s="129" t="str">
        <f t="shared" si="102"/>
        <v/>
      </c>
      <c r="X206" s="129">
        <f t="shared" si="101"/>
        <v>1</v>
      </c>
      <c r="Y206" s="129">
        <f t="shared" si="103"/>
        <v>1</v>
      </c>
      <c r="Z206" s="129" t="str" cm="1">
        <f t="array" ref="Z206">_xlfn.IFS(X206=4,"A",X206=3,"B",X206=2,"C",X206=1,"D")</f>
        <v>D</v>
      </c>
      <c r="AA206" s="255"/>
    </row>
    <row r="207" spans="1:27" s="99" customFormat="1">
      <c r="A207" s="11"/>
      <c r="B207" s="95"/>
      <c r="C207" s="96"/>
      <c r="D207" s="97"/>
      <c r="E207" s="890" t="s">
        <v>129</v>
      </c>
      <c r="F207" s="441"/>
      <c r="G207" s="441"/>
      <c r="H207" s="1203"/>
      <c r="I207" s="1203"/>
      <c r="J207" s="441"/>
      <c r="K207" s="98"/>
      <c r="L207" s="11"/>
      <c r="O207" s="11"/>
      <c r="P207" s="11"/>
      <c r="Q207" s="11"/>
      <c r="R207" s="129">
        <f t="shared" si="97"/>
        <v>0</v>
      </c>
      <c r="S207" s="129">
        <f t="shared" si="98"/>
        <v>0</v>
      </c>
      <c r="T207" s="129">
        <f t="shared" si="99"/>
        <v>0</v>
      </c>
      <c r="U207" s="129">
        <f t="shared" si="100"/>
        <v>0</v>
      </c>
      <c r="V207" s="258"/>
      <c r="W207" s="129" t="str">
        <f t="shared" si="102"/>
        <v/>
      </c>
      <c r="X207" s="129">
        <f t="shared" si="101"/>
        <v>1</v>
      </c>
      <c r="Y207" s="129">
        <f t="shared" si="103"/>
        <v>1</v>
      </c>
      <c r="Z207" s="129" t="str" cm="1">
        <f t="array" ref="Z207">_xlfn.IFS(X207=4,"A",X207=3,"B",X207=2,"C",X207=1,"D")</f>
        <v>D</v>
      </c>
      <c r="AA207" s="129"/>
    </row>
    <row r="208" spans="1:27" customFormat="1" ht="7.5" customHeight="1">
      <c r="B208" s="65"/>
      <c r="C208" s="4"/>
      <c r="D208" s="4"/>
      <c r="E208" s="288"/>
      <c r="F208" s="4"/>
      <c r="G208" s="4"/>
      <c r="H208" s="1204"/>
      <c r="I208" s="1204"/>
      <c r="J208" s="4"/>
      <c r="K208" s="9"/>
      <c r="L208" s="2"/>
      <c r="M208" s="2"/>
      <c r="N208" s="2"/>
      <c r="R208" s="129">
        <f t="shared" si="97"/>
        <v>0</v>
      </c>
      <c r="S208" s="129">
        <f t="shared" si="98"/>
        <v>0</v>
      </c>
      <c r="T208" s="129">
        <f t="shared" si="99"/>
        <v>0</v>
      </c>
      <c r="U208" s="129">
        <f t="shared" si="100"/>
        <v>0</v>
      </c>
      <c r="V208" s="258"/>
      <c r="W208" s="129" t="str">
        <f t="shared" si="102"/>
        <v/>
      </c>
      <c r="X208" s="129">
        <f t="shared" si="101"/>
        <v>1</v>
      </c>
      <c r="Y208" s="129">
        <f t="shared" si="103"/>
        <v>1</v>
      </c>
      <c r="Z208" s="129" t="str" cm="1">
        <f t="array" ref="Z208">_xlfn.IFS(X208=4,"A",X208=3,"B",X208=2,"C",X208=1,"D")</f>
        <v>D</v>
      </c>
      <c r="AA208" s="175"/>
    </row>
    <row r="209" spans="1:27" customFormat="1" ht="6" customHeight="1">
      <c r="E209" s="3"/>
      <c r="H209" s="1198"/>
      <c r="I209" s="1198"/>
      <c r="L209" s="2"/>
      <c r="M209" s="2"/>
      <c r="N209" s="2"/>
      <c r="R209" s="129">
        <f t="shared" si="97"/>
        <v>0</v>
      </c>
      <c r="S209" s="129">
        <f t="shared" si="98"/>
        <v>0</v>
      </c>
      <c r="T209" s="129">
        <f t="shared" si="99"/>
        <v>0</v>
      </c>
      <c r="U209" s="129">
        <f t="shared" si="100"/>
        <v>0</v>
      </c>
      <c r="V209" s="258"/>
      <c r="W209" s="129" t="str">
        <f t="shared" si="102"/>
        <v/>
      </c>
      <c r="X209" s="129">
        <f t="shared" si="101"/>
        <v>1</v>
      </c>
      <c r="Y209" s="129">
        <f t="shared" si="103"/>
        <v>1</v>
      </c>
      <c r="Z209" s="129" t="str" cm="1">
        <f t="array" ref="Z209">_xlfn.IFS(X209=4,"A",X209=3,"B",X209=2,"C",X209=1,"D")</f>
        <v>D</v>
      </c>
      <c r="AA209" s="175"/>
    </row>
    <row r="210" spans="1:27" customFormat="1" ht="103.5" customHeight="1">
      <c r="C210" s="78"/>
      <c r="D210" s="79"/>
      <c r="E210" s="71" t="s">
        <v>236</v>
      </c>
      <c r="F210" s="1452"/>
      <c r="G210" s="1452"/>
      <c r="H210" s="1452"/>
      <c r="I210" s="1452"/>
      <c r="J210" s="1452"/>
      <c r="K210" s="80" t="s">
        <v>132</v>
      </c>
      <c r="L210" s="80"/>
    </row>
    <row r="211" spans="1:27" customFormat="1" ht="146.25" customHeight="1">
      <c r="C211" s="75"/>
      <c r="D211" s="68"/>
      <c r="E211" s="71" t="s">
        <v>235</v>
      </c>
      <c r="F211" s="1452"/>
      <c r="G211" s="1452"/>
      <c r="H211" s="1452"/>
      <c r="I211" s="1452"/>
      <c r="J211" s="1452"/>
      <c r="L211" s="2"/>
      <c r="M211" s="2"/>
      <c r="N211" s="2"/>
    </row>
    <row r="212" spans="1:27" customFormat="1" ht="13.5" customHeight="1" thickBot="1">
      <c r="A212" s="81"/>
      <c r="B212" s="81"/>
      <c r="C212" s="81"/>
      <c r="D212" s="81"/>
      <c r="E212" s="311"/>
      <c r="F212" s="81"/>
      <c r="G212" s="81"/>
      <c r="H212" s="1205"/>
      <c r="I212" s="1205"/>
      <c r="J212" s="81"/>
      <c r="K212" s="81"/>
      <c r="L212" s="82"/>
      <c r="M212" s="2"/>
      <c r="N212" s="2"/>
    </row>
    <row r="213" spans="1:27" customFormat="1" ht="13.5" customHeight="1">
      <c r="E213" s="3"/>
      <c r="H213" s="1198"/>
      <c r="I213" s="1198"/>
      <c r="L213" s="2"/>
      <c r="M213" s="2"/>
      <c r="N213" s="2"/>
    </row>
    <row r="214" spans="1:27" customFormat="1" ht="15" customHeight="1">
      <c r="B214" s="10"/>
      <c r="C214" s="5"/>
      <c r="D214" s="5"/>
      <c r="E214" s="305"/>
      <c r="F214" s="5"/>
      <c r="G214" s="5"/>
      <c r="H214" s="1199"/>
      <c r="I214" s="1199"/>
      <c r="J214" s="5"/>
      <c r="K214" s="6"/>
      <c r="R214" s="11" t="str">
        <f>D215</f>
        <v>(選択してください)</v>
      </c>
    </row>
    <row r="215" spans="1:27" customFormat="1">
      <c r="B215" s="7"/>
      <c r="C215" s="77" t="str">
        <f ca="1">IFERROR(OFFSET('4.3民生部門電力以外の排出削減取組'!$C$1,MATCH(D215,'4.3民生部門電力以外の排出削減取組'!$E:$E,0)-1,0),"")</f>
        <v/>
      </c>
      <c r="D215" s="94" t="s">
        <v>130</v>
      </c>
      <c r="E215" s="72" t="s">
        <v>12</v>
      </c>
      <c r="F215" s="1451" t="str">
        <f ca="1">IFERROR(OFFSET('4.3民生部門電力以外の排出削減取組'!$G$1,MATCH($D215,'4.3民生部門電力以外の排出削減取組'!$E:$E,0)-1,0),"")</f>
        <v/>
      </c>
      <c r="G215" s="1451"/>
      <c r="H215" s="1451"/>
      <c r="I215" s="1451"/>
      <c r="J215" s="1451"/>
      <c r="K215" s="8"/>
      <c r="R215" s="255" t="str">
        <f ca="1">IFERROR(OFFSET('4.3民生部門電力以外の排出削減取組'!$G$1,MATCH($D215,'4.3民生部門電力以外の排出削減取組'!$E:$E,0)-1,0),"")</f>
        <v/>
      </c>
      <c r="S215" s="175"/>
      <c r="T215" s="175"/>
      <c r="U215" s="175"/>
      <c r="V215" s="175"/>
      <c r="W215" s="175"/>
      <c r="X215" s="175"/>
      <c r="Y215" s="175"/>
      <c r="Z215" s="175"/>
      <c r="AA215" s="175">
        <f ca="1">(F215=R215)*1</f>
        <v>1</v>
      </c>
    </row>
    <row r="216" spans="1:27" customFormat="1">
      <c r="B216" s="7"/>
      <c r="C216" s="915"/>
      <c r="D216" s="97"/>
      <c r="E216" s="72" t="s">
        <v>612</v>
      </c>
      <c r="F216" s="1447" t="str">
        <f ca="1">IFERROR(OFFSET('4.3民生部門電力以外の排出削減取組'!$J$1,MATCH($D215,'4.3民生部門電力以外の排出削減取組'!$E:$E,0)-1,0),"")</f>
        <v/>
      </c>
      <c r="G216" s="1448"/>
      <c r="H216" s="1448"/>
      <c r="I216" s="1448"/>
      <c r="J216" s="1449"/>
      <c r="K216" s="8"/>
      <c r="R216" s="255" t="str">
        <f ca="1">IFERROR(OFFSET('4.3民生部門電力以外の排出削減取組'!$J$1,MATCH($D215,'4.3民生部門電力以外の排出削減取組'!$E:$E,0)-1,0),"")</f>
        <v/>
      </c>
      <c r="S216" s="175"/>
      <c r="T216" s="175"/>
      <c r="U216" s="175"/>
      <c r="V216" s="175"/>
      <c r="W216" s="175"/>
      <c r="X216" s="175"/>
      <c r="Y216" s="175"/>
      <c r="Z216" s="175"/>
      <c r="AA216" s="175">
        <f ca="1">(F216=R216)*1</f>
        <v>1</v>
      </c>
    </row>
    <row r="217" spans="1:27" customFormat="1">
      <c r="B217" s="7"/>
      <c r="C217" s="74"/>
      <c r="D217" s="66"/>
      <c r="E217" s="72" t="s">
        <v>280</v>
      </c>
      <c r="F217" s="1470" t="str">
        <f ca="1">IFERROR(OFFSET('4.3民生部門電力以外の排出削減取組'!$H$1,MATCH($D215,'4.3民生部門電力以外の排出削減取組'!$E:$E,0)-1,0),"")</f>
        <v/>
      </c>
      <c r="G217" s="1470"/>
      <c r="H217" s="1470"/>
      <c r="I217" s="1470"/>
      <c r="J217" s="1470"/>
      <c r="K217" s="8"/>
      <c r="R217" s="175" t="str">
        <f ca="1">IFERROR(OFFSET('4.3民生部門電力以外の排出削減取組'!$H$1,MATCH($D215,'4.3民生部門電力以外の排出削減取組'!$E:$E,0)-1,0),"")</f>
        <v/>
      </c>
      <c r="S217" s="175"/>
      <c r="T217" s="175"/>
      <c r="U217" s="175"/>
      <c r="V217" s="175"/>
      <c r="W217" s="175"/>
      <c r="X217" s="175"/>
      <c r="Y217" s="175"/>
      <c r="Z217" s="175"/>
      <c r="AA217" s="175">
        <f t="shared" ref="AA217:AA218" ca="1" si="104">(F217=R217)*1</f>
        <v>1</v>
      </c>
    </row>
    <row r="218" spans="1:27" customFormat="1">
      <c r="B218" s="7"/>
      <c r="C218" s="74"/>
      <c r="D218" s="66"/>
      <c r="E218" s="72" t="s">
        <v>175</v>
      </c>
      <c r="F218" s="1451" t="str">
        <f>_xlfn.IFNA(R218,"")</f>
        <v/>
      </c>
      <c r="G218" s="1451"/>
      <c r="H218" s="1451"/>
      <c r="I218" s="1451"/>
      <c r="J218" s="1451"/>
      <c r="K218" s="8"/>
      <c r="R218" s="129" t="str">
        <f>IF(OR(COUNTIF($E220:$E225,"&lt;&gt;〇〇(合意形成対象者名に書き換え)")=3,COUNTIF($E220:$E225,"")&gt;3),"",IF(PRODUCT($Y220:$Y225)=1,Z220,""))</f>
        <v/>
      </c>
      <c r="S218" s="175"/>
      <c r="T218" s="175"/>
      <c r="U218" s="175"/>
      <c r="V218" s="175"/>
      <c r="W218" s="175"/>
      <c r="X218" s="175"/>
      <c r="Y218" s="175"/>
      <c r="Z218" s="175"/>
      <c r="AA218" s="175">
        <f t="shared" si="104"/>
        <v>1</v>
      </c>
    </row>
    <row r="219" spans="1:27" ht="63.75" customHeight="1">
      <c r="B219" s="95"/>
      <c r="C219" s="96"/>
      <c r="D219" s="97"/>
      <c r="E219" s="888"/>
      <c r="F219" s="313" t="s">
        <v>278</v>
      </c>
      <c r="G219" s="313" t="s">
        <v>268</v>
      </c>
      <c r="H219" s="1200" t="s">
        <v>437</v>
      </c>
      <c r="I219" s="1200" t="s">
        <v>439</v>
      </c>
      <c r="J219" s="313" t="s">
        <v>279</v>
      </c>
      <c r="K219" s="98"/>
      <c r="L219" s="11"/>
      <c r="R219" s="126" t="s">
        <v>278</v>
      </c>
      <c r="S219" s="126" t="s">
        <v>440</v>
      </c>
      <c r="T219" s="295" t="s">
        <v>437</v>
      </c>
      <c r="U219" s="295" t="s">
        <v>438</v>
      </c>
      <c r="V219" s="256" t="s">
        <v>270</v>
      </c>
      <c r="W219" s="126" t="s">
        <v>426</v>
      </c>
      <c r="X219" s="129" t="s">
        <v>402</v>
      </c>
      <c r="Y219" s="129" t="s">
        <v>430</v>
      </c>
      <c r="Z219" s="126" t="s">
        <v>425</v>
      </c>
      <c r="AA219" s="255"/>
    </row>
    <row r="220" spans="1:27" hidden="1">
      <c r="B220" s="95"/>
      <c r="C220" s="96"/>
      <c r="D220" s="97"/>
      <c r="E220" s="889"/>
      <c r="F220" s="439"/>
      <c r="G220" s="439"/>
      <c r="H220" s="1201"/>
      <c r="I220" s="1201"/>
      <c r="J220" s="439"/>
      <c r="K220" s="98"/>
      <c r="L220" s="11"/>
      <c r="R220" s="129">
        <f t="shared" ref="R220:R225" si="105">IF(F220="実施済",1,0)</f>
        <v>0</v>
      </c>
      <c r="S220" s="129">
        <f t="shared" ref="S220:S225" si="106">IF(G220="実施済",R220*1,0)</f>
        <v>0</v>
      </c>
      <c r="T220" s="129">
        <f t="shared" ref="T220:T225" si="107">IF(H220="実施済",S220*1,0)</f>
        <v>0</v>
      </c>
      <c r="U220" s="129">
        <f t="shared" ref="U220:U225" si="108">IF(I220="実施済",T220*1,0)</f>
        <v>0</v>
      </c>
      <c r="V220" s="258"/>
      <c r="W220" s="129" t="str">
        <f>IF(OR(E220="〇〇(合意形成対象者名に書き換え)",E220=""),"",SUM(S220,T220,U220))</f>
        <v/>
      </c>
      <c r="X220" s="129">
        <f t="shared" ref="X220:X225" si="109">MIN($W$220:$W$225)+1</f>
        <v>1</v>
      </c>
      <c r="Y220" s="129">
        <f>IF(E220="",1,IF(AND(E220="〇〇(合意形成対象者名に書き換え)",COUNTA($F220:$J220)=0),1,IF(AND(E220&lt;&gt;"〇〇(合意形成対象者名に書き換え)",COUNTA($F220:$J220)=5),1,0)))</f>
        <v>1</v>
      </c>
      <c r="Z220" s="129" t="str" cm="1">
        <f t="array" ref="Z220">_xlfn.IFS(X220=4,"A",X220=3,"B",X220=2,"C",X220=1,"D")</f>
        <v>D</v>
      </c>
      <c r="AA220" s="255"/>
    </row>
    <row r="221" spans="1:27">
      <c r="B221" s="95"/>
      <c r="C221" s="96"/>
      <c r="D221" s="97"/>
      <c r="E221" s="890" t="s">
        <v>129</v>
      </c>
      <c r="F221" s="445"/>
      <c r="G221" s="445"/>
      <c r="H221" s="1202"/>
      <c r="I221" s="1202"/>
      <c r="J221" s="445"/>
      <c r="K221" s="98"/>
      <c r="L221" s="11"/>
      <c r="R221" s="129">
        <f t="shared" si="105"/>
        <v>0</v>
      </c>
      <c r="S221" s="129">
        <f t="shared" si="106"/>
        <v>0</v>
      </c>
      <c r="T221" s="129">
        <f t="shared" si="107"/>
        <v>0</v>
      </c>
      <c r="U221" s="129">
        <f t="shared" si="108"/>
        <v>0</v>
      </c>
      <c r="V221" s="258"/>
      <c r="W221" s="129" t="str">
        <f t="shared" ref="W221:W225" si="110">IF(OR(E221="〇〇(合意形成対象者名に書き換え)",E221=""),"",SUM(S221,T221,U221))</f>
        <v/>
      </c>
      <c r="X221" s="129">
        <f t="shared" si="109"/>
        <v>1</v>
      </c>
      <c r="Y221" s="129">
        <f t="shared" ref="Y221:Y225" si="111">IF(E221="",1,IF(AND(E221="〇〇(合意形成対象者名に書き換え)",COUNTA($F221:$J221)=0),1,IF(AND(E221&lt;&gt;"〇〇(合意形成対象者名に書き換え)",COUNTA($F221:$J221)=5),1,0)))</f>
        <v>1</v>
      </c>
      <c r="Z221" s="129" t="str" cm="1">
        <f t="array" ref="Z221">_xlfn.IFS(X221=4,"A",X221=3,"B",X221=2,"C",X221=1,"D")</f>
        <v>D</v>
      </c>
      <c r="AA221" s="255"/>
    </row>
    <row r="222" spans="1:27">
      <c r="B222" s="95"/>
      <c r="C222" s="96"/>
      <c r="D222" s="97"/>
      <c r="E222" s="890" t="s">
        <v>129</v>
      </c>
      <c r="F222" s="441"/>
      <c r="G222" s="441"/>
      <c r="H222" s="1203"/>
      <c r="I222" s="1203"/>
      <c r="J222" s="441"/>
      <c r="K222" s="98"/>
      <c r="L222" s="11"/>
      <c r="R222" s="129">
        <f t="shared" si="105"/>
        <v>0</v>
      </c>
      <c r="S222" s="129">
        <f t="shared" si="106"/>
        <v>0</v>
      </c>
      <c r="T222" s="129">
        <f t="shared" si="107"/>
        <v>0</v>
      </c>
      <c r="U222" s="129">
        <f t="shared" si="108"/>
        <v>0</v>
      </c>
      <c r="V222" s="258"/>
      <c r="W222" s="129" t="str">
        <f t="shared" si="110"/>
        <v/>
      </c>
      <c r="X222" s="129">
        <f t="shared" si="109"/>
        <v>1</v>
      </c>
      <c r="Y222" s="129">
        <f t="shared" si="111"/>
        <v>1</v>
      </c>
      <c r="Z222" s="129" t="str" cm="1">
        <f t="array" ref="Z222">_xlfn.IFS(X222=4,"A",X222=3,"B",X222=2,"C",X222=1,"D")</f>
        <v>D</v>
      </c>
      <c r="AA222" s="255"/>
    </row>
    <row r="223" spans="1:27" s="99" customFormat="1">
      <c r="A223" s="11"/>
      <c r="B223" s="95"/>
      <c r="C223" s="96"/>
      <c r="D223" s="97"/>
      <c r="E223" s="890" t="s">
        <v>129</v>
      </c>
      <c r="F223" s="441"/>
      <c r="G223" s="441"/>
      <c r="H223" s="1203"/>
      <c r="I223" s="1203"/>
      <c r="J223" s="441"/>
      <c r="K223" s="98"/>
      <c r="L223" s="11"/>
      <c r="O223" s="11"/>
      <c r="P223" s="11"/>
      <c r="Q223" s="11"/>
      <c r="R223" s="129">
        <f t="shared" si="105"/>
        <v>0</v>
      </c>
      <c r="S223" s="129">
        <f t="shared" si="106"/>
        <v>0</v>
      </c>
      <c r="T223" s="129">
        <f t="shared" si="107"/>
        <v>0</v>
      </c>
      <c r="U223" s="129">
        <f t="shared" si="108"/>
        <v>0</v>
      </c>
      <c r="V223" s="258"/>
      <c r="W223" s="129" t="str">
        <f t="shared" si="110"/>
        <v/>
      </c>
      <c r="X223" s="129">
        <f t="shared" si="109"/>
        <v>1</v>
      </c>
      <c r="Y223" s="129">
        <f t="shared" si="111"/>
        <v>1</v>
      </c>
      <c r="Z223" s="129" t="str" cm="1">
        <f t="array" ref="Z223">_xlfn.IFS(X223=4,"A",X223=3,"B",X223=2,"C",X223=1,"D")</f>
        <v>D</v>
      </c>
      <c r="AA223" s="129"/>
    </row>
    <row r="224" spans="1:27" customFormat="1" ht="7.5" customHeight="1">
      <c r="B224" s="65"/>
      <c r="C224" s="4"/>
      <c r="D224" s="4"/>
      <c r="E224" s="288"/>
      <c r="F224" s="4"/>
      <c r="G224" s="4"/>
      <c r="H224" s="1204"/>
      <c r="I224" s="1204"/>
      <c r="J224" s="4"/>
      <c r="K224" s="9"/>
      <c r="L224" s="2"/>
      <c r="M224" s="2"/>
      <c r="N224" s="2"/>
      <c r="R224" s="129">
        <f t="shared" si="105"/>
        <v>0</v>
      </c>
      <c r="S224" s="129">
        <f t="shared" si="106"/>
        <v>0</v>
      </c>
      <c r="T224" s="129">
        <f t="shared" si="107"/>
        <v>0</v>
      </c>
      <c r="U224" s="129">
        <f t="shared" si="108"/>
        <v>0</v>
      </c>
      <c r="V224" s="258"/>
      <c r="W224" s="129" t="str">
        <f t="shared" si="110"/>
        <v/>
      </c>
      <c r="X224" s="129">
        <f t="shared" si="109"/>
        <v>1</v>
      </c>
      <c r="Y224" s="129">
        <f t="shared" si="111"/>
        <v>1</v>
      </c>
      <c r="Z224" s="129" t="str" cm="1">
        <f t="array" ref="Z224">_xlfn.IFS(X224=4,"A",X224=3,"B",X224=2,"C",X224=1,"D")</f>
        <v>D</v>
      </c>
      <c r="AA224" s="175"/>
    </row>
    <row r="225" spans="1:27" customFormat="1" ht="6" customHeight="1">
      <c r="E225" s="3"/>
      <c r="H225" s="1198"/>
      <c r="I225" s="1198"/>
      <c r="L225" s="2"/>
      <c r="M225" s="2"/>
      <c r="N225" s="2"/>
      <c r="R225" s="129">
        <f t="shared" si="105"/>
        <v>0</v>
      </c>
      <c r="S225" s="129">
        <f t="shared" si="106"/>
        <v>0</v>
      </c>
      <c r="T225" s="129">
        <f t="shared" si="107"/>
        <v>0</v>
      </c>
      <c r="U225" s="129">
        <f t="shared" si="108"/>
        <v>0</v>
      </c>
      <c r="V225" s="258"/>
      <c r="W225" s="129" t="str">
        <f t="shared" si="110"/>
        <v/>
      </c>
      <c r="X225" s="129">
        <f t="shared" si="109"/>
        <v>1</v>
      </c>
      <c r="Y225" s="129">
        <f t="shared" si="111"/>
        <v>1</v>
      </c>
      <c r="Z225" s="129" t="str" cm="1">
        <f t="array" ref="Z225">_xlfn.IFS(X225=4,"A",X225=3,"B",X225=2,"C",X225=1,"D")</f>
        <v>D</v>
      </c>
      <c r="AA225" s="175"/>
    </row>
    <row r="226" spans="1:27" customFormat="1" ht="103.5" customHeight="1">
      <c r="C226" s="78"/>
      <c r="D226" s="79"/>
      <c r="E226" s="71" t="s">
        <v>236</v>
      </c>
      <c r="F226" s="1452"/>
      <c r="G226" s="1452"/>
      <c r="H226" s="1452"/>
      <c r="I226" s="1452"/>
      <c r="J226" s="1452"/>
      <c r="K226" s="80" t="s">
        <v>132</v>
      </c>
      <c r="L226" s="80"/>
    </row>
    <row r="227" spans="1:27" customFormat="1" ht="146.25" customHeight="1">
      <c r="C227" s="75"/>
      <c r="D227" s="68"/>
      <c r="E227" s="71" t="s">
        <v>235</v>
      </c>
      <c r="F227" s="1452"/>
      <c r="G227" s="1452"/>
      <c r="H227" s="1452"/>
      <c r="I227" s="1452"/>
      <c r="J227" s="1452"/>
      <c r="L227" s="2"/>
      <c r="M227" s="2"/>
      <c r="N227" s="2"/>
    </row>
    <row r="228" spans="1:27" customFormat="1" ht="13.5" customHeight="1" thickBot="1">
      <c r="A228" s="81"/>
      <c r="B228" s="81"/>
      <c r="C228" s="81"/>
      <c r="D228" s="81"/>
      <c r="E228" s="311"/>
      <c r="F228" s="81"/>
      <c r="G228" s="81"/>
      <c r="H228" s="1205"/>
      <c r="I228" s="1205"/>
      <c r="J228" s="81"/>
      <c r="K228" s="81"/>
      <c r="L228" s="82"/>
      <c r="M228" s="2"/>
      <c r="N228" s="2"/>
    </row>
    <row r="229" spans="1:27" customFormat="1" ht="13.5" customHeight="1">
      <c r="E229" s="3"/>
      <c r="H229" s="1198"/>
      <c r="I229" s="1198"/>
      <c r="L229" s="2"/>
      <c r="M229" s="2"/>
      <c r="N229" s="2"/>
    </row>
    <row r="230" spans="1:27" customFormat="1" ht="15" customHeight="1">
      <c r="B230" s="10"/>
      <c r="C230" s="5"/>
      <c r="D230" s="5"/>
      <c r="E230" s="305"/>
      <c r="F230" s="5"/>
      <c r="G230" s="5"/>
      <c r="H230" s="1199"/>
      <c r="I230" s="1199"/>
      <c r="J230" s="5"/>
      <c r="K230" s="6"/>
      <c r="R230" s="11" t="str">
        <f>D231</f>
        <v>(選択してください)</v>
      </c>
    </row>
    <row r="231" spans="1:27" customFormat="1">
      <c r="B231" s="7"/>
      <c r="C231" s="77" t="str">
        <f ca="1">IFERROR(OFFSET('4.3民生部門電力以外の排出削減取組'!$C$1,MATCH(D231,'4.3民生部門電力以外の排出削減取組'!$E:$E,0)-1,0),"")</f>
        <v/>
      </c>
      <c r="D231" s="94" t="s">
        <v>130</v>
      </c>
      <c r="E231" s="72" t="s">
        <v>12</v>
      </c>
      <c r="F231" s="1451" t="str">
        <f ca="1">IFERROR(OFFSET('4.3民生部門電力以外の排出削減取組'!$G$1,MATCH($D231,'4.3民生部門電力以外の排出削減取組'!$E:$E,0)-1,0),"")</f>
        <v/>
      </c>
      <c r="G231" s="1451"/>
      <c r="H231" s="1451"/>
      <c r="I231" s="1451"/>
      <c r="J231" s="1451"/>
      <c r="K231" s="8"/>
      <c r="R231" s="255" t="str">
        <f ca="1">IFERROR(OFFSET('4.3民生部門電力以外の排出削減取組'!$G$1,MATCH($D231,'4.3民生部門電力以外の排出削減取組'!$E:$E,0)-1,0),"")</f>
        <v/>
      </c>
      <c r="S231" s="175"/>
      <c r="T231" s="175"/>
      <c r="U231" s="175"/>
      <c r="V231" s="175"/>
      <c r="W231" s="175"/>
      <c r="X231" s="175"/>
      <c r="Y231" s="175"/>
      <c r="Z231" s="175"/>
      <c r="AA231" s="175">
        <f ca="1">(F231=R231)*1</f>
        <v>1</v>
      </c>
    </row>
    <row r="232" spans="1:27" customFormat="1">
      <c r="B232" s="7"/>
      <c r="C232" s="915"/>
      <c r="D232" s="97"/>
      <c r="E232" s="72" t="s">
        <v>612</v>
      </c>
      <c r="F232" s="1447" t="str">
        <f ca="1">IFERROR(OFFSET('4.3民生部門電力以外の排出削減取組'!$J$1,MATCH($D231,'4.3民生部門電力以外の排出削減取組'!$E:$E,0)-1,0),"")</f>
        <v/>
      </c>
      <c r="G232" s="1448"/>
      <c r="H232" s="1448"/>
      <c r="I232" s="1448"/>
      <c r="J232" s="1449"/>
      <c r="K232" s="8"/>
      <c r="R232" s="255" t="str">
        <f ca="1">IFERROR(OFFSET('4.3民生部門電力以外の排出削減取組'!$J$1,MATCH($D231,'4.3民生部門電力以外の排出削減取組'!$E:$E,0)-1,0),"")</f>
        <v/>
      </c>
      <c r="S232" s="175"/>
      <c r="T232" s="175"/>
      <c r="U232" s="175"/>
      <c r="V232" s="175"/>
      <c r="W232" s="175"/>
      <c r="X232" s="175"/>
      <c r="Y232" s="175"/>
      <c r="Z232" s="175"/>
      <c r="AA232" s="175">
        <f ca="1">(F232=R232)*1</f>
        <v>1</v>
      </c>
    </row>
    <row r="233" spans="1:27" customFormat="1">
      <c r="B233" s="7"/>
      <c r="C233" s="74"/>
      <c r="D233" s="66"/>
      <c r="E233" s="72" t="s">
        <v>280</v>
      </c>
      <c r="F233" s="1470" t="str">
        <f ca="1">IFERROR(OFFSET('4.3民生部門電力以外の排出削減取組'!$H$1,MATCH($D231,'4.3民生部門電力以外の排出削減取組'!$E:$E,0)-1,0),"")</f>
        <v/>
      </c>
      <c r="G233" s="1470"/>
      <c r="H233" s="1470"/>
      <c r="I233" s="1470"/>
      <c r="J233" s="1470"/>
      <c r="K233" s="8"/>
      <c r="R233" s="175" t="str">
        <f ca="1">IFERROR(OFFSET('4.3民生部門電力以外の排出削減取組'!$H$1,MATCH($D231,'4.3民生部門電力以外の排出削減取組'!$E:$E,0)-1,0),"")</f>
        <v/>
      </c>
      <c r="S233" s="175"/>
      <c r="T233" s="175"/>
      <c r="U233" s="175"/>
      <c r="V233" s="175"/>
      <c r="W233" s="175"/>
      <c r="X233" s="175"/>
      <c r="Y233" s="175"/>
      <c r="Z233" s="175"/>
      <c r="AA233" s="175">
        <f t="shared" ref="AA233:AA234" ca="1" si="112">(F233=R233)*1</f>
        <v>1</v>
      </c>
    </row>
    <row r="234" spans="1:27" customFormat="1">
      <c r="B234" s="7"/>
      <c r="C234" s="74"/>
      <c r="D234" s="66"/>
      <c r="E234" s="72" t="s">
        <v>175</v>
      </c>
      <c r="F234" s="1451" t="str">
        <f>_xlfn.IFNA(R234,"")</f>
        <v/>
      </c>
      <c r="G234" s="1451"/>
      <c r="H234" s="1451"/>
      <c r="I234" s="1451"/>
      <c r="J234" s="1451"/>
      <c r="K234" s="8"/>
      <c r="R234" s="129" t="str">
        <f>IF(OR(COUNTIF($E236:$E241,"&lt;&gt;〇〇(合意形成対象者名に書き換え)")=3,COUNTIF($E236:$E241,"")&gt;3),"",IF(PRODUCT($Y236:$Y241)=1,Z236,""))</f>
        <v/>
      </c>
      <c r="S234" s="175"/>
      <c r="T234" s="175"/>
      <c r="U234" s="175"/>
      <c r="V234" s="175"/>
      <c r="W234" s="175"/>
      <c r="X234" s="175"/>
      <c r="Y234" s="175"/>
      <c r="Z234" s="175"/>
      <c r="AA234" s="175">
        <f t="shared" si="112"/>
        <v>1</v>
      </c>
    </row>
    <row r="235" spans="1:27" ht="63.75" customHeight="1">
      <c r="B235" s="95"/>
      <c r="C235" s="96"/>
      <c r="D235" s="97"/>
      <c r="E235" s="888"/>
      <c r="F235" s="313" t="s">
        <v>278</v>
      </c>
      <c r="G235" s="313" t="s">
        <v>268</v>
      </c>
      <c r="H235" s="1200" t="s">
        <v>437</v>
      </c>
      <c r="I235" s="1200" t="s">
        <v>439</v>
      </c>
      <c r="J235" s="313" t="s">
        <v>279</v>
      </c>
      <c r="K235" s="98"/>
      <c r="L235" s="11"/>
      <c r="R235" s="126" t="s">
        <v>278</v>
      </c>
      <c r="S235" s="126" t="s">
        <v>440</v>
      </c>
      <c r="T235" s="295" t="s">
        <v>437</v>
      </c>
      <c r="U235" s="295" t="s">
        <v>438</v>
      </c>
      <c r="V235" s="256" t="s">
        <v>270</v>
      </c>
      <c r="W235" s="126" t="s">
        <v>426</v>
      </c>
      <c r="X235" s="129" t="s">
        <v>402</v>
      </c>
      <c r="Y235" s="129" t="s">
        <v>430</v>
      </c>
      <c r="Z235" s="126" t="s">
        <v>425</v>
      </c>
      <c r="AA235" s="255"/>
    </row>
    <row r="236" spans="1:27" hidden="1">
      <c r="B236" s="95"/>
      <c r="C236" s="96"/>
      <c r="D236" s="97"/>
      <c r="E236" s="889"/>
      <c r="F236" s="439"/>
      <c r="G236" s="439"/>
      <c r="H236" s="1201"/>
      <c r="I236" s="1201"/>
      <c r="J236" s="439"/>
      <c r="K236" s="98"/>
      <c r="L236" s="11"/>
      <c r="R236" s="129">
        <f t="shared" ref="R236:R241" si="113">IF(F236="実施済",1,0)</f>
        <v>0</v>
      </c>
      <c r="S236" s="129">
        <f t="shared" ref="S236:S241" si="114">IF(G236="実施済",R236*1,0)</f>
        <v>0</v>
      </c>
      <c r="T236" s="129">
        <f t="shared" ref="T236:T241" si="115">IF(H236="実施済",S236*1,0)</f>
        <v>0</v>
      </c>
      <c r="U236" s="129">
        <f t="shared" ref="U236:U241" si="116">IF(I236="実施済",T236*1,0)</f>
        <v>0</v>
      </c>
      <c r="V236" s="258"/>
      <c r="W236" s="129" t="str">
        <f>IF(OR(E236="〇〇(合意形成対象者名に書き換え)",E236=""),"",SUM(S236,T236,U236))</f>
        <v/>
      </c>
      <c r="X236" s="129">
        <f t="shared" ref="X236:X241" si="117">MIN($W$236:$W$241)+1</f>
        <v>1</v>
      </c>
      <c r="Y236" s="129">
        <f>IF(E236="",1,IF(AND(E236="〇〇(合意形成対象者名に書き換え)",COUNTA($F236:$J236)=0),1,IF(AND(E236&lt;&gt;"〇〇(合意形成対象者名に書き換え)",COUNTA($F236:$J236)=5),1,0)))</f>
        <v>1</v>
      </c>
      <c r="Z236" s="129" t="str" cm="1">
        <f t="array" ref="Z236">_xlfn.IFS(X236=4,"A",X236=3,"B",X236=2,"C",X236=1,"D")</f>
        <v>D</v>
      </c>
      <c r="AA236" s="255"/>
    </row>
    <row r="237" spans="1:27">
      <c r="B237" s="95"/>
      <c r="C237" s="96"/>
      <c r="D237" s="97"/>
      <c r="E237" s="890" t="s">
        <v>129</v>
      </c>
      <c r="F237" s="445"/>
      <c r="G237" s="445"/>
      <c r="H237" s="1202"/>
      <c r="I237" s="1202"/>
      <c r="J237" s="445"/>
      <c r="K237" s="98"/>
      <c r="L237" s="11"/>
      <c r="R237" s="129">
        <f t="shared" si="113"/>
        <v>0</v>
      </c>
      <c r="S237" s="129">
        <f t="shared" si="114"/>
        <v>0</v>
      </c>
      <c r="T237" s="129">
        <f t="shared" si="115"/>
        <v>0</v>
      </c>
      <c r="U237" s="129">
        <f t="shared" si="116"/>
        <v>0</v>
      </c>
      <c r="V237" s="258"/>
      <c r="W237" s="129" t="str">
        <f t="shared" ref="W237:W241" si="118">IF(OR(E237="〇〇(合意形成対象者名に書き換え)",E237=""),"",SUM(S237,T237,U237))</f>
        <v/>
      </c>
      <c r="X237" s="129">
        <f t="shared" si="117"/>
        <v>1</v>
      </c>
      <c r="Y237" s="129">
        <f t="shared" ref="Y237:Y241" si="119">IF(E237="",1,IF(AND(E237="〇〇(合意形成対象者名に書き換え)",COUNTA($F237:$J237)=0),1,IF(AND(E237&lt;&gt;"〇〇(合意形成対象者名に書き換え)",COUNTA($F237:$J237)=5),1,0)))</f>
        <v>1</v>
      </c>
      <c r="Z237" s="129" t="str" cm="1">
        <f t="array" ref="Z237">_xlfn.IFS(X237=4,"A",X237=3,"B",X237=2,"C",X237=1,"D")</f>
        <v>D</v>
      </c>
      <c r="AA237" s="255"/>
    </row>
    <row r="238" spans="1:27">
      <c r="B238" s="95"/>
      <c r="C238" s="96"/>
      <c r="D238" s="97"/>
      <c r="E238" s="890" t="s">
        <v>129</v>
      </c>
      <c r="F238" s="441"/>
      <c r="G238" s="441"/>
      <c r="H238" s="1203"/>
      <c r="I238" s="1203"/>
      <c r="J238" s="441"/>
      <c r="K238" s="98"/>
      <c r="L238" s="11"/>
      <c r="R238" s="129">
        <f t="shared" si="113"/>
        <v>0</v>
      </c>
      <c r="S238" s="129">
        <f t="shared" si="114"/>
        <v>0</v>
      </c>
      <c r="T238" s="129">
        <f t="shared" si="115"/>
        <v>0</v>
      </c>
      <c r="U238" s="129">
        <f t="shared" si="116"/>
        <v>0</v>
      </c>
      <c r="V238" s="258"/>
      <c r="W238" s="129" t="str">
        <f t="shared" si="118"/>
        <v/>
      </c>
      <c r="X238" s="129">
        <f t="shared" si="117"/>
        <v>1</v>
      </c>
      <c r="Y238" s="129">
        <f t="shared" si="119"/>
        <v>1</v>
      </c>
      <c r="Z238" s="129" t="str" cm="1">
        <f t="array" ref="Z238">_xlfn.IFS(X238=4,"A",X238=3,"B",X238=2,"C",X238=1,"D")</f>
        <v>D</v>
      </c>
      <c r="AA238" s="255"/>
    </row>
    <row r="239" spans="1:27" s="99" customFormat="1">
      <c r="A239" s="11"/>
      <c r="B239" s="95"/>
      <c r="C239" s="96"/>
      <c r="D239" s="97"/>
      <c r="E239" s="890" t="s">
        <v>129</v>
      </c>
      <c r="F239" s="441"/>
      <c r="G239" s="441"/>
      <c r="H239" s="1203"/>
      <c r="I239" s="1203"/>
      <c r="J239" s="441"/>
      <c r="K239" s="98"/>
      <c r="L239" s="11"/>
      <c r="O239" s="11"/>
      <c r="P239" s="11"/>
      <c r="Q239" s="11"/>
      <c r="R239" s="129">
        <f t="shared" si="113"/>
        <v>0</v>
      </c>
      <c r="S239" s="129">
        <f t="shared" si="114"/>
        <v>0</v>
      </c>
      <c r="T239" s="129">
        <f t="shared" si="115"/>
        <v>0</v>
      </c>
      <c r="U239" s="129">
        <f t="shared" si="116"/>
        <v>0</v>
      </c>
      <c r="V239" s="258"/>
      <c r="W239" s="129" t="str">
        <f t="shared" si="118"/>
        <v/>
      </c>
      <c r="X239" s="129">
        <f t="shared" si="117"/>
        <v>1</v>
      </c>
      <c r="Y239" s="129">
        <f t="shared" si="119"/>
        <v>1</v>
      </c>
      <c r="Z239" s="129" t="str" cm="1">
        <f t="array" ref="Z239">_xlfn.IFS(X239=4,"A",X239=3,"B",X239=2,"C",X239=1,"D")</f>
        <v>D</v>
      </c>
      <c r="AA239" s="129"/>
    </row>
    <row r="240" spans="1:27" customFormat="1" ht="7.5" customHeight="1">
      <c r="B240" s="65"/>
      <c r="C240" s="4"/>
      <c r="D240" s="4"/>
      <c r="E240" s="288"/>
      <c r="F240" s="4"/>
      <c r="G240" s="4"/>
      <c r="H240" s="1204"/>
      <c r="I240" s="1204"/>
      <c r="J240" s="4"/>
      <c r="K240" s="9"/>
      <c r="L240" s="2"/>
      <c r="M240" s="2"/>
      <c r="N240" s="2"/>
      <c r="R240" s="129">
        <f t="shared" si="113"/>
        <v>0</v>
      </c>
      <c r="S240" s="129">
        <f t="shared" si="114"/>
        <v>0</v>
      </c>
      <c r="T240" s="129">
        <f t="shared" si="115"/>
        <v>0</v>
      </c>
      <c r="U240" s="129">
        <f t="shared" si="116"/>
        <v>0</v>
      </c>
      <c r="V240" s="258"/>
      <c r="W240" s="129" t="str">
        <f t="shared" si="118"/>
        <v/>
      </c>
      <c r="X240" s="129">
        <f t="shared" si="117"/>
        <v>1</v>
      </c>
      <c r="Y240" s="129">
        <f t="shared" si="119"/>
        <v>1</v>
      </c>
      <c r="Z240" s="129" t="str" cm="1">
        <f t="array" ref="Z240">_xlfn.IFS(X240=4,"A",X240=3,"B",X240=2,"C",X240=1,"D")</f>
        <v>D</v>
      </c>
      <c r="AA240" s="175"/>
    </row>
    <row r="241" spans="1:27" customFormat="1" ht="6" customHeight="1">
      <c r="E241" s="3"/>
      <c r="H241" s="1198"/>
      <c r="I241" s="1198"/>
      <c r="L241" s="2"/>
      <c r="M241" s="2"/>
      <c r="N241" s="2"/>
      <c r="R241" s="129">
        <f t="shared" si="113"/>
        <v>0</v>
      </c>
      <c r="S241" s="129">
        <f t="shared" si="114"/>
        <v>0</v>
      </c>
      <c r="T241" s="129">
        <f t="shared" si="115"/>
        <v>0</v>
      </c>
      <c r="U241" s="129">
        <f t="shared" si="116"/>
        <v>0</v>
      </c>
      <c r="V241" s="258"/>
      <c r="W241" s="129" t="str">
        <f t="shared" si="118"/>
        <v/>
      </c>
      <c r="X241" s="129">
        <f t="shared" si="117"/>
        <v>1</v>
      </c>
      <c r="Y241" s="129">
        <f t="shared" si="119"/>
        <v>1</v>
      </c>
      <c r="Z241" s="129" t="str" cm="1">
        <f t="array" ref="Z241">_xlfn.IFS(X241=4,"A",X241=3,"B",X241=2,"C",X241=1,"D")</f>
        <v>D</v>
      </c>
      <c r="AA241" s="175"/>
    </row>
    <row r="242" spans="1:27" customFormat="1" ht="103.5" customHeight="1">
      <c r="C242" s="78"/>
      <c r="D242" s="79"/>
      <c r="E242" s="71" t="s">
        <v>236</v>
      </c>
      <c r="F242" s="1452"/>
      <c r="G242" s="1452"/>
      <c r="H242" s="1452"/>
      <c r="I242" s="1452"/>
      <c r="J242" s="1452"/>
      <c r="K242" s="80" t="s">
        <v>132</v>
      </c>
      <c r="L242" s="80"/>
    </row>
    <row r="243" spans="1:27" customFormat="1" ht="146.25" customHeight="1">
      <c r="C243" s="75"/>
      <c r="D243" s="68"/>
      <c r="E243" s="71" t="s">
        <v>235</v>
      </c>
      <c r="F243" s="1452"/>
      <c r="G243" s="1452"/>
      <c r="H243" s="1452"/>
      <c r="I243" s="1452"/>
      <c r="J243" s="1452"/>
      <c r="L243" s="2"/>
      <c r="M243" s="2"/>
      <c r="N243" s="2"/>
    </row>
    <row r="244" spans="1:27" customFormat="1" ht="13.5" customHeight="1" thickBot="1">
      <c r="A244" s="81"/>
      <c r="B244" s="81"/>
      <c r="C244" s="81"/>
      <c r="D244" s="81"/>
      <c r="E244" s="311"/>
      <c r="F244" s="81"/>
      <c r="G244" s="81"/>
      <c r="H244" s="1205"/>
      <c r="I244" s="1205"/>
      <c r="J244" s="81"/>
      <c r="K244" s="81"/>
      <c r="L244" s="82"/>
      <c r="M244" s="2"/>
      <c r="N244" s="2"/>
    </row>
    <row r="245" spans="1:27" customFormat="1" ht="13.5" customHeight="1">
      <c r="E245" s="3"/>
      <c r="H245" s="1198"/>
      <c r="I245" s="1198"/>
      <c r="L245" s="2"/>
      <c r="M245" s="2"/>
      <c r="N245" s="2"/>
    </row>
    <row r="246" spans="1:27" customFormat="1" ht="15" customHeight="1">
      <c r="B246" s="10"/>
      <c r="C246" s="5"/>
      <c r="D246" s="5"/>
      <c r="E246" s="305"/>
      <c r="F246" s="5"/>
      <c r="G246" s="5"/>
      <c r="H246" s="1199"/>
      <c r="I246" s="1199"/>
      <c r="J246" s="5"/>
      <c r="K246" s="6"/>
      <c r="R246" s="11" t="str">
        <f>D247</f>
        <v>(選択してください)</v>
      </c>
    </row>
    <row r="247" spans="1:27" customFormat="1">
      <c r="B247" s="7"/>
      <c r="C247" s="77" t="str">
        <f ca="1">IFERROR(OFFSET('4.3民生部門電力以外の排出削減取組'!$C$1,MATCH(D247,'4.3民生部門電力以外の排出削減取組'!$E:$E,0)-1,0),"")</f>
        <v/>
      </c>
      <c r="D247" s="94" t="s">
        <v>130</v>
      </c>
      <c r="E247" s="72" t="s">
        <v>12</v>
      </c>
      <c r="F247" s="1451" t="str">
        <f ca="1">IFERROR(OFFSET('4.3民生部門電力以外の排出削減取組'!$G$1,MATCH($D247,'4.3民生部門電力以外の排出削減取組'!$E:$E,0)-1,0),"")</f>
        <v/>
      </c>
      <c r="G247" s="1451"/>
      <c r="H247" s="1451"/>
      <c r="I247" s="1451"/>
      <c r="J247" s="1451"/>
      <c r="K247" s="8"/>
      <c r="R247" s="255" t="str">
        <f ca="1">IFERROR(OFFSET('4.3民生部門電力以外の排出削減取組'!$G$1,MATCH($D247,'4.3民生部門電力以外の排出削減取組'!$E:$E,0)-1,0),"")</f>
        <v/>
      </c>
      <c r="S247" s="175"/>
      <c r="T247" s="175"/>
      <c r="U247" s="175"/>
      <c r="V247" s="175"/>
      <c r="W247" s="175"/>
      <c r="X247" s="175"/>
      <c r="Y247" s="175"/>
      <c r="Z247" s="175"/>
      <c r="AA247" s="175">
        <f ca="1">(F247=R247)*1</f>
        <v>1</v>
      </c>
    </row>
    <row r="248" spans="1:27" customFormat="1">
      <c r="B248" s="7"/>
      <c r="C248" s="915"/>
      <c r="D248" s="97"/>
      <c r="E248" s="72" t="s">
        <v>612</v>
      </c>
      <c r="F248" s="1447" t="str">
        <f ca="1">IFERROR(OFFSET('4.3民生部門電力以外の排出削減取組'!$J$1,MATCH($D247,'4.3民生部門電力以外の排出削減取組'!$E:$E,0)-1,0),"")</f>
        <v/>
      </c>
      <c r="G248" s="1448"/>
      <c r="H248" s="1448"/>
      <c r="I248" s="1448"/>
      <c r="J248" s="1449"/>
      <c r="K248" s="8"/>
      <c r="R248" s="255" t="str">
        <f ca="1">IFERROR(OFFSET('4.3民生部門電力以外の排出削減取組'!$J$1,MATCH($D247,'4.3民生部門電力以外の排出削減取組'!$E:$E,0)-1,0),"")</f>
        <v/>
      </c>
      <c r="S248" s="175"/>
      <c r="T248" s="175"/>
      <c r="U248" s="175"/>
      <c r="V248" s="175"/>
      <c r="W248" s="175"/>
      <c r="X248" s="175"/>
      <c r="Y248" s="175"/>
      <c r="Z248" s="175"/>
      <c r="AA248" s="175">
        <f ca="1">(F248=R248)*1</f>
        <v>1</v>
      </c>
    </row>
    <row r="249" spans="1:27" customFormat="1">
      <c r="B249" s="7"/>
      <c r="C249" s="74"/>
      <c r="D249" s="66"/>
      <c r="E249" s="72" t="s">
        <v>280</v>
      </c>
      <c r="F249" s="1470" t="str">
        <f ca="1">IFERROR(OFFSET('4.3民生部門電力以外の排出削減取組'!$H$1,MATCH($D247,'4.3民生部門電力以外の排出削減取組'!$E:$E,0)-1,0),"")</f>
        <v/>
      </c>
      <c r="G249" s="1470"/>
      <c r="H249" s="1470"/>
      <c r="I249" s="1470"/>
      <c r="J249" s="1470"/>
      <c r="K249" s="8"/>
      <c r="R249" s="175" t="str">
        <f ca="1">IFERROR(OFFSET('4.3民生部門電力以外の排出削減取組'!$H$1,MATCH($D247,'4.3民生部門電力以外の排出削減取組'!$E:$E,0)-1,0),"")</f>
        <v/>
      </c>
      <c r="S249" s="175"/>
      <c r="T249" s="175"/>
      <c r="U249" s="175"/>
      <c r="V249" s="175"/>
      <c r="W249" s="175"/>
      <c r="X249" s="175"/>
      <c r="Y249" s="175"/>
      <c r="Z249" s="175"/>
      <c r="AA249" s="175">
        <f t="shared" ref="AA249:AA250" ca="1" si="120">(F249=R249)*1</f>
        <v>1</v>
      </c>
    </row>
    <row r="250" spans="1:27" customFormat="1">
      <c r="B250" s="7"/>
      <c r="C250" s="74"/>
      <c r="D250" s="66"/>
      <c r="E250" s="72" t="s">
        <v>175</v>
      </c>
      <c r="F250" s="1451" t="str">
        <f>_xlfn.IFNA(R250,"")</f>
        <v/>
      </c>
      <c r="G250" s="1451"/>
      <c r="H250" s="1451"/>
      <c r="I250" s="1451"/>
      <c r="J250" s="1451"/>
      <c r="K250" s="8"/>
      <c r="R250" s="129" t="str">
        <f>IF(OR(COUNTIF($E252:$E257,"&lt;&gt;〇〇(合意形成対象者名に書き換え)")=3,COUNTIF($E252:$E257,"")&gt;3),"",IF(PRODUCT($Y252:$Y257)=1,Z252,""))</f>
        <v/>
      </c>
      <c r="S250" s="175"/>
      <c r="T250" s="175"/>
      <c r="U250" s="175"/>
      <c r="V250" s="175"/>
      <c r="W250" s="175"/>
      <c r="X250" s="175"/>
      <c r="Y250" s="175"/>
      <c r="Z250" s="175"/>
      <c r="AA250" s="175">
        <f t="shared" si="120"/>
        <v>1</v>
      </c>
    </row>
    <row r="251" spans="1:27" ht="63.75" customHeight="1">
      <c r="B251" s="95"/>
      <c r="C251" s="96"/>
      <c r="D251" s="97"/>
      <c r="E251" s="888"/>
      <c r="F251" s="313" t="s">
        <v>278</v>
      </c>
      <c r="G251" s="313" t="s">
        <v>268</v>
      </c>
      <c r="H251" s="1200" t="s">
        <v>437</v>
      </c>
      <c r="I251" s="1200" t="s">
        <v>439</v>
      </c>
      <c r="J251" s="313" t="s">
        <v>279</v>
      </c>
      <c r="K251" s="98"/>
      <c r="L251" s="11"/>
      <c r="R251" s="126" t="s">
        <v>278</v>
      </c>
      <c r="S251" s="126" t="s">
        <v>440</v>
      </c>
      <c r="T251" s="295" t="s">
        <v>437</v>
      </c>
      <c r="U251" s="295" t="s">
        <v>438</v>
      </c>
      <c r="V251" s="256" t="s">
        <v>270</v>
      </c>
      <c r="W251" s="126" t="s">
        <v>426</v>
      </c>
      <c r="X251" s="129" t="s">
        <v>402</v>
      </c>
      <c r="Y251" s="129" t="s">
        <v>430</v>
      </c>
      <c r="Z251" s="126" t="s">
        <v>425</v>
      </c>
      <c r="AA251" s="255"/>
    </row>
    <row r="252" spans="1:27" hidden="1">
      <c r="B252" s="95"/>
      <c r="C252" s="96"/>
      <c r="D252" s="97"/>
      <c r="E252" s="889"/>
      <c r="F252" s="439"/>
      <c r="G252" s="439"/>
      <c r="H252" s="1201"/>
      <c r="I252" s="1201"/>
      <c r="J252" s="439"/>
      <c r="K252" s="98"/>
      <c r="L252" s="11"/>
      <c r="R252" s="129">
        <f t="shared" ref="R252:R257" si="121">IF(F252="実施済",1,0)</f>
        <v>0</v>
      </c>
      <c r="S252" s="129">
        <f t="shared" ref="S252:S257" si="122">IF(G252="実施済",R252*1,0)</f>
        <v>0</v>
      </c>
      <c r="T252" s="129">
        <f t="shared" ref="T252:T257" si="123">IF(H252="実施済",S252*1,0)</f>
        <v>0</v>
      </c>
      <c r="U252" s="129">
        <f t="shared" ref="U252:U257" si="124">IF(I252="実施済",T252*1,0)</f>
        <v>0</v>
      </c>
      <c r="V252" s="258"/>
      <c r="W252" s="129" t="str">
        <f>IF(OR(E252="〇〇(合意形成対象者名に書き換え)",E252=""),"",SUM(S252,T252,U252))</f>
        <v/>
      </c>
      <c r="X252" s="129">
        <f t="shared" ref="X252:X257" si="125">MIN($W$252:$W$257)+1</f>
        <v>1</v>
      </c>
      <c r="Y252" s="129">
        <f>IF(E252="",1,IF(AND(E252="〇〇(合意形成対象者名に書き換え)",COUNTA($F252:$J252)=0),1,IF(AND(E252&lt;&gt;"〇〇(合意形成対象者名に書き換え)",COUNTA($F252:$J252)=5),1,0)))</f>
        <v>1</v>
      </c>
      <c r="Z252" s="129" t="str" cm="1">
        <f t="array" ref="Z252">_xlfn.IFS(X252=4,"A",X252=3,"B",X252=2,"C",X252=1,"D")</f>
        <v>D</v>
      </c>
      <c r="AA252" s="255"/>
    </row>
    <row r="253" spans="1:27">
      <c r="B253" s="95"/>
      <c r="C253" s="96"/>
      <c r="D253" s="97"/>
      <c r="E253" s="890" t="s">
        <v>129</v>
      </c>
      <c r="F253" s="445"/>
      <c r="G253" s="445"/>
      <c r="H253" s="1202"/>
      <c r="I253" s="1202"/>
      <c r="J253" s="445"/>
      <c r="K253" s="98"/>
      <c r="L253" s="11"/>
      <c r="R253" s="129">
        <f t="shared" si="121"/>
        <v>0</v>
      </c>
      <c r="S253" s="129">
        <f t="shared" si="122"/>
        <v>0</v>
      </c>
      <c r="T253" s="129">
        <f t="shared" si="123"/>
        <v>0</v>
      </c>
      <c r="U253" s="129">
        <f t="shared" si="124"/>
        <v>0</v>
      </c>
      <c r="V253" s="258"/>
      <c r="W253" s="129" t="str">
        <f t="shared" ref="W253:W257" si="126">IF(OR(E253="〇〇(合意形成対象者名に書き換え)",E253=""),"",SUM(S253,T253,U253))</f>
        <v/>
      </c>
      <c r="X253" s="129">
        <f t="shared" si="125"/>
        <v>1</v>
      </c>
      <c r="Y253" s="129">
        <f t="shared" ref="Y253:Y257" si="127">IF(E253="",1,IF(AND(E253="〇〇(合意形成対象者名に書き換え)",COUNTA($F253:$J253)=0),1,IF(AND(E253&lt;&gt;"〇〇(合意形成対象者名に書き換え)",COUNTA($F253:$J253)=5),1,0)))</f>
        <v>1</v>
      </c>
      <c r="Z253" s="129" t="str" cm="1">
        <f t="array" ref="Z253">_xlfn.IFS(X253=4,"A",X253=3,"B",X253=2,"C",X253=1,"D")</f>
        <v>D</v>
      </c>
      <c r="AA253" s="255"/>
    </row>
    <row r="254" spans="1:27">
      <c r="B254" s="95"/>
      <c r="C254" s="96"/>
      <c r="D254" s="97"/>
      <c r="E254" s="890" t="s">
        <v>129</v>
      </c>
      <c r="F254" s="441"/>
      <c r="G254" s="441"/>
      <c r="H254" s="1203"/>
      <c r="I254" s="1203"/>
      <c r="J254" s="441"/>
      <c r="K254" s="98"/>
      <c r="L254" s="11"/>
      <c r="R254" s="129">
        <f t="shared" si="121"/>
        <v>0</v>
      </c>
      <c r="S254" s="129">
        <f t="shared" si="122"/>
        <v>0</v>
      </c>
      <c r="T254" s="129">
        <f t="shared" si="123"/>
        <v>0</v>
      </c>
      <c r="U254" s="129">
        <f t="shared" si="124"/>
        <v>0</v>
      </c>
      <c r="V254" s="258"/>
      <c r="W254" s="129" t="str">
        <f t="shared" si="126"/>
        <v/>
      </c>
      <c r="X254" s="129">
        <f t="shared" si="125"/>
        <v>1</v>
      </c>
      <c r="Y254" s="129">
        <f t="shared" si="127"/>
        <v>1</v>
      </c>
      <c r="Z254" s="129" t="str" cm="1">
        <f t="array" ref="Z254">_xlfn.IFS(X254=4,"A",X254=3,"B",X254=2,"C",X254=1,"D")</f>
        <v>D</v>
      </c>
      <c r="AA254" s="255"/>
    </row>
    <row r="255" spans="1:27" s="99" customFormat="1">
      <c r="A255" s="11"/>
      <c r="B255" s="95"/>
      <c r="C255" s="96"/>
      <c r="D255" s="97"/>
      <c r="E255" s="890" t="s">
        <v>129</v>
      </c>
      <c r="F255" s="441"/>
      <c r="G255" s="441"/>
      <c r="H255" s="1203"/>
      <c r="I255" s="1203"/>
      <c r="J255" s="441"/>
      <c r="K255" s="98"/>
      <c r="L255" s="11"/>
      <c r="O255" s="11"/>
      <c r="P255" s="11"/>
      <c r="Q255" s="11"/>
      <c r="R255" s="129">
        <f t="shared" si="121"/>
        <v>0</v>
      </c>
      <c r="S255" s="129">
        <f t="shared" si="122"/>
        <v>0</v>
      </c>
      <c r="T255" s="129">
        <f t="shared" si="123"/>
        <v>0</v>
      </c>
      <c r="U255" s="129">
        <f t="shared" si="124"/>
        <v>0</v>
      </c>
      <c r="V255" s="258"/>
      <c r="W255" s="129" t="str">
        <f t="shared" si="126"/>
        <v/>
      </c>
      <c r="X255" s="129">
        <f t="shared" si="125"/>
        <v>1</v>
      </c>
      <c r="Y255" s="129">
        <f t="shared" si="127"/>
        <v>1</v>
      </c>
      <c r="Z255" s="129" t="str" cm="1">
        <f t="array" ref="Z255">_xlfn.IFS(X255=4,"A",X255=3,"B",X255=2,"C",X255=1,"D")</f>
        <v>D</v>
      </c>
      <c r="AA255" s="129"/>
    </row>
    <row r="256" spans="1:27" customFormat="1" ht="7.5" customHeight="1">
      <c r="B256" s="65"/>
      <c r="C256" s="4"/>
      <c r="D256" s="4"/>
      <c r="E256" s="288"/>
      <c r="F256" s="4"/>
      <c r="G256" s="4"/>
      <c r="H256" s="1204"/>
      <c r="I256" s="1204"/>
      <c r="J256" s="4"/>
      <c r="K256" s="9"/>
      <c r="L256" s="2"/>
      <c r="M256" s="2"/>
      <c r="N256" s="2"/>
      <c r="R256" s="129">
        <f t="shared" si="121"/>
        <v>0</v>
      </c>
      <c r="S256" s="129">
        <f t="shared" si="122"/>
        <v>0</v>
      </c>
      <c r="T256" s="129">
        <f t="shared" si="123"/>
        <v>0</v>
      </c>
      <c r="U256" s="129">
        <f t="shared" si="124"/>
        <v>0</v>
      </c>
      <c r="V256" s="258"/>
      <c r="W256" s="129" t="str">
        <f t="shared" si="126"/>
        <v/>
      </c>
      <c r="X256" s="129">
        <f t="shared" si="125"/>
        <v>1</v>
      </c>
      <c r="Y256" s="129">
        <f t="shared" si="127"/>
        <v>1</v>
      </c>
      <c r="Z256" s="129" t="str" cm="1">
        <f t="array" ref="Z256">_xlfn.IFS(X256=4,"A",X256=3,"B",X256=2,"C",X256=1,"D")</f>
        <v>D</v>
      </c>
      <c r="AA256" s="175"/>
    </row>
    <row r="257" spans="1:27" customFormat="1" ht="6" customHeight="1">
      <c r="E257" s="3"/>
      <c r="H257" s="1198"/>
      <c r="I257" s="1198"/>
      <c r="L257" s="2"/>
      <c r="M257" s="2"/>
      <c r="N257" s="2"/>
      <c r="R257" s="129">
        <f t="shared" si="121"/>
        <v>0</v>
      </c>
      <c r="S257" s="129">
        <f t="shared" si="122"/>
        <v>0</v>
      </c>
      <c r="T257" s="129">
        <f t="shared" si="123"/>
        <v>0</v>
      </c>
      <c r="U257" s="129">
        <f t="shared" si="124"/>
        <v>0</v>
      </c>
      <c r="V257" s="258"/>
      <c r="W257" s="129" t="str">
        <f t="shared" si="126"/>
        <v/>
      </c>
      <c r="X257" s="129">
        <f t="shared" si="125"/>
        <v>1</v>
      </c>
      <c r="Y257" s="129">
        <f t="shared" si="127"/>
        <v>1</v>
      </c>
      <c r="Z257" s="129" t="str" cm="1">
        <f t="array" ref="Z257">_xlfn.IFS(X257=4,"A",X257=3,"B",X257=2,"C",X257=1,"D")</f>
        <v>D</v>
      </c>
      <c r="AA257" s="175"/>
    </row>
    <row r="258" spans="1:27" customFormat="1" ht="103.5" customHeight="1">
      <c r="C258" s="78"/>
      <c r="D258" s="79"/>
      <c r="E258" s="71" t="s">
        <v>236</v>
      </c>
      <c r="F258" s="1452"/>
      <c r="G258" s="1452"/>
      <c r="H258" s="1452"/>
      <c r="I258" s="1452"/>
      <c r="J258" s="1452"/>
      <c r="K258" s="80" t="s">
        <v>132</v>
      </c>
      <c r="L258" s="80"/>
    </row>
    <row r="259" spans="1:27" customFormat="1" ht="146.25" customHeight="1">
      <c r="C259" s="75"/>
      <c r="D259" s="68"/>
      <c r="E259" s="71" t="s">
        <v>235</v>
      </c>
      <c r="F259" s="1452"/>
      <c r="G259" s="1452"/>
      <c r="H259" s="1452"/>
      <c r="I259" s="1452"/>
      <c r="J259" s="1452"/>
      <c r="L259" s="2"/>
      <c r="M259" s="2"/>
      <c r="N259" s="2"/>
    </row>
    <row r="260" spans="1:27" customFormat="1" ht="13.5" customHeight="1" thickBot="1">
      <c r="A260" s="81"/>
      <c r="B260" s="81"/>
      <c r="C260" s="81"/>
      <c r="D260" s="81"/>
      <c r="E260" s="311"/>
      <c r="F260" s="81"/>
      <c r="G260" s="81"/>
      <c r="H260" s="1205"/>
      <c r="I260" s="1205"/>
      <c r="J260" s="81"/>
      <c r="K260" s="81"/>
      <c r="L260" s="82"/>
      <c r="M260" s="2"/>
      <c r="N260" s="2"/>
    </row>
    <row r="261" spans="1:27" customFormat="1" ht="13.5" customHeight="1">
      <c r="E261" s="3"/>
      <c r="H261" s="1198"/>
      <c r="I261" s="1198"/>
      <c r="L261" s="2"/>
      <c r="M261" s="2"/>
      <c r="N261" s="2"/>
    </row>
    <row r="262" spans="1:27" customFormat="1" ht="15" customHeight="1">
      <c r="B262" s="10"/>
      <c r="C262" s="5"/>
      <c r="D262" s="5"/>
      <c r="E262" s="305"/>
      <c r="F262" s="5"/>
      <c r="G262" s="5"/>
      <c r="H262" s="1199"/>
      <c r="I262" s="1199"/>
      <c r="J262" s="5"/>
      <c r="K262" s="6"/>
      <c r="R262" s="11" t="str">
        <f>D263</f>
        <v>(選択してください)</v>
      </c>
    </row>
    <row r="263" spans="1:27" customFormat="1">
      <c r="B263" s="7"/>
      <c r="C263" s="77" t="str">
        <f ca="1">IFERROR(OFFSET('4.3民生部門電力以外の排出削減取組'!$C$1,MATCH(D263,'4.3民生部門電力以外の排出削減取組'!$E:$E,0)-1,0),"")</f>
        <v/>
      </c>
      <c r="D263" s="94" t="s">
        <v>130</v>
      </c>
      <c r="E263" s="72" t="s">
        <v>12</v>
      </c>
      <c r="F263" s="1451" t="str">
        <f ca="1">IFERROR(OFFSET('4.3民生部門電力以外の排出削減取組'!$G$1,MATCH($D263,'4.3民生部門電力以外の排出削減取組'!$E:$E,0)-1,0),"")</f>
        <v/>
      </c>
      <c r="G263" s="1451"/>
      <c r="H263" s="1451"/>
      <c r="I263" s="1451"/>
      <c r="J263" s="1451"/>
      <c r="K263" s="8"/>
      <c r="R263" s="255" t="str">
        <f ca="1">IFERROR(OFFSET('4.3民生部門電力以外の排出削減取組'!$G$1,MATCH($D263,'4.3民生部門電力以外の排出削減取組'!$E:$E,0)-1,0),"")</f>
        <v/>
      </c>
      <c r="S263" s="175"/>
      <c r="T263" s="175"/>
      <c r="U263" s="175"/>
      <c r="V263" s="175"/>
      <c r="W263" s="175"/>
      <c r="X263" s="175"/>
      <c r="Y263" s="175"/>
      <c r="Z263" s="175"/>
      <c r="AA263" s="175">
        <f ca="1">(F263=R263)*1</f>
        <v>1</v>
      </c>
    </row>
    <row r="264" spans="1:27" customFormat="1">
      <c r="B264" s="7"/>
      <c r="C264" s="915"/>
      <c r="D264" s="97"/>
      <c r="E264" s="72" t="s">
        <v>612</v>
      </c>
      <c r="F264" s="1447" t="str">
        <f ca="1">IFERROR(OFFSET('4.3民生部門電力以外の排出削減取組'!$J$1,MATCH($D263,'4.3民生部門電力以外の排出削減取組'!$E:$E,0)-1,0),"")</f>
        <v/>
      </c>
      <c r="G264" s="1448"/>
      <c r="H264" s="1448"/>
      <c r="I264" s="1448"/>
      <c r="J264" s="1449"/>
      <c r="K264" s="8"/>
      <c r="R264" s="255" t="str">
        <f ca="1">IFERROR(OFFSET('4.3民生部門電力以外の排出削減取組'!$J$1,MATCH($D263,'4.3民生部門電力以外の排出削減取組'!$E:$E,0)-1,0),"")</f>
        <v/>
      </c>
      <c r="S264" s="175"/>
      <c r="T264" s="175"/>
      <c r="U264" s="175"/>
      <c r="V264" s="175"/>
      <c r="W264" s="175"/>
      <c r="X264" s="175"/>
      <c r="Y264" s="175"/>
      <c r="Z264" s="175"/>
      <c r="AA264" s="175">
        <f ca="1">(F264=R264)*1</f>
        <v>1</v>
      </c>
    </row>
    <row r="265" spans="1:27" customFormat="1">
      <c r="B265" s="7"/>
      <c r="C265" s="74"/>
      <c r="D265" s="66"/>
      <c r="E265" s="72" t="s">
        <v>280</v>
      </c>
      <c r="F265" s="1470" t="str">
        <f ca="1">IFERROR(OFFSET('4.3民生部門電力以外の排出削減取組'!$H$1,MATCH($D263,'4.3民生部門電力以外の排出削減取組'!$E:$E,0)-1,0),"")</f>
        <v/>
      </c>
      <c r="G265" s="1470"/>
      <c r="H265" s="1470"/>
      <c r="I265" s="1470"/>
      <c r="J265" s="1470"/>
      <c r="K265" s="8"/>
      <c r="R265" s="175" t="str">
        <f ca="1">IFERROR(OFFSET('4.3民生部門電力以外の排出削減取組'!$H$1,MATCH($D263,'4.3民生部門電力以外の排出削減取組'!$E:$E,0)-1,0),"")</f>
        <v/>
      </c>
      <c r="S265" s="175"/>
      <c r="T265" s="175"/>
      <c r="U265" s="175"/>
      <c r="V265" s="175"/>
      <c r="W265" s="175"/>
      <c r="X265" s="175"/>
      <c r="Y265" s="175"/>
      <c r="Z265" s="175"/>
      <c r="AA265" s="175">
        <f t="shared" ref="AA265:AA266" ca="1" si="128">(F265=R265)*1</f>
        <v>1</v>
      </c>
    </row>
    <row r="266" spans="1:27" customFormat="1">
      <c r="B266" s="7"/>
      <c r="C266" s="74"/>
      <c r="D266" s="66"/>
      <c r="E266" s="72" t="s">
        <v>175</v>
      </c>
      <c r="F266" s="1451" t="str">
        <f>_xlfn.IFNA(R266,"")</f>
        <v/>
      </c>
      <c r="G266" s="1451"/>
      <c r="H266" s="1451"/>
      <c r="I266" s="1451"/>
      <c r="J266" s="1451"/>
      <c r="K266" s="8"/>
      <c r="R266" s="129" t="str">
        <f>IF(OR(COUNTIF($E268:$E273,"&lt;&gt;〇〇(合意形成対象者名に書き換え)")=3,COUNTIF($E268:$E273,"")&gt;3),"",IF(PRODUCT($Y268:$Y273)=1,Z268,""))</f>
        <v/>
      </c>
      <c r="S266" s="175"/>
      <c r="T266" s="175"/>
      <c r="U266" s="175"/>
      <c r="V266" s="175"/>
      <c r="W266" s="175"/>
      <c r="X266" s="175"/>
      <c r="Y266" s="175"/>
      <c r="Z266" s="175"/>
      <c r="AA266" s="175">
        <f t="shared" si="128"/>
        <v>1</v>
      </c>
    </row>
    <row r="267" spans="1:27" ht="63.75" customHeight="1">
      <c r="B267" s="95"/>
      <c r="C267" s="96"/>
      <c r="D267" s="97"/>
      <c r="E267" s="888"/>
      <c r="F267" s="313" t="s">
        <v>278</v>
      </c>
      <c r="G267" s="313" t="s">
        <v>268</v>
      </c>
      <c r="H267" s="1200" t="s">
        <v>437</v>
      </c>
      <c r="I267" s="1200" t="s">
        <v>439</v>
      </c>
      <c r="J267" s="313" t="s">
        <v>279</v>
      </c>
      <c r="K267" s="98"/>
      <c r="L267" s="11"/>
      <c r="R267" s="126" t="s">
        <v>278</v>
      </c>
      <c r="S267" s="126" t="s">
        <v>440</v>
      </c>
      <c r="T267" s="295" t="s">
        <v>437</v>
      </c>
      <c r="U267" s="295" t="s">
        <v>438</v>
      </c>
      <c r="V267" s="256" t="s">
        <v>270</v>
      </c>
      <c r="W267" s="126" t="s">
        <v>426</v>
      </c>
      <c r="X267" s="129" t="s">
        <v>402</v>
      </c>
      <c r="Y267" s="129" t="s">
        <v>430</v>
      </c>
      <c r="Z267" s="126" t="s">
        <v>425</v>
      </c>
      <c r="AA267" s="255"/>
    </row>
    <row r="268" spans="1:27" hidden="1">
      <c r="B268" s="95"/>
      <c r="C268" s="96"/>
      <c r="D268" s="97"/>
      <c r="E268" s="889"/>
      <c r="F268" s="439"/>
      <c r="G268" s="439"/>
      <c r="H268" s="1201"/>
      <c r="I268" s="1201"/>
      <c r="J268" s="439"/>
      <c r="K268" s="98"/>
      <c r="L268" s="11"/>
      <c r="R268" s="129">
        <f t="shared" ref="R268:R273" si="129">IF(F268="実施済",1,0)</f>
        <v>0</v>
      </c>
      <c r="S268" s="129">
        <f t="shared" ref="S268:S273" si="130">IF(G268="実施済",R268*1,0)</f>
        <v>0</v>
      </c>
      <c r="T268" s="129">
        <f t="shared" ref="T268:T273" si="131">IF(H268="実施済",S268*1,0)</f>
        <v>0</v>
      </c>
      <c r="U268" s="129">
        <f t="shared" ref="U268:U273" si="132">IF(I268="実施済",T268*1,0)</f>
        <v>0</v>
      </c>
      <c r="V268" s="258"/>
      <c r="W268" s="129" t="str">
        <f>IF(OR(E268="〇〇(合意形成対象者名に書き換え)",E268=""),"",SUM(S268,T268,U268))</f>
        <v/>
      </c>
      <c r="X268" s="129">
        <f t="shared" ref="X268:X273" si="133">MIN($W$268:$W$273)+1</f>
        <v>1</v>
      </c>
      <c r="Y268" s="129">
        <f>IF(E268="",1,IF(AND(E268="〇〇(合意形成対象者名に書き換え)",COUNTA($F268:$J268)=0),1,IF(AND(E268&lt;&gt;"〇〇(合意形成対象者名に書き換え)",COUNTA($F268:$J268)=5),1,0)))</f>
        <v>1</v>
      </c>
      <c r="Z268" s="129" t="str" cm="1">
        <f t="array" ref="Z268">_xlfn.IFS(X268=4,"A",X268=3,"B",X268=2,"C",X268=1,"D")</f>
        <v>D</v>
      </c>
      <c r="AA268" s="255"/>
    </row>
    <row r="269" spans="1:27">
      <c r="B269" s="95"/>
      <c r="C269" s="96"/>
      <c r="D269" s="97"/>
      <c r="E269" s="890" t="s">
        <v>129</v>
      </c>
      <c r="F269" s="445"/>
      <c r="G269" s="445"/>
      <c r="H269" s="1202"/>
      <c r="I269" s="1202"/>
      <c r="J269" s="445"/>
      <c r="K269" s="98"/>
      <c r="L269" s="11"/>
      <c r="R269" s="129">
        <f t="shared" si="129"/>
        <v>0</v>
      </c>
      <c r="S269" s="129">
        <f t="shared" si="130"/>
        <v>0</v>
      </c>
      <c r="T269" s="129">
        <f t="shared" si="131"/>
        <v>0</v>
      </c>
      <c r="U269" s="129">
        <f t="shared" si="132"/>
        <v>0</v>
      </c>
      <c r="V269" s="258"/>
      <c r="W269" s="129" t="str">
        <f t="shared" ref="W269:W273" si="134">IF(OR(E269="〇〇(合意形成対象者名に書き換え)",E269=""),"",SUM(S269,T269,U269))</f>
        <v/>
      </c>
      <c r="X269" s="129">
        <f t="shared" si="133"/>
        <v>1</v>
      </c>
      <c r="Y269" s="129">
        <f t="shared" ref="Y269:Y273" si="135">IF(E269="",1,IF(AND(E269="〇〇(合意形成対象者名に書き換え)",COUNTA($F269:$J269)=0),1,IF(AND(E269&lt;&gt;"〇〇(合意形成対象者名に書き換え)",COUNTA($F269:$J269)=5),1,0)))</f>
        <v>1</v>
      </c>
      <c r="Z269" s="129" t="str" cm="1">
        <f t="array" ref="Z269">_xlfn.IFS(X269=4,"A",X269=3,"B",X269=2,"C",X269=1,"D")</f>
        <v>D</v>
      </c>
      <c r="AA269" s="255"/>
    </row>
    <row r="270" spans="1:27">
      <c r="B270" s="95"/>
      <c r="C270" s="96"/>
      <c r="D270" s="97"/>
      <c r="E270" s="890" t="s">
        <v>129</v>
      </c>
      <c r="F270" s="441"/>
      <c r="G270" s="441"/>
      <c r="H270" s="1203"/>
      <c r="I270" s="1203"/>
      <c r="J270" s="441"/>
      <c r="K270" s="98"/>
      <c r="L270" s="11"/>
      <c r="R270" s="129">
        <f t="shared" si="129"/>
        <v>0</v>
      </c>
      <c r="S270" s="129">
        <f t="shared" si="130"/>
        <v>0</v>
      </c>
      <c r="T270" s="129">
        <f t="shared" si="131"/>
        <v>0</v>
      </c>
      <c r="U270" s="129">
        <f t="shared" si="132"/>
        <v>0</v>
      </c>
      <c r="V270" s="258"/>
      <c r="W270" s="129" t="str">
        <f t="shared" si="134"/>
        <v/>
      </c>
      <c r="X270" s="129">
        <f t="shared" si="133"/>
        <v>1</v>
      </c>
      <c r="Y270" s="129">
        <f t="shared" si="135"/>
        <v>1</v>
      </c>
      <c r="Z270" s="129" t="str" cm="1">
        <f t="array" ref="Z270">_xlfn.IFS(X270=4,"A",X270=3,"B",X270=2,"C",X270=1,"D")</f>
        <v>D</v>
      </c>
      <c r="AA270" s="255"/>
    </row>
    <row r="271" spans="1:27" s="99" customFormat="1">
      <c r="A271" s="11"/>
      <c r="B271" s="95"/>
      <c r="C271" s="96"/>
      <c r="D271" s="97"/>
      <c r="E271" s="890" t="s">
        <v>129</v>
      </c>
      <c r="F271" s="441"/>
      <c r="G271" s="441"/>
      <c r="H271" s="1203"/>
      <c r="I271" s="1203"/>
      <c r="J271" s="441"/>
      <c r="K271" s="98"/>
      <c r="L271" s="11"/>
      <c r="O271" s="11"/>
      <c r="P271" s="11"/>
      <c r="Q271" s="11"/>
      <c r="R271" s="129">
        <f t="shared" si="129"/>
        <v>0</v>
      </c>
      <c r="S271" s="129">
        <f t="shared" si="130"/>
        <v>0</v>
      </c>
      <c r="T271" s="129">
        <f t="shared" si="131"/>
        <v>0</v>
      </c>
      <c r="U271" s="129">
        <f t="shared" si="132"/>
        <v>0</v>
      </c>
      <c r="V271" s="258"/>
      <c r="W271" s="129" t="str">
        <f t="shared" si="134"/>
        <v/>
      </c>
      <c r="X271" s="129">
        <f t="shared" si="133"/>
        <v>1</v>
      </c>
      <c r="Y271" s="129">
        <f t="shared" si="135"/>
        <v>1</v>
      </c>
      <c r="Z271" s="129" t="str" cm="1">
        <f t="array" ref="Z271">_xlfn.IFS(X271=4,"A",X271=3,"B",X271=2,"C",X271=1,"D")</f>
        <v>D</v>
      </c>
      <c r="AA271" s="129"/>
    </row>
    <row r="272" spans="1:27" customFormat="1" ht="7.5" customHeight="1">
      <c r="B272" s="65"/>
      <c r="C272" s="4"/>
      <c r="D272" s="4"/>
      <c r="E272" s="288"/>
      <c r="F272" s="4"/>
      <c r="G272" s="4"/>
      <c r="H272" s="1204"/>
      <c r="I272" s="1204"/>
      <c r="J272" s="4"/>
      <c r="K272" s="9"/>
      <c r="L272" s="2"/>
      <c r="M272" s="2"/>
      <c r="N272" s="2"/>
      <c r="R272" s="129">
        <f t="shared" si="129"/>
        <v>0</v>
      </c>
      <c r="S272" s="129">
        <f t="shared" si="130"/>
        <v>0</v>
      </c>
      <c r="T272" s="129">
        <f t="shared" si="131"/>
        <v>0</v>
      </c>
      <c r="U272" s="129">
        <f t="shared" si="132"/>
        <v>0</v>
      </c>
      <c r="V272" s="258"/>
      <c r="W272" s="129" t="str">
        <f t="shared" si="134"/>
        <v/>
      </c>
      <c r="X272" s="129">
        <f t="shared" si="133"/>
        <v>1</v>
      </c>
      <c r="Y272" s="129">
        <f t="shared" si="135"/>
        <v>1</v>
      </c>
      <c r="Z272" s="129" t="str" cm="1">
        <f t="array" ref="Z272">_xlfn.IFS(X272=4,"A",X272=3,"B",X272=2,"C",X272=1,"D")</f>
        <v>D</v>
      </c>
      <c r="AA272" s="175"/>
    </row>
    <row r="273" spans="1:27" customFormat="1" ht="6" customHeight="1">
      <c r="E273" s="3"/>
      <c r="H273" s="1198"/>
      <c r="I273" s="1198"/>
      <c r="L273" s="2"/>
      <c r="M273" s="2"/>
      <c r="N273" s="2"/>
      <c r="R273" s="129">
        <f t="shared" si="129"/>
        <v>0</v>
      </c>
      <c r="S273" s="129">
        <f t="shared" si="130"/>
        <v>0</v>
      </c>
      <c r="T273" s="129">
        <f t="shared" si="131"/>
        <v>0</v>
      </c>
      <c r="U273" s="129">
        <f t="shared" si="132"/>
        <v>0</v>
      </c>
      <c r="V273" s="258"/>
      <c r="W273" s="129" t="str">
        <f t="shared" si="134"/>
        <v/>
      </c>
      <c r="X273" s="129">
        <f t="shared" si="133"/>
        <v>1</v>
      </c>
      <c r="Y273" s="129">
        <f t="shared" si="135"/>
        <v>1</v>
      </c>
      <c r="Z273" s="129" t="str" cm="1">
        <f t="array" ref="Z273">_xlfn.IFS(X273=4,"A",X273=3,"B",X273=2,"C",X273=1,"D")</f>
        <v>D</v>
      </c>
      <c r="AA273" s="175"/>
    </row>
    <row r="274" spans="1:27" customFormat="1" ht="103.5" customHeight="1">
      <c r="C274" s="78"/>
      <c r="D274" s="79"/>
      <c r="E274" s="71" t="s">
        <v>236</v>
      </c>
      <c r="F274" s="1452"/>
      <c r="G274" s="1452"/>
      <c r="H274" s="1452"/>
      <c r="I274" s="1452"/>
      <c r="J274" s="1452"/>
      <c r="K274" s="80" t="s">
        <v>132</v>
      </c>
      <c r="L274" s="80"/>
    </row>
    <row r="275" spans="1:27" customFormat="1" ht="146.25" customHeight="1">
      <c r="C275" s="75"/>
      <c r="D275" s="68"/>
      <c r="E275" s="71" t="s">
        <v>235</v>
      </c>
      <c r="F275" s="1452"/>
      <c r="G275" s="1452"/>
      <c r="H275" s="1452"/>
      <c r="I275" s="1452"/>
      <c r="J275" s="1452"/>
      <c r="L275" s="2"/>
      <c r="M275" s="2"/>
      <c r="N275" s="2"/>
    </row>
    <row r="276" spans="1:27" customFormat="1" ht="13.5" customHeight="1" thickBot="1">
      <c r="A276" s="81"/>
      <c r="B276" s="81"/>
      <c r="C276" s="81"/>
      <c r="D276" s="81"/>
      <c r="E276" s="311"/>
      <c r="F276" s="81"/>
      <c r="G276" s="81"/>
      <c r="H276" s="1205"/>
      <c r="I276" s="1205"/>
      <c r="J276" s="81"/>
      <c r="K276" s="81"/>
      <c r="L276" s="82"/>
      <c r="M276" s="2"/>
      <c r="N276" s="2"/>
    </row>
    <row r="277" spans="1:27" customFormat="1" ht="13.5" customHeight="1">
      <c r="E277" s="3"/>
      <c r="H277" s="1198"/>
      <c r="I277" s="1198"/>
      <c r="L277" s="2"/>
      <c r="M277" s="2"/>
      <c r="N277" s="2"/>
    </row>
    <row r="278" spans="1:27" customFormat="1" ht="15" customHeight="1">
      <c r="B278" s="10"/>
      <c r="C278" s="5"/>
      <c r="D278" s="5"/>
      <c r="E278" s="305"/>
      <c r="F278" s="5"/>
      <c r="G278" s="5"/>
      <c r="H278" s="1199"/>
      <c r="I278" s="1199"/>
      <c r="J278" s="5"/>
      <c r="K278" s="6"/>
      <c r="R278" s="11" t="str">
        <f>D279</f>
        <v>(選択してください)</v>
      </c>
    </row>
    <row r="279" spans="1:27" customFormat="1">
      <c r="B279" s="7"/>
      <c r="C279" s="77" t="str">
        <f ca="1">IFERROR(OFFSET('4.3民生部門電力以外の排出削減取組'!$C$1,MATCH(D279,'4.3民生部門電力以外の排出削減取組'!$E:$E,0)-1,0),"")</f>
        <v/>
      </c>
      <c r="D279" s="94" t="s">
        <v>130</v>
      </c>
      <c r="E279" s="72" t="s">
        <v>12</v>
      </c>
      <c r="F279" s="1451" t="str">
        <f ca="1">IFERROR(OFFSET('4.3民生部門電力以外の排出削減取組'!$G$1,MATCH($D279,'4.3民生部門電力以外の排出削減取組'!$E:$E,0)-1,0),"")</f>
        <v/>
      </c>
      <c r="G279" s="1451"/>
      <c r="H279" s="1451"/>
      <c r="I279" s="1451"/>
      <c r="J279" s="1451"/>
      <c r="K279" s="8"/>
      <c r="R279" s="255" t="str">
        <f ca="1">IFERROR(OFFSET('4.3民生部門電力以外の排出削減取組'!$G$1,MATCH($D279,'4.3民生部門電力以外の排出削減取組'!$E:$E,0)-1,0),"")</f>
        <v/>
      </c>
      <c r="S279" s="175"/>
      <c r="T279" s="175"/>
      <c r="U279" s="175"/>
      <c r="V279" s="175"/>
      <c r="W279" s="175"/>
      <c r="X279" s="175"/>
      <c r="Y279" s="175"/>
      <c r="Z279" s="175"/>
      <c r="AA279" s="175">
        <f ca="1">(F279=R279)*1</f>
        <v>1</v>
      </c>
    </row>
    <row r="280" spans="1:27" customFormat="1">
      <c r="B280" s="7"/>
      <c r="C280" s="915"/>
      <c r="D280" s="97"/>
      <c r="E280" s="72" t="s">
        <v>612</v>
      </c>
      <c r="F280" s="1447" t="str">
        <f ca="1">IFERROR(OFFSET('4.3民生部門電力以外の排出削減取組'!$J$1,MATCH($D279,'4.3民生部門電力以外の排出削減取組'!$E:$E,0)-1,0),"")</f>
        <v/>
      </c>
      <c r="G280" s="1448"/>
      <c r="H280" s="1448"/>
      <c r="I280" s="1448"/>
      <c r="J280" s="1449"/>
      <c r="K280" s="8"/>
      <c r="R280" s="255" t="str">
        <f ca="1">IFERROR(OFFSET('4.3民生部門電力以外の排出削減取組'!$J$1,MATCH($D279,'4.3民生部門電力以外の排出削減取組'!$E:$E,0)-1,0),"")</f>
        <v/>
      </c>
      <c r="S280" s="175"/>
      <c r="T280" s="175"/>
      <c r="U280" s="175"/>
      <c r="V280" s="175"/>
      <c r="W280" s="175"/>
      <c r="X280" s="175"/>
      <c r="Y280" s="175"/>
      <c r="Z280" s="175"/>
      <c r="AA280" s="175">
        <f ca="1">(F280=R280)*1</f>
        <v>1</v>
      </c>
    </row>
    <row r="281" spans="1:27" customFormat="1">
      <c r="B281" s="7"/>
      <c r="C281" s="74"/>
      <c r="D281" s="66"/>
      <c r="E281" s="72" t="s">
        <v>280</v>
      </c>
      <c r="F281" s="1470" t="str">
        <f ca="1">IFERROR(OFFSET('4.3民生部門電力以外の排出削減取組'!$H$1,MATCH($D279,'4.3民生部門電力以外の排出削減取組'!$E:$E,0)-1,0),"")</f>
        <v/>
      </c>
      <c r="G281" s="1470"/>
      <c r="H281" s="1470"/>
      <c r="I281" s="1470"/>
      <c r="J281" s="1470"/>
      <c r="K281" s="8"/>
      <c r="R281" s="175" t="str">
        <f ca="1">IFERROR(OFFSET('4.3民生部門電力以外の排出削減取組'!$H$1,MATCH($D279,'4.3民生部門電力以外の排出削減取組'!$E:$E,0)-1,0),"")</f>
        <v/>
      </c>
      <c r="S281" s="175"/>
      <c r="T281" s="175"/>
      <c r="U281" s="175"/>
      <c r="V281" s="175"/>
      <c r="W281" s="175"/>
      <c r="X281" s="175"/>
      <c r="Y281" s="175"/>
      <c r="Z281" s="175"/>
      <c r="AA281" s="175">
        <f t="shared" ref="AA281:AA282" ca="1" si="136">(F281=R281)*1</f>
        <v>1</v>
      </c>
    </row>
    <row r="282" spans="1:27" customFormat="1">
      <c r="B282" s="7"/>
      <c r="C282" s="74"/>
      <c r="D282" s="66"/>
      <c r="E282" s="72" t="s">
        <v>175</v>
      </c>
      <c r="F282" s="1451" t="str">
        <f>_xlfn.IFNA(R282,"")</f>
        <v/>
      </c>
      <c r="G282" s="1451"/>
      <c r="H282" s="1451"/>
      <c r="I282" s="1451"/>
      <c r="J282" s="1451"/>
      <c r="K282" s="8"/>
      <c r="R282" s="129" t="str">
        <f>IF(OR(COUNTIF($E284:$E289,"&lt;&gt;〇〇(合意形成対象者名に書き換え)")=3,COUNTIF($E284:$E289,"")&gt;3),"",IF(PRODUCT($Y284:$Y289)=1,Z284,""))</f>
        <v/>
      </c>
      <c r="S282" s="175"/>
      <c r="T282" s="175"/>
      <c r="U282" s="175"/>
      <c r="V282" s="175"/>
      <c r="W282" s="175"/>
      <c r="X282" s="175"/>
      <c r="Y282" s="175"/>
      <c r="Z282" s="175"/>
      <c r="AA282" s="175">
        <f t="shared" si="136"/>
        <v>1</v>
      </c>
    </row>
    <row r="283" spans="1:27" ht="63.75" customHeight="1">
      <c r="B283" s="95"/>
      <c r="C283" s="96"/>
      <c r="D283" s="97"/>
      <c r="E283" s="888"/>
      <c r="F283" s="313" t="s">
        <v>278</v>
      </c>
      <c r="G283" s="313" t="s">
        <v>268</v>
      </c>
      <c r="H283" s="1200" t="s">
        <v>437</v>
      </c>
      <c r="I283" s="1200" t="s">
        <v>439</v>
      </c>
      <c r="J283" s="313" t="s">
        <v>279</v>
      </c>
      <c r="K283" s="98"/>
      <c r="L283" s="11"/>
      <c r="R283" s="126" t="s">
        <v>278</v>
      </c>
      <c r="S283" s="126" t="s">
        <v>440</v>
      </c>
      <c r="T283" s="295" t="s">
        <v>437</v>
      </c>
      <c r="U283" s="295" t="s">
        <v>438</v>
      </c>
      <c r="V283" s="256" t="s">
        <v>270</v>
      </c>
      <c r="W283" s="126" t="s">
        <v>426</v>
      </c>
      <c r="X283" s="129" t="s">
        <v>402</v>
      </c>
      <c r="Y283" s="129" t="s">
        <v>430</v>
      </c>
      <c r="Z283" s="126" t="s">
        <v>425</v>
      </c>
      <c r="AA283" s="255"/>
    </row>
    <row r="284" spans="1:27" hidden="1">
      <c r="B284" s="95"/>
      <c r="C284" s="96"/>
      <c r="D284" s="97"/>
      <c r="E284" s="889"/>
      <c r="F284" s="439"/>
      <c r="G284" s="439"/>
      <c r="H284" s="1201"/>
      <c r="I284" s="1201"/>
      <c r="J284" s="439"/>
      <c r="K284" s="98"/>
      <c r="L284" s="11"/>
      <c r="R284" s="129">
        <f t="shared" ref="R284:R289" si="137">IF(F284="実施済",1,0)</f>
        <v>0</v>
      </c>
      <c r="S284" s="129">
        <f t="shared" ref="S284:S289" si="138">IF(G284="実施済",R284*1,0)</f>
        <v>0</v>
      </c>
      <c r="T284" s="129">
        <f t="shared" ref="T284:T289" si="139">IF(H284="実施済",S284*1,0)</f>
        <v>0</v>
      </c>
      <c r="U284" s="129">
        <f t="shared" ref="U284:U289" si="140">IF(I284="実施済",T284*1,0)</f>
        <v>0</v>
      </c>
      <c r="V284" s="258"/>
      <c r="W284" s="129" t="str">
        <f>IF(OR(E284="〇〇(合意形成対象者名に書き換え)",E284=""),"",SUM(S284,T284,U284))</f>
        <v/>
      </c>
      <c r="X284" s="129">
        <f t="shared" ref="X284:X289" si="141">MIN($W$284:$W$289)+1</f>
        <v>1</v>
      </c>
      <c r="Y284" s="129">
        <f>IF(E284="",1,IF(AND(E284="〇〇(合意形成対象者名に書き換え)",COUNTA($F284:$J284)=0),1,IF(AND(E284&lt;&gt;"〇〇(合意形成対象者名に書き換え)",COUNTA($F284:$J284)=5),1,0)))</f>
        <v>1</v>
      </c>
      <c r="Z284" s="129" t="str" cm="1">
        <f t="array" ref="Z284">_xlfn.IFS(X284=4,"A",X284=3,"B",X284=2,"C",X284=1,"D")</f>
        <v>D</v>
      </c>
      <c r="AA284" s="255"/>
    </row>
    <row r="285" spans="1:27">
      <c r="B285" s="95"/>
      <c r="C285" s="96"/>
      <c r="D285" s="97"/>
      <c r="E285" s="890" t="s">
        <v>129</v>
      </c>
      <c r="F285" s="445"/>
      <c r="G285" s="445"/>
      <c r="H285" s="1202"/>
      <c r="I285" s="1202"/>
      <c r="J285" s="445"/>
      <c r="K285" s="98"/>
      <c r="L285" s="11"/>
      <c r="R285" s="129">
        <f t="shared" si="137"/>
        <v>0</v>
      </c>
      <c r="S285" s="129">
        <f t="shared" si="138"/>
        <v>0</v>
      </c>
      <c r="T285" s="129">
        <f t="shared" si="139"/>
        <v>0</v>
      </c>
      <c r="U285" s="129">
        <f t="shared" si="140"/>
        <v>0</v>
      </c>
      <c r="V285" s="258"/>
      <c r="W285" s="129" t="str">
        <f t="shared" ref="W285:W289" si="142">IF(OR(E285="〇〇(合意形成対象者名に書き換え)",E285=""),"",SUM(S285,T285,U285))</f>
        <v/>
      </c>
      <c r="X285" s="129">
        <f t="shared" si="141"/>
        <v>1</v>
      </c>
      <c r="Y285" s="129">
        <f t="shared" ref="Y285:Y289" si="143">IF(E285="",1,IF(AND(E285="〇〇(合意形成対象者名に書き換え)",COUNTA($F285:$J285)=0),1,IF(AND(E285&lt;&gt;"〇〇(合意形成対象者名に書き換え)",COUNTA($F285:$J285)=5),1,0)))</f>
        <v>1</v>
      </c>
      <c r="Z285" s="129" t="str" cm="1">
        <f t="array" ref="Z285">_xlfn.IFS(X285=4,"A",X285=3,"B",X285=2,"C",X285=1,"D")</f>
        <v>D</v>
      </c>
      <c r="AA285" s="255"/>
    </row>
    <row r="286" spans="1:27">
      <c r="B286" s="95"/>
      <c r="C286" s="96"/>
      <c r="D286" s="97"/>
      <c r="E286" s="890" t="s">
        <v>129</v>
      </c>
      <c r="F286" s="441"/>
      <c r="G286" s="441"/>
      <c r="H286" s="1203"/>
      <c r="I286" s="1203"/>
      <c r="J286" s="441"/>
      <c r="K286" s="98"/>
      <c r="L286" s="11"/>
      <c r="R286" s="129">
        <f t="shared" si="137"/>
        <v>0</v>
      </c>
      <c r="S286" s="129">
        <f t="shared" si="138"/>
        <v>0</v>
      </c>
      <c r="T286" s="129">
        <f t="shared" si="139"/>
        <v>0</v>
      </c>
      <c r="U286" s="129">
        <f t="shared" si="140"/>
        <v>0</v>
      </c>
      <c r="V286" s="258"/>
      <c r="W286" s="129" t="str">
        <f t="shared" si="142"/>
        <v/>
      </c>
      <c r="X286" s="129">
        <f t="shared" si="141"/>
        <v>1</v>
      </c>
      <c r="Y286" s="129">
        <f t="shared" si="143"/>
        <v>1</v>
      </c>
      <c r="Z286" s="129" t="str" cm="1">
        <f t="array" ref="Z286">_xlfn.IFS(X286=4,"A",X286=3,"B",X286=2,"C",X286=1,"D")</f>
        <v>D</v>
      </c>
      <c r="AA286" s="255"/>
    </row>
    <row r="287" spans="1:27" s="99" customFormat="1">
      <c r="A287" s="11"/>
      <c r="B287" s="95"/>
      <c r="C287" s="96"/>
      <c r="D287" s="97"/>
      <c r="E287" s="890" t="s">
        <v>129</v>
      </c>
      <c r="F287" s="441"/>
      <c r="G287" s="441"/>
      <c r="H287" s="1203"/>
      <c r="I287" s="1203"/>
      <c r="J287" s="441"/>
      <c r="K287" s="98"/>
      <c r="L287" s="11"/>
      <c r="O287" s="11"/>
      <c r="P287" s="11"/>
      <c r="Q287" s="11"/>
      <c r="R287" s="129">
        <f t="shared" si="137"/>
        <v>0</v>
      </c>
      <c r="S287" s="129">
        <f t="shared" si="138"/>
        <v>0</v>
      </c>
      <c r="T287" s="129">
        <f t="shared" si="139"/>
        <v>0</v>
      </c>
      <c r="U287" s="129">
        <f t="shared" si="140"/>
        <v>0</v>
      </c>
      <c r="V287" s="258"/>
      <c r="W287" s="129" t="str">
        <f t="shared" si="142"/>
        <v/>
      </c>
      <c r="X287" s="129">
        <f t="shared" si="141"/>
        <v>1</v>
      </c>
      <c r="Y287" s="129">
        <f t="shared" si="143"/>
        <v>1</v>
      </c>
      <c r="Z287" s="129" t="str" cm="1">
        <f t="array" ref="Z287">_xlfn.IFS(X287=4,"A",X287=3,"B",X287=2,"C",X287=1,"D")</f>
        <v>D</v>
      </c>
      <c r="AA287" s="129"/>
    </row>
    <row r="288" spans="1:27" customFormat="1" ht="7.5" customHeight="1">
      <c r="B288" s="65"/>
      <c r="C288" s="4"/>
      <c r="D288" s="4"/>
      <c r="E288" s="288"/>
      <c r="F288" s="4"/>
      <c r="G288" s="4"/>
      <c r="H288" s="1204"/>
      <c r="I288" s="1204"/>
      <c r="J288" s="4"/>
      <c r="K288" s="9"/>
      <c r="L288" s="2"/>
      <c r="M288" s="2"/>
      <c r="N288" s="2"/>
      <c r="R288" s="129">
        <f t="shared" si="137"/>
        <v>0</v>
      </c>
      <c r="S288" s="129">
        <f t="shared" si="138"/>
        <v>0</v>
      </c>
      <c r="T288" s="129">
        <f t="shared" si="139"/>
        <v>0</v>
      </c>
      <c r="U288" s="129">
        <f t="shared" si="140"/>
        <v>0</v>
      </c>
      <c r="V288" s="258"/>
      <c r="W288" s="129" t="str">
        <f t="shared" si="142"/>
        <v/>
      </c>
      <c r="X288" s="129">
        <f t="shared" si="141"/>
        <v>1</v>
      </c>
      <c r="Y288" s="129">
        <f t="shared" si="143"/>
        <v>1</v>
      </c>
      <c r="Z288" s="129" t="str" cm="1">
        <f t="array" ref="Z288">_xlfn.IFS(X288=4,"A",X288=3,"B",X288=2,"C",X288=1,"D")</f>
        <v>D</v>
      </c>
      <c r="AA288" s="175"/>
    </row>
    <row r="289" spans="1:27" customFormat="1" ht="6" customHeight="1">
      <c r="E289" s="3"/>
      <c r="H289" s="1198"/>
      <c r="I289" s="1198"/>
      <c r="L289" s="2"/>
      <c r="M289" s="2"/>
      <c r="N289" s="2"/>
      <c r="R289" s="129">
        <f t="shared" si="137"/>
        <v>0</v>
      </c>
      <c r="S289" s="129">
        <f t="shared" si="138"/>
        <v>0</v>
      </c>
      <c r="T289" s="129">
        <f t="shared" si="139"/>
        <v>0</v>
      </c>
      <c r="U289" s="129">
        <f t="shared" si="140"/>
        <v>0</v>
      </c>
      <c r="V289" s="258"/>
      <c r="W289" s="129" t="str">
        <f t="shared" si="142"/>
        <v/>
      </c>
      <c r="X289" s="129">
        <f t="shared" si="141"/>
        <v>1</v>
      </c>
      <c r="Y289" s="129">
        <f t="shared" si="143"/>
        <v>1</v>
      </c>
      <c r="Z289" s="129" t="str" cm="1">
        <f t="array" ref="Z289">_xlfn.IFS(X289=4,"A",X289=3,"B",X289=2,"C",X289=1,"D")</f>
        <v>D</v>
      </c>
      <c r="AA289" s="175"/>
    </row>
    <row r="290" spans="1:27" customFormat="1" ht="103.5" customHeight="1">
      <c r="C290" s="78"/>
      <c r="D290" s="79"/>
      <c r="E290" s="71" t="s">
        <v>236</v>
      </c>
      <c r="F290" s="1452"/>
      <c r="G290" s="1452"/>
      <c r="H290" s="1452"/>
      <c r="I290" s="1452"/>
      <c r="J290" s="1452"/>
      <c r="K290" s="80" t="s">
        <v>132</v>
      </c>
      <c r="L290" s="80"/>
    </row>
    <row r="291" spans="1:27" customFormat="1" ht="146.25" customHeight="1">
      <c r="C291" s="75"/>
      <c r="D291" s="68"/>
      <c r="E291" s="71" t="s">
        <v>235</v>
      </c>
      <c r="F291" s="1452"/>
      <c r="G291" s="1452"/>
      <c r="H291" s="1452"/>
      <c r="I291" s="1452"/>
      <c r="J291" s="1452"/>
      <c r="L291" s="2"/>
      <c r="M291" s="2"/>
      <c r="N291" s="2"/>
    </row>
    <row r="292" spans="1:27" customFormat="1" ht="13.5" customHeight="1" thickBot="1">
      <c r="A292" s="81"/>
      <c r="B292" s="81"/>
      <c r="C292" s="81"/>
      <c r="D292" s="81"/>
      <c r="E292" s="311"/>
      <c r="F292" s="81"/>
      <c r="G292" s="81"/>
      <c r="H292" s="1205"/>
      <c r="I292" s="1205"/>
      <c r="J292" s="81"/>
      <c r="K292" s="81"/>
      <c r="L292" s="82"/>
      <c r="M292" s="2"/>
      <c r="N292" s="2"/>
    </row>
    <row r="293" spans="1:27" customFormat="1" ht="13.5" customHeight="1">
      <c r="E293" s="3"/>
      <c r="H293" s="1198"/>
      <c r="I293" s="1198"/>
      <c r="L293" s="2"/>
      <c r="M293" s="2"/>
      <c r="N293" s="2"/>
    </row>
    <row r="294" spans="1:27" customFormat="1" ht="15" customHeight="1">
      <c r="B294" s="10"/>
      <c r="C294" s="5"/>
      <c r="D294" s="5"/>
      <c r="E294" s="305"/>
      <c r="F294" s="5"/>
      <c r="G294" s="5"/>
      <c r="H294" s="1199"/>
      <c r="I294" s="1199"/>
      <c r="J294" s="5"/>
      <c r="K294" s="6"/>
      <c r="R294" s="11" t="str">
        <f>D295</f>
        <v>(選択してください)</v>
      </c>
    </row>
    <row r="295" spans="1:27" customFormat="1">
      <c r="B295" s="7"/>
      <c r="C295" s="77" t="str">
        <f ca="1">IFERROR(OFFSET('4.3民生部門電力以外の排出削減取組'!$C$1,MATCH(D295,'4.3民生部門電力以外の排出削減取組'!$E:$E,0)-1,0),"")</f>
        <v/>
      </c>
      <c r="D295" s="94" t="s">
        <v>130</v>
      </c>
      <c r="E295" s="72" t="s">
        <v>12</v>
      </c>
      <c r="F295" s="1451" t="str">
        <f ca="1">IFERROR(OFFSET('4.3民生部門電力以外の排出削減取組'!$G$1,MATCH($D295,'4.3民生部門電力以外の排出削減取組'!$E:$E,0)-1,0),"")</f>
        <v/>
      </c>
      <c r="G295" s="1451"/>
      <c r="H295" s="1451"/>
      <c r="I295" s="1451"/>
      <c r="J295" s="1451"/>
      <c r="K295" s="8"/>
      <c r="R295" s="255" t="str">
        <f ca="1">IFERROR(OFFSET('4.3民生部門電力以外の排出削減取組'!$G$1,MATCH($D295,'4.3民生部門電力以外の排出削減取組'!$E:$E,0)-1,0),"")</f>
        <v/>
      </c>
      <c r="S295" s="175"/>
      <c r="T295" s="175"/>
      <c r="U295" s="175"/>
      <c r="V295" s="175"/>
      <c r="W295" s="175"/>
      <c r="X295" s="175"/>
      <c r="Y295" s="175"/>
      <c r="Z295" s="175"/>
      <c r="AA295" s="175">
        <f ca="1">(F295=R295)*1</f>
        <v>1</v>
      </c>
    </row>
    <row r="296" spans="1:27" customFormat="1">
      <c r="B296" s="7"/>
      <c r="C296" s="915"/>
      <c r="D296" s="97"/>
      <c r="E296" s="72" t="s">
        <v>612</v>
      </c>
      <c r="F296" s="1447" t="str">
        <f ca="1">IFERROR(OFFSET('4.3民生部門電力以外の排出削減取組'!$J$1,MATCH($D295,'4.3民生部門電力以外の排出削減取組'!$E:$E,0)-1,0),"")</f>
        <v/>
      </c>
      <c r="G296" s="1448"/>
      <c r="H296" s="1448"/>
      <c r="I296" s="1448"/>
      <c r="J296" s="1449"/>
      <c r="K296" s="8"/>
      <c r="R296" s="255" t="str">
        <f ca="1">IFERROR(OFFSET('4.3民生部門電力以外の排出削減取組'!$J$1,MATCH($D295,'4.3民生部門電力以外の排出削減取組'!$E:$E,0)-1,0),"")</f>
        <v/>
      </c>
      <c r="S296" s="175"/>
      <c r="T296" s="175"/>
      <c r="U296" s="175"/>
      <c r="V296" s="175"/>
      <c r="W296" s="175"/>
      <c r="X296" s="175"/>
      <c r="Y296" s="175"/>
      <c r="Z296" s="175"/>
      <c r="AA296" s="175">
        <f ca="1">(F296=R296)*1</f>
        <v>1</v>
      </c>
    </row>
    <row r="297" spans="1:27" customFormat="1">
      <c r="B297" s="7"/>
      <c r="C297" s="74"/>
      <c r="D297" s="66"/>
      <c r="E297" s="72" t="s">
        <v>280</v>
      </c>
      <c r="F297" s="1470" t="str">
        <f ca="1">IFERROR(OFFSET('4.3民生部門電力以外の排出削減取組'!$H$1,MATCH($D295,'4.3民生部門電力以外の排出削減取組'!$E:$E,0)-1,0),"")</f>
        <v/>
      </c>
      <c r="G297" s="1470"/>
      <c r="H297" s="1470"/>
      <c r="I297" s="1470"/>
      <c r="J297" s="1470"/>
      <c r="K297" s="8"/>
      <c r="R297" s="175" t="str">
        <f ca="1">IFERROR(OFFSET('4.3民生部門電力以外の排出削減取組'!$H$1,MATCH($D295,'4.3民生部門電力以外の排出削減取組'!$E:$E,0)-1,0),"")</f>
        <v/>
      </c>
      <c r="S297" s="175"/>
      <c r="T297" s="175"/>
      <c r="U297" s="175"/>
      <c r="V297" s="175"/>
      <c r="W297" s="175"/>
      <c r="X297" s="175"/>
      <c r="Y297" s="175"/>
      <c r="Z297" s="175"/>
      <c r="AA297" s="175">
        <f t="shared" ref="AA297:AA298" ca="1" si="144">(F297=R297)*1</f>
        <v>1</v>
      </c>
    </row>
    <row r="298" spans="1:27" customFormat="1">
      <c r="B298" s="7"/>
      <c r="C298" s="74"/>
      <c r="D298" s="66"/>
      <c r="E298" s="72" t="s">
        <v>175</v>
      </c>
      <c r="F298" s="1451" t="str">
        <f>_xlfn.IFNA(R298,"")</f>
        <v/>
      </c>
      <c r="G298" s="1451"/>
      <c r="H298" s="1451"/>
      <c r="I298" s="1451"/>
      <c r="J298" s="1451"/>
      <c r="K298" s="8"/>
      <c r="R298" s="129" t="str">
        <f>IF(OR(COUNTIF($E300:$E305,"&lt;&gt;〇〇(合意形成対象者名に書き換え)")=3,COUNTIF($E300:$E305,"")&gt;3),"",IF(PRODUCT($Y300:$Y305)=1,Z300,""))</f>
        <v/>
      </c>
      <c r="S298" s="175"/>
      <c r="T298" s="175"/>
      <c r="U298" s="175"/>
      <c r="V298" s="175"/>
      <c r="W298" s="175"/>
      <c r="X298" s="175"/>
      <c r="Y298" s="175"/>
      <c r="Z298" s="175"/>
      <c r="AA298" s="175">
        <f t="shared" si="144"/>
        <v>1</v>
      </c>
    </row>
    <row r="299" spans="1:27" ht="63.75" customHeight="1">
      <c r="B299" s="95"/>
      <c r="C299" s="96"/>
      <c r="D299" s="97"/>
      <c r="E299" s="888"/>
      <c r="F299" s="313" t="s">
        <v>278</v>
      </c>
      <c r="G299" s="313" t="s">
        <v>268</v>
      </c>
      <c r="H299" s="1200" t="s">
        <v>437</v>
      </c>
      <c r="I299" s="1200" t="s">
        <v>439</v>
      </c>
      <c r="J299" s="313" t="s">
        <v>279</v>
      </c>
      <c r="K299" s="98"/>
      <c r="L299" s="11"/>
      <c r="R299" s="126" t="s">
        <v>278</v>
      </c>
      <c r="S299" s="126" t="s">
        <v>440</v>
      </c>
      <c r="T299" s="295" t="s">
        <v>437</v>
      </c>
      <c r="U299" s="295" t="s">
        <v>438</v>
      </c>
      <c r="V299" s="256" t="s">
        <v>270</v>
      </c>
      <c r="W299" s="126" t="s">
        <v>426</v>
      </c>
      <c r="X299" s="129" t="s">
        <v>402</v>
      </c>
      <c r="Y299" s="129" t="s">
        <v>430</v>
      </c>
      <c r="Z299" s="126" t="s">
        <v>425</v>
      </c>
      <c r="AA299" s="255"/>
    </row>
    <row r="300" spans="1:27" hidden="1">
      <c r="B300" s="95"/>
      <c r="C300" s="96"/>
      <c r="D300" s="97"/>
      <c r="E300" s="889"/>
      <c r="F300" s="439"/>
      <c r="G300" s="439"/>
      <c r="H300" s="1201"/>
      <c r="I300" s="1201"/>
      <c r="J300" s="439"/>
      <c r="K300" s="98"/>
      <c r="L300" s="11"/>
      <c r="R300" s="129">
        <f t="shared" ref="R300:R305" si="145">IF(F300="実施済",1,0)</f>
        <v>0</v>
      </c>
      <c r="S300" s="129">
        <f t="shared" ref="S300:S305" si="146">IF(G300="実施済",R300*1,0)</f>
        <v>0</v>
      </c>
      <c r="T300" s="129">
        <f t="shared" ref="T300:T305" si="147">IF(H300="実施済",S300*1,0)</f>
        <v>0</v>
      </c>
      <c r="U300" s="129">
        <f t="shared" ref="U300:U305" si="148">IF(I300="実施済",T300*1,0)</f>
        <v>0</v>
      </c>
      <c r="V300" s="258"/>
      <c r="W300" s="129" t="str">
        <f>IF(OR(E300="〇〇(合意形成対象者名に書き換え)",E300=""),"",SUM(S300,T300,U300))</f>
        <v/>
      </c>
      <c r="X300" s="129">
        <f t="shared" ref="X300:X305" si="149">MIN($W$300:$W$305)+1</f>
        <v>1</v>
      </c>
      <c r="Y300" s="129">
        <f>IF(E300="",1,IF(AND(E300="〇〇(合意形成対象者名に書き換え)",COUNTA($F300:$J300)=0),1,IF(AND(E300&lt;&gt;"〇〇(合意形成対象者名に書き換え)",COUNTA($F300:$J300)=5),1,0)))</f>
        <v>1</v>
      </c>
      <c r="Z300" s="129" t="str" cm="1">
        <f t="array" ref="Z300">_xlfn.IFS(X300=4,"A",X300=3,"B",X300=2,"C",X300=1,"D")</f>
        <v>D</v>
      </c>
      <c r="AA300" s="255"/>
    </row>
    <row r="301" spans="1:27">
      <c r="B301" s="95"/>
      <c r="C301" s="96"/>
      <c r="D301" s="97"/>
      <c r="E301" s="890" t="s">
        <v>129</v>
      </c>
      <c r="F301" s="445"/>
      <c r="G301" s="445"/>
      <c r="H301" s="1202"/>
      <c r="I301" s="1202"/>
      <c r="J301" s="445"/>
      <c r="K301" s="98"/>
      <c r="L301" s="11"/>
      <c r="R301" s="129">
        <f t="shared" si="145"/>
        <v>0</v>
      </c>
      <c r="S301" s="129">
        <f t="shared" si="146"/>
        <v>0</v>
      </c>
      <c r="T301" s="129">
        <f t="shared" si="147"/>
        <v>0</v>
      </c>
      <c r="U301" s="129">
        <f t="shared" si="148"/>
        <v>0</v>
      </c>
      <c r="V301" s="258"/>
      <c r="W301" s="129" t="str">
        <f t="shared" ref="W301:W305" si="150">IF(OR(E301="〇〇(合意形成対象者名に書き換え)",E301=""),"",SUM(S301,T301,U301))</f>
        <v/>
      </c>
      <c r="X301" s="129">
        <f t="shared" si="149"/>
        <v>1</v>
      </c>
      <c r="Y301" s="129">
        <f t="shared" ref="Y301:Y305" si="151">IF(E301="",1,IF(AND(E301="〇〇(合意形成対象者名に書き換え)",COUNTA($F301:$J301)=0),1,IF(AND(E301&lt;&gt;"〇〇(合意形成対象者名に書き換え)",COUNTA($F301:$J301)=5),1,0)))</f>
        <v>1</v>
      </c>
      <c r="Z301" s="129" t="str" cm="1">
        <f t="array" ref="Z301">_xlfn.IFS(X301=4,"A",X301=3,"B",X301=2,"C",X301=1,"D")</f>
        <v>D</v>
      </c>
      <c r="AA301" s="255"/>
    </row>
    <row r="302" spans="1:27">
      <c r="B302" s="95"/>
      <c r="C302" s="96"/>
      <c r="D302" s="97"/>
      <c r="E302" s="890" t="s">
        <v>129</v>
      </c>
      <c r="F302" s="441"/>
      <c r="G302" s="441"/>
      <c r="H302" s="1203"/>
      <c r="I302" s="1203"/>
      <c r="J302" s="441"/>
      <c r="K302" s="98"/>
      <c r="L302" s="11"/>
      <c r="R302" s="129">
        <f t="shared" si="145"/>
        <v>0</v>
      </c>
      <c r="S302" s="129">
        <f t="shared" si="146"/>
        <v>0</v>
      </c>
      <c r="T302" s="129">
        <f t="shared" si="147"/>
        <v>0</v>
      </c>
      <c r="U302" s="129">
        <f t="shared" si="148"/>
        <v>0</v>
      </c>
      <c r="V302" s="258"/>
      <c r="W302" s="129" t="str">
        <f t="shared" si="150"/>
        <v/>
      </c>
      <c r="X302" s="129">
        <f t="shared" si="149"/>
        <v>1</v>
      </c>
      <c r="Y302" s="129">
        <f t="shared" si="151"/>
        <v>1</v>
      </c>
      <c r="Z302" s="129" t="str" cm="1">
        <f t="array" ref="Z302">_xlfn.IFS(X302=4,"A",X302=3,"B",X302=2,"C",X302=1,"D")</f>
        <v>D</v>
      </c>
      <c r="AA302" s="255"/>
    </row>
    <row r="303" spans="1:27" s="99" customFormat="1">
      <c r="A303" s="11"/>
      <c r="B303" s="95"/>
      <c r="C303" s="96"/>
      <c r="D303" s="97"/>
      <c r="E303" s="890" t="s">
        <v>129</v>
      </c>
      <c r="F303" s="441"/>
      <c r="G303" s="441"/>
      <c r="H303" s="1203"/>
      <c r="I303" s="1203"/>
      <c r="J303" s="441"/>
      <c r="K303" s="98"/>
      <c r="L303" s="11"/>
      <c r="O303" s="11"/>
      <c r="P303" s="11"/>
      <c r="Q303" s="11"/>
      <c r="R303" s="129">
        <f t="shared" si="145"/>
        <v>0</v>
      </c>
      <c r="S303" s="129">
        <f t="shared" si="146"/>
        <v>0</v>
      </c>
      <c r="T303" s="129">
        <f t="shared" si="147"/>
        <v>0</v>
      </c>
      <c r="U303" s="129">
        <f t="shared" si="148"/>
        <v>0</v>
      </c>
      <c r="V303" s="258"/>
      <c r="W303" s="129" t="str">
        <f t="shared" si="150"/>
        <v/>
      </c>
      <c r="X303" s="129">
        <f t="shared" si="149"/>
        <v>1</v>
      </c>
      <c r="Y303" s="129">
        <f t="shared" si="151"/>
        <v>1</v>
      </c>
      <c r="Z303" s="129" t="str" cm="1">
        <f t="array" ref="Z303">_xlfn.IFS(X303=4,"A",X303=3,"B",X303=2,"C",X303=1,"D")</f>
        <v>D</v>
      </c>
      <c r="AA303" s="129"/>
    </row>
    <row r="304" spans="1:27" customFormat="1" ht="7.5" customHeight="1">
      <c r="B304" s="65"/>
      <c r="C304" s="4"/>
      <c r="D304" s="4"/>
      <c r="E304" s="288"/>
      <c r="F304" s="4"/>
      <c r="G304" s="4"/>
      <c r="H304" s="1204"/>
      <c r="I304" s="1204"/>
      <c r="J304" s="4"/>
      <c r="K304" s="9"/>
      <c r="L304" s="2"/>
      <c r="M304" s="2"/>
      <c r="N304" s="2"/>
      <c r="R304" s="129">
        <f t="shared" si="145"/>
        <v>0</v>
      </c>
      <c r="S304" s="129">
        <f t="shared" si="146"/>
        <v>0</v>
      </c>
      <c r="T304" s="129">
        <f t="shared" si="147"/>
        <v>0</v>
      </c>
      <c r="U304" s="129">
        <f t="shared" si="148"/>
        <v>0</v>
      </c>
      <c r="V304" s="258"/>
      <c r="W304" s="129" t="str">
        <f t="shared" si="150"/>
        <v/>
      </c>
      <c r="X304" s="129">
        <f t="shared" si="149"/>
        <v>1</v>
      </c>
      <c r="Y304" s="129">
        <f t="shared" si="151"/>
        <v>1</v>
      </c>
      <c r="Z304" s="129" t="str" cm="1">
        <f t="array" ref="Z304">_xlfn.IFS(X304=4,"A",X304=3,"B",X304=2,"C",X304=1,"D")</f>
        <v>D</v>
      </c>
      <c r="AA304" s="175"/>
    </row>
    <row r="305" spans="1:27" customFormat="1" ht="6" customHeight="1">
      <c r="E305" s="3"/>
      <c r="H305" s="1198"/>
      <c r="I305" s="1198"/>
      <c r="L305" s="2"/>
      <c r="M305" s="2"/>
      <c r="N305" s="2"/>
      <c r="R305" s="129">
        <f t="shared" si="145"/>
        <v>0</v>
      </c>
      <c r="S305" s="129">
        <f t="shared" si="146"/>
        <v>0</v>
      </c>
      <c r="T305" s="129">
        <f t="shared" si="147"/>
        <v>0</v>
      </c>
      <c r="U305" s="129">
        <f t="shared" si="148"/>
        <v>0</v>
      </c>
      <c r="V305" s="258"/>
      <c r="W305" s="129" t="str">
        <f t="shared" si="150"/>
        <v/>
      </c>
      <c r="X305" s="129">
        <f t="shared" si="149"/>
        <v>1</v>
      </c>
      <c r="Y305" s="129">
        <f t="shared" si="151"/>
        <v>1</v>
      </c>
      <c r="Z305" s="129" t="str" cm="1">
        <f t="array" ref="Z305">_xlfn.IFS(X305=4,"A",X305=3,"B",X305=2,"C",X305=1,"D")</f>
        <v>D</v>
      </c>
      <c r="AA305" s="175"/>
    </row>
    <row r="306" spans="1:27" customFormat="1" ht="103.5" customHeight="1">
      <c r="C306" s="78"/>
      <c r="D306" s="79"/>
      <c r="E306" s="71" t="s">
        <v>236</v>
      </c>
      <c r="F306" s="1452"/>
      <c r="G306" s="1452"/>
      <c r="H306" s="1452"/>
      <c r="I306" s="1452"/>
      <c r="J306" s="1452"/>
      <c r="K306" s="80" t="s">
        <v>132</v>
      </c>
      <c r="L306" s="80"/>
    </row>
    <row r="307" spans="1:27" customFormat="1" ht="146.25" customHeight="1">
      <c r="C307" s="75"/>
      <c r="D307" s="68"/>
      <c r="E307" s="71" t="s">
        <v>235</v>
      </c>
      <c r="F307" s="1452"/>
      <c r="G307" s="1452"/>
      <c r="H307" s="1452"/>
      <c r="I307" s="1452"/>
      <c r="J307" s="1452"/>
      <c r="L307" s="2"/>
      <c r="M307" s="2"/>
      <c r="N307" s="2"/>
    </row>
    <row r="308" spans="1:27" customFormat="1" ht="13.5" customHeight="1" thickBot="1">
      <c r="A308" s="81"/>
      <c r="B308" s="81"/>
      <c r="C308" s="81"/>
      <c r="D308" s="81"/>
      <c r="E308" s="311"/>
      <c r="F308" s="81"/>
      <c r="G308" s="81"/>
      <c r="H308" s="1205"/>
      <c r="I308" s="1205"/>
      <c r="J308" s="81"/>
      <c r="K308" s="81"/>
      <c r="L308" s="82"/>
      <c r="M308" s="2"/>
      <c r="N308" s="2"/>
    </row>
    <row r="309" spans="1:27" customFormat="1" ht="13.5" customHeight="1">
      <c r="E309" s="3"/>
      <c r="H309" s="1198"/>
      <c r="I309" s="1198"/>
      <c r="L309" s="2"/>
      <c r="M309" s="2"/>
      <c r="N309" s="2"/>
    </row>
    <row r="310" spans="1:27" customFormat="1" ht="15" customHeight="1">
      <c r="B310" s="10"/>
      <c r="C310" s="5"/>
      <c r="D310" s="5"/>
      <c r="E310" s="305"/>
      <c r="F310" s="5"/>
      <c r="G310" s="5"/>
      <c r="H310" s="1199"/>
      <c r="I310" s="1199"/>
      <c r="J310" s="5"/>
      <c r="K310" s="6"/>
      <c r="R310" s="11" t="str">
        <f>D311</f>
        <v>(選択してください)</v>
      </c>
    </row>
    <row r="311" spans="1:27" customFormat="1">
      <c r="B311" s="7"/>
      <c r="C311" s="77" t="str">
        <f ca="1">IFERROR(OFFSET('4.3民生部門電力以外の排出削減取組'!$C$1,MATCH(D311,'4.3民生部門電力以外の排出削減取組'!$E:$E,0)-1,0),"")</f>
        <v/>
      </c>
      <c r="D311" s="94" t="s">
        <v>130</v>
      </c>
      <c r="E311" s="72" t="s">
        <v>12</v>
      </c>
      <c r="F311" s="1451" t="str">
        <f ca="1">IFERROR(OFFSET('4.3民生部門電力以外の排出削減取組'!$G$1,MATCH($D311,'4.3民生部門電力以外の排出削減取組'!$E:$E,0)-1,0),"")</f>
        <v/>
      </c>
      <c r="G311" s="1451"/>
      <c r="H311" s="1451"/>
      <c r="I311" s="1451"/>
      <c r="J311" s="1451"/>
      <c r="K311" s="8"/>
      <c r="R311" s="255" t="str">
        <f ca="1">IFERROR(OFFSET('4.3民生部門電力以外の排出削減取組'!$G$1,MATCH($D311,'4.3民生部門電力以外の排出削減取組'!$E:$E,0)-1,0),"")</f>
        <v/>
      </c>
      <c r="S311" s="175"/>
      <c r="T311" s="175"/>
      <c r="U311" s="175"/>
      <c r="V311" s="175"/>
      <c r="W311" s="175"/>
      <c r="X311" s="175"/>
      <c r="Y311" s="175"/>
      <c r="Z311" s="175"/>
      <c r="AA311" s="175">
        <f ca="1">(F311=R311)*1</f>
        <v>1</v>
      </c>
    </row>
    <row r="312" spans="1:27" customFormat="1">
      <c r="B312" s="7"/>
      <c r="C312" s="915"/>
      <c r="D312" s="97"/>
      <c r="E312" s="72" t="s">
        <v>612</v>
      </c>
      <c r="F312" s="1447" t="str">
        <f ca="1">IFERROR(OFFSET('4.3民生部門電力以外の排出削減取組'!$J$1,MATCH($D311,'4.3民生部門電力以外の排出削減取組'!$E:$E,0)-1,0),"")</f>
        <v/>
      </c>
      <c r="G312" s="1448"/>
      <c r="H312" s="1448"/>
      <c r="I312" s="1448"/>
      <c r="J312" s="1449"/>
      <c r="K312" s="8"/>
      <c r="R312" s="255" t="str">
        <f ca="1">IFERROR(OFFSET('4.3民生部門電力以外の排出削減取組'!$J$1,MATCH($D311,'4.3民生部門電力以外の排出削減取組'!$E:$E,0)-1,0),"")</f>
        <v/>
      </c>
      <c r="S312" s="175"/>
      <c r="T312" s="175"/>
      <c r="U312" s="175"/>
      <c r="V312" s="175"/>
      <c r="W312" s="175"/>
      <c r="X312" s="175"/>
      <c r="Y312" s="175"/>
      <c r="Z312" s="175"/>
      <c r="AA312" s="175">
        <f ca="1">(F312=R312)*1</f>
        <v>1</v>
      </c>
    </row>
    <row r="313" spans="1:27" customFormat="1">
      <c r="B313" s="7"/>
      <c r="C313" s="74"/>
      <c r="D313" s="66"/>
      <c r="E313" s="72" t="s">
        <v>280</v>
      </c>
      <c r="F313" s="1470" t="str">
        <f ca="1">IFERROR(OFFSET('4.3民生部門電力以外の排出削減取組'!$H$1,MATCH($D311,'4.3民生部門電力以外の排出削減取組'!$E:$E,0)-1,0),"")</f>
        <v/>
      </c>
      <c r="G313" s="1470"/>
      <c r="H313" s="1470"/>
      <c r="I313" s="1470"/>
      <c r="J313" s="1470"/>
      <c r="K313" s="8"/>
      <c r="R313" s="175" t="str">
        <f ca="1">IFERROR(OFFSET('4.3民生部門電力以外の排出削減取組'!$H$1,MATCH($D311,'4.3民生部門電力以外の排出削減取組'!$E:$E,0)-1,0),"")</f>
        <v/>
      </c>
      <c r="S313" s="175"/>
      <c r="T313" s="175"/>
      <c r="U313" s="175"/>
      <c r="V313" s="175"/>
      <c r="W313" s="175"/>
      <c r="X313" s="175"/>
      <c r="Y313" s="175"/>
      <c r="Z313" s="175"/>
      <c r="AA313" s="175">
        <f t="shared" ref="AA313:AA314" ca="1" si="152">(F313=R313)*1</f>
        <v>1</v>
      </c>
    </row>
    <row r="314" spans="1:27" customFormat="1">
      <c r="B314" s="7"/>
      <c r="C314" s="74"/>
      <c r="D314" s="66"/>
      <c r="E314" s="72" t="s">
        <v>175</v>
      </c>
      <c r="F314" s="1451" t="str">
        <f>_xlfn.IFNA(R314,"")</f>
        <v/>
      </c>
      <c r="G314" s="1451"/>
      <c r="H314" s="1451"/>
      <c r="I314" s="1451"/>
      <c r="J314" s="1451"/>
      <c r="K314" s="8"/>
      <c r="R314" s="129" t="str">
        <f>IF(OR(COUNTIF($E316:$E321,"&lt;&gt;〇〇(合意形成対象者名に書き換え)")=3,COUNTIF($E316:$E321,"")&gt;3),"",IF(PRODUCT($Y316:$Y321)=1,Z316,""))</f>
        <v/>
      </c>
      <c r="S314" s="175"/>
      <c r="T314" s="175"/>
      <c r="U314" s="175"/>
      <c r="V314" s="175"/>
      <c r="W314" s="175"/>
      <c r="X314" s="175"/>
      <c r="Y314" s="175"/>
      <c r="Z314" s="175"/>
      <c r="AA314" s="175">
        <f t="shared" si="152"/>
        <v>1</v>
      </c>
    </row>
    <row r="315" spans="1:27" ht="63.75" customHeight="1">
      <c r="B315" s="95"/>
      <c r="C315" s="96"/>
      <c r="D315" s="97"/>
      <c r="E315" s="888"/>
      <c r="F315" s="313" t="s">
        <v>278</v>
      </c>
      <c r="G315" s="313" t="s">
        <v>268</v>
      </c>
      <c r="H315" s="1200" t="s">
        <v>437</v>
      </c>
      <c r="I315" s="1200" t="s">
        <v>439</v>
      </c>
      <c r="J315" s="313" t="s">
        <v>279</v>
      </c>
      <c r="K315" s="98"/>
      <c r="L315" s="11"/>
      <c r="R315" s="126" t="s">
        <v>278</v>
      </c>
      <c r="S315" s="126" t="s">
        <v>440</v>
      </c>
      <c r="T315" s="295" t="s">
        <v>437</v>
      </c>
      <c r="U315" s="295" t="s">
        <v>438</v>
      </c>
      <c r="V315" s="256" t="s">
        <v>270</v>
      </c>
      <c r="W315" s="126" t="s">
        <v>426</v>
      </c>
      <c r="X315" s="129" t="s">
        <v>402</v>
      </c>
      <c r="Y315" s="129" t="s">
        <v>430</v>
      </c>
      <c r="Z315" s="126" t="s">
        <v>425</v>
      </c>
      <c r="AA315" s="255"/>
    </row>
    <row r="316" spans="1:27" hidden="1">
      <c r="B316" s="95"/>
      <c r="C316" s="96"/>
      <c r="D316" s="97"/>
      <c r="E316" s="889"/>
      <c r="F316" s="439"/>
      <c r="G316" s="439"/>
      <c r="H316" s="1201"/>
      <c r="I316" s="1201"/>
      <c r="J316" s="439"/>
      <c r="K316" s="98"/>
      <c r="L316" s="11"/>
      <c r="R316" s="129">
        <f t="shared" ref="R316:R321" si="153">IF(F316="実施済",1,0)</f>
        <v>0</v>
      </c>
      <c r="S316" s="129">
        <f t="shared" ref="S316:S321" si="154">IF(G316="実施済",R316*1,0)</f>
        <v>0</v>
      </c>
      <c r="T316" s="129">
        <f t="shared" ref="T316:T321" si="155">IF(H316="実施済",S316*1,0)</f>
        <v>0</v>
      </c>
      <c r="U316" s="129">
        <f t="shared" ref="U316:U321" si="156">IF(I316="実施済",T316*1,0)</f>
        <v>0</v>
      </c>
      <c r="V316" s="258"/>
      <c r="W316" s="129" t="str">
        <f>IF(OR(E316="〇〇(合意形成対象者名に書き換え)",E316=""),"",SUM(S316,T316,U316))</f>
        <v/>
      </c>
      <c r="X316" s="129">
        <f t="shared" ref="X316:X321" si="157">MIN($W$316:$W$321)+1</f>
        <v>1</v>
      </c>
      <c r="Y316" s="129">
        <f>IF(E316="",1,IF(AND(E316="〇〇(合意形成対象者名に書き換え)",COUNTA($F316:$J316)=0),1,IF(AND(E316&lt;&gt;"〇〇(合意形成対象者名に書き換え)",COUNTA($F316:$J316)=5),1,0)))</f>
        <v>1</v>
      </c>
      <c r="Z316" s="129" t="str" cm="1">
        <f t="array" ref="Z316">_xlfn.IFS(X316=4,"A",X316=3,"B",X316=2,"C",X316=1,"D")</f>
        <v>D</v>
      </c>
      <c r="AA316" s="255"/>
    </row>
    <row r="317" spans="1:27">
      <c r="B317" s="95"/>
      <c r="C317" s="96"/>
      <c r="D317" s="97"/>
      <c r="E317" s="890" t="s">
        <v>129</v>
      </c>
      <c r="F317" s="445"/>
      <c r="G317" s="445"/>
      <c r="H317" s="1202"/>
      <c r="I317" s="1202"/>
      <c r="J317" s="445"/>
      <c r="K317" s="98"/>
      <c r="L317" s="11"/>
      <c r="R317" s="129">
        <f t="shared" si="153"/>
        <v>0</v>
      </c>
      <c r="S317" s="129">
        <f t="shared" si="154"/>
        <v>0</v>
      </c>
      <c r="T317" s="129">
        <f t="shared" si="155"/>
        <v>0</v>
      </c>
      <c r="U317" s="129">
        <f t="shared" si="156"/>
        <v>0</v>
      </c>
      <c r="V317" s="258"/>
      <c r="W317" s="129" t="str">
        <f t="shared" ref="W317:W321" si="158">IF(OR(E317="〇〇(合意形成対象者名に書き換え)",E317=""),"",SUM(S317,T317,U317))</f>
        <v/>
      </c>
      <c r="X317" s="129">
        <f t="shared" si="157"/>
        <v>1</v>
      </c>
      <c r="Y317" s="129">
        <f t="shared" ref="Y317:Y321" si="159">IF(E317="",1,IF(AND(E317="〇〇(合意形成対象者名に書き換え)",COUNTA($F317:$J317)=0),1,IF(AND(E317&lt;&gt;"〇〇(合意形成対象者名に書き換え)",COUNTA($F317:$J317)=5),1,0)))</f>
        <v>1</v>
      </c>
      <c r="Z317" s="129" t="str" cm="1">
        <f t="array" ref="Z317">_xlfn.IFS(X317=4,"A",X317=3,"B",X317=2,"C",X317=1,"D")</f>
        <v>D</v>
      </c>
      <c r="AA317" s="255"/>
    </row>
    <row r="318" spans="1:27">
      <c r="B318" s="95"/>
      <c r="C318" s="96"/>
      <c r="D318" s="97"/>
      <c r="E318" s="890" t="s">
        <v>129</v>
      </c>
      <c r="F318" s="441"/>
      <c r="G318" s="441"/>
      <c r="H318" s="1203"/>
      <c r="I318" s="1203"/>
      <c r="J318" s="441"/>
      <c r="K318" s="98"/>
      <c r="L318" s="11"/>
      <c r="R318" s="129">
        <f t="shared" si="153"/>
        <v>0</v>
      </c>
      <c r="S318" s="129">
        <f t="shared" si="154"/>
        <v>0</v>
      </c>
      <c r="T318" s="129">
        <f t="shared" si="155"/>
        <v>0</v>
      </c>
      <c r="U318" s="129">
        <f t="shared" si="156"/>
        <v>0</v>
      </c>
      <c r="V318" s="258"/>
      <c r="W318" s="129" t="str">
        <f t="shared" si="158"/>
        <v/>
      </c>
      <c r="X318" s="129">
        <f t="shared" si="157"/>
        <v>1</v>
      </c>
      <c r="Y318" s="129">
        <f t="shared" si="159"/>
        <v>1</v>
      </c>
      <c r="Z318" s="129" t="str" cm="1">
        <f t="array" ref="Z318">_xlfn.IFS(X318=4,"A",X318=3,"B",X318=2,"C",X318=1,"D")</f>
        <v>D</v>
      </c>
      <c r="AA318" s="255"/>
    </row>
    <row r="319" spans="1:27" s="99" customFormat="1">
      <c r="A319" s="11"/>
      <c r="B319" s="95"/>
      <c r="C319" s="96"/>
      <c r="D319" s="97"/>
      <c r="E319" s="890" t="s">
        <v>129</v>
      </c>
      <c r="F319" s="441"/>
      <c r="G319" s="441"/>
      <c r="H319" s="1203"/>
      <c r="I319" s="1203"/>
      <c r="J319" s="441"/>
      <c r="K319" s="98"/>
      <c r="L319" s="11"/>
      <c r="O319" s="11"/>
      <c r="P319" s="11"/>
      <c r="Q319" s="11"/>
      <c r="R319" s="129">
        <f t="shared" si="153"/>
        <v>0</v>
      </c>
      <c r="S319" s="129">
        <f t="shared" si="154"/>
        <v>0</v>
      </c>
      <c r="T319" s="129">
        <f t="shared" si="155"/>
        <v>0</v>
      </c>
      <c r="U319" s="129">
        <f t="shared" si="156"/>
        <v>0</v>
      </c>
      <c r="V319" s="258"/>
      <c r="W319" s="129" t="str">
        <f t="shared" si="158"/>
        <v/>
      </c>
      <c r="X319" s="129">
        <f t="shared" si="157"/>
        <v>1</v>
      </c>
      <c r="Y319" s="129">
        <f t="shared" si="159"/>
        <v>1</v>
      </c>
      <c r="Z319" s="129" t="str" cm="1">
        <f t="array" ref="Z319">_xlfn.IFS(X319=4,"A",X319=3,"B",X319=2,"C",X319=1,"D")</f>
        <v>D</v>
      </c>
      <c r="AA319" s="129"/>
    </row>
    <row r="320" spans="1:27" customFormat="1" ht="7.5" customHeight="1">
      <c r="B320" s="65"/>
      <c r="C320" s="4"/>
      <c r="D320" s="4"/>
      <c r="E320" s="288"/>
      <c r="F320" s="4"/>
      <c r="G320" s="4"/>
      <c r="H320" s="1204"/>
      <c r="I320" s="1204"/>
      <c r="J320" s="4"/>
      <c r="K320" s="9"/>
      <c r="L320" s="2"/>
      <c r="M320" s="2"/>
      <c r="N320" s="2"/>
      <c r="R320" s="129">
        <f t="shared" si="153"/>
        <v>0</v>
      </c>
      <c r="S320" s="129">
        <f t="shared" si="154"/>
        <v>0</v>
      </c>
      <c r="T320" s="129">
        <f t="shared" si="155"/>
        <v>0</v>
      </c>
      <c r="U320" s="129">
        <f t="shared" si="156"/>
        <v>0</v>
      </c>
      <c r="V320" s="258"/>
      <c r="W320" s="129" t="str">
        <f t="shared" si="158"/>
        <v/>
      </c>
      <c r="X320" s="129">
        <f t="shared" si="157"/>
        <v>1</v>
      </c>
      <c r="Y320" s="129">
        <f t="shared" si="159"/>
        <v>1</v>
      </c>
      <c r="Z320" s="129" t="str" cm="1">
        <f t="array" ref="Z320">_xlfn.IFS(X320=4,"A",X320=3,"B",X320=2,"C",X320=1,"D")</f>
        <v>D</v>
      </c>
      <c r="AA320" s="175"/>
    </row>
    <row r="321" spans="1:27" customFormat="1" ht="6" customHeight="1">
      <c r="E321" s="3"/>
      <c r="H321" s="1198"/>
      <c r="I321" s="1198"/>
      <c r="L321" s="2"/>
      <c r="M321" s="2"/>
      <c r="N321" s="2"/>
      <c r="R321" s="129">
        <f t="shared" si="153"/>
        <v>0</v>
      </c>
      <c r="S321" s="129">
        <f t="shared" si="154"/>
        <v>0</v>
      </c>
      <c r="T321" s="129">
        <f t="shared" si="155"/>
        <v>0</v>
      </c>
      <c r="U321" s="129">
        <f t="shared" si="156"/>
        <v>0</v>
      </c>
      <c r="V321" s="258"/>
      <c r="W321" s="129" t="str">
        <f t="shared" si="158"/>
        <v/>
      </c>
      <c r="X321" s="129">
        <f t="shared" si="157"/>
        <v>1</v>
      </c>
      <c r="Y321" s="129">
        <f t="shared" si="159"/>
        <v>1</v>
      </c>
      <c r="Z321" s="129" t="str" cm="1">
        <f t="array" ref="Z321">_xlfn.IFS(X321=4,"A",X321=3,"B",X321=2,"C",X321=1,"D")</f>
        <v>D</v>
      </c>
      <c r="AA321" s="175"/>
    </row>
    <row r="322" spans="1:27" customFormat="1" ht="103.5" customHeight="1">
      <c r="C322" s="78"/>
      <c r="D322" s="79"/>
      <c r="E322" s="71" t="s">
        <v>236</v>
      </c>
      <c r="F322" s="1452"/>
      <c r="G322" s="1452"/>
      <c r="H322" s="1452"/>
      <c r="I322" s="1452"/>
      <c r="J322" s="1452"/>
      <c r="K322" s="80" t="s">
        <v>132</v>
      </c>
      <c r="L322" s="80"/>
    </row>
    <row r="323" spans="1:27" customFormat="1" ht="146.25" customHeight="1">
      <c r="C323" s="75"/>
      <c r="D323" s="68"/>
      <c r="E323" s="71" t="s">
        <v>235</v>
      </c>
      <c r="F323" s="1452"/>
      <c r="G323" s="1452"/>
      <c r="H323" s="1452"/>
      <c r="I323" s="1452"/>
      <c r="J323" s="1452"/>
      <c r="L323" s="2"/>
      <c r="M323" s="2"/>
      <c r="N323" s="2"/>
    </row>
    <row r="324" spans="1:27" customFormat="1" ht="13.5" customHeight="1" thickBot="1">
      <c r="A324" s="81"/>
      <c r="B324" s="81"/>
      <c r="C324" s="81"/>
      <c r="D324" s="81"/>
      <c r="E324" s="311"/>
      <c r="F324" s="81"/>
      <c r="G324" s="81"/>
      <c r="H324" s="1205"/>
      <c r="I324" s="1205"/>
      <c r="J324" s="81"/>
      <c r="K324" s="81"/>
      <c r="L324" s="82"/>
      <c r="M324" s="2"/>
      <c r="N324" s="2"/>
    </row>
    <row r="325" spans="1:27" customFormat="1" ht="13.5" customHeight="1">
      <c r="E325" s="3"/>
      <c r="H325" s="1198"/>
      <c r="I325" s="1198"/>
      <c r="L325" s="2"/>
      <c r="M325" s="2"/>
      <c r="N325" s="2"/>
    </row>
    <row r="326" spans="1:27" customFormat="1" ht="15" customHeight="1">
      <c r="B326" s="10"/>
      <c r="C326" s="5"/>
      <c r="D326" s="5"/>
      <c r="E326" s="305"/>
      <c r="F326" s="5"/>
      <c r="G326" s="5"/>
      <c r="H326" s="1199"/>
      <c r="I326" s="1199"/>
      <c r="J326" s="5"/>
      <c r="K326" s="6"/>
      <c r="R326" s="11" t="str">
        <f>D327</f>
        <v>(選択してください)</v>
      </c>
    </row>
    <row r="327" spans="1:27" customFormat="1">
      <c r="B327" s="7"/>
      <c r="C327" s="77" t="str">
        <f ca="1">IFERROR(OFFSET('4.3民生部門電力以外の排出削減取組'!$C$1,MATCH(D327,'4.3民生部門電力以外の排出削減取組'!$E:$E,0)-1,0),"")</f>
        <v/>
      </c>
      <c r="D327" s="94" t="s">
        <v>130</v>
      </c>
      <c r="E327" s="72" t="s">
        <v>12</v>
      </c>
      <c r="F327" s="1451" t="str">
        <f ca="1">IFERROR(OFFSET('4.3民生部門電力以外の排出削減取組'!$G$1,MATCH($D327,'4.3民生部門電力以外の排出削減取組'!$E:$E,0)-1,0),"")</f>
        <v/>
      </c>
      <c r="G327" s="1451"/>
      <c r="H327" s="1451"/>
      <c r="I327" s="1451"/>
      <c r="J327" s="1451"/>
      <c r="K327" s="8"/>
      <c r="R327" s="255" t="str">
        <f ca="1">IFERROR(OFFSET('4.3民生部門電力以外の排出削減取組'!$G$1,MATCH($D327,'4.3民生部門電力以外の排出削減取組'!$E:$E,0)-1,0),"")</f>
        <v/>
      </c>
      <c r="S327" s="175"/>
      <c r="T327" s="175"/>
      <c r="U327" s="175"/>
      <c r="V327" s="175"/>
      <c r="W327" s="175"/>
      <c r="X327" s="175"/>
      <c r="Y327" s="175"/>
      <c r="Z327" s="175"/>
      <c r="AA327" s="175">
        <f ca="1">(F327=R327)*1</f>
        <v>1</v>
      </c>
    </row>
    <row r="328" spans="1:27" customFormat="1">
      <c r="B328" s="7"/>
      <c r="C328" s="915"/>
      <c r="D328" s="97"/>
      <c r="E328" s="72" t="s">
        <v>612</v>
      </c>
      <c r="F328" s="1447" t="str">
        <f ca="1">IFERROR(OFFSET('4.3民生部門電力以外の排出削減取組'!$J$1,MATCH($D327,'4.3民生部門電力以外の排出削減取組'!$E:$E,0)-1,0),"")</f>
        <v/>
      </c>
      <c r="G328" s="1448"/>
      <c r="H328" s="1448"/>
      <c r="I328" s="1448"/>
      <c r="J328" s="1449"/>
      <c r="K328" s="8"/>
      <c r="R328" s="255" t="str">
        <f ca="1">IFERROR(OFFSET('4.3民生部門電力以外の排出削減取組'!$J$1,MATCH($D327,'4.3民生部門電力以外の排出削減取組'!$E:$E,0)-1,0),"")</f>
        <v/>
      </c>
      <c r="S328" s="175"/>
      <c r="T328" s="175"/>
      <c r="U328" s="175"/>
      <c r="V328" s="175"/>
      <c r="W328" s="175"/>
      <c r="X328" s="175"/>
      <c r="Y328" s="175"/>
      <c r="Z328" s="175"/>
      <c r="AA328" s="175">
        <f ca="1">(F328=R328)*1</f>
        <v>1</v>
      </c>
    </row>
    <row r="329" spans="1:27" customFormat="1">
      <c r="B329" s="7"/>
      <c r="C329" s="74"/>
      <c r="D329" s="66"/>
      <c r="E329" s="72" t="s">
        <v>280</v>
      </c>
      <c r="F329" s="1470" t="str">
        <f ca="1">IFERROR(OFFSET('4.3民生部門電力以外の排出削減取組'!$H$1,MATCH($D327,'4.3民生部門電力以外の排出削減取組'!$E:$E,0)-1,0),"")</f>
        <v/>
      </c>
      <c r="G329" s="1470"/>
      <c r="H329" s="1470"/>
      <c r="I329" s="1470"/>
      <c r="J329" s="1470"/>
      <c r="K329" s="8"/>
      <c r="R329" s="175" t="str">
        <f ca="1">IFERROR(OFFSET('4.3民生部門電力以外の排出削減取組'!$H$1,MATCH($D327,'4.3民生部門電力以外の排出削減取組'!$E:$E,0)-1,0),"")</f>
        <v/>
      </c>
      <c r="S329" s="175"/>
      <c r="T329" s="175"/>
      <c r="U329" s="175"/>
      <c r="V329" s="175"/>
      <c r="W329" s="175"/>
      <c r="X329" s="175"/>
      <c r="Y329" s="175"/>
      <c r="Z329" s="175"/>
      <c r="AA329" s="175">
        <f t="shared" ref="AA329:AA330" ca="1" si="160">(F329=R329)*1</f>
        <v>1</v>
      </c>
    </row>
    <row r="330" spans="1:27" customFormat="1">
      <c r="B330" s="7"/>
      <c r="C330" s="74"/>
      <c r="D330" s="66"/>
      <c r="E330" s="72" t="s">
        <v>175</v>
      </c>
      <c r="F330" s="1451" t="str">
        <f>_xlfn.IFNA(R330,"")</f>
        <v/>
      </c>
      <c r="G330" s="1451"/>
      <c r="H330" s="1451"/>
      <c r="I330" s="1451"/>
      <c r="J330" s="1451"/>
      <c r="K330" s="8"/>
      <c r="R330" s="129" t="str">
        <f>IF(OR(COUNTIF($E332:$E337,"&lt;&gt;〇〇(合意形成対象者名に書き換え)")=3,COUNTIF($E332:$E337,"")&gt;3),"",IF(PRODUCT($Y332:$Y337)=1,Z332,""))</f>
        <v/>
      </c>
      <c r="S330" s="175"/>
      <c r="T330" s="175"/>
      <c r="U330" s="175"/>
      <c r="V330" s="175"/>
      <c r="W330" s="175"/>
      <c r="X330" s="175"/>
      <c r="Y330" s="175"/>
      <c r="Z330" s="175"/>
      <c r="AA330" s="175">
        <f t="shared" si="160"/>
        <v>1</v>
      </c>
    </row>
    <row r="331" spans="1:27" ht="63.75" customHeight="1">
      <c r="B331" s="95"/>
      <c r="C331" s="96"/>
      <c r="D331" s="97"/>
      <c r="E331" s="888"/>
      <c r="F331" s="313" t="s">
        <v>278</v>
      </c>
      <c r="G331" s="313" t="s">
        <v>268</v>
      </c>
      <c r="H331" s="1200" t="s">
        <v>437</v>
      </c>
      <c r="I331" s="1200" t="s">
        <v>439</v>
      </c>
      <c r="J331" s="313" t="s">
        <v>279</v>
      </c>
      <c r="K331" s="98"/>
      <c r="L331" s="11"/>
      <c r="R331" s="126" t="s">
        <v>278</v>
      </c>
      <c r="S331" s="126" t="s">
        <v>440</v>
      </c>
      <c r="T331" s="295" t="s">
        <v>437</v>
      </c>
      <c r="U331" s="295" t="s">
        <v>438</v>
      </c>
      <c r="V331" s="256" t="s">
        <v>270</v>
      </c>
      <c r="W331" s="126" t="s">
        <v>426</v>
      </c>
      <c r="X331" s="129" t="s">
        <v>402</v>
      </c>
      <c r="Y331" s="129" t="s">
        <v>430</v>
      </c>
      <c r="Z331" s="126" t="s">
        <v>425</v>
      </c>
      <c r="AA331" s="255"/>
    </row>
    <row r="332" spans="1:27" hidden="1">
      <c r="B332" s="95"/>
      <c r="C332" s="96"/>
      <c r="D332" s="97"/>
      <c r="E332" s="889"/>
      <c r="F332" s="439"/>
      <c r="G332" s="439"/>
      <c r="H332" s="1201"/>
      <c r="I332" s="1201"/>
      <c r="J332" s="439"/>
      <c r="K332" s="98"/>
      <c r="L332" s="11"/>
      <c r="R332" s="129">
        <f t="shared" ref="R332:R337" si="161">IF(F332="実施済",1,0)</f>
        <v>0</v>
      </c>
      <c r="S332" s="129">
        <f t="shared" ref="S332:S337" si="162">IF(G332="実施済",R332*1,0)</f>
        <v>0</v>
      </c>
      <c r="T332" s="129">
        <f t="shared" ref="T332:T337" si="163">IF(H332="実施済",S332*1,0)</f>
        <v>0</v>
      </c>
      <c r="U332" s="129">
        <f t="shared" ref="U332:U337" si="164">IF(I332="実施済",T332*1,0)</f>
        <v>0</v>
      </c>
      <c r="V332" s="258"/>
      <c r="W332" s="129" t="str">
        <f>IF(OR(E332="〇〇(合意形成対象者名に書き換え)",E332=""),"",SUM(S332,T332,U332))</f>
        <v/>
      </c>
      <c r="X332" s="129">
        <f t="shared" ref="X332:X337" si="165">MIN($W$332:$W$337)+1</f>
        <v>1</v>
      </c>
      <c r="Y332" s="129">
        <f>IF(E332="",1,IF(AND(E332="〇〇(合意形成対象者名に書き換え)",COUNTA($F332:$J332)=0),1,IF(AND(E332&lt;&gt;"〇〇(合意形成対象者名に書き換え)",COUNTA($F332:$J332)=5),1,0)))</f>
        <v>1</v>
      </c>
      <c r="Z332" s="129" t="str" cm="1">
        <f t="array" ref="Z332">_xlfn.IFS(X332=4,"A",X332=3,"B",X332=2,"C",X332=1,"D")</f>
        <v>D</v>
      </c>
      <c r="AA332" s="255"/>
    </row>
    <row r="333" spans="1:27">
      <c r="B333" s="95"/>
      <c r="C333" s="96"/>
      <c r="D333" s="97"/>
      <c r="E333" s="890" t="s">
        <v>129</v>
      </c>
      <c r="F333" s="445"/>
      <c r="G333" s="445"/>
      <c r="H333" s="1202"/>
      <c r="I333" s="1202"/>
      <c r="J333" s="445"/>
      <c r="K333" s="98"/>
      <c r="L333" s="11"/>
      <c r="R333" s="129">
        <f t="shared" si="161"/>
        <v>0</v>
      </c>
      <c r="S333" s="129">
        <f t="shared" si="162"/>
        <v>0</v>
      </c>
      <c r="T333" s="129">
        <f t="shared" si="163"/>
        <v>0</v>
      </c>
      <c r="U333" s="129">
        <f t="shared" si="164"/>
        <v>0</v>
      </c>
      <c r="V333" s="258"/>
      <c r="W333" s="129" t="str">
        <f t="shared" ref="W333:W337" si="166">IF(OR(E333="〇〇(合意形成対象者名に書き換え)",E333=""),"",SUM(S333,T333,U333))</f>
        <v/>
      </c>
      <c r="X333" s="129">
        <f t="shared" si="165"/>
        <v>1</v>
      </c>
      <c r="Y333" s="129">
        <f t="shared" ref="Y333:Y337" si="167">IF(E333="",1,IF(AND(E333="〇〇(合意形成対象者名に書き換え)",COUNTA($F333:$J333)=0),1,IF(AND(E333&lt;&gt;"〇〇(合意形成対象者名に書き換え)",COUNTA($F333:$J333)=5),1,0)))</f>
        <v>1</v>
      </c>
      <c r="Z333" s="129" t="str" cm="1">
        <f t="array" ref="Z333">_xlfn.IFS(X333=4,"A",X333=3,"B",X333=2,"C",X333=1,"D")</f>
        <v>D</v>
      </c>
      <c r="AA333" s="255"/>
    </row>
    <row r="334" spans="1:27">
      <c r="B334" s="95"/>
      <c r="C334" s="96"/>
      <c r="D334" s="97"/>
      <c r="E334" s="890" t="s">
        <v>129</v>
      </c>
      <c r="F334" s="441"/>
      <c r="G334" s="441"/>
      <c r="H334" s="1203"/>
      <c r="I334" s="1203"/>
      <c r="J334" s="441"/>
      <c r="K334" s="98"/>
      <c r="L334" s="11"/>
      <c r="R334" s="129">
        <f t="shared" si="161"/>
        <v>0</v>
      </c>
      <c r="S334" s="129">
        <f t="shared" si="162"/>
        <v>0</v>
      </c>
      <c r="T334" s="129">
        <f t="shared" si="163"/>
        <v>0</v>
      </c>
      <c r="U334" s="129">
        <f t="shared" si="164"/>
        <v>0</v>
      </c>
      <c r="V334" s="258"/>
      <c r="W334" s="129" t="str">
        <f t="shared" si="166"/>
        <v/>
      </c>
      <c r="X334" s="129">
        <f t="shared" si="165"/>
        <v>1</v>
      </c>
      <c r="Y334" s="129">
        <f t="shared" si="167"/>
        <v>1</v>
      </c>
      <c r="Z334" s="129" t="str" cm="1">
        <f t="array" ref="Z334">_xlfn.IFS(X334=4,"A",X334=3,"B",X334=2,"C",X334=1,"D")</f>
        <v>D</v>
      </c>
      <c r="AA334" s="255"/>
    </row>
    <row r="335" spans="1:27" s="99" customFormat="1">
      <c r="A335" s="11"/>
      <c r="B335" s="95"/>
      <c r="C335" s="96"/>
      <c r="D335" s="97"/>
      <c r="E335" s="890" t="s">
        <v>129</v>
      </c>
      <c r="F335" s="441"/>
      <c r="G335" s="441"/>
      <c r="H335" s="1203"/>
      <c r="I335" s="1203"/>
      <c r="J335" s="441"/>
      <c r="K335" s="98"/>
      <c r="L335" s="11"/>
      <c r="O335" s="11"/>
      <c r="P335" s="11"/>
      <c r="Q335" s="11"/>
      <c r="R335" s="129">
        <f t="shared" si="161"/>
        <v>0</v>
      </c>
      <c r="S335" s="129">
        <f t="shared" si="162"/>
        <v>0</v>
      </c>
      <c r="T335" s="129">
        <f t="shared" si="163"/>
        <v>0</v>
      </c>
      <c r="U335" s="129">
        <f t="shared" si="164"/>
        <v>0</v>
      </c>
      <c r="V335" s="258"/>
      <c r="W335" s="129" t="str">
        <f t="shared" si="166"/>
        <v/>
      </c>
      <c r="X335" s="129">
        <f t="shared" si="165"/>
        <v>1</v>
      </c>
      <c r="Y335" s="129">
        <f t="shared" si="167"/>
        <v>1</v>
      </c>
      <c r="Z335" s="129" t="str" cm="1">
        <f t="array" ref="Z335">_xlfn.IFS(X335=4,"A",X335=3,"B",X335=2,"C",X335=1,"D")</f>
        <v>D</v>
      </c>
      <c r="AA335" s="129"/>
    </row>
    <row r="336" spans="1:27" customFormat="1" ht="7.5" customHeight="1">
      <c r="B336" s="65"/>
      <c r="C336" s="4"/>
      <c r="D336" s="4"/>
      <c r="E336" s="288"/>
      <c r="F336" s="4"/>
      <c r="G336" s="4"/>
      <c r="H336" s="1204"/>
      <c r="I336" s="1204"/>
      <c r="J336" s="4"/>
      <c r="K336" s="9"/>
      <c r="L336" s="2"/>
      <c r="M336" s="2"/>
      <c r="N336" s="2"/>
      <c r="R336" s="129">
        <f t="shared" si="161"/>
        <v>0</v>
      </c>
      <c r="S336" s="129">
        <f t="shared" si="162"/>
        <v>0</v>
      </c>
      <c r="T336" s="129">
        <f t="shared" si="163"/>
        <v>0</v>
      </c>
      <c r="U336" s="129">
        <f t="shared" si="164"/>
        <v>0</v>
      </c>
      <c r="V336" s="258"/>
      <c r="W336" s="129" t="str">
        <f t="shared" si="166"/>
        <v/>
      </c>
      <c r="X336" s="129">
        <f t="shared" si="165"/>
        <v>1</v>
      </c>
      <c r="Y336" s="129">
        <f t="shared" si="167"/>
        <v>1</v>
      </c>
      <c r="Z336" s="129" t="str" cm="1">
        <f t="array" ref="Z336">_xlfn.IFS(X336=4,"A",X336=3,"B",X336=2,"C",X336=1,"D")</f>
        <v>D</v>
      </c>
      <c r="AA336" s="175"/>
    </row>
    <row r="337" spans="1:27" customFormat="1" ht="6" customHeight="1">
      <c r="E337" s="3"/>
      <c r="H337" s="1198"/>
      <c r="I337" s="1198"/>
      <c r="L337" s="2"/>
      <c r="M337" s="2"/>
      <c r="N337" s="2"/>
      <c r="R337" s="129">
        <f t="shared" si="161"/>
        <v>0</v>
      </c>
      <c r="S337" s="129">
        <f t="shared" si="162"/>
        <v>0</v>
      </c>
      <c r="T337" s="129">
        <f t="shared" si="163"/>
        <v>0</v>
      </c>
      <c r="U337" s="129">
        <f t="shared" si="164"/>
        <v>0</v>
      </c>
      <c r="V337" s="258"/>
      <c r="W337" s="129" t="str">
        <f t="shared" si="166"/>
        <v/>
      </c>
      <c r="X337" s="129">
        <f t="shared" si="165"/>
        <v>1</v>
      </c>
      <c r="Y337" s="129">
        <f t="shared" si="167"/>
        <v>1</v>
      </c>
      <c r="Z337" s="129" t="str" cm="1">
        <f t="array" ref="Z337">_xlfn.IFS(X337=4,"A",X337=3,"B",X337=2,"C",X337=1,"D")</f>
        <v>D</v>
      </c>
      <c r="AA337" s="175"/>
    </row>
    <row r="338" spans="1:27" customFormat="1" ht="103.5" customHeight="1">
      <c r="C338" s="78"/>
      <c r="D338" s="79"/>
      <c r="E338" s="71" t="s">
        <v>236</v>
      </c>
      <c r="F338" s="1452"/>
      <c r="G338" s="1452"/>
      <c r="H338" s="1452"/>
      <c r="I338" s="1452"/>
      <c r="J338" s="1452"/>
      <c r="K338" s="80" t="s">
        <v>132</v>
      </c>
      <c r="L338" s="80"/>
    </row>
    <row r="339" spans="1:27" customFormat="1" ht="146.25" customHeight="1">
      <c r="C339" s="75"/>
      <c r="D339" s="68"/>
      <c r="E339" s="71" t="s">
        <v>235</v>
      </c>
      <c r="F339" s="1452"/>
      <c r="G339" s="1452"/>
      <c r="H339" s="1452"/>
      <c r="I339" s="1452"/>
      <c r="J339" s="1452"/>
      <c r="L339" s="2"/>
      <c r="M339" s="2"/>
      <c r="N339" s="2"/>
    </row>
    <row r="340" spans="1:27" customFormat="1" ht="13.5" customHeight="1" thickBot="1">
      <c r="A340" s="81"/>
      <c r="B340" s="81"/>
      <c r="C340" s="81"/>
      <c r="D340" s="81"/>
      <c r="E340" s="311"/>
      <c r="F340" s="81"/>
      <c r="G340" s="81"/>
      <c r="H340" s="1205"/>
      <c r="I340" s="1205"/>
      <c r="J340" s="81"/>
      <c r="K340" s="81"/>
      <c r="L340" s="82"/>
      <c r="M340" s="2"/>
      <c r="N340" s="2"/>
    </row>
    <row r="341" spans="1:27" customFormat="1" ht="13.5" customHeight="1">
      <c r="E341" s="3"/>
      <c r="H341" s="1198"/>
      <c r="I341" s="1198"/>
      <c r="L341" s="2"/>
      <c r="M341" s="2"/>
      <c r="N341" s="2"/>
    </row>
    <row r="342" spans="1:27" customFormat="1" ht="15" customHeight="1">
      <c r="B342" s="10"/>
      <c r="C342" s="5"/>
      <c r="D342" s="5"/>
      <c r="E342" s="305"/>
      <c r="F342" s="5"/>
      <c r="G342" s="5"/>
      <c r="H342" s="1199"/>
      <c r="I342" s="1199"/>
      <c r="J342" s="5"/>
      <c r="K342" s="6"/>
      <c r="R342" s="11" t="str">
        <f>D343</f>
        <v>(選択してください)</v>
      </c>
    </row>
    <row r="343" spans="1:27" customFormat="1">
      <c r="B343" s="7"/>
      <c r="C343" s="77" t="str">
        <f ca="1">IFERROR(OFFSET('4.3民生部門電力以外の排出削減取組'!$C$1,MATCH(D343,'4.3民生部門電力以外の排出削減取組'!$E:$E,0)-1,0),"")</f>
        <v/>
      </c>
      <c r="D343" s="94" t="s">
        <v>130</v>
      </c>
      <c r="E343" s="72" t="s">
        <v>12</v>
      </c>
      <c r="F343" s="1451" t="str">
        <f ca="1">IFERROR(OFFSET('4.3民生部門電力以外の排出削減取組'!$G$1,MATCH($D343,'4.3民生部門電力以外の排出削減取組'!$E:$E,0)-1,0),"")</f>
        <v/>
      </c>
      <c r="G343" s="1451"/>
      <c r="H343" s="1451"/>
      <c r="I343" s="1451"/>
      <c r="J343" s="1451"/>
      <c r="K343" s="8"/>
      <c r="R343" s="255" t="str">
        <f ca="1">IFERROR(OFFSET('4.3民生部門電力以外の排出削減取組'!$G$1,MATCH($D343,'4.3民生部門電力以外の排出削減取組'!$E:$E,0)-1,0),"")</f>
        <v/>
      </c>
      <c r="S343" s="175"/>
      <c r="T343" s="175"/>
      <c r="U343" s="175"/>
      <c r="V343" s="175"/>
      <c r="W343" s="175"/>
      <c r="X343" s="175"/>
      <c r="Y343" s="175"/>
      <c r="Z343" s="175"/>
      <c r="AA343" s="175">
        <f ca="1">(F343=R343)*1</f>
        <v>1</v>
      </c>
    </row>
    <row r="344" spans="1:27" customFormat="1">
      <c r="B344" s="7"/>
      <c r="C344" s="915"/>
      <c r="D344" s="97"/>
      <c r="E344" s="72" t="s">
        <v>612</v>
      </c>
      <c r="F344" s="1447" t="str">
        <f ca="1">IFERROR(OFFSET('4.3民生部門電力以外の排出削減取組'!$J$1,MATCH($D343,'4.3民生部門電力以外の排出削減取組'!$E:$E,0)-1,0),"")</f>
        <v/>
      </c>
      <c r="G344" s="1448"/>
      <c r="H344" s="1448"/>
      <c r="I344" s="1448"/>
      <c r="J344" s="1449"/>
      <c r="K344" s="8"/>
      <c r="R344" s="255" t="str">
        <f ca="1">IFERROR(OFFSET('4.3民生部門電力以外の排出削減取組'!$J$1,MATCH($D343,'4.3民生部門電力以外の排出削減取組'!$E:$E,0)-1,0),"")</f>
        <v/>
      </c>
      <c r="S344" s="175"/>
      <c r="T344" s="175"/>
      <c r="U344" s="175"/>
      <c r="V344" s="175"/>
      <c r="W344" s="175"/>
      <c r="X344" s="175"/>
      <c r="Y344" s="175"/>
      <c r="Z344" s="175"/>
      <c r="AA344" s="175">
        <f ca="1">(F344=R344)*1</f>
        <v>1</v>
      </c>
    </row>
    <row r="345" spans="1:27" customFormat="1">
      <c r="B345" s="7"/>
      <c r="C345" s="74"/>
      <c r="D345" s="66"/>
      <c r="E345" s="72" t="s">
        <v>280</v>
      </c>
      <c r="F345" s="1470" t="str">
        <f ca="1">IFERROR(OFFSET('4.3民生部門電力以外の排出削減取組'!$H$1,MATCH($D343,'4.3民生部門電力以外の排出削減取組'!$E:$E,0)-1,0),"")</f>
        <v/>
      </c>
      <c r="G345" s="1470"/>
      <c r="H345" s="1470"/>
      <c r="I345" s="1470"/>
      <c r="J345" s="1470"/>
      <c r="K345" s="8"/>
      <c r="R345" s="175" t="str">
        <f ca="1">IFERROR(OFFSET('4.3民生部門電力以外の排出削減取組'!$H$1,MATCH($D343,'4.3民生部門電力以外の排出削減取組'!$E:$E,0)-1,0),"")</f>
        <v/>
      </c>
      <c r="S345" s="175"/>
      <c r="T345" s="175"/>
      <c r="U345" s="175"/>
      <c r="V345" s="175"/>
      <c r="W345" s="175"/>
      <c r="X345" s="175"/>
      <c r="Y345" s="175"/>
      <c r="Z345" s="175"/>
      <c r="AA345" s="175">
        <f t="shared" ref="AA345:AA346" ca="1" si="168">(F345=R345)*1</f>
        <v>1</v>
      </c>
    </row>
    <row r="346" spans="1:27" customFormat="1">
      <c r="B346" s="7"/>
      <c r="C346" s="74"/>
      <c r="D346" s="66"/>
      <c r="E346" s="72" t="s">
        <v>175</v>
      </c>
      <c r="F346" s="1451" t="str">
        <f>_xlfn.IFNA(R346,"")</f>
        <v/>
      </c>
      <c r="G346" s="1451"/>
      <c r="H346" s="1451"/>
      <c r="I346" s="1451"/>
      <c r="J346" s="1451"/>
      <c r="K346" s="8"/>
      <c r="R346" s="129" t="str">
        <f>IF(OR(COUNTIF($E348:$E353,"&lt;&gt;〇〇(合意形成対象者名に書き換え)")=3,COUNTIF($E348:$E353,"")&gt;3),"",IF(PRODUCT($Y348:$Y353)=1,Z348,""))</f>
        <v/>
      </c>
      <c r="S346" s="175"/>
      <c r="T346" s="175"/>
      <c r="U346" s="175"/>
      <c r="V346" s="175"/>
      <c r="W346" s="175"/>
      <c r="X346" s="175"/>
      <c r="Y346" s="175"/>
      <c r="Z346" s="175"/>
      <c r="AA346" s="175">
        <f t="shared" si="168"/>
        <v>1</v>
      </c>
    </row>
    <row r="347" spans="1:27" ht="63.75" customHeight="1">
      <c r="B347" s="95"/>
      <c r="C347" s="96"/>
      <c r="D347" s="97"/>
      <c r="E347" s="888"/>
      <c r="F347" s="313" t="s">
        <v>278</v>
      </c>
      <c r="G347" s="313" t="s">
        <v>268</v>
      </c>
      <c r="H347" s="1200" t="s">
        <v>437</v>
      </c>
      <c r="I347" s="1200" t="s">
        <v>439</v>
      </c>
      <c r="J347" s="313" t="s">
        <v>279</v>
      </c>
      <c r="K347" s="98"/>
      <c r="L347" s="11"/>
      <c r="R347" s="126" t="s">
        <v>278</v>
      </c>
      <c r="S347" s="126" t="s">
        <v>440</v>
      </c>
      <c r="T347" s="295" t="s">
        <v>437</v>
      </c>
      <c r="U347" s="295" t="s">
        <v>438</v>
      </c>
      <c r="V347" s="256" t="s">
        <v>270</v>
      </c>
      <c r="W347" s="126" t="s">
        <v>426</v>
      </c>
      <c r="X347" s="129" t="s">
        <v>402</v>
      </c>
      <c r="Y347" s="129" t="s">
        <v>430</v>
      </c>
      <c r="Z347" s="126" t="s">
        <v>425</v>
      </c>
      <c r="AA347" s="255"/>
    </row>
    <row r="348" spans="1:27" hidden="1">
      <c r="B348" s="95"/>
      <c r="C348" s="96"/>
      <c r="D348" s="97"/>
      <c r="E348" s="889"/>
      <c r="F348" s="439"/>
      <c r="G348" s="439"/>
      <c r="H348" s="1201"/>
      <c r="I348" s="1201"/>
      <c r="J348" s="439"/>
      <c r="K348" s="98"/>
      <c r="L348" s="11"/>
      <c r="R348" s="129">
        <f t="shared" ref="R348:R353" si="169">IF(F348="実施済",1,0)</f>
        <v>0</v>
      </c>
      <c r="S348" s="129">
        <f t="shared" ref="S348:S353" si="170">IF(G348="実施済",R348*1,0)</f>
        <v>0</v>
      </c>
      <c r="T348" s="129">
        <f t="shared" ref="T348:T353" si="171">IF(H348="実施済",S348*1,0)</f>
        <v>0</v>
      </c>
      <c r="U348" s="129">
        <f t="shared" ref="U348:U353" si="172">IF(I348="実施済",T348*1,0)</f>
        <v>0</v>
      </c>
      <c r="V348" s="258"/>
      <c r="W348" s="129" t="str">
        <f>IF(OR(E348="〇〇(合意形成対象者名に書き換え)",E348=""),"",SUM(S348,T348,U348))</f>
        <v/>
      </c>
      <c r="X348" s="129">
        <f t="shared" ref="X348:X353" si="173">MIN($W$348:$W$353)+1</f>
        <v>1</v>
      </c>
      <c r="Y348" s="129">
        <f>IF(E348="",1,IF(AND(E348="〇〇(合意形成対象者名に書き換え)",COUNTA($F348:$J348)=0),1,IF(AND(E348&lt;&gt;"〇〇(合意形成対象者名に書き換え)",COUNTA($F348:$J348)=5),1,0)))</f>
        <v>1</v>
      </c>
      <c r="Z348" s="129" t="str" cm="1">
        <f t="array" ref="Z348">_xlfn.IFS(X348=4,"A",X348=3,"B",X348=2,"C",X348=1,"D")</f>
        <v>D</v>
      </c>
      <c r="AA348" s="255"/>
    </row>
    <row r="349" spans="1:27">
      <c r="B349" s="95"/>
      <c r="C349" s="96"/>
      <c r="D349" s="97"/>
      <c r="E349" s="890" t="s">
        <v>129</v>
      </c>
      <c r="F349" s="445"/>
      <c r="G349" s="445"/>
      <c r="H349" s="1202"/>
      <c r="I349" s="1202"/>
      <c r="J349" s="445"/>
      <c r="K349" s="98"/>
      <c r="L349" s="11"/>
      <c r="R349" s="129">
        <f t="shared" si="169"/>
        <v>0</v>
      </c>
      <c r="S349" s="129">
        <f t="shared" si="170"/>
        <v>0</v>
      </c>
      <c r="T349" s="129">
        <f t="shared" si="171"/>
        <v>0</v>
      </c>
      <c r="U349" s="129">
        <f t="shared" si="172"/>
        <v>0</v>
      </c>
      <c r="V349" s="258"/>
      <c r="W349" s="129" t="str">
        <f t="shared" ref="W349:W353" si="174">IF(OR(E349="〇〇(合意形成対象者名に書き換え)",E349=""),"",SUM(S349,T349,U349))</f>
        <v/>
      </c>
      <c r="X349" s="129">
        <f t="shared" si="173"/>
        <v>1</v>
      </c>
      <c r="Y349" s="129">
        <f t="shared" ref="Y349:Y353" si="175">IF(E349="",1,IF(AND(E349="〇〇(合意形成対象者名に書き換え)",COUNTA($F349:$J349)=0),1,IF(AND(E349&lt;&gt;"〇〇(合意形成対象者名に書き換え)",COUNTA($F349:$J349)=5),1,0)))</f>
        <v>1</v>
      </c>
      <c r="Z349" s="129" t="str" cm="1">
        <f t="array" ref="Z349">_xlfn.IFS(X349=4,"A",X349=3,"B",X349=2,"C",X349=1,"D")</f>
        <v>D</v>
      </c>
      <c r="AA349" s="255"/>
    </row>
    <row r="350" spans="1:27">
      <c r="B350" s="95"/>
      <c r="C350" s="96"/>
      <c r="D350" s="97"/>
      <c r="E350" s="890" t="s">
        <v>129</v>
      </c>
      <c r="F350" s="441"/>
      <c r="G350" s="441"/>
      <c r="H350" s="1203"/>
      <c r="I350" s="1203"/>
      <c r="J350" s="441"/>
      <c r="K350" s="98"/>
      <c r="L350" s="11"/>
      <c r="R350" s="129">
        <f t="shared" si="169"/>
        <v>0</v>
      </c>
      <c r="S350" s="129">
        <f t="shared" si="170"/>
        <v>0</v>
      </c>
      <c r="T350" s="129">
        <f t="shared" si="171"/>
        <v>0</v>
      </c>
      <c r="U350" s="129">
        <f t="shared" si="172"/>
        <v>0</v>
      </c>
      <c r="V350" s="258"/>
      <c r="W350" s="129" t="str">
        <f t="shared" si="174"/>
        <v/>
      </c>
      <c r="X350" s="129">
        <f t="shared" si="173"/>
        <v>1</v>
      </c>
      <c r="Y350" s="129">
        <f t="shared" si="175"/>
        <v>1</v>
      </c>
      <c r="Z350" s="129" t="str" cm="1">
        <f t="array" ref="Z350">_xlfn.IFS(X350=4,"A",X350=3,"B",X350=2,"C",X350=1,"D")</f>
        <v>D</v>
      </c>
      <c r="AA350" s="255"/>
    </row>
    <row r="351" spans="1:27" s="99" customFormat="1">
      <c r="A351" s="11"/>
      <c r="B351" s="95"/>
      <c r="C351" s="96"/>
      <c r="D351" s="97"/>
      <c r="E351" s="890" t="s">
        <v>129</v>
      </c>
      <c r="F351" s="441"/>
      <c r="G351" s="441"/>
      <c r="H351" s="1203"/>
      <c r="I351" s="1203"/>
      <c r="J351" s="441"/>
      <c r="K351" s="98"/>
      <c r="L351" s="11"/>
      <c r="O351" s="11"/>
      <c r="P351" s="11"/>
      <c r="Q351" s="11"/>
      <c r="R351" s="129">
        <f t="shared" si="169"/>
        <v>0</v>
      </c>
      <c r="S351" s="129">
        <f t="shared" si="170"/>
        <v>0</v>
      </c>
      <c r="T351" s="129">
        <f t="shared" si="171"/>
        <v>0</v>
      </c>
      <c r="U351" s="129">
        <f t="shared" si="172"/>
        <v>0</v>
      </c>
      <c r="V351" s="258"/>
      <c r="W351" s="129" t="str">
        <f t="shared" si="174"/>
        <v/>
      </c>
      <c r="X351" s="129">
        <f t="shared" si="173"/>
        <v>1</v>
      </c>
      <c r="Y351" s="129">
        <f t="shared" si="175"/>
        <v>1</v>
      </c>
      <c r="Z351" s="129" t="str" cm="1">
        <f t="array" ref="Z351">_xlfn.IFS(X351=4,"A",X351=3,"B",X351=2,"C",X351=1,"D")</f>
        <v>D</v>
      </c>
      <c r="AA351" s="129"/>
    </row>
    <row r="352" spans="1:27" customFormat="1" ht="7.5" customHeight="1">
      <c r="B352" s="65"/>
      <c r="C352" s="4"/>
      <c r="D352" s="4"/>
      <c r="E352" s="288"/>
      <c r="F352" s="4"/>
      <c r="G352" s="4"/>
      <c r="H352" s="1204"/>
      <c r="I352" s="1204"/>
      <c r="J352" s="4"/>
      <c r="K352" s="9"/>
      <c r="L352" s="2"/>
      <c r="M352" s="2"/>
      <c r="N352" s="2"/>
      <c r="R352" s="129">
        <f t="shared" si="169"/>
        <v>0</v>
      </c>
      <c r="S352" s="129">
        <f t="shared" si="170"/>
        <v>0</v>
      </c>
      <c r="T352" s="129">
        <f t="shared" si="171"/>
        <v>0</v>
      </c>
      <c r="U352" s="129">
        <f t="shared" si="172"/>
        <v>0</v>
      </c>
      <c r="V352" s="258"/>
      <c r="W352" s="129" t="str">
        <f t="shared" si="174"/>
        <v/>
      </c>
      <c r="X352" s="129">
        <f t="shared" si="173"/>
        <v>1</v>
      </c>
      <c r="Y352" s="129">
        <f t="shared" si="175"/>
        <v>1</v>
      </c>
      <c r="Z352" s="129" t="str" cm="1">
        <f t="array" ref="Z352">_xlfn.IFS(X352=4,"A",X352=3,"B",X352=2,"C",X352=1,"D")</f>
        <v>D</v>
      </c>
      <c r="AA352" s="175"/>
    </row>
    <row r="353" spans="1:27" customFormat="1" ht="6" customHeight="1">
      <c r="E353" s="3"/>
      <c r="H353" s="1198"/>
      <c r="I353" s="1198"/>
      <c r="L353" s="2"/>
      <c r="M353" s="2"/>
      <c r="N353" s="2"/>
      <c r="R353" s="129">
        <f t="shared" si="169"/>
        <v>0</v>
      </c>
      <c r="S353" s="129">
        <f t="shared" si="170"/>
        <v>0</v>
      </c>
      <c r="T353" s="129">
        <f t="shared" si="171"/>
        <v>0</v>
      </c>
      <c r="U353" s="129">
        <f t="shared" si="172"/>
        <v>0</v>
      </c>
      <c r="V353" s="258"/>
      <c r="W353" s="129" t="str">
        <f t="shared" si="174"/>
        <v/>
      </c>
      <c r="X353" s="129">
        <f t="shared" si="173"/>
        <v>1</v>
      </c>
      <c r="Y353" s="129">
        <f t="shared" si="175"/>
        <v>1</v>
      </c>
      <c r="Z353" s="129" t="str" cm="1">
        <f t="array" ref="Z353">_xlfn.IFS(X353=4,"A",X353=3,"B",X353=2,"C",X353=1,"D")</f>
        <v>D</v>
      </c>
      <c r="AA353" s="175"/>
    </row>
    <row r="354" spans="1:27" customFormat="1" ht="103.5" customHeight="1">
      <c r="C354" s="78"/>
      <c r="D354" s="79"/>
      <c r="E354" s="71" t="s">
        <v>236</v>
      </c>
      <c r="F354" s="1452"/>
      <c r="G354" s="1452"/>
      <c r="H354" s="1452"/>
      <c r="I354" s="1452"/>
      <c r="J354" s="1452"/>
      <c r="K354" s="80" t="s">
        <v>132</v>
      </c>
      <c r="L354" s="80"/>
    </row>
    <row r="355" spans="1:27" customFormat="1" ht="146.25" customHeight="1">
      <c r="C355" s="75"/>
      <c r="D355" s="68"/>
      <c r="E355" s="71" t="s">
        <v>235</v>
      </c>
      <c r="F355" s="1452"/>
      <c r="G355" s="1452"/>
      <c r="H355" s="1452"/>
      <c r="I355" s="1452"/>
      <c r="J355" s="1452"/>
      <c r="L355" s="2"/>
      <c r="M355" s="2"/>
      <c r="N355" s="2"/>
    </row>
    <row r="356" spans="1:27" customFormat="1" ht="13.5" customHeight="1" thickBot="1">
      <c r="A356" s="81"/>
      <c r="B356" s="81"/>
      <c r="C356" s="81"/>
      <c r="D356" s="81"/>
      <c r="E356" s="311"/>
      <c r="F356" s="81"/>
      <c r="G356" s="81"/>
      <c r="H356" s="1205"/>
      <c r="I356" s="1205"/>
      <c r="J356" s="81"/>
      <c r="K356" s="81"/>
      <c r="L356" s="82"/>
      <c r="M356" s="2"/>
      <c r="N356" s="2"/>
    </row>
    <row r="357" spans="1:27" customFormat="1" ht="13.5" customHeight="1">
      <c r="E357" s="3"/>
      <c r="H357" s="1198"/>
      <c r="I357" s="1198"/>
      <c r="L357" s="2"/>
      <c r="M357" s="2"/>
      <c r="N357" s="2"/>
    </row>
    <row r="358" spans="1:27" customFormat="1" ht="15" customHeight="1">
      <c r="B358" s="10"/>
      <c r="C358" s="5"/>
      <c r="D358" s="5"/>
      <c r="E358" s="305"/>
      <c r="F358" s="5"/>
      <c r="G358" s="5"/>
      <c r="H358" s="1199"/>
      <c r="I358" s="1199"/>
      <c r="J358" s="5"/>
      <c r="K358" s="6"/>
      <c r="R358" s="11" t="str">
        <f>D359</f>
        <v>(選択してください)</v>
      </c>
    </row>
    <row r="359" spans="1:27" customFormat="1">
      <c r="B359" s="7"/>
      <c r="C359" s="77" t="str">
        <f ca="1">IFERROR(OFFSET('4.3民生部門電力以外の排出削減取組'!$C$1,MATCH(D359,'4.3民生部門電力以外の排出削減取組'!$E:$E,0)-1,0),"")</f>
        <v/>
      </c>
      <c r="D359" s="94" t="s">
        <v>130</v>
      </c>
      <c r="E359" s="72" t="s">
        <v>12</v>
      </c>
      <c r="F359" s="1451" t="str">
        <f ca="1">IFERROR(OFFSET('4.3民生部門電力以外の排出削減取組'!$G$1,MATCH($D359,'4.3民生部門電力以外の排出削減取組'!$E:$E,0)-1,0),"")</f>
        <v/>
      </c>
      <c r="G359" s="1451"/>
      <c r="H359" s="1451"/>
      <c r="I359" s="1451"/>
      <c r="J359" s="1451"/>
      <c r="K359" s="8"/>
      <c r="R359" s="255" t="str">
        <f ca="1">IFERROR(OFFSET('4.3民生部門電力以外の排出削減取組'!$G$1,MATCH($D359,'4.3民生部門電力以外の排出削減取組'!$E:$E,0)-1,0),"")</f>
        <v/>
      </c>
      <c r="S359" s="175"/>
      <c r="T359" s="175"/>
      <c r="U359" s="175"/>
      <c r="V359" s="175"/>
      <c r="W359" s="175"/>
      <c r="X359" s="175"/>
      <c r="Y359" s="175"/>
      <c r="Z359" s="175"/>
      <c r="AA359" s="175">
        <f ca="1">(F359=R359)*1</f>
        <v>1</v>
      </c>
    </row>
    <row r="360" spans="1:27" customFormat="1">
      <c r="B360" s="7"/>
      <c r="C360" s="915"/>
      <c r="D360" s="97"/>
      <c r="E360" s="72" t="s">
        <v>612</v>
      </c>
      <c r="F360" s="1447" t="str">
        <f ca="1">IFERROR(OFFSET('4.3民生部門電力以外の排出削減取組'!$J$1,MATCH($D359,'4.3民生部門電力以外の排出削減取組'!$E:$E,0)-1,0),"")</f>
        <v/>
      </c>
      <c r="G360" s="1448"/>
      <c r="H360" s="1448"/>
      <c r="I360" s="1448"/>
      <c r="J360" s="1449"/>
      <c r="K360" s="8"/>
      <c r="R360" s="255" t="str">
        <f ca="1">IFERROR(OFFSET('4.3民生部門電力以外の排出削減取組'!$J$1,MATCH($D359,'4.3民生部門電力以外の排出削減取組'!$E:$E,0)-1,0),"")</f>
        <v/>
      </c>
      <c r="S360" s="175"/>
      <c r="T360" s="175"/>
      <c r="U360" s="175"/>
      <c r="V360" s="175"/>
      <c r="W360" s="175"/>
      <c r="X360" s="175"/>
      <c r="Y360" s="175"/>
      <c r="Z360" s="175"/>
      <c r="AA360" s="175">
        <f ca="1">(F360=R360)*1</f>
        <v>1</v>
      </c>
    </row>
    <row r="361" spans="1:27" customFormat="1">
      <c r="B361" s="7"/>
      <c r="C361" s="74"/>
      <c r="D361" s="66"/>
      <c r="E361" s="72" t="s">
        <v>280</v>
      </c>
      <c r="F361" s="1470" t="str">
        <f ca="1">IFERROR(OFFSET('4.3民生部門電力以外の排出削減取組'!$H$1,MATCH($D359,'4.3民生部門電力以外の排出削減取組'!$E:$E,0)-1,0),"")</f>
        <v/>
      </c>
      <c r="G361" s="1470"/>
      <c r="H361" s="1470"/>
      <c r="I361" s="1470"/>
      <c r="J361" s="1470"/>
      <c r="K361" s="8"/>
      <c r="R361" s="175" t="str">
        <f ca="1">IFERROR(OFFSET('4.3民生部門電力以外の排出削減取組'!$H$1,MATCH($D359,'4.3民生部門電力以外の排出削減取組'!$E:$E,0)-1,0),"")</f>
        <v/>
      </c>
      <c r="S361" s="175"/>
      <c r="T361" s="175"/>
      <c r="U361" s="175"/>
      <c r="V361" s="175"/>
      <c r="W361" s="175"/>
      <c r="X361" s="175"/>
      <c r="Y361" s="175"/>
      <c r="Z361" s="175"/>
      <c r="AA361" s="175">
        <f t="shared" ref="AA361:AA362" ca="1" si="176">(F361=R361)*1</f>
        <v>1</v>
      </c>
    </row>
    <row r="362" spans="1:27" customFormat="1">
      <c r="B362" s="7"/>
      <c r="C362" s="74"/>
      <c r="D362" s="66"/>
      <c r="E362" s="72" t="s">
        <v>175</v>
      </c>
      <c r="F362" s="1451" t="str">
        <f>_xlfn.IFNA(R362,"")</f>
        <v/>
      </c>
      <c r="G362" s="1451"/>
      <c r="H362" s="1451"/>
      <c r="I362" s="1451"/>
      <c r="J362" s="1451"/>
      <c r="K362" s="8"/>
      <c r="R362" s="129" t="str">
        <f>IF(OR(COUNTIF($E364:$E369,"&lt;&gt;〇〇(合意形成対象者名に書き換え)")=3,COUNTIF($E364:$E369,"")&gt;3),"",IF(PRODUCT($Y364:$Y369)=1,Z364,""))</f>
        <v/>
      </c>
      <c r="S362" s="175"/>
      <c r="T362" s="175"/>
      <c r="U362" s="175"/>
      <c r="V362" s="175"/>
      <c r="W362" s="175"/>
      <c r="X362" s="175"/>
      <c r="Y362" s="175"/>
      <c r="Z362" s="175"/>
      <c r="AA362" s="175">
        <f t="shared" si="176"/>
        <v>1</v>
      </c>
    </row>
    <row r="363" spans="1:27" ht="63.75" customHeight="1">
      <c r="B363" s="95"/>
      <c r="C363" s="96"/>
      <c r="D363" s="97"/>
      <c r="E363" s="888"/>
      <c r="F363" s="313" t="s">
        <v>278</v>
      </c>
      <c r="G363" s="313" t="s">
        <v>268</v>
      </c>
      <c r="H363" s="1200" t="s">
        <v>437</v>
      </c>
      <c r="I363" s="1200" t="s">
        <v>439</v>
      </c>
      <c r="J363" s="313" t="s">
        <v>279</v>
      </c>
      <c r="K363" s="98"/>
      <c r="L363" s="11"/>
      <c r="R363" s="126" t="s">
        <v>278</v>
      </c>
      <c r="S363" s="126" t="s">
        <v>440</v>
      </c>
      <c r="T363" s="295" t="s">
        <v>437</v>
      </c>
      <c r="U363" s="295" t="s">
        <v>438</v>
      </c>
      <c r="V363" s="256" t="s">
        <v>270</v>
      </c>
      <c r="W363" s="126" t="s">
        <v>426</v>
      </c>
      <c r="X363" s="129" t="s">
        <v>402</v>
      </c>
      <c r="Y363" s="129" t="s">
        <v>430</v>
      </c>
      <c r="Z363" s="126" t="s">
        <v>425</v>
      </c>
      <c r="AA363" s="255"/>
    </row>
    <row r="364" spans="1:27" hidden="1">
      <c r="B364" s="95"/>
      <c r="C364" s="96"/>
      <c r="D364" s="97"/>
      <c r="E364" s="889"/>
      <c r="F364" s="439"/>
      <c r="G364" s="439"/>
      <c r="H364" s="1201"/>
      <c r="I364" s="1201"/>
      <c r="J364" s="439"/>
      <c r="K364" s="98"/>
      <c r="L364" s="11"/>
      <c r="R364" s="129">
        <f t="shared" ref="R364:R369" si="177">IF(F364="実施済",1,0)</f>
        <v>0</v>
      </c>
      <c r="S364" s="129">
        <f t="shared" ref="S364:S369" si="178">IF(G364="実施済",R364*1,0)</f>
        <v>0</v>
      </c>
      <c r="T364" s="129">
        <f t="shared" ref="T364:T369" si="179">IF(H364="実施済",S364*1,0)</f>
        <v>0</v>
      </c>
      <c r="U364" s="129">
        <f t="shared" ref="U364:U369" si="180">IF(I364="実施済",T364*1,0)</f>
        <v>0</v>
      </c>
      <c r="V364" s="258"/>
      <c r="W364" s="129" t="str">
        <f>IF(OR(E364="〇〇(合意形成対象者名に書き換え)",E364=""),"",SUM(S364,T364,U364))</f>
        <v/>
      </c>
      <c r="X364" s="129">
        <f t="shared" ref="X364:X369" si="181">MIN($W$364:$W$369)+1</f>
        <v>1</v>
      </c>
      <c r="Y364" s="129">
        <f>IF(E364="",1,IF(AND(E364="〇〇(合意形成対象者名に書き換え)",COUNTA($F364:$J364)=0),1,IF(AND(E364&lt;&gt;"〇〇(合意形成対象者名に書き換え)",COUNTA($F364:$J364)=5),1,0)))</f>
        <v>1</v>
      </c>
      <c r="Z364" s="129" t="str" cm="1">
        <f t="array" ref="Z364">_xlfn.IFS(X364=4,"A",X364=3,"B",X364=2,"C",X364=1,"D")</f>
        <v>D</v>
      </c>
      <c r="AA364" s="255"/>
    </row>
    <row r="365" spans="1:27">
      <c r="B365" s="95"/>
      <c r="C365" s="96"/>
      <c r="D365" s="97"/>
      <c r="E365" s="890" t="s">
        <v>129</v>
      </c>
      <c r="F365" s="445"/>
      <c r="G365" s="445"/>
      <c r="H365" s="1202"/>
      <c r="I365" s="1202"/>
      <c r="J365" s="445"/>
      <c r="K365" s="98"/>
      <c r="L365" s="11"/>
      <c r="R365" s="129">
        <f t="shared" si="177"/>
        <v>0</v>
      </c>
      <c r="S365" s="129">
        <f t="shared" si="178"/>
        <v>0</v>
      </c>
      <c r="T365" s="129">
        <f t="shared" si="179"/>
        <v>0</v>
      </c>
      <c r="U365" s="129">
        <f t="shared" si="180"/>
        <v>0</v>
      </c>
      <c r="V365" s="258"/>
      <c r="W365" s="129" t="str">
        <f t="shared" ref="W365:W369" si="182">IF(OR(E365="〇〇(合意形成対象者名に書き換え)",E365=""),"",SUM(S365,T365,U365))</f>
        <v/>
      </c>
      <c r="X365" s="129">
        <f t="shared" si="181"/>
        <v>1</v>
      </c>
      <c r="Y365" s="129">
        <f t="shared" ref="Y365:Y369" si="183">IF(E365="",1,IF(AND(E365="〇〇(合意形成対象者名に書き換え)",COUNTA($F365:$J365)=0),1,IF(AND(E365&lt;&gt;"〇〇(合意形成対象者名に書き換え)",COUNTA($F365:$J365)=5),1,0)))</f>
        <v>1</v>
      </c>
      <c r="Z365" s="129" t="str" cm="1">
        <f t="array" ref="Z365">_xlfn.IFS(X365=4,"A",X365=3,"B",X365=2,"C",X365=1,"D")</f>
        <v>D</v>
      </c>
      <c r="AA365" s="255"/>
    </row>
    <row r="366" spans="1:27">
      <c r="B366" s="95"/>
      <c r="C366" s="96"/>
      <c r="D366" s="97"/>
      <c r="E366" s="890" t="s">
        <v>129</v>
      </c>
      <c r="F366" s="441"/>
      <c r="G366" s="441"/>
      <c r="H366" s="1203"/>
      <c r="I366" s="1203"/>
      <c r="J366" s="441"/>
      <c r="K366" s="98"/>
      <c r="L366" s="11"/>
      <c r="R366" s="129">
        <f t="shared" si="177"/>
        <v>0</v>
      </c>
      <c r="S366" s="129">
        <f t="shared" si="178"/>
        <v>0</v>
      </c>
      <c r="T366" s="129">
        <f t="shared" si="179"/>
        <v>0</v>
      </c>
      <c r="U366" s="129">
        <f t="shared" si="180"/>
        <v>0</v>
      </c>
      <c r="V366" s="258"/>
      <c r="W366" s="129" t="str">
        <f t="shared" si="182"/>
        <v/>
      </c>
      <c r="X366" s="129">
        <f t="shared" si="181"/>
        <v>1</v>
      </c>
      <c r="Y366" s="129">
        <f t="shared" si="183"/>
        <v>1</v>
      </c>
      <c r="Z366" s="129" t="str" cm="1">
        <f t="array" ref="Z366">_xlfn.IFS(X366=4,"A",X366=3,"B",X366=2,"C",X366=1,"D")</f>
        <v>D</v>
      </c>
      <c r="AA366" s="255"/>
    </row>
    <row r="367" spans="1:27" s="99" customFormat="1">
      <c r="A367" s="11"/>
      <c r="B367" s="95"/>
      <c r="C367" s="96"/>
      <c r="D367" s="97"/>
      <c r="E367" s="890" t="s">
        <v>129</v>
      </c>
      <c r="F367" s="441"/>
      <c r="G367" s="441"/>
      <c r="H367" s="1203"/>
      <c r="I367" s="1203"/>
      <c r="J367" s="441"/>
      <c r="K367" s="98"/>
      <c r="L367" s="11"/>
      <c r="O367" s="11"/>
      <c r="P367" s="11"/>
      <c r="Q367" s="11"/>
      <c r="R367" s="129">
        <f t="shared" si="177"/>
        <v>0</v>
      </c>
      <c r="S367" s="129">
        <f t="shared" si="178"/>
        <v>0</v>
      </c>
      <c r="T367" s="129">
        <f t="shared" si="179"/>
        <v>0</v>
      </c>
      <c r="U367" s="129">
        <f t="shared" si="180"/>
        <v>0</v>
      </c>
      <c r="V367" s="258"/>
      <c r="W367" s="129" t="str">
        <f t="shared" si="182"/>
        <v/>
      </c>
      <c r="X367" s="129">
        <f t="shared" si="181"/>
        <v>1</v>
      </c>
      <c r="Y367" s="129">
        <f t="shared" si="183"/>
        <v>1</v>
      </c>
      <c r="Z367" s="129" t="str" cm="1">
        <f t="array" ref="Z367">_xlfn.IFS(X367=4,"A",X367=3,"B",X367=2,"C",X367=1,"D")</f>
        <v>D</v>
      </c>
      <c r="AA367" s="129"/>
    </row>
    <row r="368" spans="1:27" customFormat="1" ht="7.5" customHeight="1">
      <c r="B368" s="65"/>
      <c r="C368" s="4"/>
      <c r="D368" s="4"/>
      <c r="E368" s="288"/>
      <c r="F368" s="4"/>
      <c r="G368" s="4"/>
      <c r="H368" s="1204"/>
      <c r="I368" s="1204"/>
      <c r="J368" s="4"/>
      <c r="K368" s="9"/>
      <c r="L368" s="2"/>
      <c r="M368" s="2"/>
      <c r="N368" s="2"/>
      <c r="R368" s="129">
        <f t="shared" si="177"/>
        <v>0</v>
      </c>
      <c r="S368" s="129">
        <f t="shared" si="178"/>
        <v>0</v>
      </c>
      <c r="T368" s="129">
        <f t="shared" si="179"/>
        <v>0</v>
      </c>
      <c r="U368" s="129">
        <f t="shared" si="180"/>
        <v>0</v>
      </c>
      <c r="V368" s="258"/>
      <c r="W368" s="129" t="str">
        <f t="shared" si="182"/>
        <v/>
      </c>
      <c r="X368" s="129">
        <f t="shared" si="181"/>
        <v>1</v>
      </c>
      <c r="Y368" s="129">
        <f t="shared" si="183"/>
        <v>1</v>
      </c>
      <c r="Z368" s="129" t="str" cm="1">
        <f t="array" ref="Z368">_xlfn.IFS(X368=4,"A",X368=3,"B",X368=2,"C",X368=1,"D")</f>
        <v>D</v>
      </c>
      <c r="AA368" s="175"/>
    </row>
    <row r="369" spans="1:27" customFormat="1" ht="6" customHeight="1">
      <c r="E369" s="3"/>
      <c r="H369" s="1198"/>
      <c r="I369" s="1198"/>
      <c r="L369" s="2"/>
      <c r="M369" s="2"/>
      <c r="N369" s="2"/>
      <c r="R369" s="129">
        <f t="shared" si="177"/>
        <v>0</v>
      </c>
      <c r="S369" s="129">
        <f t="shared" si="178"/>
        <v>0</v>
      </c>
      <c r="T369" s="129">
        <f t="shared" si="179"/>
        <v>0</v>
      </c>
      <c r="U369" s="129">
        <f t="shared" si="180"/>
        <v>0</v>
      </c>
      <c r="V369" s="258"/>
      <c r="W369" s="129" t="str">
        <f t="shared" si="182"/>
        <v/>
      </c>
      <c r="X369" s="129">
        <f t="shared" si="181"/>
        <v>1</v>
      </c>
      <c r="Y369" s="129">
        <f t="shared" si="183"/>
        <v>1</v>
      </c>
      <c r="Z369" s="129" t="str" cm="1">
        <f t="array" ref="Z369">_xlfn.IFS(X369=4,"A",X369=3,"B",X369=2,"C",X369=1,"D")</f>
        <v>D</v>
      </c>
      <c r="AA369" s="175"/>
    </row>
    <row r="370" spans="1:27" customFormat="1" ht="103.5" customHeight="1">
      <c r="C370" s="78"/>
      <c r="D370" s="79"/>
      <c r="E370" s="71" t="s">
        <v>236</v>
      </c>
      <c r="F370" s="1452"/>
      <c r="G370" s="1452"/>
      <c r="H370" s="1452"/>
      <c r="I370" s="1452"/>
      <c r="J370" s="1452"/>
      <c r="K370" s="80" t="s">
        <v>132</v>
      </c>
      <c r="L370" s="80"/>
    </row>
    <row r="371" spans="1:27" customFormat="1" ht="146.25" customHeight="1">
      <c r="C371" s="75"/>
      <c r="D371" s="68"/>
      <c r="E371" s="71" t="s">
        <v>235</v>
      </c>
      <c r="F371" s="1452"/>
      <c r="G371" s="1452"/>
      <c r="H371" s="1452"/>
      <c r="I371" s="1452"/>
      <c r="J371" s="1452"/>
      <c r="L371" s="2"/>
      <c r="M371" s="2"/>
      <c r="N371" s="2"/>
    </row>
    <row r="372" spans="1:27" customFormat="1" ht="13.5" customHeight="1" thickBot="1">
      <c r="A372" s="81"/>
      <c r="B372" s="81"/>
      <c r="C372" s="81"/>
      <c r="D372" s="81"/>
      <c r="E372" s="311"/>
      <c r="F372" s="81"/>
      <c r="G372" s="81"/>
      <c r="H372" s="1205"/>
      <c r="I372" s="1205"/>
      <c r="J372" s="81"/>
      <c r="K372" s="81"/>
      <c r="L372" s="82"/>
      <c r="M372" s="2"/>
      <c r="N372" s="2"/>
    </row>
    <row r="373" spans="1:27" customFormat="1" ht="13.5" customHeight="1">
      <c r="E373" s="3"/>
      <c r="H373" s="1198"/>
      <c r="I373" s="1198"/>
      <c r="L373" s="2"/>
      <c r="M373" s="2"/>
      <c r="N373" s="2"/>
    </row>
    <row r="374" spans="1:27" customFormat="1" ht="15" customHeight="1">
      <c r="B374" s="10"/>
      <c r="C374" s="5"/>
      <c r="D374" s="5"/>
      <c r="E374" s="305"/>
      <c r="F374" s="5"/>
      <c r="G374" s="5"/>
      <c r="H374" s="1199"/>
      <c r="I374" s="1199"/>
      <c r="J374" s="5"/>
      <c r="K374" s="6"/>
      <c r="R374" s="11" t="str">
        <f>D375</f>
        <v>(選択してください)</v>
      </c>
    </row>
    <row r="375" spans="1:27" customFormat="1">
      <c r="B375" s="7"/>
      <c r="C375" s="77" t="str">
        <f ca="1">IFERROR(OFFSET('4.3民生部門電力以外の排出削減取組'!$C$1,MATCH(D375,'4.3民生部門電力以外の排出削減取組'!$E:$E,0)-1,0),"")</f>
        <v/>
      </c>
      <c r="D375" s="94" t="s">
        <v>130</v>
      </c>
      <c r="E375" s="72" t="s">
        <v>12</v>
      </c>
      <c r="F375" s="1451" t="str">
        <f ca="1">IFERROR(OFFSET('4.3民生部門電力以外の排出削減取組'!$G$1,MATCH($D375,'4.3民生部門電力以外の排出削減取組'!$E:$E,0)-1,0),"")</f>
        <v/>
      </c>
      <c r="G375" s="1451"/>
      <c r="H375" s="1451"/>
      <c r="I375" s="1451"/>
      <c r="J375" s="1451"/>
      <c r="K375" s="8"/>
      <c r="R375" s="255" t="str">
        <f ca="1">IFERROR(OFFSET('4.3民生部門電力以外の排出削減取組'!$G$1,MATCH($D375,'4.3民生部門電力以外の排出削減取組'!$E:$E,0)-1,0),"")</f>
        <v/>
      </c>
      <c r="S375" s="175"/>
      <c r="T375" s="175"/>
      <c r="U375" s="175"/>
      <c r="V375" s="175"/>
      <c r="W375" s="175"/>
      <c r="X375" s="175"/>
      <c r="Y375" s="175"/>
      <c r="Z375" s="175"/>
      <c r="AA375" s="175">
        <f ca="1">(F375=R375)*1</f>
        <v>1</v>
      </c>
    </row>
    <row r="376" spans="1:27" customFormat="1">
      <c r="B376" s="7"/>
      <c r="C376" s="915"/>
      <c r="D376" s="97"/>
      <c r="E376" s="72" t="s">
        <v>612</v>
      </c>
      <c r="F376" s="1447" t="str">
        <f ca="1">IFERROR(OFFSET('4.3民生部門電力以外の排出削減取組'!$J$1,MATCH($D375,'4.3民生部門電力以外の排出削減取組'!$E:$E,0)-1,0),"")</f>
        <v/>
      </c>
      <c r="G376" s="1448"/>
      <c r="H376" s="1448"/>
      <c r="I376" s="1448"/>
      <c r="J376" s="1449"/>
      <c r="K376" s="8"/>
      <c r="R376" s="255" t="str">
        <f ca="1">IFERROR(OFFSET('4.3民生部門電力以外の排出削減取組'!$J$1,MATCH($D375,'4.3民生部門電力以外の排出削減取組'!$E:$E,0)-1,0),"")</f>
        <v/>
      </c>
      <c r="S376" s="175"/>
      <c r="T376" s="175"/>
      <c r="U376" s="175"/>
      <c r="V376" s="175"/>
      <c r="W376" s="175"/>
      <c r="X376" s="175"/>
      <c r="Y376" s="175"/>
      <c r="Z376" s="175"/>
      <c r="AA376" s="175">
        <f ca="1">(F376=R376)*1</f>
        <v>1</v>
      </c>
    </row>
    <row r="377" spans="1:27" customFormat="1">
      <c r="B377" s="7"/>
      <c r="C377" s="74"/>
      <c r="D377" s="66"/>
      <c r="E377" s="72" t="s">
        <v>280</v>
      </c>
      <c r="F377" s="1470" t="str">
        <f ca="1">IFERROR(OFFSET('4.3民生部門電力以外の排出削減取組'!$H$1,MATCH($D375,'4.3民生部門電力以外の排出削減取組'!$E:$E,0)-1,0),"")</f>
        <v/>
      </c>
      <c r="G377" s="1470"/>
      <c r="H377" s="1470"/>
      <c r="I377" s="1470"/>
      <c r="J377" s="1470"/>
      <c r="K377" s="8"/>
      <c r="R377" s="175" t="str">
        <f ca="1">IFERROR(OFFSET('4.3民生部門電力以外の排出削減取組'!$H$1,MATCH($D375,'4.3民生部門電力以外の排出削減取組'!$E:$E,0)-1,0),"")</f>
        <v/>
      </c>
      <c r="S377" s="175"/>
      <c r="T377" s="175"/>
      <c r="U377" s="175"/>
      <c r="V377" s="175"/>
      <c r="W377" s="175"/>
      <c r="X377" s="175"/>
      <c r="Y377" s="175"/>
      <c r="Z377" s="175"/>
      <c r="AA377" s="175">
        <f t="shared" ref="AA377:AA378" ca="1" si="184">(F377=R377)*1</f>
        <v>1</v>
      </c>
    </row>
    <row r="378" spans="1:27" customFormat="1">
      <c r="B378" s="7"/>
      <c r="C378" s="74"/>
      <c r="D378" s="66"/>
      <c r="E378" s="72" t="s">
        <v>175</v>
      </c>
      <c r="F378" s="1451" t="str">
        <f>_xlfn.IFNA(R378,"")</f>
        <v/>
      </c>
      <c r="G378" s="1451"/>
      <c r="H378" s="1451"/>
      <c r="I378" s="1451"/>
      <c r="J378" s="1451"/>
      <c r="K378" s="8"/>
      <c r="R378" s="129" t="str">
        <f>IF(OR(COUNTIF($E380:$E385,"&lt;&gt;〇〇(合意形成対象者名に書き換え)")=3,COUNTIF($E380:$E385,"")&gt;3),"",IF(PRODUCT($Y380:$Y385)=1,Z380,""))</f>
        <v/>
      </c>
      <c r="S378" s="175"/>
      <c r="T378" s="175"/>
      <c r="U378" s="175"/>
      <c r="V378" s="175"/>
      <c r="W378" s="175"/>
      <c r="X378" s="175"/>
      <c r="Y378" s="175"/>
      <c r="Z378" s="175"/>
      <c r="AA378" s="175">
        <f t="shared" si="184"/>
        <v>1</v>
      </c>
    </row>
    <row r="379" spans="1:27" ht="63.75" customHeight="1">
      <c r="B379" s="95"/>
      <c r="C379" s="96"/>
      <c r="D379" s="97"/>
      <c r="E379" s="888"/>
      <c r="F379" s="313" t="s">
        <v>278</v>
      </c>
      <c r="G379" s="313" t="s">
        <v>268</v>
      </c>
      <c r="H379" s="1200" t="s">
        <v>437</v>
      </c>
      <c r="I379" s="1200" t="s">
        <v>439</v>
      </c>
      <c r="J379" s="313" t="s">
        <v>279</v>
      </c>
      <c r="K379" s="98"/>
      <c r="L379" s="11"/>
      <c r="R379" s="126" t="s">
        <v>278</v>
      </c>
      <c r="S379" s="126" t="s">
        <v>440</v>
      </c>
      <c r="T379" s="295" t="s">
        <v>437</v>
      </c>
      <c r="U379" s="295" t="s">
        <v>438</v>
      </c>
      <c r="V379" s="256" t="s">
        <v>270</v>
      </c>
      <c r="W379" s="126" t="s">
        <v>426</v>
      </c>
      <c r="X379" s="129" t="s">
        <v>402</v>
      </c>
      <c r="Y379" s="129" t="s">
        <v>430</v>
      </c>
      <c r="Z379" s="126" t="s">
        <v>425</v>
      </c>
      <c r="AA379" s="255"/>
    </row>
    <row r="380" spans="1:27" hidden="1">
      <c r="B380" s="95"/>
      <c r="C380" s="96"/>
      <c r="D380" s="97"/>
      <c r="E380" s="889"/>
      <c r="F380" s="439"/>
      <c r="G380" s="439"/>
      <c r="H380" s="1201"/>
      <c r="I380" s="1201"/>
      <c r="J380" s="439"/>
      <c r="K380" s="98"/>
      <c r="L380" s="11"/>
      <c r="R380" s="129">
        <f t="shared" ref="R380:R385" si="185">IF(F380="実施済",1,0)</f>
        <v>0</v>
      </c>
      <c r="S380" s="129">
        <f t="shared" ref="S380:S385" si="186">IF(G380="実施済",R380*1,0)</f>
        <v>0</v>
      </c>
      <c r="T380" s="129">
        <f t="shared" ref="T380:T385" si="187">IF(H380="実施済",S380*1,0)</f>
        <v>0</v>
      </c>
      <c r="U380" s="129">
        <f t="shared" ref="U380:U385" si="188">IF(I380="実施済",T380*1,0)</f>
        <v>0</v>
      </c>
      <c r="V380" s="258"/>
      <c r="W380" s="129" t="str">
        <f>IF(OR(E380="〇〇(合意形成対象者名に書き換え)",E380=""),"",SUM(S380,T380,U380))</f>
        <v/>
      </c>
      <c r="X380" s="129">
        <f t="shared" ref="X380:X385" si="189">MIN($W$380:$W$385)+1</f>
        <v>1</v>
      </c>
      <c r="Y380" s="129">
        <f>IF(E380="",1,IF(AND(E380="〇〇(合意形成対象者名に書き換え)",COUNTA($F380:$J380)=0),1,IF(AND(E380&lt;&gt;"〇〇(合意形成対象者名に書き換え)",COUNTA($F380:$J380)=5),1,0)))</f>
        <v>1</v>
      </c>
      <c r="Z380" s="129" t="str" cm="1">
        <f t="array" ref="Z380">_xlfn.IFS(X380=4,"A",X380=3,"B",X380=2,"C",X380=1,"D")</f>
        <v>D</v>
      </c>
      <c r="AA380" s="255"/>
    </row>
    <row r="381" spans="1:27">
      <c r="B381" s="95"/>
      <c r="C381" s="96"/>
      <c r="D381" s="97"/>
      <c r="E381" s="890" t="s">
        <v>129</v>
      </c>
      <c r="F381" s="445"/>
      <c r="G381" s="445"/>
      <c r="H381" s="1202"/>
      <c r="I381" s="1202"/>
      <c r="J381" s="445"/>
      <c r="K381" s="98"/>
      <c r="L381" s="11"/>
      <c r="R381" s="129">
        <f t="shared" si="185"/>
        <v>0</v>
      </c>
      <c r="S381" s="129">
        <f t="shared" si="186"/>
        <v>0</v>
      </c>
      <c r="T381" s="129">
        <f t="shared" si="187"/>
        <v>0</v>
      </c>
      <c r="U381" s="129">
        <f t="shared" si="188"/>
        <v>0</v>
      </c>
      <c r="V381" s="258"/>
      <c r="W381" s="129" t="str">
        <f t="shared" ref="W381:W385" si="190">IF(OR(E381="〇〇(合意形成対象者名に書き換え)",E381=""),"",SUM(S381,T381,U381))</f>
        <v/>
      </c>
      <c r="X381" s="129">
        <f t="shared" si="189"/>
        <v>1</v>
      </c>
      <c r="Y381" s="129">
        <f t="shared" ref="Y381:Y385" si="191">IF(E381="",1,IF(AND(E381="〇〇(合意形成対象者名に書き換え)",COUNTA($F381:$J381)=0),1,IF(AND(E381&lt;&gt;"〇〇(合意形成対象者名に書き換え)",COUNTA($F381:$J381)=5),1,0)))</f>
        <v>1</v>
      </c>
      <c r="Z381" s="129" t="str" cm="1">
        <f t="array" ref="Z381">_xlfn.IFS(X381=4,"A",X381=3,"B",X381=2,"C",X381=1,"D")</f>
        <v>D</v>
      </c>
      <c r="AA381" s="255"/>
    </row>
    <row r="382" spans="1:27">
      <c r="B382" s="95"/>
      <c r="C382" s="96"/>
      <c r="D382" s="97"/>
      <c r="E382" s="890" t="s">
        <v>129</v>
      </c>
      <c r="F382" s="441"/>
      <c r="G382" s="441"/>
      <c r="H382" s="1203"/>
      <c r="I382" s="1203"/>
      <c r="J382" s="441"/>
      <c r="K382" s="98"/>
      <c r="L382" s="11"/>
      <c r="R382" s="129">
        <f t="shared" si="185"/>
        <v>0</v>
      </c>
      <c r="S382" s="129">
        <f t="shared" si="186"/>
        <v>0</v>
      </c>
      <c r="T382" s="129">
        <f t="shared" si="187"/>
        <v>0</v>
      </c>
      <c r="U382" s="129">
        <f t="shared" si="188"/>
        <v>0</v>
      </c>
      <c r="V382" s="258"/>
      <c r="W382" s="129" t="str">
        <f t="shared" si="190"/>
        <v/>
      </c>
      <c r="X382" s="129">
        <f t="shared" si="189"/>
        <v>1</v>
      </c>
      <c r="Y382" s="129">
        <f t="shared" si="191"/>
        <v>1</v>
      </c>
      <c r="Z382" s="129" t="str" cm="1">
        <f t="array" ref="Z382">_xlfn.IFS(X382=4,"A",X382=3,"B",X382=2,"C",X382=1,"D")</f>
        <v>D</v>
      </c>
      <c r="AA382" s="255"/>
    </row>
    <row r="383" spans="1:27" s="99" customFormat="1">
      <c r="A383" s="11"/>
      <c r="B383" s="95"/>
      <c r="C383" s="96"/>
      <c r="D383" s="97"/>
      <c r="E383" s="890" t="s">
        <v>129</v>
      </c>
      <c r="F383" s="441"/>
      <c r="G383" s="441"/>
      <c r="H383" s="1203"/>
      <c r="I383" s="1203"/>
      <c r="J383" s="441"/>
      <c r="K383" s="98"/>
      <c r="L383" s="11"/>
      <c r="O383" s="11"/>
      <c r="P383" s="11"/>
      <c r="Q383" s="11"/>
      <c r="R383" s="129">
        <f t="shared" si="185"/>
        <v>0</v>
      </c>
      <c r="S383" s="129">
        <f t="shared" si="186"/>
        <v>0</v>
      </c>
      <c r="T383" s="129">
        <f t="shared" si="187"/>
        <v>0</v>
      </c>
      <c r="U383" s="129">
        <f t="shared" si="188"/>
        <v>0</v>
      </c>
      <c r="V383" s="258"/>
      <c r="W383" s="129" t="str">
        <f t="shared" si="190"/>
        <v/>
      </c>
      <c r="X383" s="129">
        <f t="shared" si="189"/>
        <v>1</v>
      </c>
      <c r="Y383" s="129">
        <f t="shared" si="191"/>
        <v>1</v>
      </c>
      <c r="Z383" s="129" t="str" cm="1">
        <f t="array" ref="Z383">_xlfn.IFS(X383=4,"A",X383=3,"B",X383=2,"C",X383=1,"D")</f>
        <v>D</v>
      </c>
      <c r="AA383" s="129"/>
    </row>
    <row r="384" spans="1:27" customFormat="1" ht="7.5" customHeight="1">
      <c r="B384" s="65"/>
      <c r="C384" s="4"/>
      <c r="D384" s="4"/>
      <c r="E384" s="288"/>
      <c r="F384" s="4"/>
      <c r="G384" s="4"/>
      <c r="H384" s="1204"/>
      <c r="I384" s="1204"/>
      <c r="J384" s="4"/>
      <c r="K384" s="9"/>
      <c r="L384" s="2"/>
      <c r="M384" s="2"/>
      <c r="N384" s="2"/>
      <c r="R384" s="129">
        <f t="shared" si="185"/>
        <v>0</v>
      </c>
      <c r="S384" s="129">
        <f t="shared" si="186"/>
        <v>0</v>
      </c>
      <c r="T384" s="129">
        <f t="shared" si="187"/>
        <v>0</v>
      </c>
      <c r="U384" s="129">
        <f t="shared" si="188"/>
        <v>0</v>
      </c>
      <c r="V384" s="258"/>
      <c r="W384" s="129" t="str">
        <f t="shared" si="190"/>
        <v/>
      </c>
      <c r="X384" s="129">
        <f t="shared" si="189"/>
        <v>1</v>
      </c>
      <c r="Y384" s="129">
        <f t="shared" si="191"/>
        <v>1</v>
      </c>
      <c r="Z384" s="129" t="str" cm="1">
        <f t="array" ref="Z384">_xlfn.IFS(X384=4,"A",X384=3,"B",X384=2,"C",X384=1,"D")</f>
        <v>D</v>
      </c>
      <c r="AA384" s="175"/>
    </row>
    <row r="385" spans="1:27" customFormat="1" ht="6" customHeight="1">
      <c r="E385" s="3"/>
      <c r="H385" s="1198"/>
      <c r="I385" s="1198"/>
      <c r="L385" s="2"/>
      <c r="M385" s="2"/>
      <c r="N385" s="2"/>
      <c r="R385" s="129">
        <f t="shared" si="185"/>
        <v>0</v>
      </c>
      <c r="S385" s="129">
        <f t="shared" si="186"/>
        <v>0</v>
      </c>
      <c r="T385" s="129">
        <f t="shared" si="187"/>
        <v>0</v>
      </c>
      <c r="U385" s="129">
        <f t="shared" si="188"/>
        <v>0</v>
      </c>
      <c r="V385" s="258"/>
      <c r="W385" s="129" t="str">
        <f t="shared" si="190"/>
        <v/>
      </c>
      <c r="X385" s="129">
        <f t="shared" si="189"/>
        <v>1</v>
      </c>
      <c r="Y385" s="129">
        <f t="shared" si="191"/>
        <v>1</v>
      </c>
      <c r="Z385" s="129" t="str" cm="1">
        <f t="array" ref="Z385">_xlfn.IFS(X385=4,"A",X385=3,"B",X385=2,"C",X385=1,"D")</f>
        <v>D</v>
      </c>
      <c r="AA385" s="175"/>
    </row>
    <row r="386" spans="1:27" customFormat="1" ht="103.5" customHeight="1">
      <c r="C386" s="78"/>
      <c r="D386" s="79"/>
      <c r="E386" s="71" t="s">
        <v>236</v>
      </c>
      <c r="F386" s="1452"/>
      <c r="G386" s="1452"/>
      <c r="H386" s="1452"/>
      <c r="I386" s="1452"/>
      <c r="J386" s="1452"/>
      <c r="K386" s="80" t="s">
        <v>132</v>
      </c>
      <c r="L386" s="80"/>
    </row>
    <row r="387" spans="1:27" customFormat="1" ht="146.25" customHeight="1">
      <c r="C387" s="75"/>
      <c r="D387" s="68"/>
      <c r="E387" s="71" t="s">
        <v>235</v>
      </c>
      <c r="F387" s="1452"/>
      <c r="G387" s="1452"/>
      <c r="H387" s="1452"/>
      <c r="I387" s="1452"/>
      <c r="J387" s="1452"/>
      <c r="L387" s="2"/>
      <c r="M387" s="2"/>
      <c r="N387" s="2"/>
    </row>
    <row r="388" spans="1:27" customFormat="1" ht="13.5" customHeight="1" thickBot="1">
      <c r="A388" s="81"/>
      <c r="B388" s="81"/>
      <c r="C388" s="81"/>
      <c r="D388" s="81"/>
      <c r="E388" s="311"/>
      <c r="F388" s="81"/>
      <c r="G388" s="81"/>
      <c r="H388" s="1205"/>
      <c r="I388" s="1205"/>
      <c r="J388" s="81"/>
      <c r="K388" s="81"/>
      <c r="L388" s="82"/>
      <c r="M388" s="2"/>
      <c r="N388" s="2"/>
    </row>
    <row r="389" spans="1:27" customFormat="1" ht="13.5" customHeight="1">
      <c r="E389" s="3"/>
      <c r="H389" s="1198"/>
      <c r="I389" s="1198"/>
      <c r="L389" s="2"/>
      <c r="M389" s="2"/>
      <c r="N389" s="2"/>
    </row>
    <row r="390" spans="1:27" customFormat="1" ht="15" customHeight="1">
      <c r="B390" s="10"/>
      <c r="C390" s="5"/>
      <c r="D390" s="5"/>
      <c r="E390" s="305"/>
      <c r="F390" s="5"/>
      <c r="G390" s="5"/>
      <c r="H390" s="1199"/>
      <c r="I390" s="1199"/>
      <c r="J390" s="5"/>
      <c r="K390" s="6"/>
      <c r="R390" s="11" t="str">
        <f>D391</f>
        <v>(選択してください)</v>
      </c>
    </row>
    <row r="391" spans="1:27" customFormat="1">
      <c r="B391" s="7"/>
      <c r="C391" s="77" t="str">
        <f ca="1">IFERROR(OFFSET('4.3民生部門電力以外の排出削減取組'!$C$1,MATCH(D391,'4.3民生部門電力以外の排出削減取組'!$E:$E,0)-1,0),"")</f>
        <v/>
      </c>
      <c r="D391" s="94" t="s">
        <v>130</v>
      </c>
      <c r="E391" s="72" t="s">
        <v>12</v>
      </c>
      <c r="F391" s="1451" t="str">
        <f ca="1">IFERROR(OFFSET('4.3民生部門電力以外の排出削減取組'!$G$1,MATCH($D391,'4.3民生部門電力以外の排出削減取組'!$E:$E,0)-1,0),"")</f>
        <v/>
      </c>
      <c r="G391" s="1451"/>
      <c r="H391" s="1451"/>
      <c r="I391" s="1451"/>
      <c r="J391" s="1451"/>
      <c r="K391" s="8"/>
      <c r="R391" s="255" t="str">
        <f ca="1">IFERROR(OFFSET('4.3民生部門電力以外の排出削減取組'!$G$1,MATCH($D391,'4.3民生部門電力以外の排出削減取組'!$E:$E,0)-1,0),"")</f>
        <v/>
      </c>
      <c r="S391" s="175"/>
      <c r="T391" s="175"/>
      <c r="U391" s="175"/>
      <c r="V391" s="175"/>
      <c r="W391" s="175"/>
      <c r="X391" s="175"/>
      <c r="Y391" s="175"/>
      <c r="Z391" s="175"/>
      <c r="AA391" s="175">
        <f ca="1">(F391=R391)*1</f>
        <v>1</v>
      </c>
    </row>
    <row r="392" spans="1:27" customFormat="1">
      <c r="B392" s="7"/>
      <c r="C392" s="915"/>
      <c r="D392" s="97"/>
      <c r="E392" s="72" t="s">
        <v>612</v>
      </c>
      <c r="F392" s="1447" t="str">
        <f ca="1">IFERROR(OFFSET('4.3民生部門電力以外の排出削減取組'!$J$1,MATCH($D391,'4.3民生部門電力以外の排出削減取組'!$E:$E,0)-1,0),"")</f>
        <v/>
      </c>
      <c r="G392" s="1448"/>
      <c r="H392" s="1448"/>
      <c r="I392" s="1448"/>
      <c r="J392" s="1449"/>
      <c r="K392" s="8"/>
      <c r="R392" s="255" t="str">
        <f ca="1">IFERROR(OFFSET('4.3民生部門電力以外の排出削減取組'!$J$1,MATCH($D391,'4.3民生部門電力以外の排出削減取組'!$E:$E,0)-1,0),"")</f>
        <v/>
      </c>
      <c r="S392" s="175"/>
      <c r="T392" s="175"/>
      <c r="U392" s="175"/>
      <c r="V392" s="175"/>
      <c r="W392" s="175"/>
      <c r="X392" s="175"/>
      <c r="Y392" s="175"/>
      <c r="Z392" s="175"/>
      <c r="AA392" s="175">
        <f ca="1">(F392=R392)*1</f>
        <v>1</v>
      </c>
    </row>
    <row r="393" spans="1:27" customFormat="1">
      <c r="B393" s="7"/>
      <c r="C393" s="74"/>
      <c r="D393" s="66"/>
      <c r="E393" s="72" t="s">
        <v>280</v>
      </c>
      <c r="F393" s="1470" t="str">
        <f ca="1">IFERROR(OFFSET('4.3民生部門電力以外の排出削減取組'!$H$1,MATCH($D391,'4.3民生部門電力以外の排出削減取組'!$E:$E,0)-1,0),"")</f>
        <v/>
      </c>
      <c r="G393" s="1470"/>
      <c r="H393" s="1470"/>
      <c r="I393" s="1470"/>
      <c r="J393" s="1470"/>
      <c r="K393" s="8"/>
      <c r="R393" s="175" t="str">
        <f ca="1">IFERROR(OFFSET('4.3民生部門電力以外の排出削減取組'!$H$1,MATCH($D391,'4.3民生部門電力以外の排出削減取組'!$E:$E,0)-1,0),"")</f>
        <v/>
      </c>
      <c r="S393" s="175"/>
      <c r="T393" s="175"/>
      <c r="U393" s="175"/>
      <c r="V393" s="175"/>
      <c r="W393" s="175"/>
      <c r="X393" s="175"/>
      <c r="Y393" s="175"/>
      <c r="Z393" s="175"/>
      <c r="AA393" s="175">
        <f t="shared" ref="AA393:AA394" ca="1" si="192">(F393=R393)*1</f>
        <v>1</v>
      </c>
    </row>
    <row r="394" spans="1:27" customFormat="1">
      <c r="B394" s="7"/>
      <c r="C394" s="74"/>
      <c r="D394" s="66"/>
      <c r="E394" s="72" t="s">
        <v>175</v>
      </c>
      <c r="F394" s="1451" t="str">
        <f>_xlfn.IFNA(R394,"")</f>
        <v/>
      </c>
      <c r="G394" s="1451"/>
      <c r="H394" s="1451"/>
      <c r="I394" s="1451"/>
      <c r="J394" s="1451"/>
      <c r="K394" s="8"/>
      <c r="R394" s="129" t="str">
        <f>IF(OR(COUNTIF($E396:$E401,"&lt;&gt;〇〇(合意形成対象者名に書き換え)")=3,COUNTIF($E396:$E401,"")&gt;3),"",IF(PRODUCT($Y396:$Y401)=1,Z396,""))</f>
        <v/>
      </c>
      <c r="S394" s="175"/>
      <c r="T394" s="175"/>
      <c r="U394" s="175"/>
      <c r="V394" s="175"/>
      <c r="W394" s="175"/>
      <c r="X394" s="175"/>
      <c r="Y394" s="175"/>
      <c r="Z394" s="175"/>
      <c r="AA394" s="175">
        <f t="shared" si="192"/>
        <v>1</v>
      </c>
    </row>
    <row r="395" spans="1:27" ht="63.75" customHeight="1">
      <c r="B395" s="95"/>
      <c r="C395" s="96"/>
      <c r="D395" s="97"/>
      <c r="E395" s="888"/>
      <c r="F395" s="313" t="s">
        <v>278</v>
      </c>
      <c r="G395" s="313" t="s">
        <v>268</v>
      </c>
      <c r="H395" s="1200" t="s">
        <v>437</v>
      </c>
      <c r="I395" s="1200" t="s">
        <v>439</v>
      </c>
      <c r="J395" s="313" t="s">
        <v>279</v>
      </c>
      <c r="K395" s="98"/>
      <c r="L395" s="11"/>
      <c r="R395" s="126" t="s">
        <v>278</v>
      </c>
      <c r="S395" s="126" t="s">
        <v>440</v>
      </c>
      <c r="T395" s="295" t="s">
        <v>437</v>
      </c>
      <c r="U395" s="295" t="s">
        <v>438</v>
      </c>
      <c r="V395" s="256" t="s">
        <v>270</v>
      </c>
      <c r="W395" s="126" t="s">
        <v>426</v>
      </c>
      <c r="X395" s="129" t="s">
        <v>402</v>
      </c>
      <c r="Y395" s="129" t="s">
        <v>430</v>
      </c>
      <c r="Z395" s="126" t="s">
        <v>425</v>
      </c>
      <c r="AA395" s="255"/>
    </row>
    <row r="396" spans="1:27" hidden="1">
      <c r="B396" s="95"/>
      <c r="C396" s="96"/>
      <c r="D396" s="97"/>
      <c r="E396" s="889"/>
      <c r="F396" s="439"/>
      <c r="G396" s="439"/>
      <c r="H396" s="1201"/>
      <c r="I396" s="1201"/>
      <c r="J396" s="439"/>
      <c r="K396" s="98"/>
      <c r="L396" s="11"/>
      <c r="R396" s="129">
        <f t="shared" ref="R396:R401" si="193">IF(F396="実施済",1,0)</f>
        <v>0</v>
      </c>
      <c r="S396" s="129">
        <f t="shared" ref="S396:S401" si="194">IF(G396="実施済",R396*1,0)</f>
        <v>0</v>
      </c>
      <c r="T396" s="129">
        <f t="shared" ref="T396:T401" si="195">IF(H396="実施済",S396*1,0)</f>
        <v>0</v>
      </c>
      <c r="U396" s="129">
        <f t="shared" ref="U396:U401" si="196">IF(I396="実施済",T396*1,0)</f>
        <v>0</v>
      </c>
      <c r="V396" s="258"/>
      <c r="W396" s="129" t="str">
        <f>IF(OR(E396="〇〇(合意形成対象者名に書き換え)",E396=""),"",SUM(S396,T396,U396))</f>
        <v/>
      </c>
      <c r="X396" s="129">
        <f t="shared" ref="X396:X401" si="197">MIN($W$396:$W$401)+1</f>
        <v>1</v>
      </c>
      <c r="Y396" s="129">
        <f>IF(E396="",1,IF(AND(E396="〇〇(合意形成対象者名に書き換え)",COUNTA($F396:$J396)=0),1,IF(AND(E396&lt;&gt;"〇〇(合意形成対象者名に書き換え)",COUNTA($F396:$J396)=5),1,0)))</f>
        <v>1</v>
      </c>
      <c r="Z396" s="129" t="str" cm="1">
        <f t="array" ref="Z396">_xlfn.IFS(X396=4,"A",X396=3,"B",X396=2,"C",X396=1,"D")</f>
        <v>D</v>
      </c>
      <c r="AA396" s="255"/>
    </row>
    <row r="397" spans="1:27">
      <c r="B397" s="95"/>
      <c r="C397" s="96"/>
      <c r="D397" s="97"/>
      <c r="E397" s="890" t="s">
        <v>129</v>
      </c>
      <c r="F397" s="445"/>
      <c r="G397" s="445"/>
      <c r="H397" s="1202"/>
      <c r="I397" s="1202"/>
      <c r="J397" s="445"/>
      <c r="K397" s="98"/>
      <c r="L397" s="11"/>
      <c r="R397" s="129">
        <f t="shared" si="193"/>
        <v>0</v>
      </c>
      <c r="S397" s="129">
        <f t="shared" si="194"/>
        <v>0</v>
      </c>
      <c r="T397" s="129">
        <f t="shared" si="195"/>
        <v>0</v>
      </c>
      <c r="U397" s="129">
        <f t="shared" si="196"/>
        <v>0</v>
      </c>
      <c r="V397" s="258"/>
      <c r="W397" s="129" t="str">
        <f t="shared" ref="W397:W401" si="198">IF(OR(E397="〇〇(合意形成対象者名に書き換え)",E397=""),"",SUM(S397,T397,U397))</f>
        <v/>
      </c>
      <c r="X397" s="129">
        <f t="shared" si="197"/>
        <v>1</v>
      </c>
      <c r="Y397" s="129">
        <f t="shared" ref="Y397:Y401" si="199">IF(E397="",1,IF(AND(E397="〇〇(合意形成対象者名に書き換え)",COUNTA($F397:$J397)=0),1,IF(AND(E397&lt;&gt;"〇〇(合意形成対象者名に書き換え)",COUNTA($F397:$J397)=5),1,0)))</f>
        <v>1</v>
      </c>
      <c r="Z397" s="129" t="str" cm="1">
        <f t="array" ref="Z397">_xlfn.IFS(X397=4,"A",X397=3,"B",X397=2,"C",X397=1,"D")</f>
        <v>D</v>
      </c>
      <c r="AA397" s="255"/>
    </row>
    <row r="398" spans="1:27">
      <c r="B398" s="95"/>
      <c r="C398" s="96"/>
      <c r="D398" s="97"/>
      <c r="E398" s="890" t="s">
        <v>129</v>
      </c>
      <c r="F398" s="441"/>
      <c r="G398" s="441"/>
      <c r="H398" s="1203"/>
      <c r="I398" s="1203"/>
      <c r="J398" s="441"/>
      <c r="K398" s="98"/>
      <c r="L398" s="11"/>
      <c r="R398" s="129">
        <f t="shared" si="193"/>
        <v>0</v>
      </c>
      <c r="S398" s="129">
        <f t="shared" si="194"/>
        <v>0</v>
      </c>
      <c r="T398" s="129">
        <f t="shared" si="195"/>
        <v>0</v>
      </c>
      <c r="U398" s="129">
        <f t="shared" si="196"/>
        <v>0</v>
      </c>
      <c r="V398" s="258"/>
      <c r="W398" s="129" t="str">
        <f t="shared" si="198"/>
        <v/>
      </c>
      <c r="X398" s="129">
        <f t="shared" si="197"/>
        <v>1</v>
      </c>
      <c r="Y398" s="129">
        <f t="shared" si="199"/>
        <v>1</v>
      </c>
      <c r="Z398" s="129" t="str" cm="1">
        <f t="array" ref="Z398">_xlfn.IFS(X398=4,"A",X398=3,"B",X398=2,"C",X398=1,"D")</f>
        <v>D</v>
      </c>
      <c r="AA398" s="255"/>
    </row>
    <row r="399" spans="1:27" s="99" customFormat="1">
      <c r="A399" s="11"/>
      <c r="B399" s="95"/>
      <c r="C399" s="96"/>
      <c r="D399" s="97"/>
      <c r="E399" s="890" t="s">
        <v>129</v>
      </c>
      <c r="F399" s="441"/>
      <c r="G399" s="441"/>
      <c r="H399" s="1203"/>
      <c r="I399" s="1203"/>
      <c r="J399" s="441"/>
      <c r="K399" s="98"/>
      <c r="L399" s="11"/>
      <c r="O399" s="11"/>
      <c r="P399" s="11"/>
      <c r="Q399" s="11"/>
      <c r="R399" s="129">
        <f t="shared" si="193"/>
        <v>0</v>
      </c>
      <c r="S399" s="129">
        <f t="shared" si="194"/>
        <v>0</v>
      </c>
      <c r="T399" s="129">
        <f t="shared" si="195"/>
        <v>0</v>
      </c>
      <c r="U399" s="129">
        <f t="shared" si="196"/>
        <v>0</v>
      </c>
      <c r="V399" s="258"/>
      <c r="W399" s="129" t="str">
        <f t="shared" si="198"/>
        <v/>
      </c>
      <c r="X399" s="129">
        <f t="shared" si="197"/>
        <v>1</v>
      </c>
      <c r="Y399" s="129">
        <f t="shared" si="199"/>
        <v>1</v>
      </c>
      <c r="Z399" s="129" t="str" cm="1">
        <f t="array" ref="Z399">_xlfn.IFS(X399=4,"A",X399=3,"B",X399=2,"C",X399=1,"D")</f>
        <v>D</v>
      </c>
      <c r="AA399" s="129"/>
    </row>
    <row r="400" spans="1:27" customFormat="1" ht="7.5" customHeight="1">
      <c r="B400" s="65"/>
      <c r="C400" s="4"/>
      <c r="D400" s="4"/>
      <c r="E400" s="288"/>
      <c r="F400" s="4"/>
      <c r="G400" s="4"/>
      <c r="H400" s="1204"/>
      <c r="I400" s="1204"/>
      <c r="J400" s="4"/>
      <c r="K400" s="9"/>
      <c r="L400" s="2"/>
      <c r="M400" s="2"/>
      <c r="N400" s="2"/>
      <c r="R400" s="129">
        <f t="shared" si="193"/>
        <v>0</v>
      </c>
      <c r="S400" s="129">
        <f t="shared" si="194"/>
        <v>0</v>
      </c>
      <c r="T400" s="129">
        <f t="shared" si="195"/>
        <v>0</v>
      </c>
      <c r="U400" s="129">
        <f t="shared" si="196"/>
        <v>0</v>
      </c>
      <c r="V400" s="258"/>
      <c r="W400" s="129" t="str">
        <f t="shared" si="198"/>
        <v/>
      </c>
      <c r="X400" s="129">
        <f t="shared" si="197"/>
        <v>1</v>
      </c>
      <c r="Y400" s="129">
        <f t="shared" si="199"/>
        <v>1</v>
      </c>
      <c r="Z400" s="129" t="str" cm="1">
        <f t="array" ref="Z400">_xlfn.IFS(X400=4,"A",X400=3,"B",X400=2,"C",X400=1,"D")</f>
        <v>D</v>
      </c>
      <c r="AA400" s="175"/>
    </row>
    <row r="401" spans="1:27" customFormat="1" ht="6" customHeight="1">
      <c r="E401" s="3"/>
      <c r="H401" s="1198"/>
      <c r="I401" s="1198"/>
      <c r="L401" s="2"/>
      <c r="M401" s="2"/>
      <c r="N401" s="2"/>
      <c r="R401" s="129">
        <f t="shared" si="193"/>
        <v>0</v>
      </c>
      <c r="S401" s="129">
        <f t="shared" si="194"/>
        <v>0</v>
      </c>
      <c r="T401" s="129">
        <f t="shared" si="195"/>
        <v>0</v>
      </c>
      <c r="U401" s="129">
        <f t="shared" si="196"/>
        <v>0</v>
      </c>
      <c r="V401" s="258"/>
      <c r="W401" s="129" t="str">
        <f t="shared" si="198"/>
        <v/>
      </c>
      <c r="X401" s="129">
        <f t="shared" si="197"/>
        <v>1</v>
      </c>
      <c r="Y401" s="129">
        <f t="shared" si="199"/>
        <v>1</v>
      </c>
      <c r="Z401" s="129" t="str" cm="1">
        <f t="array" ref="Z401">_xlfn.IFS(X401=4,"A",X401=3,"B",X401=2,"C",X401=1,"D")</f>
        <v>D</v>
      </c>
      <c r="AA401" s="175"/>
    </row>
    <row r="402" spans="1:27" customFormat="1" ht="103.5" customHeight="1">
      <c r="C402" s="78"/>
      <c r="D402" s="79"/>
      <c r="E402" s="71" t="s">
        <v>236</v>
      </c>
      <c r="F402" s="1452"/>
      <c r="G402" s="1452"/>
      <c r="H402" s="1452"/>
      <c r="I402" s="1452"/>
      <c r="J402" s="1452"/>
      <c r="K402" s="80" t="s">
        <v>132</v>
      </c>
      <c r="L402" s="80"/>
    </row>
    <row r="403" spans="1:27" customFormat="1" ht="146.25" customHeight="1">
      <c r="C403" s="75"/>
      <c r="D403" s="68"/>
      <c r="E403" s="71" t="s">
        <v>235</v>
      </c>
      <c r="F403" s="1452"/>
      <c r="G403" s="1452"/>
      <c r="H403" s="1452"/>
      <c r="I403" s="1452"/>
      <c r="J403" s="1452"/>
      <c r="L403" s="2"/>
      <c r="M403" s="2"/>
      <c r="N403" s="2"/>
    </row>
    <row r="404" spans="1:27" customFormat="1" ht="13.5" customHeight="1" thickBot="1">
      <c r="A404" s="81"/>
      <c r="B404" s="81"/>
      <c r="C404" s="81"/>
      <c r="D404" s="81"/>
      <c r="E404" s="311"/>
      <c r="F404" s="81"/>
      <c r="G404" s="81"/>
      <c r="H404" s="1205"/>
      <c r="I404" s="1205"/>
      <c r="J404" s="81"/>
      <c r="K404" s="81"/>
      <c r="L404" s="82"/>
      <c r="M404" s="2"/>
      <c r="N404" s="2"/>
    </row>
    <row r="405" spans="1:27" customFormat="1" ht="13.5" customHeight="1">
      <c r="E405" s="3"/>
      <c r="H405" s="1198"/>
      <c r="I405" s="1198"/>
      <c r="L405" s="2"/>
      <c r="M405" s="2"/>
      <c r="N405" s="2"/>
    </row>
    <row r="406" spans="1:27" customFormat="1" ht="15" customHeight="1">
      <c r="B406" s="10"/>
      <c r="C406" s="5"/>
      <c r="D406" s="5"/>
      <c r="E406" s="305"/>
      <c r="F406" s="5"/>
      <c r="G406" s="5"/>
      <c r="H406" s="1199"/>
      <c r="I406" s="1199"/>
      <c r="J406" s="5"/>
      <c r="K406" s="6"/>
      <c r="R406" s="11" t="str">
        <f>D407</f>
        <v>(選択してください)</v>
      </c>
    </row>
    <row r="407" spans="1:27" customFormat="1">
      <c r="B407" s="7"/>
      <c r="C407" s="77" t="str">
        <f ca="1">IFERROR(OFFSET('4.3民生部門電力以外の排出削減取組'!$C$1,MATCH(D407,'4.3民生部門電力以外の排出削減取組'!$E:$E,0)-1,0),"")</f>
        <v/>
      </c>
      <c r="D407" s="94" t="s">
        <v>130</v>
      </c>
      <c r="E407" s="72" t="s">
        <v>12</v>
      </c>
      <c r="F407" s="1451" t="str">
        <f ca="1">IFERROR(OFFSET('4.3民生部門電力以外の排出削減取組'!$G$1,MATCH($D407,'4.3民生部門電力以外の排出削減取組'!$E:$E,0)-1,0),"")</f>
        <v/>
      </c>
      <c r="G407" s="1451"/>
      <c r="H407" s="1451"/>
      <c r="I407" s="1451"/>
      <c r="J407" s="1451"/>
      <c r="K407" s="8"/>
      <c r="R407" s="255" t="str">
        <f ca="1">IFERROR(OFFSET('4.3民生部門電力以外の排出削減取組'!$G$1,MATCH($D407,'4.3民生部門電力以外の排出削減取組'!$E:$E,0)-1,0),"")</f>
        <v/>
      </c>
      <c r="S407" s="175"/>
      <c r="T407" s="175"/>
      <c r="U407" s="175"/>
      <c r="V407" s="175"/>
      <c r="W407" s="175"/>
      <c r="X407" s="175"/>
      <c r="Y407" s="175"/>
      <c r="Z407" s="175"/>
      <c r="AA407" s="175">
        <f ca="1">(F407=R407)*1</f>
        <v>1</v>
      </c>
    </row>
    <row r="408" spans="1:27" customFormat="1">
      <c r="B408" s="7"/>
      <c r="C408" s="915"/>
      <c r="D408" s="97"/>
      <c r="E408" s="72" t="s">
        <v>612</v>
      </c>
      <c r="F408" s="1447" t="str">
        <f ca="1">IFERROR(OFFSET('4.3民生部門電力以外の排出削減取組'!$J$1,MATCH($D407,'4.3民生部門電力以外の排出削減取組'!$E:$E,0)-1,0),"")</f>
        <v/>
      </c>
      <c r="G408" s="1448"/>
      <c r="H408" s="1448"/>
      <c r="I408" s="1448"/>
      <c r="J408" s="1449"/>
      <c r="K408" s="8"/>
      <c r="R408" s="255" t="str">
        <f ca="1">IFERROR(OFFSET('4.3民生部門電力以外の排出削減取組'!$J$1,MATCH($D407,'4.3民生部門電力以外の排出削減取組'!$E:$E,0)-1,0),"")</f>
        <v/>
      </c>
      <c r="S408" s="175"/>
      <c r="T408" s="175"/>
      <c r="U408" s="175"/>
      <c r="V408" s="175"/>
      <c r="W408" s="175"/>
      <c r="X408" s="175"/>
      <c r="Y408" s="175"/>
      <c r="Z408" s="175"/>
      <c r="AA408" s="175">
        <f ca="1">(F408=R408)*1</f>
        <v>1</v>
      </c>
    </row>
    <row r="409" spans="1:27" customFormat="1">
      <c r="B409" s="7"/>
      <c r="C409" s="74"/>
      <c r="D409" s="66"/>
      <c r="E409" s="72" t="s">
        <v>280</v>
      </c>
      <c r="F409" s="1470" t="str">
        <f ca="1">IFERROR(OFFSET('4.3民生部門電力以外の排出削減取組'!$H$1,MATCH($D407,'4.3民生部門電力以外の排出削減取組'!$E:$E,0)-1,0),"")</f>
        <v/>
      </c>
      <c r="G409" s="1470"/>
      <c r="H409" s="1470"/>
      <c r="I409" s="1470"/>
      <c r="J409" s="1470"/>
      <c r="K409" s="8"/>
      <c r="R409" s="175" t="str">
        <f ca="1">IFERROR(OFFSET('4.3民生部門電力以外の排出削減取組'!$H$1,MATCH($D407,'4.3民生部門電力以外の排出削減取組'!$E:$E,0)-1,0),"")</f>
        <v/>
      </c>
      <c r="S409" s="175"/>
      <c r="T409" s="175"/>
      <c r="U409" s="175"/>
      <c r="V409" s="175"/>
      <c r="W409" s="175"/>
      <c r="X409" s="175"/>
      <c r="Y409" s="175"/>
      <c r="Z409" s="175"/>
      <c r="AA409" s="175">
        <f t="shared" ref="AA409:AA410" ca="1" si="200">(F409=R409)*1</f>
        <v>1</v>
      </c>
    </row>
    <row r="410" spans="1:27" customFormat="1">
      <c r="B410" s="7"/>
      <c r="C410" s="74"/>
      <c r="D410" s="66"/>
      <c r="E410" s="72" t="s">
        <v>175</v>
      </c>
      <c r="F410" s="1451" t="str">
        <f>_xlfn.IFNA(R410,"")</f>
        <v/>
      </c>
      <c r="G410" s="1451"/>
      <c r="H410" s="1451"/>
      <c r="I410" s="1451"/>
      <c r="J410" s="1451"/>
      <c r="K410" s="8"/>
      <c r="R410" s="129" t="str">
        <f>IF(OR(COUNTIF($E412:$E417,"&lt;&gt;〇〇(合意形成対象者名に書き換え)")=3,COUNTIF($E412:$E417,"")&gt;3),"",IF(PRODUCT($Y412:$Y417)=1,Z412,""))</f>
        <v/>
      </c>
      <c r="S410" s="175"/>
      <c r="T410" s="175"/>
      <c r="U410" s="175"/>
      <c r="V410" s="175"/>
      <c r="W410" s="175"/>
      <c r="X410" s="175"/>
      <c r="Y410" s="175"/>
      <c r="Z410" s="175"/>
      <c r="AA410" s="175">
        <f t="shared" si="200"/>
        <v>1</v>
      </c>
    </row>
    <row r="411" spans="1:27" ht="63.75" customHeight="1">
      <c r="B411" s="95"/>
      <c r="C411" s="96"/>
      <c r="D411" s="97"/>
      <c r="E411" s="888"/>
      <c r="F411" s="313" t="s">
        <v>278</v>
      </c>
      <c r="G411" s="313" t="s">
        <v>268</v>
      </c>
      <c r="H411" s="1200" t="s">
        <v>437</v>
      </c>
      <c r="I411" s="1200" t="s">
        <v>439</v>
      </c>
      <c r="J411" s="313" t="s">
        <v>279</v>
      </c>
      <c r="K411" s="98"/>
      <c r="L411" s="11"/>
      <c r="R411" s="126" t="s">
        <v>278</v>
      </c>
      <c r="S411" s="126" t="s">
        <v>440</v>
      </c>
      <c r="T411" s="295" t="s">
        <v>437</v>
      </c>
      <c r="U411" s="295" t="s">
        <v>438</v>
      </c>
      <c r="V411" s="256" t="s">
        <v>270</v>
      </c>
      <c r="W411" s="126" t="s">
        <v>426</v>
      </c>
      <c r="X411" s="129" t="s">
        <v>402</v>
      </c>
      <c r="Y411" s="129" t="s">
        <v>430</v>
      </c>
      <c r="Z411" s="126" t="s">
        <v>425</v>
      </c>
      <c r="AA411" s="255"/>
    </row>
    <row r="412" spans="1:27" hidden="1">
      <c r="B412" s="95"/>
      <c r="C412" s="96"/>
      <c r="D412" s="97"/>
      <c r="E412" s="889"/>
      <c r="F412" s="439"/>
      <c r="G412" s="439"/>
      <c r="H412" s="1201"/>
      <c r="I412" s="1201"/>
      <c r="J412" s="439"/>
      <c r="K412" s="98"/>
      <c r="L412" s="11"/>
      <c r="R412" s="129">
        <f t="shared" ref="R412:R417" si="201">IF(F412="実施済",1,0)</f>
        <v>0</v>
      </c>
      <c r="S412" s="129">
        <f t="shared" ref="S412:S417" si="202">IF(G412="実施済",R412*1,0)</f>
        <v>0</v>
      </c>
      <c r="T412" s="129">
        <f t="shared" ref="T412:T417" si="203">IF(H412="実施済",S412*1,0)</f>
        <v>0</v>
      </c>
      <c r="U412" s="129">
        <f t="shared" ref="U412:U417" si="204">IF(I412="実施済",T412*1,0)</f>
        <v>0</v>
      </c>
      <c r="V412" s="258"/>
      <c r="W412" s="129" t="str">
        <f>IF(OR(E412="〇〇(合意形成対象者名に書き換え)",E412=""),"",SUM(S412,T412,U412))</f>
        <v/>
      </c>
      <c r="X412" s="129">
        <f t="shared" ref="X412:X417" si="205">MIN($W$412:$W$417)+1</f>
        <v>1</v>
      </c>
      <c r="Y412" s="129">
        <f>IF(E412="",1,IF(AND(E412="〇〇(合意形成対象者名に書き換え)",COUNTA($F412:$J412)=0),1,IF(AND(E412&lt;&gt;"〇〇(合意形成対象者名に書き換え)",COUNTA($F412:$J412)=5),1,0)))</f>
        <v>1</v>
      </c>
      <c r="Z412" s="129" t="str" cm="1">
        <f t="array" ref="Z412">_xlfn.IFS(X412=4,"A",X412=3,"B",X412=2,"C",X412=1,"D")</f>
        <v>D</v>
      </c>
      <c r="AA412" s="255"/>
    </row>
    <row r="413" spans="1:27">
      <c r="B413" s="95"/>
      <c r="C413" s="96"/>
      <c r="D413" s="97"/>
      <c r="E413" s="890" t="s">
        <v>129</v>
      </c>
      <c r="F413" s="445"/>
      <c r="G413" s="445"/>
      <c r="H413" s="1202"/>
      <c r="I413" s="1202"/>
      <c r="J413" s="445"/>
      <c r="K413" s="98"/>
      <c r="L413" s="11"/>
      <c r="R413" s="129">
        <f t="shared" si="201"/>
        <v>0</v>
      </c>
      <c r="S413" s="129">
        <f t="shared" si="202"/>
        <v>0</v>
      </c>
      <c r="T413" s="129">
        <f t="shared" si="203"/>
        <v>0</v>
      </c>
      <c r="U413" s="129">
        <f t="shared" si="204"/>
        <v>0</v>
      </c>
      <c r="V413" s="258"/>
      <c r="W413" s="129" t="str">
        <f t="shared" ref="W413:W417" si="206">IF(OR(E413="〇〇(合意形成対象者名に書き換え)",E413=""),"",SUM(S413,T413,U413))</f>
        <v/>
      </c>
      <c r="X413" s="129">
        <f t="shared" si="205"/>
        <v>1</v>
      </c>
      <c r="Y413" s="129">
        <f t="shared" ref="Y413:Y417" si="207">IF(E413="",1,IF(AND(E413="〇〇(合意形成対象者名に書き換え)",COUNTA($F413:$J413)=0),1,IF(AND(E413&lt;&gt;"〇〇(合意形成対象者名に書き換え)",COUNTA($F413:$J413)=5),1,0)))</f>
        <v>1</v>
      </c>
      <c r="Z413" s="129" t="str" cm="1">
        <f t="array" ref="Z413">_xlfn.IFS(X413=4,"A",X413=3,"B",X413=2,"C",X413=1,"D")</f>
        <v>D</v>
      </c>
      <c r="AA413" s="255"/>
    </row>
    <row r="414" spans="1:27">
      <c r="B414" s="95"/>
      <c r="C414" s="96"/>
      <c r="D414" s="97"/>
      <c r="E414" s="890" t="s">
        <v>129</v>
      </c>
      <c r="F414" s="441"/>
      <c r="G414" s="441"/>
      <c r="H414" s="1203"/>
      <c r="I414" s="1203"/>
      <c r="J414" s="441"/>
      <c r="K414" s="98"/>
      <c r="L414" s="11"/>
      <c r="R414" s="129">
        <f t="shared" si="201"/>
        <v>0</v>
      </c>
      <c r="S414" s="129">
        <f t="shared" si="202"/>
        <v>0</v>
      </c>
      <c r="T414" s="129">
        <f t="shared" si="203"/>
        <v>0</v>
      </c>
      <c r="U414" s="129">
        <f t="shared" si="204"/>
        <v>0</v>
      </c>
      <c r="V414" s="258"/>
      <c r="W414" s="129" t="str">
        <f t="shared" si="206"/>
        <v/>
      </c>
      <c r="X414" s="129">
        <f t="shared" si="205"/>
        <v>1</v>
      </c>
      <c r="Y414" s="129">
        <f t="shared" si="207"/>
        <v>1</v>
      </c>
      <c r="Z414" s="129" t="str" cm="1">
        <f t="array" ref="Z414">_xlfn.IFS(X414=4,"A",X414=3,"B",X414=2,"C",X414=1,"D")</f>
        <v>D</v>
      </c>
      <c r="AA414" s="255"/>
    </row>
    <row r="415" spans="1:27" s="99" customFormat="1">
      <c r="A415" s="11"/>
      <c r="B415" s="95"/>
      <c r="C415" s="96"/>
      <c r="D415" s="97"/>
      <c r="E415" s="890" t="s">
        <v>129</v>
      </c>
      <c r="F415" s="441"/>
      <c r="G415" s="441"/>
      <c r="H415" s="1203"/>
      <c r="I415" s="1203"/>
      <c r="J415" s="441"/>
      <c r="K415" s="98"/>
      <c r="L415" s="11"/>
      <c r="O415" s="11"/>
      <c r="P415" s="11"/>
      <c r="Q415" s="11"/>
      <c r="R415" s="129">
        <f t="shared" si="201"/>
        <v>0</v>
      </c>
      <c r="S415" s="129">
        <f t="shared" si="202"/>
        <v>0</v>
      </c>
      <c r="T415" s="129">
        <f t="shared" si="203"/>
        <v>0</v>
      </c>
      <c r="U415" s="129">
        <f t="shared" si="204"/>
        <v>0</v>
      </c>
      <c r="V415" s="258"/>
      <c r="W415" s="129" t="str">
        <f t="shared" si="206"/>
        <v/>
      </c>
      <c r="X415" s="129">
        <f t="shared" si="205"/>
        <v>1</v>
      </c>
      <c r="Y415" s="129">
        <f t="shared" si="207"/>
        <v>1</v>
      </c>
      <c r="Z415" s="129" t="str" cm="1">
        <f t="array" ref="Z415">_xlfn.IFS(X415=4,"A",X415=3,"B",X415=2,"C",X415=1,"D")</f>
        <v>D</v>
      </c>
      <c r="AA415" s="129"/>
    </row>
    <row r="416" spans="1:27" customFormat="1" ht="7.5" customHeight="1">
      <c r="B416" s="65"/>
      <c r="C416" s="4"/>
      <c r="D416" s="4"/>
      <c r="E416" s="288"/>
      <c r="F416" s="4"/>
      <c r="G416" s="4"/>
      <c r="H416" s="1204"/>
      <c r="I416" s="1204"/>
      <c r="J416" s="4"/>
      <c r="K416" s="9"/>
      <c r="L416" s="2"/>
      <c r="M416" s="2"/>
      <c r="N416" s="2"/>
      <c r="R416" s="129">
        <f t="shared" si="201"/>
        <v>0</v>
      </c>
      <c r="S416" s="129">
        <f t="shared" si="202"/>
        <v>0</v>
      </c>
      <c r="T416" s="129">
        <f t="shared" si="203"/>
        <v>0</v>
      </c>
      <c r="U416" s="129">
        <f t="shared" si="204"/>
        <v>0</v>
      </c>
      <c r="V416" s="258"/>
      <c r="W416" s="129" t="str">
        <f t="shared" si="206"/>
        <v/>
      </c>
      <c r="X416" s="129">
        <f t="shared" si="205"/>
        <v>1</v>
      </c>
      <c r="Y416" s="129">
        <f t="shared" si="207"/>
        <v>1</v>
      </c>
      <c r="Z416" s="129" t="str" cm="1">
        <f t="array" ref="Z416">_xlfn.IFS(X416=4,"A",X416=3,"B",X416=2,"C",X416=1,"D")</f>
        <v>D</v>
      </c>
      <c r="AA416" s="175"/>
    </row>
    <row r="417" spans="1:27" customFormat="1" ht="6" customHeight="1">
      <c r="E417" s="3"/>
      <c r="H417" s="1198"/>
      <c r="I417" s="1198"/>
      <c r="L417" s="2"/>
      <c r="M417" s="2"/>
      <c r="N417" s="2"/>
      <c r="R417" s="129">
        <f t="shared" si="201"/>
        <v>0</v>
      </c>
      <c r="S417" s="129">
        <f t="shared" si="202"/>
        <v>0</v>
      </c>
      <c r="T417" s="129">
        <f t="shared" si="203"/>
        <v>0</v>
      </c>
      <c r="U417" s="129">
        <f t="shared" si="204"/>
        <v>0</v>
      </c>
      <c r="V417" s="258"/>
      <c r="W417" s="129" t="str">
        <f t="shared" si="206"/>
        <v/>
      </c>
      <c r="X417" s="129">
        <f t="shared" si="205"/>
        <v>1</v>
      </c>
      <c r="Y417" s="129">
        <f t="shared" si="207"/>
        <v>1</v>
      </c>
      <c r="Z417" s="129" t="str" cm="1">
        <f t="array" ref="Z417">_xlfn.IFS(X417=4,"A",X417=3,"B",X417=2,"C",X417=1,"D")</f>
        <v>D</v>
      </c>
      <c r="AA417" s="175"/>
    </row>
    <row r="418" spans="1:27" customFormat="1" ht="103.5" customHeight="1">
      <c r="C418" s="78"/>
      <c r="D418" s="79"/>
      <c r="E418" s="71" t="s">
        <v>236</v>
      </c>
      <c r="F418" s="1452"/>
      <c r="G418" s="1452"/>
      <c r="H418" s="1452"/>
      <c r="I418" s="1452"/>
      <c r="J418" s="1452"/>
      <c r="K418" s="80" t="s">
        <v>132</v>
      </c>
      <c r="L418" s="80"/>
    </row>
    <row r="419" spans="1:27" customFormat="1" ht="146.25" customHeight="1">
      <c r="C419" s="75"/>
      <c r="D419" s="68"/>
      <c r="E419" s="71" t="s">
        <v>235</v>
      </c>
      <c r="F419" s="1452"/>
      <c r="G419" s="1452"/>
      <c r="H419" s="1452"/>
      <c r="I419" s="1452"/>
      <c r="J419" s="1452"/>
      <c r="L419" s="2"/>
      <c r="M419" s="2"/>
      <c r="N419" s="2"/>
    </row>
    <row r="420" spans="1:27" customFormat="1" ht="13.5" customHeight="1" thickBot="1">
      <c r="A420" s="81"/>
      <c r="B420" s="81"/>
      <c r="C420" s="81"/>
      <c r="D420" s="81"/>
      <c r="E420" s="311"/>
      <c r="F420" s="81"/>
      <c r="G420" s="81"/>
      <c r="H420" s="1205"/>
      <c r="I420" s="1205"/>
      <c r="J420" s="81"/>
      <c r="K420" s="81"/>
      <c r="L420" s="82"/>
      <c r="M420" s="2"/>
      <c r="N420" s="2"/>
    </row>
    <row r="421" spans="1:27" customFormat="1" ht="13.5" customHeight="1">
      <c r="E421" s="3"/>
      <c r="H421" s="1198"/>
      <c r="I421" s="1198"/>
      <c r="L421" s="2"/>
      <c r="M421" s="2"/>
      <c r="N421" s="2"/>
    </row>
    <row r="422" spans="1:27" customFormat="1" ht="15" customHeight="1">
      <c r="B422" s="10"/>
      <c r="C422" s="5"/>
      <c r="D422" s="5"/>
      <c r="E422" s="305"/>
      <c r="F422" s="5"/>
      <c r="G422" s="5"/>
      <c r="H422" s="1199"/>
      <c r="I422" s="1199"/>
      <c r="J422" s="5"/>
      <c r="K422" s="6"/>
      <c r="R422" s="11" t="str">
        <f>D423</f>
        <v>(選択してください)</v>
      </c>
    </row>
    <row r="423" spans="1:27" customFormat="1">
      <c r="B423" s="7"/>
      <c r="C423" s="77" t="str">
        <f ca="1">IFERROR(OFFSET('4.3民生部門電力以外の排出削減取組'!$C$1,MATCH(D423,'4.3民生部門電力以外の排出削減取組'!$E:$E,0)-1,0),"")</f>
        <v/>
      </c>
      <c r="D423" s="94" t="s">
        <v>130</v>
      </c>
      <c r="E423" s="72" t="s">
        <v>12</v>
      </c>
      <c r="F423" s="1451" t="str">
        <f ca="1">IFERROR(OFFSET('4.3民生部門電力以外の排出削減取組'!$G$1,MATCH($D423,'4.3民生部門電力以外の排出削減取組'!$E:$E,0)-1,0),"")</f>
        <v/>
      </c>
      <c r="G423" s="1451"/>
      <c r="H423" s="1451"/>
      <c r="I423" s="1451"/>
      <c r="J423" s="1451"/>
      <c r="K423" s="8"/>
      <c r="R423" s="255" t="str">
        <f ca="1">IFERROR(OFFSET('4.3民生部門電力以外の排出削減取組'!$G$1,MATCH($D423,'4.3民生部門電力以外の排出削減取組'!$E:$E,0)-1,0),"")</f>
        <v/>
      </c>
      <c r="S423" s="175"/>
      <c r="T423" s="175"/>
      <c r="U423" s="175"/>
      <c r="V423" s="175"/>
      <c r="W423" s="175"/>
      <c r="X423" s="175"/>
      <c r="Y423" s="175"/>
      <c r="Z423" s="175"/>
      <c r="AA423" s="175">
        <f ca="1">(F423=R423)*1</f>
        <v>1</v>
      </c>
    </row>
    <row r="424" spans="1:27" customFormat="1">
      <c r="B424" s="7"/>
      <c r="C424" s="915"/>
      <c r="D424" s="97"/>
      <c r="E424" s="72" t="s">
        <v>612</v>
      </c>
      <c r="F424" s="1447" t="str">
        <f ca="1">IFERROR(OFFSET('4.3民生部門電力以外の排出削減取組'!$J$1,MATCH($D423,'4.3民生部門電力以外の排出削減取組'!$E:$E,0)-1,0),"")</f>
        <v/>
      </c>
      <c r="G424" s="1448"/>
      <c r="H424" s="1448"/>
      <c r="I424" s="1448"/>
      <c r="J424" s="1449"/>
      <c r="K424" s="8"/>
      <c r="R424" s="255" t="str">
        <f ca="1">IFERROR(OFFSET('4.3民生部門電力以外の排出削減取組'!$J$1,MATCH($D423,'4.3民生部門電力以外の排出削減取組'!$E:$E,0)-1,0),"")</f>
        <v/>
      </c>
      <c r="S424" s="175"/>
      <c r="T424" s="175"/>
      <c r="U424" s="175"/>
      <c r="V424" s="175"/>
      <c r="W424" s="175"/>
      <c r="X424" s="175"/>
      <c r="Y424" s="175"/>
      <c r="Z424" s="175"/>
      <c r="AA424" s="175">
        <f ca="1">(F424=R424)*1</f>
        <v>1</v>
      </c>
    </row>
    <row r="425" spans="1:27" customFormat="1">
      <c r="B425" s="7"/>
      <c r="C425" s="74"/>
      <c r="D425" s="66"/>
      <c r="E425" s="72" t="s">
        <v>280</v>
      </c>
      <c r="F425" s="1470" t="str">
        <f ca="1">IFERROR(OFFSET('4.3民生部門電力以外の排出削減取組'!$H$1,MATCH($D423,'4.3民生部門電力以外の排出削減取組'!$E:$E,0)-1,0),"")</f>
        <v/>
      </c>
      <c r="G425" s="1470"/>
      <c r="H425" s="1470"/>
      <c r="I425" s="1470"/>
      <c r="J425" s="1470"/>
      <c r="K425" s="8"/>
      <c r="R425" s="175" t="str">
        <f ca="1">IFERROR(OFFSET('4.3民生部門電力以外の排出削減取組'!$H$1,MATCH($D423,'4.3民生部門電力以外の排出削減取組'!$E:$E,0)-1,0),"")</f>
        <v/>
      </c>
      <c r="S425" s="175"/>
      <c r="T425" s="175"/>
      <c r="U425" s="175"/>
      <c r="V425" s="175"/>
      <c r="W425" s="175"/>
      <c r="X425" s="175"/>
      <c r="Y425" s="175"/>
      <c r="Z425" s="175"/>
      <c r="AA425" s="175">
        <f t="shared" ref="AA425:AA426" ca="1" si="208">(F425=R425)*1</f>
        <v>1</v>
      </c>
    </row>
    <row r="426" spans="1:27" customFormat="1">
      <c r="B426" s="7"/>
      <c r="C426" s="74"/>
      <c r="D426" s="66"/>
      <c r="E426" s="72" t="s">
        <v>175</v>
      </c>
      <c r="F426" s="1451" t="str">
        <f>_xlfn.IFNA(R426,"")</f>
        <v/>
      </c>
      <c r="G426" s="1451"/>
      <c r="H426" s="1451"/>
      <c r="I426" s="1451"/>
      <c r="J426" s="1451"/>
      <c r="K426" s="8"/>
      <c r="R426" s="129" t="str">
        <f>IF(OR(COUNTIF($E428:$E433,"&lt;&gt;〇〇(合意形成対象者名に書き換え)")=3,COUNTIF($E428:$E433,"")&gt;3),"",IF(PRODUCT($Y428:$Y433)=1,Z428,""))</f>
        <v/>
      </c>
      <c r="S426" s="175"/>
      <c r="T426" s="175"/>
      <c r="U426" s="175"/>
      <c r="V426" s="175"/>
      <c r="W426" s="175"/>
      <c r="X426" s="175"/>
      <c r="Y426" s="175"/>
      <c r="Z426" s="175"/>
      <c r="AA426" s="175">
        <f t="shared" si="208"/>
        <v>1</v>
      </c>
    </row>
    <row r="427" spans="1:27" ht="63.75" customHeight="1">
      <c r="B427" s="95"/>
      <c r="C427" s="96"/>
      <c r="D427" s="97"/>
      <c r="E427" s="888"/>
      <c r="F427" s="313" t="s">
        <v>278</v>
      </c>
      <c r="G427" s="313" t="s">
        <v>268</v>
      </c>
      <c r="H427" s="1200" t="s">
        <v>437</v>
      </c>
      <c r="I427" s="1200" t="s">
        <v>439</v>
      </c>
      <c r="J427" s="313" t="s">
        <v>279</v>
      </c>
      <c r="K427" s="98"/>
      <c r="L427" s="11"/>
      <c r="R427" s="126" t="s">
        <v>278</v>
      </c>
      <c r="S427" s="126" t="s">
        <v>440</v>
      </c>
      <c r="T427" s="295" t="s">
        <v>437</v>
      </c>
      <c r="U427" s="295" t="s">
        <v>438</v>
      </c>
      <c r="V427" s="256" t="s">
        <v>270</v>
      </c>
      <c r="W427" s="126" t="s">
        <v>426</v>
      </c>
      <c r="X427" s="129" t="s">
        <v>402</v>
      </c>
      <c r="Y427" s="129" t="s">
        <v>430</v>
      </c>
      <c r="Z427" s="126" t="s">
        <v>425</v>
      </c>
      <c r="AA427" s="255"/>
    </row>
    <row r="428" spans="1:27" hidden="1">
      <c r="B428" s="95"/>
      <c r="C428" s="96"/>
      <c r="D428" s="97"/>
      <c r="E428" s="889"/>
      <c r="F428" s="439"/>
      <c r="G428" s="439"/>
      <c r="H428" s="1201"/>
      <c r="I428" s="1201"/>
      <c r="J428" s="439"/>
      <c r="K428" s="98"/>
      <c r="L428" s="11"/>
      <c r="R428" s="129">
        <f t="shared" ref="R428:R433" si="209">IF(F428="実施済",1,0)</f>
        <v>0</v>
      </c>
      <c r="S428" s="129">
        <f t="shared" ref="S428:S433" si="210">IF(G428="実施済",R428*1,0)</f>
        <v>0</v>
      </c>
      <c r="T428" s="129">
        <f t="shared" ref="T428:T433" si="211">IF(H428="実施済",S428*1,0)</f>
        <v>0</v>
      </c>
      <c r="U428" s="129">
        <f t="shared" ref="U428:U433" si="212">IF(I428="実施済",T428*1,0)</f>
        <v>0</v>
      </c>
      <c r="V428" s="258"/>
      <c r="W428" s="129" t="str">
        <f>IF(OR(E428="〇〇(合意形成対象者名に書き換え)",E428=""),"",SUM(S428,T428,U428))</f>
        <v/>
      </c>
      <c r="X428" s="129">
        <f t="shared" ref="X428:X433" si="213">MIN($W$428:$W$433)+1</f>
        <v>1</v>
      </c>
      <c r="Y428" s="129">
        <f>IF(E428="",1,IF(AND(E428="〇〇(合意形成対象者名に書き換え)",COUNTA($F428:$J428)=0),1,IF(AND(E428&lt;&gt;"〇〇(合意形成対象者名に書き換え)",COUNTA($F428:$J428)=5),1,0)))</f>
        <v>1</v>
      </c>
      <c r="Z428" s="129" t="str" cm="1">
        <f t="array" ref="Z428">_xlfn.IFS(X428=4,"A",X428=3,"B",X428=2,"C",X428=1,"D")</f>
        <v>D</v>
      </c>
      <c r="AA428" s="255"/>
    </row>
    <row r="429" spans="1:27">
      <c r="B429" s="95"/>
      <c r="C429" s="96"/>
      <c r="D429" s="97"/>
      <c r="E429" s="890" t="s">
        <v>129</v>
      </c>
      <c r="F429" s="445"/>
      <c r="G429" s="445"/>
      <c r="H429" s="1202"/>
      <c r="I429" s="1202"/>
      <c r="J429" s="445"/>
      <c r="K429" s="98"/>
      <c r="L429" s="11"/>
      <c r="R429" s="129">
        <f t="shared" si="209"/>
        <v>0</v>
      </c>
      <c r="S429" s="129">
        <f t="shared" si="210"/>
        <v>0</v>
      </c>
      <c r="T429" s="129">
        <f t="shared" si="211"/>
        <v>0</v>
      </c>
      <c r="U429" s="129">
        <f t="shared" si="212"/>
        <v>0</v>
      </c>
      <c r="V429" s="258"/>
      <c r="W429" s="129" t="str">
        <f t="shared" ref="W429:W433" si="214">IF(OR(E429="〇〇(合意形成対象者名に書き換え)",E429=""),"",SUM(S429,T429,U429))</f>
        <v/>
      </c>
      <c r="X429" s="129">
        <f t="shared" si="213"/>
        <v>1</v>
      </c>
      <c r="Y429" s="129">
        <f t="shared" ref="Y429:Y433" si="215">IF(E429="",1,IF(AND(E429="〇〇(合意形成対象者名に書き換え)",COUNTA($F429:$J429)=0),1,IF(AND(E429&lt;&gt;"〇〇(合意形成対象者名に書き換え)",COUNTA($F429:$J429)=5),1,0)))</f>
        <v>1</v>
      </c>
      <c r="Z429" s="129" t="str" cm="1">
        <f t="array" ref="Z429">_xlfn.IFS(X429=4,"A",X429=3,"B",X429=2,"C",X429=1,"D")</f>
        <v>D</v>
      </c>
      <c r="AA429" s="255"/>
    </row>
    <row r="430" spans="1:27">
      <c r="B430" s="95"/>
      <c r="C430" s="96"/>
      <c r="D430" s="97"/>
      <c r="E430" s="890" t="s">
        <v>129</v>
      </c>
      <c r="F430" s="441"/>
      <c r="G430" s="441"/>
      <c r="H430" s="1203"/>
      <c r="I430" s="1203"/>
      <c r="J430" s="441"/>
      <c r="K430" s="98"/>
      <c r="L430" s="11"/>
      <c r="R430" s="129">
        <f t="shared" si="209"/>
        <v>0</v>
      </c>
      <c r="S430" s="129">
        <f t="shared" si="210"/>
        <v>0</v>
      </c>
      <c r="T430" s="129">
        <f t="shared" si="211"/>
        <v>0</v>
      </c>
      <c r="U430" s="129">
        <f t="shared" si="212"/>
        <v>0</v>
      </c>
      <c r="V430" s="258"/>
      <c r="W430" s="129" t="str">
        <f t="shared" si="214"/>
        <v/>
      </c>
      <c r="X430" s="129">
        <f t="shared" si="213"/>
        <v>1</v>
      </c>
      <c r="Y430" s="129">
        <f t="shared" si="215"/>
        <v>1</v>
      </c>
      <c r="Z430" s="129" t="str" cm="1">
        <f t="array" ref="Z430">_xlfn.IFS(X430=4,"A",X430=3,"B",X430=2,"C",X430=1,"D")</f>
        <v>D</v>
      </c>
      <c r="AA430" s="255"/>
    </row>
    <row r="431" spans="1:27" s="99" customFormat="1">
      <c r="A431" s="11"/>
      <c r="B431" s="95"/>
      <c r="C431" s="96"/>
      <c r="D431" s="97"/>
      <c r="E431" s="890" t="s">
        <v>129</v>
      </c>
      <c r="F431" s="441"/>
      <c r="G431" s="441"/>
      <c r="H431" s="1203"/>
      <c r="I431" s="1203"/>
      <c r="J431" s="441"/>
      <c r="K431" s="98"/>
      <c r="L431" s="11"/>
      <c r="O431" s="11"/>
      <c r="P431" s="11"/>
      <c r="Q431" s="11"/>
      <c r="R431" s="129">
        <f t="shared" si="209"/>
        <v>0</v>
      </c>
      <c r="S431" s="129">
        <f t="shared" si="210"/>
        <v>0</v>
      </c>
      <c r="T431" s="129">
        <f t="shared" si="211"/>
        <v>0</v>
      </c>
      <c r="U431" s="129">
        <f t="shared" si="212"/>
        <v>0</v>
      </c>
      <c r="V431" s="258"/>
      <c r="W431" s="129" t="str">
        <f t="shared" si="214"/>
        <v/>
      </c>
      <c r="X431" s="129">
        <f t="shared" si="213"/>
        <v>1</v>
      </c>
      <c r="Y431" s="129">
        <f t="shared" si="215"/>
        <v>1</v>
      </c>
      <c r="Z431" s="129" t="str" cm="1">
        <f t="array" ref="Z431">_xlfn.IFS(X431=4,"A",X431=3,"B",X431=2,"C",X431=1,"D")</f>
        <v>D</v>
      </c>
      <c r="AA431" s="129"/>
    </row>
    <row r="432" spans="1:27" customFormat="1" ht="7.5" customHeight="1">
      <c r="B432" s="65"/>
      <c r="C432" s="4"/>
      <c r="D432" s="4"/>
      <c r="E432" s="288"/>
      <c r="F432" s="4"/>
      <c r="G432" s="4"/>
      <c r="H432" s="1204"/>
      <c r="I432" s="1204"/>
      <c r="J432" s="4"/>
      <c r="K432" s="9"/>
      <c r="L432" s="2"/>
      <c r="M432" s="2"/>
      <c r="N432" s="2"/>
      <c r="R432" s="129">
        <f t="shared" si="209"/>
        <v>0</v>
      </c>
      <c r="S432" s="129">
        <f t="shared" si="210"/>
        <v>0</v>
      </c>
      <c r="T432" s="129">
        <f t="shared" si="211"/>
        <v>0</v>
      </c>
      <c r="U432" s="129">
        <f t="shared" si="212"/>
        <v>0</v>
      </c>
      <c r="V432" s="258"/>
      <c r="W432" s="129" t="str">
        <f t="shared" si="214"/>
        <v/>
      </c>
      <c r="X432" s="129">
        <f t="shared" si="213"/>
        <v>1</v>
      </c>
      <c r="Y432" s="129">
        <f t="shared" si="215"/>
        <v>1</v>
      </c>
      <c r="Z432" s="129" t="str" cm="1">
        <f t="array" ref="Z432">_xlfn.IFS(X432=4,"A",X432=3,"B",X432=2,"C",X432=1,"D")</f>
        <v>D</v>
      </c>
      <c r="AA432" s="175"/>
    </row>
    <row r="433" spans="1:27" customFormat="1" ht="6" customHeight="1">
      <c r="E433" s="3"/>
      <c r="H433" s="1198"/>
      <c r="I433" s="1198"/>
      <c r="L433" s="2"/>
      <c r="M433" s="2"/>
      <c r="N433" s="2"/>
      <c r="R433" s="129">
        <f t="shared" si="209"/>
        <v>0</v>
      </c>
      <c r="S433" s="129">
        <f t="shared" si="210"/>
        <v>0</v>
      </c>
      <c r="T433" s="129">
        <f t="shared" si="211"/>
        <v>0</v>
      </c>
      <c r="U433" s="129">
        <f t="shared" si="212"/>
        <v>0</v>
      </c>
      <c r="V433" s="258"/>
      <c r="W433" s="129" t="str">
        <f t="shared" si="214"/>
        <v/>
      </c>
      <c r="X433" s="129">
        <f t="shared" si="213"/>
        <v>1</v>
      </c>
      <c r="Y433" s="129">
        <f t="shared" si="215"/>
        <v>1</v>
      </c>
      <c r="Z433" s="129" t="str" cm="1">
        <f t="array" ref="Z433">_xlfn.IFS(X433=4,"A",X433=3,"B",X433=2,"C",X433=1,"D")</f>
        <v>D</v>
      </c>
      <c r="AA433" s="175"/>
    </row>
    <row r="434" spans="1:27" customFormat="1" ht="103.5" customHeight="1">
      <c r="C434" s="78"/>
      <c r="D434" s="79"/>
      <c r="E434" s="71" t="s">
        <v>236</v>
      </c>
      <c r="F434" s="1452"/>
      <c r="G434" s="1452"/>
      <c r="H434" s="1452"/>
      <c r="I434" s="1452"/>
      <c r="J434" s="1452"/>
      <c r="K434" s="80" t="s">
        <v>132</v>
      </c>
      <c r="L434" s="80"/>
    </row>
    <row r="435" spans="1:27" customFormat="1" ht="146.25" customHeight="1">
      <c r="C435" s="75"/>
      <c r="D435" s="68"/>
      <c r="E435" s="71" t="s">
        <v>235</v>
      </c>
      <c r="F435" s="1452"/>
      <c r="G435" s="1452"/>
      <c r="H435" s="1452"/>
      <c r="I435" s="1452"/>
      <c r="J435" s="1452"/>
      <c r="L435" s="2"/>
      <c r="M435" s="2"/>
      <c r="N435" s="2"/>
    </row>
    <row r="436" spans="1:27" customFormat="1" ht="13.5" customHeight="1" thickBot="1">
      <c r="A436" s="81"/>
      <c r="B436" s="81"/>
      <c r="C436" s="81"/>
      <c r="D436" s="81"/>
      <c r="E436" s="311"/>
      <c r="F436" s="81"/>
      <c r="G436" s="81"/>
      <c r="H436" s="1205"/>
      <c r="I436" s="1205"/>
      <c r="J436" s="81"/>
      <c r="K436" s="81"/>
      <c r="L436" s="82"/>
      <c r="M436" s="2"/>
      <c r="N436" s="2"/>
    </row>
    <row r="437" spans="1:27" customFormat="1" ht="13.5" customHeight="1">
      <c r="E437" s="3"/>
      <c r="H437" s="1198"/>
      <c r="I437" s="1198"/>
      <c r="L437" s="2"/>
      <c r="M437" s="2"/>
      <c r="N437" s="2"/>
    </row>
    <row r="438" spans="1:27" customFormat="1" ht="15" customHeight="1">
      <c r="B438" s="10"/>
      <c r="C438" s="5"/>
      <c r="D438" s="5"/>
      <c r="E438" s="305"/>
      <c r="F438" s="5"/>
      <c r="G438" s="5"/>
      <c r="H438" s="1199"/>
      <c r="I438" s="1199"/>
      <c r="J438" s="5"/>
      <c r="K438" s="6"/>
      <c r="R438" s="11" t="str">
        <f>D439</f>
        <v>(選択してください)</v>
      </c>
    </row>
    <row r="439" spans="1:27" customFormat="1">
      <c r="B439" s="7"/>
      <c r="C439" s="77" t="str">
        <f ca="1">IFERROR(OFFSET('4.3民生部門電力以外の排出削減取組'!$C$1,MATCH(D439,'4.3民生部門電力以外の排出削減取組'!$E:$E,0)-1,0),"")</f>
        <v/>
      </c>
      <c r="D439" s="94" t="s">
        <v>130</v>
      </c>
      <c r="E439" s="72" t="s">
        <v>12</v>
      </c>
      <c r="F439" s="1451" t="str">
        <f ca="1">IFERROR(OFFSET('4.3民生部門電力以外の排出削減取組'!$G$1,MATCH($D439,'4.3民生部門電力以外の排出削減取組'!$E:$E,0)-1,0),"")</f>
        <v/>
      </c>
      <c r="G439" s="1451"/>
      <c r="H439" s="1451"/>
      <c r="I439" s="1451"/>
      <c r="J439" s="1451"/>
      <c r="K439" s="8"/>
      <c r="R439" s="255" t="str">
        <f ca="1">IFERROR(OFFSET('4.3民生部門電力以外の排出削減取組'!$G$1,MATCH($D439,'4.3民生部門電力以外の排出削減取組'!$E:$E,0)-1,0),"")</f>
        <v/>
      </c>
      <c r="S439" s="175"/>
      <c r="T439" s="175"/>
      <c r="U439" s="175"/>
      <c r="V439" s="175"/>
      <c r="W439" s="175"/>
      <c r="X439" s="175"/>
      <c r="Y439" s="175"/>
      <c r="Z439" s="175"/>
      <c r="AA439" s="175">
        <f ca="1">(F439=R439)*1</f>
        <v>1</v>
      </c>
    </row>
    <row r="440" spans="1:27" customFormat="1">
      <c r="B440" s="7"/>
      <c r="C440" s="915"/>
      <c r="D440" s="97"/>
      <c r="E440" s="72" t="s">
        <v>612</v>
      </c>
      <c r="F440" s="1447" t="str">
        <f ca="1">IFERROR(OFFSET('4.3民生部門電力以外の排出削減取組'!$J$1,MATCH($D439,'4.3民生部門電力以外の排出削減取組'!$E:$E,0)-1,0),"")</f>
        <v/>
      </c>
      <c r="G440" s="1448"/>
      <c r="H440" s="1448"/>
      <c r="I440" s="1448"/>
      <c r="J440" s="1449"/>
      <c r="K440" s="8"/>
      <c r="R440" s="255" t="str">
        <f ca="1">IFERROR(OFFSET('4.3民生部門電力以外の排出削減取組'!$J$1,MATCH($D439,'4.3民生部門電力以外の排出削減取組'!$E:$E,0)-1,0),"")</f>
        <v/>
      </c>
      <c r="S440" s="175"/>
      <c r="T440" s="175"/>
      <c r="U440" s="175"/>
      <c r="V440" s="175"/>
      <c r="W440" s="175"/>
      <c r="X440" s="175"/>
      <c r="Y440" s="175"/>
      <c r="Z440" s="175"/>
      <c r="AA440" s="175">
        <f ca="1">(F440=R440)*1</f>
        <v>1</v>
      </c>
    </row>
    <row r="441" spans="1:27" customFormat="1">
      <c r="B441" s="7"/>
      <c r="C441" s="74"/>
      <c r="D441" s="66"/>
      <c r="E441" s="72" t="s">
        <v>280</v>
      </c>
      <c r="F441" s="1470" t="str">
        <f ca="1">IFERROR(OFFSET('4.3民生部門電力以外の排出削減取組'!$H$1,MATCH($D439,'4.3民生部門電力以外の排出削減取組'!$E:$E,0)-1,0),"")</f>
        <v/>
      </c>
      <c r="G441" s="1470"/>
      <c r="H441" s="1470"/>
      <c r="I441" s="1470"/>
      <c r="J441" s="1470"/>
      <c r="K441" s="8"/>
      <c r="R441" s="175" t="str">
        <f ca="1">IFERROR(OFFSET('4.3民生部門電力以外の排出削減取組'!$H$1,MATCH($D439,'4.3民生部門電力以外の排出削減取組'!$E:$E,0)-1,0),"")</f>
        <v/>
      </c>
      <c r="S441" s="175"/>
      <c r="T441" s="175"/>
      <c r="U441" s="175"/>
      <c r="V441" s="175"/>
      <c r="W441" s="175"/>
      <c r="X441" s="175"/>
      <c r="Y441" s="175"/>
      <c r="Z441" s="175"/>
      <c r="AA441" s="175">
        <f t="shared" ref="AA441:AA442" ca="1" si="216">(F441=R441)*1</f>
        <v>1</v>
      </c>
    </row>
    <row r="442" spans="1:27" customFormat="1">
      <c r="B442" s="7"/>
      <c r="C442" s="74"/>
      <c r="D442" s="66"/>
      <c r="E442" s="72" t="s">
        <v>175</v>
      </c>
      <c r="F442" s="1451" t="str">
        <f>_xlfn.IFNA(R442,"")</f>
        <v/>
      </c>
      <c r="G442" s="1451"/>
      <c r="H442" s="1451"/>
      <c r="I442" s="1451"/>
      <c r="J442" s="1451"/>
      <c r="K442" s="8"/>
      <c r="R442" s="129" t="str">
        <f>IF(OR(COUNTIF($E444:$E449,"&lt;&gt;〇〇(合意形成対象者名に書き換え)")=3,COUNTIF($E444:$E449,"")&gt;3),"",IF(PRODUCT($Y444:$Y449)=1,Z444,""))</f>
        <v/>
      </c>
      <c r="S442" s="175"/>
      <c r="T442" s="175"/>
      <c r="U442" s="175"/>
      <c r="V442" s="175"/>
      <c r="W442" s="175"/>
      <c r="X442" s="175"/>
      <c r="Y442" s="175"/>
      <c r="Z442" s="175"/>
      <c r="AA442" s="175">
        <f t="shared" si="216"/>
        <v>1</v>
      </c>
    </row>
    <row r="443" spans="1:27" ht="63.75" customHeight="1">
      <c r="B443" s="95"/>
      <c r="C443" s="96"/>
      <c r="D443" s="97"/>
      <c r="E443" s="888"/>
      <c r="F443" s="313" t="s">
        <v>278</v>
      </c>
      <c r="G443" s="313" t="s">
        <v>268</v>
      </c>
      <c r="H443" s="1200" t="s">
        <v>437</v>
      </c>
      <c r="I443" s="1200" t="s">
        <v>439</v>
      </c>
      <c r="J443" s="313" t="s">
        <v>279</v>
      </c>
      <c r="K443" s="98"/>
      <c r="L443" s="11"/>
      <c r="R443" s="126" t="s">
        <v>278</v>
      </c>
      <c r="S443" s="126" t="s">
        <v>440</v>
      </c>
      <c r="T443" s="295" t="s">
        <v>437</v>
      </c>
      <c r="U443" s="295" t="s">
        <v>438</v>
      </c>
      <c r="V443" s="256" t="s">
        <v>270</v>
      </c>
      <c r="W443" s="126" t="s">
        <v>426</v>
      </c>
      <c r="X443" s="129" t="s">
        <v>402</v>
      </c>
      <c r="Y443" s="129" t="s">
        <v>430</v>
      </c>
      <c r="Z443" s="126" t="s">
        <v>425</v>
      </c>
      <c r="AA443" s="255"/>
    </row>
    <row r="444" spans="1:27" hidden="1">
      <c r="B444" s="95"/>
      <c r="C444" s="96"/>
      <c r="D444" s="97"/>
      <c r="E444" s="889"/>
      <c r="F444" s="439"/>
      <c r="G444" s="439"/>
      <c r="H444" s="1201"/>
      <c r="I444" s="1201"/>
      <c r="J444" s="439"/>
      <c r="K444" s="98"/>
      <c r="L444" s="11"/>
      <c r="R444" s="129">
        <f t="shared" ref="R444:R449" si="217">IF(F444="実施済",1,0)</f>
        <v>0</v>
      </c>
      <c r="S444" s="129">
        <f t="shared" ref="S444:S449" si="218">IF(G444="実施済",R444*1,0)</f>
        <v>0</v>
      </c>
      <c r="T444" s="129">
        <f t="shared" ref="T444:T449" si="219">IF(H444="実施済",S444*1,0)</f>
        <v>0</v>
      </c>
      <c r="U444" s="129">
        <f t="shared" ref="U444:U449" si="220">IF(I444="実施済",T444*1,0)</f>
        <v>0</v>
      </c>
      <c r="V444" s="258"/>
      <c r="W444" s="129" t="str">
        <f>IF(OR(E444="〇〇(合意形成対象者名に書き換え)",E444=""),"",SUM(S444,T444,U444))</f>
        <v/>
      </c>
      <c r="X444" s="129">
        <f t="shared" ref="X444:X449" si="221">MIN($W$444:$W$449)+1</f>
        <v>1</v>
      </c>
      <c r="Y444" s="129">
        <f>IF(E444="",1,IF(AND(E444="〇〇(合意形成対象者名に書き換え)",COUNTA($F444:$J444)=0),1,IF(AND(E444&lt;&gt;"〇〇(合意形成対象者名に書き換え)",COUNTA($F444:$J444)=5),1,0)))</f>
        <v>1</v>
      </c>
      <c r="Z444" s="129" t="str" cm="1">
        <f t="array" ref="Z444">_xlfn.IFS(X444=4,"A",X444=3,"B",X444=2,"C",X444=1,"D")</f>
        <v>D</v>
      </c>
      <c r="AA444" s="255"/>
    </row>
    <row r="445" spans="1:27">
      <c r="B445" s="95"/>
      <c r="C445" s="96"/>
      <c r="D445" s="97"/>
      <c r="E445" s="890" t="s">
        <v>129</v>
      </c>
      <c r="F445" s="445"/>
      <c r="G445" s="445"/>
      <c r="H445" s="1202"/>
      <c r="I445" s="1202"/>
      <c r="J445" s="445"/>
      <c r="K445" s="98"/>
      <c r="L445" s="11"/>
      <c r="R445" s="129">
        <f t="shared" si="217"/>
        <v>0</v>
      </c>
      <c r="S445" s="129">
        <f t="shared" si="218"/>
        <v>0</v>
      </c>
      <c r="T445" s="129">
        <f t="shared" si="219"/>
        <v>0</v>
      </c>
      <c r="U445" s="129">
        <f t="shared" si="220"/>
        <v>0</v>
      </c>
      <c r="V445" s="258"/>
      <c r="W445" s="129" t="str">
        <f t="shared" ref="W445:W449" si="222">IF(OR(E445="〇〇(合意形成対象者名に書き換え)",E445=""),"",SUM(S445,T445,U445))</f>
        <v/>
      </c>
      <c r="X445" s="129">
        <f t="shared" si="221"/>
        <v>1</v>
      </c>
      <c r="Y445" s="129">
        <f t="shared" ref="Y445:Y449" si="223">IF(E445="",1,IF(AND(E445="〇〇(合意形成対象者名に書き換え)",COUNTA($F445:$J445)=0),1,IF(AND(E445&lt;&gt;"〇〇(合意形成対象者名に書き換え)",COUNTA($F445:$J445)=5),1,0)))</f>
        <v>1</v>
      </c>
      <c r="Z445" s="129" t="str" cm="1">
        <f t="array" ref="Z445">_xlfn.IFS(X445=4,"A",X445=3,"B",X445=2,"C",X445=1,"D")</f>
        <v>D</v>
      </c>
      <c r="AA445" s="255"/>
    </row>
    <row r="446" spans="1:27">
      <c r="B446" s="95"/>
      <c r="C446" s="96"/>
      <c r="D446" s="97"/>
      <c r="E446" s="890" t="s">
        <v>129</v>
      </c>
      <c r="F446" s="441"/>
      <c r="G446" s="441"/>
      <c r="H446" s="1203"/>
      <c r="I446" s="1203"/>
      <c r="J446" s="441"/>
      <c r="K446" s="98"/>
      <c r="L446" s="11"/>
      <c r="R446" s="129">
        <f t="shared" si="217"/>
        <v>0</v>
      </c>
      <c r="S446" s="129">
        <f t="shared" si="218"/>
        <v>0</v>
      </c>
      <c r="T446" s="129">
        <f t="shared" si="219"/>
        <v>0</v>
      </c>
      <c r="U446" s="129">
        <f t="shared" si="220"/>
        <v>0</v>
      </c>
      <c r="V446" s="258"/>
      <c r="W446" s="129" t="str">
        <f t="shared" si="222"/>
        <v/>
      </c>
      <c r="X446" s="129">
        <f t="shared" si="221"/>
        <v>1</v>
      </c>
      <c r="Y446" s="129">
        <f t="shared" si="223"/>
        <v>1</v>
      </c>
      <c r="Z446" s="129" t="str" cm="1">
        <f t="array" ref="Z446">_xlfn.IFS(X446=4,"A",X446=3,"B",X446=2,"C",X446=1,"D")</f>
        <v>D</v>
      </c>
      <c r="AA446" s="255"/>
    </row>
    <row r="447" spans="1:27" s="99" customFormat="1">
      <c r="A447" s="11"/>
      <c r="B447" s="95"/>
      <c r="C447" s="96"/>
      <c r="D447" s="97"/>
      <c r="E447" s="890" t="s">
        <v>129</v>
      </c>
      <c r="F447" s="441"/>
      <c r="G447" s="441"/>
      <c r="H447" s="1203"/>
      <c r="I447" s="1203"/>
      <c r="J447" s="441"/>
      <c r="K447" s="98"/>
      <c r="L447" s="11"/>
      <c r="O447" s="11"/>
      <c r="P447" s="11"/>
      <c r="Q447" s="11"/>
      <c r="R447" s="129">
        <f t="shared" si="217"/>
        <v>0</v>
      </c>
      <c r="S447" s="129">
        <f t="shared" si="218"/>
        <v>0</v>
      </c>
      <c r="T447" s="129">
        <f t="shared" si="219"/>
        <v>0</v>
      </c>
      <c r="U447" s="129">
        <f t="shared" si="220"/>
        <v>0</v>
      </c>
      <c r="V447" s="258"/>
      <c r="W447" s="129" t="str">
        <f t="shared" si="222"/>
        <v/>
      </c>
      <c r="X447" s="129">
        <f t="shared" si="221"/>
        <v>1</v>
      </c>
      <c r="Y447" s="129">
        <f t="shared" si="223"/>
        <v>1</v>
      </c>
      <c r="Z447" s="129" t="str" cm="1">
        <f t="array" ref="Z447">_xlfn.IFS(X447=4,"A",X447=3,"B",X447=2,"C",X447=1,"D")</f>
        <v>D</v>
      </c>
      <c r="AA447" s="129"/>
    </row>
    <row r="448" spans="1:27" customFormat="1" ht="7.5" customHeight="1">
      <c r="B448" s="65"/>
      <c r="C448" s="4"/>
      <c r="D448" s="4"/>
      <c r="E448" s="288"/>
      <c r="F448" s="4"/>
      <c r="G448" s="4"/>
      <c r="H448" s="1204"/>
      <c r="I448" s="1204"/>
      <c r="J448" s="4"/>
      <c r="K448" s="9"/>
      <c r="L448" s="2"/>
      <c r="M448" s="2"/>
      <c r="N448" s="2"/>
      <c r="R448" s="129">
        <f t="shared" si="217"/>
        <v>0</v>
      </c>
      <c r="S448" s="129">
        <f t="shared" si="218"/>
        <v>0</v>
      </c>
      <c r="T448" s="129">
        <f t="shared" si="219"/>
        <v>0</v>
      </c>
      <c r="U448" s="129">
        <f t="shared" si="220"/>
        <v>0</v>
      </c>
      <c r="V448" s="258"/>
      <c r="W448" s="129" t="str">
        <f t="shared" si="222"/>
        <v/>
      </c>
      <c r="X448" s="129">
        <f t="shared" si="221"/>
        <v>1</v>
      </c>
      <c r="Y448" s="129">
        <f t="shared" si="223"/>
        <v>1</v>
      </c>
      <c r="Z448" s="129" t="str" cm="1">
        <f t="array" ref="Z448">_xlfn.IFS(X448=4,"A",X448=3,"B",X448=2,"C",X448=1,"D")</f>
        <v>D</v>
      </c>
      <c r="AA448" s="175"/>
    </row>
    <row r="449" spans="1:27" customFormat="1" ht="6" customHeight="1">
      <c r="E449" s="3"/>
      <c r="H449" s="1198"/>
      <c r="I449" s="1198"/>
      <c r="L449" s="2"/>
      <c r="M449" s="2"/>
      <c r="N449" s="2"/>
      <c r="R449" s="129">
        <f t="shared" si="217"/>
        <v>0</v>
      </c>
      <c r="S449" s="129">
        <f t="shared" si="218"/>
        <v>0</v>
      </c>
      <c r="T449" s="129">
        <f t="shared" si="219"/>
        <v>0</v>
      </c>
      <c r="U449" s="129">
        <f t="shared" si="220"/>
        <v>0</v>
      </c>
      <c r="V449" s="258"/>
      <c r="W449" s="129" t="str">
        <f t="shared" si="222"/>
        <v/>
      </c>
      <c r="X449" s="129">
        <f t="shared" si="221"/>
        <v>1</v>
      </c>
      <c r="Y449" s="129">
        <f t="shared" si="223"/>
        <v>1</v>
      </c>
      <c r="Z449" s="129" t="str" cm="1">
        <f t="array" ref="Z449">_xlfn.IFS(X449=4,"A",X449=3,"B",X449=2,"C",X449=1,"D")</f>
        <v>D</v>
      </c>
      <c r="AA449" s="175"/>
    </row>
    <row r="450" spans="1:27" customFormat="1" ht="103.5" customHeight="1">
      <c r="C450" s="78"/>
      <c r="D450" s="79"/>
      <c r="E450" s="71" t="s">
        <v>236</v>
      </c>
      <c r="F450" s="1452"/>
      <c r="G450" s="1452"/>
      <c r="H450" s="1452"/>
      <c r="I450" s="1452"/>
      <c r="J450" s="1452"/>
      <c r="K450" s="80" t="s">
        <v>132</v>
      </c>
      <c r="L450" s="80"/>
    </row>
    <row r="451" spans="1:27" customFormat="1" ht="146.25" customHeight="1">
      <c r="C451" s="75"/>
      <c r="D451" s="68"/>
      <c r="E451" s="71" t="s">
        <v>235</v>
      </c>
      <c r="F451" s="1452"/>
      <c r="G451" s="1452"/>
      <c r="H451" s="1452"/>
      <c r="I451" s="1452"/>
      <c r="J451" s="1452"/>
      <c r="L451" s="2"/>
      <c r="M451" s="2"/>
      <c r="N451" s="2"/>
    </row>
    <row r="452" spans="1:27" customFormat="1" ht="13.5" customHeight="1" thickBot="1">
      <c r="A452" s="81"/>
      <c r="B452" s="81"/>
      <c r="C452" s="81"/>
      <c r="D452" s="81"/>
      <c r="E452" s="311"/>
      <c r="F452" s="81"/>
      <c r="G452" s="81"/>
      <c r="H452" s="1205"/>
      <c r="I452" s="1205"/>
      <c r="J452" s="81"/>
      <c r="K452" s="81"/>
      <c r="L452" s="82"/>
      <c r="M452" s="2"/>
      <c r="N452" s="2"/>
    </row>
    <row r="453" spans="1:27" customFormat="1" ht="13.5" customHeight="1">
      <c r="E453" s="3"/>
      <c r="H453" s="1198"/>
      <c r="I453" s="1198"/>
      <c r="L453" s="2"/>
      <c r="M453" s="2"/>
      <c r="N453" s="2"/>
    </row>
    <row r="454" spans="1:27" customFormat="1" ht="15" customHeight="1">
      <c r="B454" s="10"/>
      <c r="C454" s="5"/>
      <c r="D454" s="5"/>
      <c r="E454" s="305"/>
      <c r="F454" s="5"/>
      <c r="G454" s="5"/>
      <c r="H454" s="1199"/>
      <c r="I454" s="1199"/>
      <c r="J454" s="5"/>
      <c r="K454" s="6"/>
      <c r="R454" s="11" t="str">
        <f>D455</f>
        <v>(選択してください)</v>
      </c>
    </row>
    <row r="455" spans="1:27" customFormat="1">
      <c r="B455" s="7"/>
      <c r="C455" s="77" t="str">
        <f ca="1">IFERROR(OFFSET('4.3民生部門電力以外の排出削減取組'!$C$1,MATCH(D455,'4.3民生部門電力以外の排出削減取組'!$E:$E,0)-1,0),"")</f>
        <v/>
      </c>
      <c r="D455" s="94" t="s">
        <v>130</v>
      </c>
      <c r="E455" s="72" t="s">
        <v>12</v>
      </c>
      <c r="F455" s="1451" t="str">
        <f ca="1">IFERROR(OFFSET('4.3民生部門電力以外の排出削減取組'!$G$1,MATCH($D455,'4.3民生部門電力以外の排出削減取組'!$E:$E,0)-1,0),"")</f>
        <v/>
      </c>
      <c r="G455" s="1451"/>
      <c r="H455" s="1451"/>
      <c r="I455" s="1451"/>
      <c r="J455" s="1451"/>
      <c r="K455" s="8"/>
      <c r="R455" s="255" t="str">
        <f ca="1">IFERROR(OFFSET('4.3民生部門電力以外の排出削減取組'!$G$1,MATCH($D455,'4.3民生部門電力以外の排出削減取組'!$E:$E,0)-1,0),"")</f>
        <v/>
      </c>
      <c r="S455" s="175"/>
      <c r="T455" s="175"/>
      <c r="U455" s="175"/>
      <c r="V455" s="175"/>
      <c r="W455" s="175"/>
      <c r="X455" s="175"/>
      <c r="Y455" s="175"/>
      <c r="Z455" s="175"/>
      <c r="AA455" s="175">
        <f ca="1">(F455=R455)*1</f>
        <v>1</v>
      </c>
    </row>
    <row r="456" spans="1:27" customFormat="1">
      <c r="B456" s="7"/>
      <c r="C456" s="915"/>
      <c r="D456" s="97"/>
      <c r="E456" s="72" t="s">
        <v>612</v>
      </c>
      <c r="F456" s="1447" t="str">
        <f ca="1">IFERROR(OFFSET('4.3民生部門電力以外の排出削減取組'!$J$1,MATCH($D455,'4.3民生部門電力以外の排出削減取組'!$E:$E,0)-1,0),"")</f>
        <v/>
      </c>
      <c r="G456" s="1448"/>
      <c r="H456" s="1448"/>
      <c r="I456" s="1448"/>
      <c r="J456" s="1449"/>
      <c r="K456" s="8"/>
      <c r="R456" s="255" t="str">
        <f ca="1">IFERROR(OFFSET('4.3民生部門電力以外の排出削減取組'!$J$1,MATCH($D455,'4.3民生部門電力以外の排出削減取組'!$E:$E,0)-1,0),"")</f>
        <v/>
      </c>
      <c r="S456" s="175"/>
      <c r="T456" s="175"/>
      <c r="U456" s="175"/>
      <c r="V456" s="175"/>
      <c r="W456" s="175"/>
      <c r="X456" s="175"/>
      <c r="Y456" s="175"/>
      <c r="Z456" s="175"/>
      <c r="AA456" s="175">
        <f ca="1">(F456=R456)*1</f>
        <v>1</v>
      </c>
    </row>
    <row r="457" spans="1:27" customFormat="1">
      <c r="B457" s="7"/>
      <c r="C457" s="74"/>
      <c r="D457" s="66"/>
      <c r="E457" s="72" t="s">
        <v>280</v>
      </c>
      <c r="F457" s="1470" t="str">
        <f ca="1">IFERROR(OFFSET('4.3民生部門電力以外の排出削減取組'!$H$1,MATCH($D455,'4.3民生部門電力以外の排出削減取組'!$E:$E,0)-1,0),"")</f>
        <v/>
      </c>
      <c r="G457" s="1470"/>
      <c r="H457" s="1470"/>
      <c r="I457" s="1470"/>
      <c r="J457" s="1470"/>
      <c r="K457" s="8"/>
      <c r="R457" s="175" t="str">
        <f ca="1">IFERROR(OFFSET('4.3民生部門電力以外の排出削減取組'!$H$1,MATCH($D455,'4.3民生部門電力以外の排出削減取組'!$E:$E,0)-1,0),"")</f>
        <v/>
      </c>
      <c r="S457" s="175"/>
      <c r="T457" s="175"/>
      <c r="U457" s="175"/>
      <c r="V457" s="175"/>
      <c r="W457" s="175"/>
      <c r="X457" s="175"/>
      <c r="Y457" s="175"/>
      <c r="Z457" s="175"/>
      <c r="AA457" s="175">
        <f t="shared" ref="AA457:AA458" ca="1" si="224">(F457=R457)*1</f>
        <v>1</v>
      </c>
    </row>
    <row r="458" spans="1:27" customFormat="1">
      <c r="B458" s="7"/>
      <c r="C458" s="74"/>
      <c r="D458" s="66"/>
      <c r="E458" s="72" t="s">
        <v>175</v>
      </c>
      <c r="F458" s="1451" t="str">
        <f>_xlfn.IFNA(R458,"")</f>
        <v/>
      </c>
      <c r="G458" s="1451"/>
      <c r="H458" s="1451"/>
      <c r="I458" s="1451"/>
      <c r="J458" s="1451"/>
      <c r="K458" s="8"/>
      <c r="R458" s="129" t="str">
        <f>IF(OR(COUNTIF($E460:$E465,"&lt;&gt;〇〇(合意形成対象者名に書き換え)")=3,COUNTIF($E460:$E465,"")&gt;3),"",IF(PRODUCT($Y460:$Y465)=1,Z460,""))</f>
        <v/>
      </c>
      <c r="S458" s="175"/>
      <c r="T458" s="175"/>
      <c r="U458" s="175"/>
      <c r="V458" s="175"/>
      <c r="W458" s="175"/>
      <c r="X458" s="175"/>
      <c r="Y458" s="175"/>
      <c r="Z458" s="175"/>
      <c r="AA458" s="175">
        <f t="shared" si="224"/>
        <v>1</v>
      </c>
    </row>
    <row r="459" spans="1:27" ht="63.75" customHeight="1">
      <c r="B459" s="95"/>
      <c r="C459" s="96"/>
      <c r="D459" s="97"/>
      <c r="E459" s="888"/>
      <c r="F459" s="313" t="s">
        <v>278</v>
      </c>
      <c r="G459" s="313" t="s">
        <v>268</v>
      </c>
      <c r="H459" s="1200" t="s">
        <v>437</v>
      </c>
      <c r="I459" s="1200" t="s">
        <v>439</v>
      </c>
      <c r="J459" s="313" t="s">
        <v>279</v>
      </c>
      <c r="K459" s="98"/>
      <c r="L459" s="11"/>
      <c r="R459" s="126" t="s">
        <v>278</v>
      </c>
      <c r="S459" s="126" t="s">
        <v>440</v>
      </c>
      <c r="T459" s="295" t="s">
        <v>437</v>
      </c>
      <c r="U459" s="295" t="s">
        <v>438</v>
      </c>
      <c r="V459" s="256" t="s">
        <v>270</v>
      </c>
      <c r="W459" s="126" t="s">
        <v>426</v>
      </c>
      <c r="X459" s="129" t="s">
        <v>402</v>
      </c>
      <c r="Y459" s="129" t="s">
        <v>430</v>
      </c>
      <c r="Z459" s="126" t="s">
        <v>425</v>
      </c>
      <c r="AA459" s="255"/>
    </row>
    <row r="460" spans="1:27" hidden="1">
      <c r="B460" s="95"/>
      <c r="C460" s="96"/>
      <c r="D460" s="97"/>
      <c r="E460" s="889"/>
      <c r="F460" s="439"/>
      <c r="G460" s="439"/>
      <c r="H460" s="1201"/>
      <c r="I460" s="1201"/>
      <c r="J460" s="439"/>
      <c r="K460" s="98"/>
      <c r="L460" s="11"/>
      <c r="R460" s="129">
        <f t="shared" ref="R460:R465" si="225">IF(F460="実施済",1,0)</f>
        <v>0</v>
      </c>
      <c r="S460" s="129">
        <f t="shared" ref="S460:S465" si="226">IF(G460="実施済",R460*1,0)</f>
        <v>0</v>
      </c>
      <c r="T460" s="129">
        <f t="shared" ref="T460:T465" si="227">IF(H460="実施済",S460*1,0)</f>
        <v>0</v>
      </c>
      <c r="U460" s="129">
        <f t="shared" ref="U460:U465" si="228">IF(I460="実施済",T460*1,0)</f>
        <v>0</v>
      </c>
      <c r="V460" s="258"/>
      <c r="W460" s="129" t="str">
        <f>IF(OR(E460="〇〇(合意形成対象者名に書き換え)",E460=""),"",SUM(S460,T460,U460))</f>
        <v/>
      </c>
      <c r="X460" s="129">
        <f t="shared" ref="X460:X465" si="229">MIN($W$460:$W$465)+1</f>
        <v>1</v>
      </c>
      <c r="Y460" s="129">
        <f>IF(E460="",1,IF(AND(E460="〇〇(合意形成対象者名に書き換え)",COUNTA($F460:$J460)=0),1,IF(AND(E460&lt;&gt;"〇〇(合意形成対象者名に書き換え)",COUNTA($F460:$J460)=5),1,0)))</f>
        <v>1</v>
      </c>
      <c r="Z460" s="129" t="str" cm="1">
        <f t="array" ref="Z460">_xlfn.IFS(X460=4,"A",X460=3,"B",X460=2,"C",X460=1,"D")</f>
        <v>D</v>
      </c>
      <c r="AA460" s="255"/>
    </row>
    <row r="461" spans="1:27">
      <c r="B461" s="95"/>
      <c r="C461" s="96"/>
      <c r="D461" s="97"/>
      <c r="E461" s="890" t="s">
        <v>129</v>
      </c>
      <c r="F461" s="445"/>
      <c r="G461" s="445"/>
      <c r="H461" s="1202"/>
      <c r="I461" s="1202"/>
      <c r="J461" s="445"/>
      <c r="K461" s="98"/>
      <c r="L461" s="11"/>
      <c r="R461" s="129">
        <f t="shared" si="225"/>
        <v>0</v>
      </c>
      <c r="S461" s="129">
        <f t="shared" si="226"/>
        <v>0</v>
      </c>
      <c r="T461" s="129">
        <f t="shared" si="227"/>
        <v>0</v>
      </c>
      <c r="U461" s="129">
        <f t="shared" si="228"/>
        <v>0</v>
      </c>
      <c r="V461" s="258"/>
      <c r="W461" s="129" t="str">
        <f t="shared" ref="W461:W465" si="230">IF(OR(E461="〇〇(合意形成対象者名に書き換え)",E461=""),"",SUM(S461,T461,U461))</f>
        <v/>
      </c>
      <c r="X461" s="129">
        <f t="shared" si="229"/>
        <v>1</v>
      </c>
      <c r="Y461" s="129">
        <f t="shared" ref="Y461:Y465" si="231">IF(E461="",1,IF(AND(E461="〇〇(合意形成対象者名に書き換え)",COUNTA($F461:$J461)=0),1,IF(AND(E461&lt;&gt;"〇〇(合意形成対象者名に書き換え)",COUNTA($F461:$J461)=5),1,0)))</f>
        <v>1</v>
      </c>
      <c r="Z461" s="129" t="str" cm="1">
        <f t="array" ref="Z461">_xlfn.IFS(X461=4,"A",X461=3,"B",X461=2,"C",X461=1,"D")</f>
        <v>D</v>
      </c>
      <c r="AA461" s="255"/>
    </row>
    <row r="462" spans="1:27">
      <c r="B462" s="95"/>
      <c r="C462" s="96"/>
      <c r="D462" s="97"/>
      <c r="E462" s="890" t="s">
        <v>129</v>
      </c>
      <c r="F462" s="441"/>
      <c r="G462" s="441"/>
      <c r="H462" s="1203"/>
      <c r="I462" s="1203"/>
      <c r="J462" s="441"/>
      <c r="K462" s="98"/>
      <c r="L462" s="11"/>
      <c r="R462" s="129">
        <f t="shared" si="225"/>
        <v>0</v>
      </c>
      <c r="S462" s="129">
        <f t="shared" si="226"/>
        <v>0</v>
      </c>
      <c r="T462" s="129">
        <f t="shared" si="227"/>
        <v>0</v>
      </c>
      <c r="U462" s="129">
        <f t="shared" si="228"/>
        <v>0</v>
      </c>
      <c r="V462" s="258"/>
      <c r="W462" s="129" t="str">
        <f t="shared" si="230"/>
        <v/>
      </c>
      <c r="X462" s="129">
        <f t="shared" si="229"/>
        <v>1</v>
      </c>
      <c r="Y462" s="129">
        <f t="shared" si="231"/>
        <v>1</v>
      </c>
      <c r="Z462" s="129" t="str" cm="1">
        <f t="array" ref="Z462">_xlfn.IFS(X462=4,"A",X462=3,"B",X462=2,"C",X462=1,"D")</f>
        <v>D</v>
      </c>
      <c r="AA462" s="255"/>
    </row>
    <row r="463" spans="1:27" s="99" customFormat="1">
      <c r="A463" s="11"/>
      <c r="B463" s="95"/>
      <c r="C463" s="96"/>
      <c r="D463" s="97"/>
      <c r="E463" s="890" t="s">
        <v>129</v>
      </c>
      <c r="F463" s="441"/>
      <c r="G463" s="441"/>
      <c r="H463" s="1203"/>
      <c r="I463" s="1203"/>
      <c r="J463" s="441"/>
      <c r="K463" s="98"/>
      <c r="L463" s="11"/>
      <c r="O463" s="11"/>
      <c r="P463" s="11"/>
      <c r="Q463" s="11"/>
      <c r="R463" s="129">
        <f t="shared" si="225"/>
        <v>0</v>
      </c>
      <c r="S463" s="129">
        <f t="shared" si="226"/>
        <v>0</v>
      </c>
      <c r="T463" s="129">
        <f t="shared" si="227"/>
        <v>0</v>
      </c>
      <c r="U463" s="129">
        <f t="shared" si="228"/>
        <v>0</v>
      </c>
      <c r="V463" s="258"/>
      <c r="W463" s="129" t="str">
        <f t="shared" si="230"/>
        <v/>
      </c>
      <c r="X463" s="129">
        <f t="shared" si="229"/>
        <v>1</v>
      </c>
      <c r="Y463" s="129">
        <f t="shared" si="231"/>
        <v>1</v>
      </c>
      <c r="Z463" s="129" t="str" cm="1">
        <f t="array" ref="Z463">_xlfn.IFS(X463=4,"A",X463=3,"B",X463=2,"C",X463=1,"D")</f>
        <v>D</v>
      </c>
      <c r="AA463" s="129"/>
    </row>
    <row r="464" spans="1:27" customFormat="1" ht="7.5" customHeight="1">
      <c r="B464" s="65"/>
      <c r="C464" s="4"/>
      <c r="D464" s="4"/>
      <c r="E464" s="288"/>
      <c r="F464" s="4"/>
      <c r="G464" s="4"/>
      <c r="H464" s="1204"/>
      <c r="I464" s="1204"/>
      <c r="J464" s="4"/>
      <c r="K464" s="9"/>
      <c r="L464" s="2"/>
      <c r="M464" s="2"/>
      <c r="N464" s="2"/>
      <c r="R464" s="129">
        <f t="shared" si="225"/>
        <v>0</v>
      </c>
      <c r="S464" s="129">
        <f t="shared" si="226"/>
        <v>0</v>
      </c>
      <c r="T464" s="129">
        <f t="shared" si="227"/>
        <v>0</v>
      </c>
      <c r="U464" s="129">
        <f t="shared" si="228"/>
        <v>0</v>
      </c>
      <c r="V464" s="258"/>
      <c r="W464" s="129" t="str">
        <f t="shared" si="230"/>
        <v/>
      </c>
      <c r="X464" s="129">
        <f t="shared" si="229"/>
        <v>1</v>
      </c>
      <c r="Y464" s="129">
        <f t="shared" si="231"/>
        <v>1</v>
      </c>
      <c r="Z464" s="129" t="str" cm="1">
        <f t="array" ref="Z464">_xlfn.IFS(X464=4,"A",X464=3,"B",X464=2,"C",X464=1,"D")</f>
        <v>D</v>
      </c>
      <c r="AA464" s="175"/>
    </row>
    <row r="465" spans="1:27" customFormat="1" ht="6" customHeight="1">
      <c r="E465" s="3"/>
      <c r="H465" s="1198"/>
      <c r="I465" s="1198"/>
      <c r="L465" s="2"/>
      <c r="M465" s="2"/>
      <c r="N465" s="2"/>
      <c r="R465" s="129">
        <f t="shared" si="225"/>
        <v>0</v>
      </c>
      <c r="S465" s="129">
        <f t="shared" si="226"/>
        <v>0</v>
      </c>
      <c r="T465" s="129">
        <f t="shared" si="227"/>
        <v>0</v>
      </c>
      <c r="U465" s="129">
        <f t="shared" si="228"/>
        <v>0</v>
      </c>
      <c r="V465" s="258"/>
      <c r="W465" s="129" t="str">
        <f t="shared" si="230"/>
        <v/>
      </c>
      <c r="X465" s="129">
        <f t="shared" si="229"/>
        <v>1</v>
      </c>
      <c r="Y465" s="129">
        <f t="shared" si="231"/>
        <v>1</v>
      </c>
      <c r="Z465" s="129" t="str" cm="1">
        <f t="array" ref="Z465">_xlfn.IFS(X465=4,"A",X465=3,"B",X465=2,"C",X465=1,"D")</f>
        <v>D</v>
      </c>
      <c r="AA465" s="175"/>
    </row>
    <row r="466" spans="1:27" customFormat="1" ht="103.5" customHeight="1">
      <c r="C466" s="78"/>
      <c r="D466" s="79"/>
      <c r="E466" s="71" t="s">
        <v>236</v>
      </c>
      <c r="F466" s="1452"/>
      <c r="G466" s="1452"/>
      <c r="H466" s="1452"/>
      <c r="I466" s="1452"/>
      <c r="J466" s="1452"/>
      <c r="K466" s="80" t="s">
        <v>132</v>
      </c>
      <c r="L466" s="80"/>
    </row>
    <row r="467" spans="1:27" customFormat="1" ht="146.25" customHeight="1">
      <c r="C467" s="75"/>
      <c r="D467" s="68"/>
      <c r="E467" s="71" t="s">
        <v>235</v>
      </c>
      <c r="F467" s="1452"/>
      <c r="G467" s="1452"/>
      <c r="H467" s="1452"/>
      <c r="I467" s="1452"/>
      <c r="J467" s="1452"/>
      <c r="L467" s="2"/>
      <c r="M467" s="2"/>
      <c r="N467" s="2"/>
    </row>
    <row r="468" spans="1:27" customFormat="1" ht="13.5" customHeight="1" thickBot="1">
      <c r="A468" s="81"/>
      <c r="B468" s="81"/>
      <c r="C468" s="81"/>
      <c r="D468" s="81"/>
      <c r="E468" s="311"/>
      <c r="F468" s="81"/>
      <c r="G468" s="81"/>
      <c r="H468" s="1205"/>
      <c r="I468" s="1205"/>
      <c r="J468" s="81"/>
      <c r="K468" s="81"/>
      <c r="L468" s="82"/>
      <c r="M468" s="2"/>
      <c r="N468" s="2"/>
    </row>
    <row r="469" spans="1:27" customFormat="1" ht="13.5" customHeight="1">
      <c r="E469" s="3"/>
      <c r="H469" s="1198"/>
      <c r="I469" s="1198"/>
      <c r="L469" s="2"/>
      <c r="M469" s="2"/>
      <c r="N469" s="2"/>
    </row>
    <row r="470" spans="1:27" customFormat="1" ht="15" customHeight="1">
      <c r="B470" s="10"/>
      <c r="C470" s="5"/>
      <c r="D470" s="5"/>
      <c r="E470" s="305"/>
      <c r="F470" s="5"/>
      <c r="G470" s="5"/>
      <c r="H470" s="1199"/>
      <c r="I470" s="1199"/>
      <c r="J470" s="5"/>
      <c r="K470" s="6"/>
      <c r="R470" s="11" t="str">
        <f>D471</f>
        <v>(選択してください)</v>
      </c>
    </row>
    <row r="471" spans="1:27" customFormat="1">
      <c r="B471" s="7"/>
      <c r="C471" s="77" t="str">
        <f ca="1">IFERROR(OFFSET('4.3民生部門電力以外の排出削減取組'!$C$1,MATCH(D471,'4.3民生部門電力以外の排出削減取組'!$E:$E,0)-1,0),"")</f>
        <v/>
      </c>
      <c r="D471" s="94" t="s">
        <v>130</v>
      </c>
      <c r="E471" s="72" t="s">
        <v>12</v>
      </c>
      <c r="F471" s="1451" t="str">
        <f ca="1">IFERROR(OFFSET('4.3民生部門電力以外の排出削減取組'!$G$1,MATCH($D471,'4.3民生部門電力以外の排出削減取組'!$E:$E,0)-1,0),"")</f>
        <v/>
      </c>
      <c r="G471" s="1451"/>
      <c r="H471" s="1451"/>
      <c r="I471" s="1451"/>
      <c r="J471" s="1451"/>
      <c r="K471" s="8"/>
      <c r="R471" s="255" t="str">
        <f ca="1">IFERROR(OFFSET('4.3民生部門電力以外の排出削減取組'!$G$1,MATCH($D471,'4.3民生部門電力以外の排出削減取組'!$E:$E,0)-1,0),"")</f>
        <v/>
      </c>
      <c r="S471" s="175"/>
      <c r="T471" s="175"/>
      <c r="U471" s="175"/>
      <c r="V471" s="175"/>
      <c r="W471" s="175"/>
      <c r="X471" s="175"/>
      <c r="Y471" s="175"/>
      <c r="Z471" s="175"/>
      <c r="AA471" s="175">
        <f ca="1">(F471=R471)*1</f>
        <v>1</v>
      </c>
    </row>
    <row r="472" spans="1:27" customFormat="1">
      <c r="B472" s="7"/>
      <c r="C472" s="915"/>
      <c r="D472" s="97"/>
      <c r="E472" s="72" t="s">
        <v>612</v>
      </c>
      <c r="F472" s="1447" t="str">
        <f ca="1">IFERROR(OFFSET('4.3民生部門電力以外の排出削減取組'!$J$1,MATCH($D471,'4.3民生部門電力以外の排出削減取組'!$E:$E,0)-1,0),"")</f>
        <v/>
      </c>
      <c r="G472" s="1448"/>
      <c r="H472" s="1448"/>
      <c r="I472" s="1448"/>
      <c r="J472" s="1449"/>
      <c r="K472" s="8"/>
      <c r="R472" s="255" t="str">
        <f ca="1">IFERROR(OFFSET('4.3民生部門電力以外の排出削減取組'!$J$1,MATCH($D471,'4.3民生部門電力以外の排出削減取組'!$E:$E,0)-1,0),"")</f>
        <v/>
      </c>
      <c r="S472" s="175"/>
      <c r="T472" s="175"/>
      <c r="U472" s="175"/>
      <c r="V472" s="175"/>
      <c r="W472" s="175"/>
      <c r="X472" s="175"/>
      <c r="Y472" s="175"/>
      <c r="Z472" s="175"/>
      <c r="AA472" s="175">
        <f ca="1">(F472=R472)*1</f>
        <v>1</v>
      </c>
    </row>
    <row r="473" spans="1:27" customFormat="1">
      <c r="B473" s="7"/>
      <c r="C473" s="74"/>
      <c r="D473" s="66"/>
      <c r="E473" s="72" t="s">
        <v>280</v>
      </c>
      <c r="F473" s="1470" t="str">
        <f ca="1">IFERROR(OFFSET('4.3民生部門電力以外の排出削減取組'!$H$1,MATCH($D471,'4.3民生部門電力以外の排出削減取組'!$E:$E,0)-1,0),"")</f>
        <v/>
      </c>
      <c r="G473" s="1470"/>
      <c r="H473" s="1470"/>
      <c r="I473" s="1470"/>
      <c r="J473" s="1470"/>
      <c r="K473" s="8"/>
      <c r="R473" s="175" t="str">
        <f ca="1">IFERROR(OFFSET('4.3民生部門電力以外の排出削減取組'!$H$1,MATCH($D471,'4.3民生部門電力以外の排出削減取組'!$E:$E,0)-1,0),"")</f>
        <v/>
      </c>
      <c r="S473" s="175"/>
      <c r="T473" s="175"/>
      <c r="U473" s="175"/>
      <c r="V473" s="175"/>
      <c r="W473" s="175"/>
      <c r="X473" s="175"/>
      <c r="Y473" s="175"/>
      <c r="Z473" s="175"/>
      <c r="AA473" s="175">
        <f t="shared" ref="AA473:AA474" ca="1" si="232">(F473=R473)*1</f>
        <v>1</v>
      </c>
    </row>
    <row r="474" spans="1:27" customFormat="1">
      <c r="B474" s="7"/>
      <c r="C474" s="74"/>
      <c r="D474" s="66"/>
      <c r="E474" s="72" t="s">
        <v>175</v>
      </c>
      <c r="F474" s="1451" t="str">
        <f>_xlfn.IFNA(R474,"")</f>
        <v/>
      </c>
      <c r="G474" s="1451"/>
      <c r="H474" s="1451"/>
      <c r="I474" s="1451"/>
      <c r="J474" s="1451"/>
      <c r="K474" s="8"/>
      <c r="R474" s="129" t="str">
        <f>IF(OR(COUNTIF($E476:$E481,"&lt;&gt;〇〇(合意形成対象者名に書き換え)")=3,COUNTIF($E476:$E481,"")&gt;3),"",IF(PRODUCT($Y476:$Y481)=1,Z476,""))</f>
        <v/>
      </c>
      <c r="S474" s="175"/>
      <c r="T474" s="175"/>
      <c r="U474" s="175"/>
      <c r="V474" s="175"/>
      <c r="W474" s="175"/>
      <c r="X474" s="175"/>
      <c r="Y474" s="175"/>
      <c r="Z474" s="175"/>
      <c r="AA474" s="175">
        <f t="shared" si="232"/>
        <v>1</v>
      </c>
    </row>
    <row r="475" spans="1:27" ht="63.75" customHeight="1">
      <c r="B475" s="95"/>
      <c r="C475" s="96"/>
      <c r="D475" s="97"/>
      <c r="E475" s="888"/>
      <c r="F475" s="313" t="s">
        <v>278</v>
      </c>
      <c r="G475" s="313" t="s">
        <v>268</v>
      </c>
      <c r="H475" s="1200" t="s">
        <v>437</v>
      </c>
      <c r="I475" s="1200" t="s">
        <v>439</v>
      </c>
      <c r="J475" s="313" t="s">
        <v>279</v>
      </c>
      <c r="K475" s="98"/>
      <c r="L475" s="11"/>
      <c r="R475" s="126" t="s">
        <v>278</v>
      </c>
      <c r="S475" s="126" t="s">
        <v>440</v>
      </c>
      <c r="T475" s="295" t="s">
        <v>437</v>
      </c>
      <c r="U475" s="295" t="s">
        <v>438</v>
      </c>
      <c r="V475" s="256" t="s">
        <v>270</v>
      </c>
      <c r="W475" s="126" t="s">
        <v>426</v>
      </c>
      <c r="X475" s="129" t="s">
        <v>402</v>
      </c>
      <c r="Y475" s="129" t="s">
        <v>430</v>
      </c>
      <c r="Z475" s="126" t="s">
        <v>425</v>
      </c>
      <c r="AA475" s="255"/>
    </row>
    <row r="476" spans="1:27" hidden="1">
      <c r="B476" s="95"/>
      <c r="C476" s="96"/>
      <c r="D476" s="97"/>
      <c r="E476" s="889"/>
      <c r="F476" s="439"/>
      <c r="G476" s="439"/>
      <c r="H476" s="1201"/>
      <c r="I476" s="1201"/>
      <c r="J476" s="439"/>
      <c r="K476" s="98"/>
      <c r="L476" s="11"/>
      <c r="R476" s="129">
        <f t="shared" ref="R476:R481" si="233">IF(F476="実施済",1,0)</f>
        <v>0</v>
      </c>
      <c r="S476" s="129">
        <f t="shared" ref="S476:S481" si="234">IF(G476="実施済",R476*1,0)</f>
        <v>0</v>
      </c>
      <c r="T476" s="129">
        <f t="shared" ref="T476:T481" si="235">IF(H476="実施済",S476*1,0)</f>
        <v>0</v>
      </c>
      <c r="U476" s="129">
        <f t="shared" ref="U476:U481" si="236">IF(I476="実施済",T476*1,0)</f>
        <v>0</v>
      </c>
      <c r="V476" s="258"/>
      <c r="W476" s="129" t="str">
        <f>IF(OR(E476="〇〇(合意形成対象者名に書き換え)",E476=""),"",SUM(S476,T476,U476))</f>
        <v/>
      </c>
      <c r="X476" s="129">
        <f t="shared" ref="X476:X481" si="237">MIN($W$476:$W$481)+1</f>
        <v>1</v>
      </c>
      <c r="Y476" s="129">
        <f>IF(E476="",1,IF(AND(E476="〇〇(合意形成対象者名に書き換え)",COUNTA($F476:$J476)=0),1,IF(AND(E476&lt;&gt;"〇〇(合意形成対象者名に書き換え)",COUNTA($F476:$J476)=5),1,0)))</f>
        <v>1</v>
      </c>
      <c r="Z476" s="129" t="str" cm="1">
        <f t="array" ref="Z476">_xlfn.IFS(X476=4,"A",X476=3,"B",X476=2,"C",X476=1,"D")</f>
        <v>D</v>
      </c>
      <c r="AA476" s="255"/>
    </row>
    <row r="477" spans="1:27">
      <c r="B477" s="95"/>
      <c r="C477" s="96"/>
      <c r="D477" s="97"/>
      <c r="E477" s="890" t="s">
        <v>129</v>
      </c>
      <c r="F477" s="445"/>
      <c r="G477" s="445"/>
      <c r="H477" s="1202"/>
      <c r="I477" s="1202"/>
      <c r="J477" s="445"/>
      <c r="K477" s="98"/>
      <c r="L477" s="11"/>
      <c r="R477" s="129">
        <f t="shared" si="233"/>
        <v>0</v>
      </c>
      <c r="S477" s="129">
        <f t="shared" si="234"/>
        <v>0</v>
      </c>
      <c r="T477" s="129">
        <f t="shared" si="235"/>
        <v>0</v>
      </c>
      <c r="U477" s="129">
        <f t="shared" si="236"/>
        <v>0</v>
      </c>
      <c r="V477" s="258"/>
      <c r="W477" s="129" t="str">
        <f t="shared" ref="W477:W481" si="238">IF(OR(E477="〇〇(合意形成対象者名に書き換え)",E477=""),"",SUM(S477,T477,U477))</f>
        <v/>
      </c>
      <c r="X477" s="129">
        <f t="shared" si="237"/>
        <v>1</v>
      </c>
      <c r="Y477" s="129">
        <f t="shared" ref="Y477:Y481" si="239">IF(E477="",1,IF(AND(E477="〇〇(合意形成対象者名に書き換え)",COUNTA($F477:$J477)=0),1,IF(AND(E477&lt;&gt;"〇〇(合意形成対象者名に書き換え)",COUNTA($F477:$J477)=5),1,0)))</f>
        <v>1</v>
      </c>
      <c r="Z477" s="129" t="str" cm="1">
        <f t="array" ref="Z477">_xlfn.IFS(X477=4,"A",X477=3,"B",X477=2,"C",X477=1,"D")</f>
        <v>D</v>
      </c>
      <c r="AA477" s="255"/>
    </row>
    <row r="478" spans="1:27">
      <c r="B478" s="95"/>
      <c r="C478" s="96"/>
      <c r="D478" s="97"/>
      <c r="E478" s="890" t="s">
        <v>129</v>
      </c>
      <c r="F478" s="441"/>
      <c r="G478" s="441"/>
      <c r="H478" s="1203"/>
      <c r="I478" s="1203"/>
      <c r="J478" s="441"/>
      <c r="K478" s="98"/>
      <c r="L478" s="11"/>
      <c r="R478" s="129">
        <f t="shared" si="233"/>
        <v>0</v>
      </c>
      <c r="S478" s="129">
        <f t="shared" si="234"/>
        <v>0</v>
      </c>
      <c r="T478" s="129">
        <f t="shared" si="235"/>
        <v>0</v>
      </c>
      <c r="U478" s="129">
        <f t="shared" si="236"/>
        <v>0</v>
      </c>
      <c r="V478" s="258"/>
      <c r="W478" s="129" t="str">
        <f t="shared" si="238"/>
        <v/>
      </c>
      <c r="X478" s="129">
        <f t="shared" si="237"/>
        <v>1</v>
      </c>
      <c r="Y478" s="129">
        <f t="shared" si="239"/>
        <v>1</v>
      </c>
      <c r="Z478" s="129" t="str" cm="1">
        <f t="array" ref="Z478">_xlfn.IFS(X478=4,"A",X478=3,"B",X478=2,"C",X478=1,"D")</f>
        <v>D</v>
      </c>
      <c r="AA478" s="255"/>
    </row>
    <row r="479" spans="1:27" s="99" customFormat="1">
      <c r="A479" s="11"/>
      <c r="B479" s="95"/>
      <c r="C479" s="96"/>
      <c r="D479" s="97"/>
      <c r="E479" s="890" t="s">
        <v>129</v>
      </c>
      <c r="F479" s="441"/>
      <c r="G479" s="441"/>
      <c r="H479" s="1203"/>
      <c r="I479" s="1203"/>
      <c r="J479" s="441"/>
      <c r="K479" s="98"/>
      <c r="L479" s="11"/>
      <c r="O479" s="11"/>
      <c r="P479" s="11"/>
      <c r="Q479" s="11"/>
      <c r="R479" s="129">
        <f t="shared" si="233"/>
        <v>0</v>
      </c>
      <c r="S479" s="129">
        <f t="shared" si="234"/>
        <v>0</v>
      </c>
      <c r="T479" s="129">
        <f t="shared" si="235"/>
        <v>0</v>
      </c>
      <c r="U479" s="129">
        <f t="shared" si="236"/>
        <v>0</v>
      </c>
      <c r="V479" s="258"/>
      <c r="W479" s="129" t="str">
        <f t="shared" si="238"/>
        <v/>
      </c>
      <c r="X479" s="129">
        <f t="shared" si="237"/>
        <v>1</v>
      </c>
      <c r="Y479" s="129">
        <f t="shared" si="239"/>
        <v>1</v>
      </c>
      <c r="Z479" s="129" t="str" cm="1">
        <f t="array" ref="Z479">_xlfn.IFS(X479=4,"A",X479=3,"B",X479=2,"C",X479=1,"D")</f>
        <v>D</v>
      </c>
      <c r="AA479" s="129"/>
    </row>
    <row r="480" spans="1:27" customFormat="1" ht="7.5" customHeight="1">
      <c r="B480" s="65"/>
      <c r="C480" s="4"/>
      <c r="D480" s="4"/>
      <c r="E480" s="288"/>
      <c r="F480" s="4"/>
      <c r="G480" s="4"/>
      <c r="H480" s="1204"/>
      <c r="I480" s="1204"/>
      <c r="J480" s="4"/>
      <c r="K480" s="9"/>
      <c r="L480" s="2"/>
      <c r="M480" s="2"/>
      <c r="N480" s="2"/>
      <c r="R480" s="129">
        <f t="shared" si="233"/>
        <v>0</v>
      </c>
      <c r="S480" s="129">
        <f t="shared" si="234"/>
        <v>0</v>
      </c>
      <c r="T480" s="129">
        <f t="shared" si="235"/>
        <v>0</v>
      </c>
      <c r="U480" s="129">
        <f t="shared" si="236"/>
        <v>0</v>
      </c>
      <c r="V480" s="258"/>
      <c r="W480" s="129" t="str">
        <f t="shared" si="238"/>
        <v/>
      </c>
      <c r="X480" s="129">
        <f t="shared" si="237"/>
        <v>1</v>
      </c>
      <c r="Y480" s="129">
        <f t="shared" si="239"/>
        <v>1</v>
      </c>
      <c r="Z480" s="129" t="str" cm="1">
        <f t="array" ref="Z480">_xlfn.IFS(X480=4,"A",X480=3,"B",X480=2,"C",X480=1,"D")</f>
        <v>D</v>
      </c>
      <c r="AA480" s="175"/>
    </row>
    <row r="481" spans="1:27" customFormat="1" ht="6" customHeight="1">
      <c r="E481" s="3"/>
      <c r="H481" s="1198"/>
      <c r="I481" s="1198"/>
      <c r="L481" s="2"/>
      <c r="M481" s="2"/>
      <c r="N481" s="2"/>
      <c r="R481" s="129">
        <f t="shared" si="233"/>
        <v>0</v>
      </c>
      <c r="S481" s="129">
        <f t="shared" si="234"/>
        <v>0</v>
      </c>
      <c r="T481" s="129">
        <f t="shared" si="235"/>
        <v>0</v>
      </c>
      <c r="U481" s="129">
        <f t="shared" si="236"/>
        <v>0</v>
      </c>
      <c r="V481" s="258"/>
      <c r="W481" s="129" t="str">
        <f t="shared" si="238"/>
        <v/>
      </c>
      <c r="X481" s="129">
        <f t="shared" si="237"/>
        <v>1</v>
      </c>
      <c r="Y481" s="129">
        <f t="shared" si="239"/>
        <v>1</v>
      </c>
      <c r="Z481" s="129" t="str" cm="1">
        <f t="array" ref="Z481">_xlfn.IFS(X481=4,"A",X481=3,"B",X481=2,"C",X481=1,"D")</f>
        <v>D</v>
      </c>
      <c r="AA481" s="175"/>
    </row>
    <row r="482" spans="1:27" customFormat="1" ht="103.5" customHeight="1">
      <c r="C482" s="78"/>
      <c r="D482" s="79"/>
      <c r="E482" s="71" t="s">
        <v>236</v>
      </c>
      <c r="F482" s="1452"/>
      <c r="G482" s="1452"/>
      <c r="H482" s="1452"/>
      <c r="I482" s="1452"/>
      <c r="J482" s="1452"/>
      <c r="K482" s="80" t="s">
        <v>132</v>
      </c>
      <c r="L482" s="80"/>
    </row>
    <row r="483" spans="1:27" customFormat="1" ht="146.25" customHeight="1">
      <c r="C483" s="75"/>
      <c r="D483" s="68"/>
      <c r="E483" s="71" t="s">
        <v>235</v>
      </c>
      <c r="F483" s="1452"/>
      <c r="G483" s="1452"/>
      <c r="H483" s="1452"/>
      <c r="I483" s="1452"/>
      <c r="J483" s="1452"/>
      <c r="L483" s="2"/>
      <c r="M483" s="2"/>
      <c r="N483" s="2"/>
    </row>
    <row r="484" spans="1:27" customFormat="1" ht="13.5" customHeight="1" thickBot="1">
      <c r="A484" s="81"/>
      <c r="B484" s="81"/>
      <c r="C484" s="81"/>
      <c r="D484" s="81"/>
      <c r="E484" s="311"/>
      <c r="F484" s="81"/>
      <c r="G484" s="81"/>
      <c r="H484" s="1205"/>
      <c r="I484" s="1205"/>
      <c r="J484" s="81"/>
      <c r="K484" s="81"/>
      <c r="L484" s="82"/>
      <c r="M484" s="2"/>
      <c r="N484" s="2"/>
    </row>
    <row r="485" spans="1:27" customFormat="1" ht="13.5" customHeight="1">
      <c r="E485" s="3"/>
      <c r="H485" s="1198"/>
      <c r="I485" s="1198"/>
      <c r="L485" s="2"/>
      <c r="M485" s="2"/>
      <c r="N485" s="2"/>
    </row>
    <row r="486" spans="1:27" customFormat="1" ht="15" customHeight="1">
      <c r="B486" s="10"/>
      <c r="C486" s="5"/>
      <c r="D486" s="5"/>
      <c r="E486" s="305"/>
      <c r="F486" s="5"/>
      <c r="G486" s="5"/>
      <c r="H486" s="1199"/>
      <c r="I486" s="1199"/>
      <c r="J486" s="5"/>
      <c r="K486" s="6"/>
      <c r="R486" s="11" t="str">
        <f>D487</f>
        <v>(選択してください)</v>
      </c>
    </row>
    <row r="487" spans="1:27" customFormat="1">
      <c r="B487" s="7"/>
      <c r="C487" s="77" t="str">
        <f ca="1">IFERROR(OFFSET('4.3民生部門電力以外の排出削減取組'!$C$1,MATCH(D487,'4.3民生部門電力以外の排出削減取組'!$E:$E,0)-1,0),"")</f>
        <v/>
      </c>
      <c r="D487" s="94" t="s">
        <v>130</v>
      </c>
      <c r="E487" s="72" t="s">
        <v>12</v>
      </c>
      <c r="F487" s="1451" t="str">
        <f ca="1">IFERROR(OFFSET('4.3民生部門電力以外の排出削減取組'!$G$1,MATCH($D487,'4.3民生部門電力以外の排出削減取組'!$E:$E,0)-1,0),"")</f>
        <v/>
      </c>
      <c r="G487" s="1451"/>
      <c r="H487" s="1451"/>
      <c r="I487" s="1451"/>
      <c r="J487" s="1451"/>
      <c r="K487" s="8"/>
      <c r="R487" s="255" t="str">
        <f ca="1">IFERROR(OFFSET('4.3民生部門電力以外の排出削減取組'!$G$1,MATCH($D487,'4.3民生部門電力以外の排出削減取組'!$E:$E,0)-1,0),"")</f>
        <v/>
      </c>
      <c r="S487" s="175"/>
      <c r="T487" s="175"/>
      <c r="U487" s="175"/>
      <c r="V487" s="175"/>
      <c r="W487" s="175"/>
      <c r="X487" s="175"/>
      <c r="Y487" s="175"/>
      <c r="Z487" s="175"/>
      <c r="AA487" s="175">
        <f ca="1">(F487=R487)*1</f>
        <v>1</v>
      </c>
    </row>
    <row r="488" spans="1:27" customFormat="1">
      <c r="B488" s="7"/>
      <c r="C488" s="915"/>
      <c r="D488" s="97"/>
      <c r="E488" s="72" t="s">
        <v>612</v>
      </c>
      <c r="F488" s="1447" t="str">
        <f ca="1">IFERROR(OFFSET('4.3民生部門電力以外の排出削減取組'!$J$1,MATCH($D487,'4.3民生部門電力以外の排出削減取組'!$E:$E,0)-1,0),"")</f>
        <v/>
      </c>
      <c r="G488" s="1448"/>
      <c r="H488" s="1448"/>
      <c r="I488" s="1448"/>
      <c r="J488" s="1449"/>
      <c r="K488" s="8"/>
      <c r="R488" s="255" t="str">
        <f ca="1">IFERROR(OFFSET('4.3民生部門電力以外の排出削減取組'!$J$1,MATCH($D487,'4.3民生部門電力以外の排出削減取組'!$E:$E,0)-1,0),"")</f>
        <v/>
      </c>
      <c r="S488" s="175"/>
      <c r="T488" s="175"/>
      <c r="U488" s="175"/>
      <c r="V488" s="175"/>
      <c r="W488" s="175"/>
      <c r="X488" s="175"/>
      <c r="Y488" s="175"/>
      <c r="Z488" s="175"/>
      <c r="AA488" s="175">
        <f ca="1">(F488=R488)*1</f>
        <v>1</v>
      </c>
    </row>
    <row r="489" spans="1:27" customFormat="1">
      <c r="B489" s="7"/>
      <c r="C489" s="74"/>
      <c r="D489" s="66"/>
      <c r="E489" s="72" t="s">
        <v>280</v>
      </c>
      <c r="F489" s="1470" t="str">
        <f ca="1">IFERROR(OFFSET('4.3民生部門電力以外の排出削減取組'!$H$1,MATCH($D487,'4.3民生部門電力以外の排出削減取組'!$E:$E,0)-1,0),"")</f>
        <v/>
      </c>
      <c r="G489" s="1470"/>
      <c r="H489" s="1470"/>
      <c r="I489" s="1470"/>
      <c r="J489" s="1470"/>
      <c r="K489" s="8"/>
      <c r="R489" s="175" t="str">
        <f ca="1">IFERROR(OFFSET('4.3民生部門電力以外の排出削減取組'!$H$1,MATCH($D487,'4.3民生部門電力以外の排出削減取組'!$E:$E,0)-1,0),"")</f>
        <v/>
      </c>
      <c r="S489" s="175"/>
      <c r="T489" s="175"/>
      <c r="U489" s="175"/>
      <c r="V489" s="175"/>
      <c r="W489" s="175"/>
      <c r="X489" s="175"/>
      <c r="Y489" s="175"/>
      <c r="Z489" s="175"/>
      <c r="AA489" s="175">
        <f t="shared" ref="AA489:AA490" ca="1" si="240">(F489=R489)*1</f>
        <v>1</v>
      </c>
    </row>
    <row r="490" spans="1:27" customFormat="1">
      <c r="B490" s="7"/>
      <c r="C490" s="74"/>
      <c r="D490" s="66"/>
      <c r="E490" s="72" t="s">
        <v>175</v>
      </c>
      <c r="F490" s="1451" t="str">
        <f>_xlfn.IFNA(R490,"")</f>
        <v/>
      </c>
      <c r="G490" s="1451"/>
      <c r="H490" s="1451"/>
      <c r="I490" s="1451"/>
      <c r="J490" s="1451"/>
      <c r="K490" s="8"/>
      <c r="R490" s="129" t="str">
        <f>IF(OR(COUNTIF($E492:$E497,"&lt;&gt;〇〇(合意形成対象者名に書き換え)")=3,COUNTIF($E492:$E497,"")&gt;3),"",IF(PRODUCT($Y492:$Y497)=1,Z492,""))</f>
        <v/>
      </c>
      <c r="S490" s="175"/>
      <c r="T490" s="175"/>
      <c r="U490" s="175"/>
      <c r="V490" s="175"/>
      <c r="W490" s="175"/>
      <c r="X490" s="175"/>
      <c r="Y490" s="175"/>
      <c r="Z490" s="175"/>
      <c r="AA490" s="175">
        <f t="shared" si="240"/>
        <v>1</v>
      </c>
    </row>
    <row r="491" spans="1:27" ht="63.75" customHeight="1">
      <c r="B491" s="95"/>
      <c r="C491" s="96"/>
      <c r="D491" s="97"/>
      <c r="E491" s="888"/>
      <c r="F491" s="313" t="s">
        <v>278</v>
      </c>
      <c r="G491" s="313" t="s">
        <v>268</v>
      </c>
      <c r="H491" s="1200" t="s">
        <v>437</v>
      </c>
      <c r="I491" s="1200" t="s">
        <v>439</v>
      </c>
      <c r="J491" s="313" t="s">
        <v>279</v>
      </c>
      <c r="K491" s="98"/>
      <c r="L491" s="11"/>
      <c r="R491" s="126" t="s">
        <v>278</v>
      </c>
      <c r="S491" s="126" t="s">
        <v>440</v>
      </c>
      <c r="T491" s="295" t="s">
        <v>437</v>
      </c>
      <c r="U491" s="295" t="s">
        <v>438</v>
      </c>
      <c r="V491" s="256" t="s">
        <v>270</v>
      </c>
      <c r="W491" s="126" t="s">
        <v>426</v>
      </c>
      <c r="X491" s="129" t="s">
        <v>402</v>
      </c>
      <c r="Y491" s="129" t="s">
        <v>430</v>
      </c>
      <c r="Z491" s="126" t="s">
        <v>425</v>
      </c>
      <c r="AA491" s="255"/>
    </row>
    <row r="492" spans="1:27" hidden="1">
      <c r="B492" s="95"/>
      <c r="C492" s="96"/>
      <c r="D492" s="97"/>
      <c r="E492" s="889"/>
      <c r="F492" s="439"/>
      <c r="G492" s="439"/>
      <c r="H492" s="1201"/>
      <c r="I492" s="1201"/>
      <c r="J492" s="439"/>
      <c r="K492" s="98"/>
      <c r="L492" s="11"/>
      <c r="R492" s="129">
        <f t="shared" ref="R492:R497" si="241">IF(F492="実施済",1,0)</f>
        <v>0</v>
      </c>
      <c r="S492" s="129">
        <f t="shared" ref="S492:S497" si="242">IF(G492="実施済",R492*1,0)</f>
        <v>0</v>
      </c>
      <c r="T492" s="129">
        <f t="shared" ref="T492:T497" si="243">IF(H492="実施済",S492*1,0)</f>
        <v>0</v>
      </c>
      <c r="U492" s="129">
        <f t="shared" ref="U492:U497" si="244">IF(I492="実施済",T492*1,0)</f>
        <v>0</v>
      </c>
      <c r="V492" s="258"/>
      <c r="W492" s="129" t="str">
        <f>IF(OR(E492="〇〇(合意形成対象者名に書き換え)",E492=""),"",SUM(S492,T492,U492))</f>
        <v/>
      </c>
      <c r="X492" s="129">
        <f t="shared" ref="X492:X497" si="245">MIN($W$492:$W$497)+1</f>
        <v>1</v>
      </c>
      <c r="Y492" s="129">
        <f>IF(E492="",1,IF(AND(E492="〇〇(合意形成対象者名に書き換え)",COUNTA($F492:$J492)=0),1,IF(AND(E492&lt;&gt;"〇〇(合意形成対象者名に書き換え)",COUNTA($F492:$J492)=5),1,0)))</f>
        <v>1</v>
      </c>
      <c r="Z492" s="129" t="str" cm="1">
        <f t="array" ref="Z492">_xlfn.IFS(X492=4,"A",X492=3,"B",X492=2,"C",X492=1,"D")</f>
        <v>D</v>
      </c>
      <c r="AA492" s="255"/>
    </row>
    <row r="493" spans="1:27">
      <c r="B493" s="95"/>
      <c r="C493" s="96"/>
      <c r="D493" s="97"/>
      <c r="E493" s="890" t="s">
        <v>129</v>
      </c>
      <c r="F493" s="445"/>
      <c r="G493" s="445"/>
      <c r="H493" s="1202"/>
      <c r="I493" s="1202"/>
      <c r="J493" s="445"/>
      <c r="K493" s="98"/>
      <c r="L493" s="11"/>
      <c r="R493" s="129">
        <f t="shared" si="241"/>
        <v>0</v>
      </c>
      <c r="S493" s="129">
        <f t="shared" si="242"/>
        <v>0</v>
      </c>
      <c r="T493" s="129">
        <f t="shared" si="243"/>
        <v>0</v>
      </c>
      <c r="U493" s="129">
        <f t="shared" si="244"/>
        <v>0</v>
      </c>
      <c r="V493" s="258"/>
      <c r="W493" s="129" t="str">
        <f t="shared" ref="W493:W497" si="246">IF(OR(E493="〇〇(合意形成対象者名に書き換え)",E493=""),"",SUM(S493,T493,U493))</f>
        <v/>
      </c>
      <c r="X493" s="129">
        <f t="shared" si="245"/>
        <v>1</v>
      </c>
      <c r="Y493" s="129">
        <f t="shared" ref="Y493:Y497" si="247">IF(E493="",1,IF(AND(E493="〇〇(合意形成対象者名に書き換え)",COUNTA($F493:$J493)=0),1,IF(AND(E493&lt;&gt;"〇〇(合意形成対象者名に書き換え)",COUNTA($F493:$J493)=5),1,0)))</f>
        <v>1</v>
      </c>
      <c r="Z493" s="129" t="str" cm="1">
        <f t="array" ref="Z493">_xlfn.IFS(X493=4,"A",X493=3,"B",X493=2,"C",X493=1,"D")</f>
        <v>D</v>
      </c>
      <c r="AA493" s="255"/>
    </row>
    <row r="494" spans="1:27">
      <c r="B494" s="95"/>
      <c r="C494" s="96"/>
      <c r="D494" s="97"/>
      <c r="E494" s="890" t="s">
        <v>129</v>
      </c>
      <c r="F494" s="441"/>
      <c r="G494" s="441"/>
      <c r="H494" s="1203"/>
      <c r="I494" s="1203"/>
      <c r="J494" s="441"/>
      <c r="K494" s="98"/>
      <c r="L494" s="11"/>
      <c r="R494" s="129">
        <f t="shared" si="241"/>
        <v>0</v>
      </c>
      <c r="S494" s="129">
        <f t="shared" si="242"/>
        <v>0</v>
      </c>
      <c r="T494" s="129">
        <f t="shared" si="243"/>
        <v>0</v>
      </c>
      <c r="U494" s="129">
        <f t="shared" si="244"/>
        <v>0</v>
      </c>
      <c r="V494" s="258"/>
      <c r="W494" s="129" t="str">
        <f t="shared" si="246"/>
        <v/>
      </c>
      <c r="X494" s="129">
        <f t="shared" si="245"/>
        <v>1</v>
      </c>
      <c r="Y494" s="129">
        <f t="shared" si="247"/>
        <v>1</v>
      </c>
      <c r="Z494" s="129" t="str" cm="1">
        <f t="array" ref="Z494">_xlfn.IFS(X494=4,"A",X494=3,"B",X494=2,"C",X494=1,"D")</f>
        <v>D</v>
      </c>
      <c r="AA494" s="255"/>
    </row>
    <row r="495" spans="1:27" s="99" customFormat="1">
      <c r="A495" s="11"/>
      <c r="B495" s="95"/>
      <c r="C495" s="96"/>
      <c r="D495" s="97"/>
      <c r="E495" s="890" t="s">
        <v>129</v>
      </c>
      <c r="F495" s="441"/>
      <c r="G495" s="441"/>
      <c r="H495" s="1203"/>
      <c r="I495" s="1203"/>
      <c r="J495" s="441"/>
      <c r="K495" s="98"/>
      <c r="L495" s="11"/>
      <c r="O495" s="11"/>
      <c r="P495" s="11"/>
      <c r="Q495" s="11"/>
      <c r="R495" s="129">
        <f t="shared" si="241"/>
        <v>0</v>
      </c>
      <c r="S495" s="129">
        <f t="shared" si="242"/>
        <v>0</v>
      </c>
      <c r="T495" s="129">
        <f t="shared" si="243"/>
        <v>0</v>
      </c>
      <c r="U495" s="129">
        <f t="shared" si="244"/>
        <v>0</v>
      </c>
      <c r="V495" s="258"/>
      <c r="W495" s="129" t="str">
        <f t="shared" si="246"/>
        <v/>
      </c>
      <c r="X495" s="129">
        <f t="shared" si="245"/>
        <v>1</v>
      </c>
      <c r="Y495" s="129">
        <f t="shared" si="247"/>
        <v>1</v>
      </c>
      <c r="Z495" s="129" t="str" cm="1">
        <f t="array" ref="Z495">_xlfn.IFS(X495=4,"A",X495=3,"B",X495=2,"C",X495=1,"D")</f>
        <v>D</v>
      </c>
      <c r="AA495" s="129"/>
    </row>
    <row r="496" spans="1:27" customFormat="1" ht="7.5" customHeight="1">
      <c r="B496" s="65"/>
      <c r="C496" s="4"/>
      <c r="D496" s="4"/>
      <c r="E496" s="288"/>
      <c r="F496" s="4"/>
      <c r="G496" s="4"/>
      <c r="H496" s="1204"/>
      <c r="I496" s="1204"/>
      <c r="J496" s="4"/>
      <c r="K496" s="9"/>
      <c r="L496" s="2"/>
      <c r="M496" s="2"/>
      <c r="N496" s="2"/>
      <c r="R496" s="129">
        <f t="shared" si="241"/>
        <v>0</v>
      </c>
      <c r="S496" s="129">
        <f t="shared" si="242"/>
        <v>0</v>
      </c>
      <c r="T496" s="129">
        <f t="shared" si="243"/>
        <v>0</v>
      </c>
      <c r="U496" s="129">
        <f t="shared" si="244"/>
        <v>0</v>
      </c>
      <c r="V496" s="258"/>
      <c r="W496" s="129" t="str">
        <f t="shared" si="246"/>
        <v/>
      </c>
      <c r="X496" s="129">
        <f t="shared" si="245"/>
        <v>1</v>
      </c>
      <c r="Y496" s="129">
        <f t="shared" si="247"/>
        <v>1</v>
      </c>
      <c r="Z496" s="129" t="str" cm="1">
        <f t="array" ref="Z496">_xlfn.IFS(X496=4,"A",X496=3,"B",X496=2,"C",X496=1,"D")</f>
        <v>D</v>
      </c>
      <c r="AA496" s="175"/>
    </row>
    <row r="497" spans="1:27" customFormat="1" ht="6" customHeight="1">
      <c r="E497" s="3"/>
      <c r="H497" s="1198"/>
      <c r="I497" s="1198"/>
      <c r="L497" s="2"/>
      <c r="M497" s="2"/>
      <c r="N497" s="2"/>
      <c r="R497" s="129">
        <f t="shared" si="241"/>
        <v>0</v>
      </c>
      <c r="S497" s="129">
        <f t="shared" si="242"/>
        <v>0</v>
      </c>
      <c r="T497" s="129">
        <f t="shared" si="243"/>
        <v>0</v>
      </c>
      <c r="U497" s="129">
        <f t="shared" si="244"/>
        <v>0</v>
      </c>
      <c r="V497" s="258"/>
      <c r="W497" s="129" t="str">
        <f t="shared" si="246"/>
        <v/>
      </c>
      <c r="X497" s="129">
        <f t="shared" si="245"/>
        <v>1</v>
      </c>
      <c r="Y497" s="129">
        <f t="shared" si="247"/>
        <v>1</v>
      </c>
      <c r="Z497" s="129" t="str" cm="1">
        <f t="array" ref="Z497">_xlfn.IFS(X497=4,"A",X497=3,"B",X497=2,"C",X497=1,"D")</f>
        <v>D</v>
      </c>
      <c r="AA497" s="175"/>
    </row>
    <row r="498" spans="1:27" customFormat="1" ht="103.5" customHeight="1">
      <c r="C498" s="78"/>
      <c r="D498" s="79"/>
      <c r="E498" s="71" t="s">
        <v>236</v>
      </c>
      <c r="F498" s="1452"/>
      <c r="G498" s="1452"/>
      <c r="H498" s="1452"/>
      <c r="I498" s="1452"/>
      <c r="J498" s="1452"/>
      <c r="K498" s="80" t="s">
        <v>132</v>
      </c>
      <c r="L498" s="80"/>
    </row>
    <row r="499" spans="1:27" customFormat="1" ht="146.25" customHeight="1">
      <c r="C499" s="75"/>
      <c r="D499" s="68"/>
      <c r="E499" s="71" t="s">
        <v>235</v>
      </c>
      <c r="F499" s="1452"/>
      <c r="G499" s="1452"/>
      <c r="H499" s="1452"/>
      <c r="I499" s="1452"/>
      <c r="J499" s="1452"/>
      <c r="L499" s="2"/>
      <c r="M499" s="2"/>
      <c r="N499" s="2"/>
    </row>
    <row r="500" spans="1:27" customFormat="1" ht="13.5" customHeight="1" thickBot="1">
      <c r="A500" s="81"/>
      <c r="B500" s="81"/>
      <c r="C500" s="81"/>
      <c r="D500" s="81"/>
      <c r="E500" s="311"/>
      <c r="F500" s="81"/>
      <c r="G500" s="81"/>
      <c r="H500" s="1205"/>
      <c r="I500" s="1205"/>
      <c r="J500" s="81"/>
      <c r="K500" s="81"/>
      <c r="L500" s="82"/>
      <c r="M500" s="2"/>
      <c r="N500" s="2"/>
    </row>
    <row r="501" spans="1:27" customFormat="1" ht="13.5" customHeight="1">
      <c r="E501" s="3"/>
      <c r="H501" s="1198"/>
      <c r="I501" s="1198"/>
      <c r="L501" s="2"/>
      <c r="M501" s="2"/>
      <c r="N501" s="2"/>
    </row>
    <row r="502" spans="1:27" customFormat="1" ht="15" customHeight="1">
      <c r="B502" s="10"/>
      <c r="C502" s="5"/>
      <c r="D502" s="5"/>
      <c r="E502" s="305"/>
      <c r="F502" s="5"/>
      <c r="G502" s="5"/>
      <c r="H502" s="1199"/>
      <c r="I502" s="1199"/>
      <c r="J502" s="5"/>
      <c r="K502" s="6"/>
      <c r="R502" s="11" t="str">
        <f>D503</f>
        <v>(選択してください)</v>
      </c>
    </row>
    <row r="503" spans="1:27" customFormat="1">
      <c r="B503" s="7"/>
      <c r="C503" s="77" t="str">
        <f ca="1">IFERROR(OFFSET('4.3民生部門電力以外の排出削減取組'!$C$1,MATCH(D503,'4.3民生部門電力以外の排出削減取組'!$E:$E,0)-1,0),"")</f>
        <v/>
      </c>
      <c r="D503" s="94" t="s">
        <v>130</v>
      </c>
      <c r="E503" s="72" t="s">
        <v>12</v>
      </c>
      <c r="F503" s="1451" t="str">
        <f ca="1">IFERROR(OFFSET('4.3民生部門電力以外の排出削減取組'!$G$1,MATCH($D503,'4.3民生部門電力以外の排出削減取組'!$E:$E,0)-1,0),"")</f>
        <v/>
      </c>
      <c r="G503" s="1451"/>
      <c r="H503" s="1451"/>
      <c r="I503" s="1451"/>
      <c r="J503" s="1451"/>
      <c r="K503" s="8"/>
      <c r="R503" s="255" t="str">
        <f ca="1">IFERROR(OFFSET('4.3民生部門電力以外の排出削減取組'!$G$1,MATCH($D503,'4.3民生部門電力以外の排出削減取組'!$E:$E,0)-1,0),"")</f>
        <v/>
      </c>
      <c r="S503" s="175"/>
      <c r="T503" s="175"/>
      <c r="U503" s="175"/>
      <c r="V503" s="175"/>
      <c r="W503" s="175"/>
      <c r="X503" s="175"/>
      <c r="Y503" s="175"/>
      <c r="Z503" s="175"/>
      <c r="AA503" s="175">
        <f ca="1">(F503=R503)*1</f>
        <v>1</v>
      </c>
    </row>
    <row r="504" spans="1:27" customFormat="1">
      <c r="B504" s="7"/>
      <c r="C504" s="915"/>
      <c r="D504" s="97"/>
      <c r="E504" s="72" t="s">
        <v>612</v>
      </c>
      <c r="F504" s="1447" t="str">
        <f ca="1">IFERROR(OFFSET('4.3民生部門電力以外の排出削減取組'!$J$1,MATCH($D503,'4.3民生部門電力以外の排出削減取組'!$E:$E,0)-1,0),"")</f>
        <v/>
      </c>
      <c r="G504" s="1448"/>
      <c r="H504" s="1448"/>
      <c r="I504" s="1448"/>
      <c r="J504" s="1449"/>
      <c r="K504" s="8"/>
      <c r="R504" s="255" t="str">
        <f ca="1">IFERROR(OFFSET('4.3民生部門電力以外の排出削減取組'!$J$1,MATCH($D503,'4.3民生部門電力以外の排出削減取組'!$E:$E,0)-1,0),"")</f>
        <v/>
      </c>
      <c r="S504" s="175"/>
      <c r="T504" s="175"/>
      <c r="U504" s="175"/>
      <c r="V504" s="175"/>
      <c r="W504" s="175"/>
      <c r="X504" s="175"/>
      <c r="Y504" s="175"/>
      <c r="Z504" s="175"/>
      <c r="AA504" s="175">
        <f ca="1">(F504=R504)*1</f>
        <v>1</v>
      </c>
    </row>
    <row r="505" spans="1:27" customFormat="1">
      <c r="B505" s="7"/>
      <c r="C505" s="74"/>
      <c r="D505" s="66"/>
      <c r="E505" s="72" t="s">
        <v>280</v>
      </c>
      <c r="F505" s="1470" t="str">
        <f ca="1">IFERROR(OFFSET('4.3民生部門電力以外の排出削減取組'!$H$1,MATCH($D503,'4.3民生部門電力以外の排出削減取組'!$E:$E,0)-1,0),"")</f>
        <v/>
      </c>
      <c r="G505" s="1470"/>
      <c r="H505" s="1470"/>
      <c r="I505" s="1470"/>
      <c r="J505" s="1470"/>
      <c r="K505" s="8"/>
      <c r="R505" s="175" t="str">
        <f ca="1">IFERROR(OFFSET('4.3民生部門電力以外の排出削減取組'!$H$1,MATCH($D503,'4.3民生部門電力以外の排出削減取組'!$E:$E,0)-1,0),"")</f>
        <v/>
      </c>
      <c r="S505" s="175"/>
      <c r="T505" s="175"/>
      <c r="U505" s="175"/>
      <c r="V505" s="175"/>
      <c r="W505" s="175"/>
      <c r="X505" s="175"/>
      <c r="Y505" s="175"/>
      <c r="Z505" s="175"/>
      <c r="AA505" s="175">
        <f t="shared" ref="AA505:AA506" ca="1" si="248">(F505=R505)*1</f>
        <v>1</v>
      </c>
    </row>
    <row r="506" spans="1:27" customFormat="1">
      <c r="B506" s="7"/>
      <c r="C506" s="74"/>
      <c r="D506" s="66"/>
      <c r="E506" s="72" t="s">
        <v>175</v>
      </c>
      <c r="F506" s="1451" t="str">
        <f>_xlfn.IFNA(R506,"")</f>
        <v/>
      </c>
      <c r="G506" s="1451"/>
      <c r="H506" s="1451"/>
      <c r="I506" s="1451"/>
      <c r="J506" s="1451"/>
      <c r="K506" s="8"/>
      <c r="R506" s="129" t="str">
        <f>IF(OR(COUNTIF($E508:$E513,"&lt;&gt;〇〇(合意形成対象者名に書き換え)")=3,COUNTIF($E508:$E513,"")&gt;3),"",IF(PRODUCT($Y508:$Y513)=1,Z508,""))</f>
        <v/>
      </c>
      <c r="S506" s="175"/>
      <c r="T506" s="175"/>
      <c r="U506" s="175"/>
      <c r="V506" s="175"/>
      <c r="W506" s="175"/>
      <c r="X506" s="175"/>
      <c r="Y506" s="175"/>
      <c r="Z506" s="175"/>
      <c r="AA506" s="175">
        <f t="shared" si="248"/>
        <v>1</v>
      </c>
    </row>
    <row r="507" spans="1:27" ht="63.75" customHeight="1">
      <c r="B507" s="95"/>
      <c r="C507" s="96"/>
      <c r="D507" s="97"/>
      <c r="E507" s="888"/>
      <c r="F507" s="313" t="s">
        <v>278</v>
      </c>
      <c r="G507" s="313" t="s">
        <v>268</v>
      </c>
      <c r="H507" s="1200" t="s">
        <v>437</v>
      </c>
      <c r="I507" s="1200" t="s">
        <v>439</v>
      </c>
      <c r="J507" s="313" t="s">
        <v>279</v>
      </c>
      <c r="K507" s="98"/>
      <c r="L507" s="11"/>
      <c r="R507" s="126" t="s">
        <v>278</v>
      </c>
      <c r="S507" s="126" t="s">
        <v>440</v>
      </c>
      <c r="T507" s="295" t="s">
        <v>437</v>
      </c>
      <c r="U507" s="295" t="s">
        <v>438</v>
      </c>
      <c r="V507" s="256" t="s">
        <v>270</v>
      </c>
      <c r="W507" s="126" t="s">
        <v>426</v>
      </c>
      <c r="X507" s="129" t="s">
        <v>402</v>
      </c>
      <c r="Y507" s="129" t="s">
        <v>430</v>
      </c>
      <c r="Z507" s="126" t="s">
        <v>425</v>
      </c>
      <c r="AA507" s="255"/>
    </row>
    <row r="508" spans="1:27" hidden="1">
      <c r="B508" s="95"/>
      <c r="C508" s="96"/>
      <c r="D508" s="97"/>
      <c r="E508" s="889"/>
      <c r="F508" s="439"/>
      <c r="G508" s="439"/>
      <c r="H508" s="1201"/>
      <c r="I508" s="1201"/>
      <c r="J508" s="439"/>
      <c r="K508" s="98"/>
      <c r="L508" s="11"/>
      <c r="R508" s="129">
        <f t="shared" ref="R508:R513" si="249">IF(F508="実施済",1,0)</f>
        <v>0</v>
      </c>
      <c r="S508" s="129">
        <f t="shared" ref="S508:S513" si="250">IF(G508="実施済",R508*1,0)</f>
        <v>0</v>
      </c>
      <c r="T508" s="129">
        <f t="shared" ref="T508:T513" si="251">IF(H508="実施済",S508*1,0)</f>
        <v>0</v>
      </c>
      <c r="U508" s="129">
        <f t="shared" ref="U508:U513" si="252">IF(I508="実施済",T508*1,0)</f>
        <v>0</v>
      </c>
      <c r="V508" s="258"/>
      <c r="W508" s="129" t="str">
        <f>IF(OR(E508="〇〇(合意形成対象者名に書き換え)",E508=""),"",SUM(S508,T508,U508))</f>
        <v/>
      </c>
      <c r="X508" s="129">
        <f t="shared" ref="X508:X513" si="253">MIN($W$508:$W$513)+1</f>
        <v>1</v>
      </c>
      <c r="Y508" s="129">
        <f>IF(E508="",1,IF(AND(E508="〇〇(合意形成対象者名に書き換え)",COUNTA($F508:$J508)=0),1,IF(AND(E508&lt;&gt;"〇〇(合意形成対象者名に書き換え)",COUNTA($F508:$J508)=5),1,0)))</f>
        <v>1</v>
      </c>
      <c r="Z508" s="129" t="str" cm="1">
        <f t="array" ref="Z508">_xlfn.IFS(X508=4,"A",X508=3,"B",X508=2,"C",X508=1,"D")</f>
        <v>D</v>
      </c>
      <c r="AA508" s="255"/>
    </row>
    <row r="509" spans="1:27">
      <c r="B509" s="95"/>
      <c r="C509" s="96"/>
      <c r="D509" s="97"/>
      <c r="E509" s="890" t="s">
        <v>129</v>
      </c>
      <c r="F509" s="445"/>
      <c r="G509" s="445"/>
      <c r="H509" s="1202"/>
      <c r="I509" s="1202"/>
      <c r="J509" s="445"/>
      <c r="K509" s="98"/>
      <c r="L509" s="11"/>
      <c r="R509" s="129">
        <f t="shared" si="249"/>
        <v>0</v>
      </c>
      <c r="S509" s="129">
        <f t="shared" si="250"/>
        <v>0</v>
      </c>
      <c r="T509" s="129">
        <f t="shared" si="251"/>
        <v>0</v>
      </c>
      <c r="U509" s="129">
        <f t="shared" si="252"/>
        <v>0</v>
      </c>
      <c r="V509" s="258"/>
      <c r="W509" s="129" t="str">
        <f t="shared" ref="W509:W513" si="254">IF(OR(E509="〇〇(合意形成対象者名に書き換え)",E509=""),"",SUM(S509,T509,U509))</f>
        <v/>
      </c>
      <c r="X509" s="129">
        <f t="shared" si="253"/>
        <v>1</v>
      </c>
      <c r="Y509" s="129">
        <f t="shared" ref="Y509:Y513" si="255">IF(E509="",1,IF(AND(E509="〇〇(合意形成対象者名に書き換え)",COUNTA($F509:$J509)=0),1,IF(AND(E509&lt;&gt;"〇〇(合意形成対象者名に書き換え)",COUNTA($F509:$J509)=5),1,0)))</f>
        <v>1</v>
      </c>
      <c r="Z509" s="129" t="str" cm="1">
        <f t="array" ref="Z509">_xlfn.IFS(X509=4,"A",X509=3,"B",X509=2,"C",X509=1,"D")</f>
        <v>D</v>
      </c>
      <c r="AA509" s="255"/>
    </row>
    <row r="510" spans="1:27">
      <c r="B510" s="95"/>
      <c r="C510" s="96"/>
      <c r="D510" s="97"/>
      <c r="E510" s="890" t="s">
        <v>129</v>
      </c>
      <c r="F510" s="441"/>
      <c r="G510" s="441"/>
      <c r="H510" s="1203"/>
      <c r="I510" s="1203"/>
      <c r="J510" s="441"/>
      <c r="K510" s="98"/>
      <c r="L510" s="11"/>
      <c r="R510" s="129">
        <f t="shared" si="249"/>
        <v>0</v>
      </c>
      <c r="S510" s="129">
        <f t="shared" si="250"/>
        <v>0</v>
      </c>
      <c r="T510" s="129">
        <f t="shared" si="251"/>
        <v>0</v>
      </c>
      <c r="U510" s="129">
        <f t="shared" si="252"/>
        <v>0</v>
      </c>
      <c r="V510" s="258"/>
      <c r="W510" s="129" t="str">
        <f t="shared" si="254"/>
        <v/>
      </c>
      <c r="X510" s="129">
        <f t="shared" si="253"/>
        <v>1</v>
      </c>
      <c r="Y510" s="129">
        <f t="shared" si="255"/>
        <v>1</v>
      </c>
      <c r="Z510" s="129" t="str" cm="1">
        <f t="array" ref="Z510">_xlfn.IFS(X510=4,"A",X510=3,"B",X510=2,"C",X510=1,"D")</f>
        <v>D</v>
      </c>
      <c r="AA510" s="255"/>
    </row>
    <row r="511" spans="1:27" s="99" customFormat="1">
      <c r="A511" s="11"/>
      <c r="B511" s="95"/>
      <c r="C511" s="96"/>
      <c r="D511" s="97"/>
      <c r="E511" s="890" t="s">
        <v>129</v>
      </c>
      <c r="F511" s="441"/>
      <c r="G511" s="441"/>
      <c r="H511" s="1203"/>
      <c r="I511" s="1203"/>
      <c r="J511" s="441"/>
      <c r="K511" s="98"/>
      <c r="L511" s="11"/>
      <c r="O511" s="11"/>
      <c r="P511" s="11"/>
      <c r="Q511" s="11"/>
      <c r="R511" s="129">
        <f t="shared" si="249"/>
        <v>0</v>
      </c>
      <c r="S511" s="129">
        <f t="shared" si="250"/>
        <v>0</v>
      </c>
      <c r="T511" s="129">
        <f t="shared" si="251"/>
        <v>0</v>
      </c>
      <c r="U511" s="129">
        <f t="shared" si="252"/>
        <v>0</v>
      </c>
      <c r="V511" s="258"/>
      <c r="W511" s="129" t="str">
        <f t="shared" si="254"/>
        <v/>
      </c>
      <c r="X511" s="129">
        <f t="shared" si="253"/>
        <v>1</v>
      </c>
      <c r="Y511" s="129">
        <f t="shared" si="255"/>
        <v>1</v>
      </c>
      <c r="Z511" s="129" t="str" cm="1">
        <f t="array" ref="Z511">_xlfn.IFS(X511=4,"A",X511=3,"B",X511=2,"C",X511=1,"D")</f>
        <v>D</v>
      </c>
      <c r="AA511" s="129"/>
    </row>
    <row r="512" spans="1:27" customFormat="1" ht="7.5" customHeight="1">
      <c r="B512" s="65"/>
      <c r="C512" s="4"/>
      <c r="D512" s="4"/>
      <c r="E512" s="288"/>
      <c r="F512" s="4"/>
      <c r="G512" s="4"/>
      <c r="H512" s="1204"/>
      <c r="I512" s="1204"/>
      <c r="J512" s="4"/>
      <c r="K512" s="9"/>
      <c r="L512" s="2"/>
      <c r="M512" s="2"/>
      <c r="N512" s="2"/>
      <c r="R512" s="129">
        <f t="shared" si="249"/>
        <v>0</v>
      </c>
      <c r="S512" s="129">
        <f t="shared" si="250"/>
        <v>0</v>
      </c>
      <c r="T512" s="129">
        <f t="shared" si="251"/>
        <v>0</v>
      </c>
      <c r="U512" s="129">
        <f t="shared" si="252"/>
        <v>0</v>
      </c>
      <c r="V512" s="258"/>
      <c r="W512" s="129" t="str">
        <f t="shared" si="254"/>
        <v/>
      </c>
      <c r="X512" s="129">
        <f t="shared" si="253"/>
        <v>1</v>
      </c>
      <c r="Y512" s="129">
        <f t="shared" si="255"/>
        <v>1</v>
      </c>
      <c r="Z512" s="129" t="str" cm="1">
        <f t="array" ref="Z512">_xlfn.IFS(X512=4,"A",X512=3,"B",X512=2,"C",X512=1,"D")</f>
        <v>D</v>
      </c>
      <c r="AA512" s="175"/>
    </row>
    <row r="513" spans="1:27" customFormat="1" ht="6" customHeight="1">
      <c r="E513" s="3"/>
      <c r="H513" s="1198"/>
      <c r="I513" s="1198"/>
      <c r="L513" s="2"/>
      <c r="M513" s="2"/>
      <c r="N513" s="2"/>
      <c r="R513" s="129">
        <f t="shared" si="249"/>
        <v>0</v>
      </c>
      <c r="S513" s="129">
        <f t="shared" si="250"/>
        <v>0</v>
      </c>
      <c r="T513" s="129">
        <f t="shared" si="251"/>
        <v>0</v>
      </c>
      <c r="U513" s="129">
        <f t="shared" si="252"/>
        <v>0</v>
      </c>
      <c r="V513" s="258"/>
      <c r="W513" s="129" t="str">
        <f t="shared" si="254"/>
        <v/>
      </c>
      <c r="X513" s="129">
        <f t="shared" si="253"/>
        <v>1</v>
      </c>
      <c r="Y513" s="129">
        <f t="shared" si="255"/>
        <v>1</v>
      </c>
      <c r="Z513" s="129" t="str" cm="1">
        <f t="array" ref="Z513">_xlfn.IFS(X513=4,"A",X513=3,"B",X513=2,"C",X513=1,"D")</f>
        <v>D</v>
      </c>
      <c r="AA513" s="175"/>
    </row>
    <row r="514" spans="1:27" customFormat="1" ht="103.5" customHeight="1">
      <c r="C514" s="78"/>
      <c r="D514" s="79"/>
      <c r="E514" s="71" t="s">
        <v>236</v>
      </c>
      <c r="F514" s="1452"/>
      <c r="G514" s="1452"/>
      <c r="H514" s="1452"/>
      <c r="I514" s="1452"/>
      <c r="J514" s="1452"/>
      <c r="K514" s="80" t="s">
        <v>132</v>
      </c>
      <c r="L514" s="80"/>
    </row>
    <row r="515" spans="1:27" customFormat="1" ht="146.25" customHeight="1">
      <c r="C515" s="75"/>
      <c r="D515" s="68"/>
      <c r="E515" s="71" t="s">
        <v>235</v>
      </c>
      <c r="F515" s="1452"/>
      <c r="G515" s="1452"/>
      <c r="H515" s="1452"/>
      <c r="I515" s="1452"/>
      <c r="J515" s="1452"/>
      <c r="L515" s="2"/>
      <c r="M515" s="2"/>
      <c r="N515" s="2"/>
    </row>
    <row r="516" spans="1:27" customFormat="1" ht="13.5" customHeight="1" thickBot="1">
      <c r="A516" s="81"/>
      <c r="B516" s="81"/>
      <c r="C516" s="81"/>
      <c r="D516" s="81"/>
      <c r="E516" s="311"/>
      <c r="F516" s="81"/>
      <c r="G516" s="81"/>
      <c r="H516" s="1205"/>
      <c r="I516" s="1205"/>
      <c r="J516" s="81"/>
      <c r="K516" s="81"/>
      <c r="L516" s="82"/>
      <c r="M516" s="2"/>
      <c r="N516" s="2"/>
    </row>
    <row r="517" spans="1:27" customFormat="1" ht="13.5" customHeight="1">
      <c r="E517" s="3"/>
      <c r="H517" s="1198"/>
      <c r="I517" s="1198"/>
      <c r="L517" s="2"/>
      <c r="M517" s="2"/>
      <c r="N517" s="2"/>
    </row>
    <row r="518" spans="1:27" customFormat="1" ht="15" customHeight="1">
      <c r="B518" s="10"/>
      <c r="C518" s="5"/>
      <c r="D518" s="5"/>
      <c r="E518" s="305"/>
      <c r="F518" s="5"/>
      <c r="G518" s="5"/>
      <c r="H518" s="1199"/>
      <c r="I518" s="1199"/>
      <c r="J518" s="5"/>
      <c r="K518" s="6"/>
      <c r="R518" s="11" t="str">
        <f>D519</f>
        <v>(選択してください)</v>
      </c>
    </row>
    <row r="519" spans="1:27" customFormat="1">
      <c r="B519" s="7"/>
      <c r="C519" s="77" t="str">
        <f ca="1">IFERROR(OFFSET('4.3民生部門電力以外の排出削減取組'!$C$1,MATCH(D519,'4.3民生部門電力以外の排出削減取組'!$E:$E,0)-1,0),"")</f>
        <v/>
      </c>
      <c r="D519" s="94" t="s">
        <v>130</v>
      </c>
      <c r="E519" s="72" t="s">
        <v>12</v>
      </c>
      <c r="F519" s="1451" t="str">
        <f ca="1">IFERROR(OFFSET('4.3民生部門電力以外の排出削減取組'!$G$1,MATCH($D519,'4.3民生部門電力以外の排出削減取組'!$E:$E,0)-1,0),"")</f>
        <v/>
      </c>
      <c r="G519" s="1451"/>
      <c r="H519" s="1451"/>
      <c r="I519" s="1451"/>
      <c r="J519" s="1451"/>
      <c r="K519" s="8"/>
      <c r="R519" s="255" t="str">
        <f ca="1">IFERROR(OFFSET('4.3民生部門電力以外の排出削減取組'!$G$1,MATCH($D519,'4.3民生部門電力以外の排出削減取組'!$E:$E,0)-1,0),"")</f>
        <v/>
      </c>
      <c r="S519" s="175"/>
      <c r="T519" s="175"/>
      <c r="U519" s="175"/>
      <c r="V519" s="175"/>
      <c r="W519" s="175"/>
      <c r="X519" s="175"/>
      <c r="Y519" s="175"/>
      <c r="Z519" s="175"/>
      <c r="AA519" s="175">
        <f ca="1">(F519=R519)*1</f>
        <v>1</v>
      </c>
    </row>
    <row r="520" spans="1:27" customFormat="1">
      <c r="B520" s="7"/>
      <c r="C520" s="915"/>
      <c r="D520" s="97"/>
      <c r="E520" s="72" t="s">
        <v>612</v>
      </c>
      <c r="F520" s="1447" t="str">
        <f ca="1">IFERROR(OFFSET('4.3民生部門電力以外の排出削減取組'!$J$1,MATCH($D519,'4.3民生部門電力以外の排出削減取組'!$E:$E,0)-1,0),"")</f>
        <v/>
      </c>
      <c r="G520" s="1448"/>
      <c r="H520" s="1448"/>
      <c r="I520" s="1448"/>
      <c r="J520" s="1449"/>
      <c r="K520" s="8"/>
      <c r="R520" s="255" t="str">
        <f ca="1">IFERROR(OFFSET('4.3民生部門電力以外の排出削減取組'!$J$1,MATCH($D519,'4.3民生部門電力以外の排出削減取組'!$E:$E,0)-1,0),"")</f>
        <v/>
      </c>
      <c r="S520" s="175"/>
      <c r="T520" s="175"/>
      <c r="U520" s="175"/>
      <c r="V520" s="175"/>
      <c r="W520" s="175"/>
      <c r="X520" s="175"/>
      <c r="Y520" s="175"/>
      <c r="Z520" s="175"/>
      <c r="AA520" s="175">
        <f ca="1">(F520=R520)*1</f>
        <v>1</v>
      </c>
    </row>
    <row r="521" spans="1:27" customFormat="1">
      <c r="B521" s="7"/>
      <c r="C521" s="74"/>
      <c r="D521" s="66"/>
      <c r="E521" s="72" t="s">
        <v>280</v>
      </c>
      <c r="F521" s="1470" t="str">
        <f ca="1">IFERROR(OFFSET('4.3民生部門電力以外の排出削減取組'!$H$1,MATCH($D519,'4.3民生部門電力以外の排出削減取組'!$E:$E,0)-1,0),"")</f>
        <v/>
      </c>
      <c r="G521" s="1470"/>
      <c r="H521" s="1470"/>
      <c r="I521" s="1470"/>
      <c r="J521" s="1470"/>
      <c r="K521" s="8"/>
      <c r="R521" s="175" t="str">
        <f ca="1">IFERROR(OFFSET('4.3民生部門電力以外の排出削減取組'!$H$1,MATCH($D519,'4.3民生部門電力以外の排出削減取組'!$E:$E,0)-1,0),"")</f>
        <v/>
      </c>
      <c r="S521" s="175"/>
      <c r="T521" s="175"/>
      <c r="U521" s="175"/>
      <c r="V521" s="175"/>
      <c r="W521" s="175"/>
      <c r="X521" s="175"/>
      <c r="Y521" s="175"/>
      <c r="Z521" s="175"/>
      <c r="AA521" s="175">
        <f t="shared" ref="AA521:AA522" ca="1" si="256">(F521=R521)*1</f>
        <v>1</v>
      </c>
    </row>
    <row r="522" spans="1:27" customFormat="1">
      <c r="B522" s="7"/>
      <c r="C522" s="74"/>
      <c r="D522" s="66"/>
      <c r="E522" s="72" t="s">
        <v>175</v>
      </c>
      <c r="F522" s="1451" t="str">
        <f>_xlfn.IFNA(R522,"")</f>
        <v/>
      </c>
      <c r="G522" s="1451"/>
      <c r="H522" s="1451"/>
      <c r="I522" s="1451"/>
      <c r="J522" s="1451"/>
      <c r="K522" s="8"/>
      <c r="R522" s="129" t="str">
        <f>IF(OR(COUNTIF($E524:$E529,"&lt;&gt;〇〇(合意形成対象者名に書き換え)")=3,COUNTIF($E524:$E529,"")&gt;3),"",IF(PRODUCT($Y524:$Y529)=1,Z524,""))</f>
        <v/>
      </c>
      <c r="S522" s="175"/>
      <c r="T522" s="175"/>
      <c r="U522" s="175"/>
      <c r="V522" s="175"/>
      <c r="W522" s="175"/>
      <c r="X522" s="175"/>
      <c r="Y522" s="175"/>
      <c r="Z522" s="175"/>
      <c r="AA522" s="175">
        <f t="shared" si="256"/>
        <v>1</v>
      </c>
    </row>
    <row r="523" spans="1:27" ht="63.75" customHeight="1">
      <c r="B523" s="95"/>
      <c r="C523" s="96"/>
      <c r="D523" s="97"/>
      <c r="E523" s="888"/>
      <c r="F523" s="313" t="s">
        <v>278</v>
      </c>
      <c r="G523" s="313" t="s">
        <v>268</v>
      </c>
      <c r="H523" s="1200" t="s">
        <v>437</v>
      </c>
      <c r="I523" s="1200" t="s">
        <v>439</v>
      </c>
      <c r="J523" s="313" t="s">
        <v>279</v>
      </c>
      <c r="K523" s="98"/>
      <c r="L523" s="11"/>
      <c r="R523" s="126" t="s">
        <v>278</v>
      </c>
      <c r="S523" s="126" t="s">
        <v>440</v>
      </c>
      <c r="T523" s="295" t="s">
        <v>437</v>
      </c>
      <c r="U523" s="295" t="s">
        <v>438</v>
      </c>
      <c r="V523" s="256" t="s">
        <v>270</v>
      </c>
      <c r="W523" s="126" t="s">
        <v>426</v>
      </c>
      <c r="X523" s="129" t="s">
        <v>402</v>
      </c>
      <c r="Y523" s="129" t="s">
        <v>430</v>
      </c>
      <c r="Z523" s="126" t="s">
        <v>425</v>
      </c>
      <c r="AA523" s="255"/>
    </row>
    <row r="524" spans="1:27" hidden="1">
      <c r="B524" s="95"/>
      <c r="C524" s="96"/>
      <c r="D524" s="97"/>
      <c r="E524" s="889"/>
      <c r="F524" s="439"/>
      <c r="G524" s="439"/>
      <c r="H524" s="1201"/>
      <c r="I524" s="1201"/>
      <c r="J524" s="439"/>
      <c r="K524" s="98"/>
      <c r="L524" s="11"/>
      <c r="R524" s="129">
        <f t="shared" ref="R524:R529" si="257">IF(F524="実施済",1,0)</f>
        <v>0</v>
      </c>
      <c r="S524" s="129">
        <f t="shared" ref="S524:S529" si="258">IF(G524="実施済",R524*1,0)</f>
        <v>0</v>
      </c>
      <c r="T524" s="129">
        <f t="shared" ref="T524:T529" si="259">IF(H524="実施済",S524*1,0)</f>
        <v>0</v>
      </c>
      <c r="U524" s="129">
        <f t="shared" ref="U524:U529" si="260">IF(I524="実施済",T524*1,0)</f>
        <v>0</v>
      </c>
      <c r="V524" s="258"/>
      <c r="W524" s="129" t="str">
        <f>IF(OR(E524="〇〇(合意形成対象者名に書き換え)",E524=""),"",SUM(S524,T524,U524))</f>
        <v/>
      </c>
      <c r="X524" s="129">
        <f t="shared" ref="X524:X529" si="261">MIN($W$524:$W$529)+1</f>
        <v>1</v>
      </c>
      <c r="Y524" s="129">
        <f>IF(E524="",1,IF(AND(E524="〇〇(合意形成対象者名に書き換え)",COUNTA($F524:$J524)=0),1,IF(AND(E524&lt;&gt;"〇〇(合意形成対象者名に書き換え)",COUNTA($F524:$J524)=5),1,0)))</f>
        <v>1</v>
      </c>
      <c r="Z524" s="129" t="str" cm="1">
        <f t="array" ref="Z524">_xlfn.IFS(X524=4,"A",X524=3,"B",X524=2,"C",X524=1,"D")</f>
        <v>D</v>
      </c>
      <c r="AA524" s="255"/>
    </row>
    <row r="525" spans="1:27">
      <c r="B525" s="95"/>
      <c r="C525" s="96"/>
      <c r="D525" s="97"/>
      <c r="E525" s="890" t="s">
        <v>129</v>
      </c>
      <c r="F525" s="445"/>
      <c r="G525" s="445"/>
      <c r="H525" s="1202"/>
      <c r="I525" s="1202"/>
      <c r="J525" s="445"/>
      <c r="K525" s="98"/>
      <c r="L525" s="11"/>
      <c r="R525" s="129">
        <f t="shared" si="257"/>
        <v>0</v>
      </c>
      <c r="S525" s="129">
        <f t="shared" si="258"/>
        <v>0</v>
      </c>
      <c r="T525" s="129">
        <f t="shared" si="259"/>
        <v>0</v>
      </c>
      <c r="U525" s="129">
        <f t="shared" si="260"/>
        <v>0</v>
      </c>
      <c r="V525" s="258"/>
      <c r="W525" s="129" t="str">
        <f t="shared" ref="W525:W529" si="262">IF(OR(E525="〇〇(合意形成対象者名に書き換え)",E525=""),"",SUM(S525,T525,U525))</f>
        <v/>
      </c>
      <c r="X525" s="129">
        <f t="shared" si="261"/>
        <v>1</v>
      </c>
      <c r="Y525" s="129">
        <f t="shared" ref="Y525:Y529" si="263">IF(E525="",1,IF(AND(E525="〇〇(合意形成対象者名に書き換え)",COUNTA($F525:$J525)=0),1,IF(AND(E525&lt;&gt;"〇〇(合意形成対象者名に書き換え)",COUNTA($F525:$J525)=5),1,0)))</f>
        <v>1</v>
      </c>
      <c r="Z525" s="129" t="str" cm="1">
        <f t="array" ref="Z525">_xlfn.IFS(X525=4,"A",X525=3,"B",X525=2,"C",X525=1,"D")</f>
        <v>D</v>
      </c>
      <c r="AA525" s="255"/>
    </row>
    <row r="526" spans="1:27">
      <c r="B526" s="95"/>
      <c r="C526" s="96"/>
      <c r="D526" s="97"/>
      <c r="E526" s="890" t="s">
        <v>129</v>
      </c>
      <c r="F526" s="441"/>
      <c r="G526" s="441"/>
      <c r="H526" s="1203"/>
      <c r="I526" s="1203"/>
      <c r="J526" s="441"/>
      <c r="K526" s="98"/>
      <c r="L526" s="11"/>
      <c r="R526" s="129">
        <f t="shared" si="257"/>
        <v>0</v>
      </c>
      <c r="S526" s="129">
        <f t="shared" si="258"/>
        <v>0</v>
      </c>
      <c r="T526" s="129">
        <f t="shared" si="259"/>
        <v>0</v>
      </c>
      <c r="U526" s="129">
        <f t="shared" si="260"/>
        <v>0</v>
      </c>
      <c r="V526" s="258"/>
      <c r="W526" s="129" t="str">
        <f t="shared" si="262"/>
        <v/>
      </c>
      <c r="X526" s="129">
        <f t="shared" si="261"/>
        <v>1</v>
      </c>
      <c r="Y526" s="129">
        <f t="shared" si="263"/>
        <v>1</v>
      </c>
      <c r="Z526" s="129" t="str" cm="1">
        <f t="array" ref="Z526">_xlfn.IFS(X526=4,"A",X526=3,"B",X526=2,"C",X526=1,"D")</f>
        <v>D</v>
      </c>
      <c r="AA526" s="255"/>
    </row>
    <row r="527" spans="1:27" s="99" customFormat="1">
      <c r="A527" s="11"/>
      <c r="B527" s="95"/>
      <c r="C527" s="96"/>
      <c r="D527" s="97"/>
      <c r="E527" s="890" t="s">
        <v>129</v>
      </c>
      <c r="F527" s="441"/>
      <c r="G527" s="441"/>
      <c r="H527" s="1203"/>
      <c r="I527" s="1203"/>
      <c r="J527" s="441"/>
      <c r="K527" s="98"/>
      <c r="L527" s="11"/>
      <c r="O527" s="11"/>
      <c r="P527" s="11"/>
      <c r="Q527" s="11"/>
      <c r="R527" s="129">
        <f t="shared" si="257"/>
        <v>0</v>
      </c>
      <c r="S527" s="129">
        <f t="shared" si="258"/>
        <v>0</v>
      </c>
      <c r="T527" s="129">
        <f t="shared" si="259"/>
        <v>0</v>
      </c>
      <c r="U527" s="129">
        <f t="shared" si="260"/>
        <v>0</v>
      </c>
      <c r="V527" s="258"/>
      <c r="W527" s="129" t="str">
        <f t="shared" si="262"/>
        <v/>
      </c>
      <c r="X527" s="129">
        <f t="shared" si="261"/>
        <v>1</v>
      </c>
      <c r="Y527" s="129">
        <f t="shared" si="263"/>
        <v>1</v>
      </c>
      <c r="Z527" s="129" t="str" cm="1">
        <f t="array" ref="Z527">_xlfn.IFS(X527=4,"A",X527=3,"B",X527=2,"C",X527=1,"D")</f>
        <v>D</v>
      </c>
      <c r="AA527" s="129"/>
    </row>
    <row r="528" spans="1:27" customFormat="1" ht="7.5" customHeight="1">
      <c r="B528" s="65"/>
      <c r="C528" s="4"/>
      <c r="D528" s="4"/>
      <c r="E528" s="288"/>
      <c r="F528" s="4"/>
      <c r="G528" s="4"/>
      <c r="H528" s="1204"/>
      <c r="I528" s="1204"/>
      <c r="J528" s="4"/>
      <c r="K528" s="9"/>
      <c r="L528" s="2"/>
      <c r="M528" s="2"/>
      <c r="N528" s="2"/>
      <c r="R528" s="129">
        <f t="shared" si="257"/>
        <v>0</v>
      </c>
      <c r="S528" s="129">
        <f t="shared" si="258"/>
        <v>0</v>
      </c>
      <c r="T528" s="129">
        <f t="shared" si="259"/>
        <v>0</v>
      </c>
      <c r="U528" s="129">
        <f t="shared" si="260"/>
        <v>0</v>
      </c>
      <c r="V528" s="258"/>
      <c r="W528" s="129" t="str">
        <f t="shared" si="262"/>
        <v/>
      </c>
      <c r="X528" s="129">
        <f t="shared" si="261"/>
        <v>1</v>
      </c>
      <c r="Y528" s="129">
        <f t="shared" si="263"/>
        <v>1</v>
      </c>
      <c r="Z528" s="129" t="str" cm="1">
        <f t="array" ref="Z528">_xlfn.IFS(X528=4,"A",X528=3,"B",X528=2,"C",X528=1,"D")</f>
        <v>D</v>
      </c>
      <c r="AA528" s="175"/>
    </row>
    <row r="529" spans="1:27" customFormat="1" ht="6" customHeight="1">
      <c r="E529" s="3"/>
      <c r="H529" s="1198"/>
      <c r="I529" s="1198"/>
      <c r="L529" s="2"/>
      <c r="M529" s="2"/>
      <c r="N529" s="2"/>
      <c r="R529" s="129">
        <f t="shared" si="257"/>
        <v>0</v>
      </c>
      <c r="S529" s="129">
        <f t="shared" si="258"/>
        <v>0</v>
      </c>
      <c r="T529" s="129">
        <f t="shared" si="259"/>
        <v>0</v>
      </c>
      <c r="U529" s="129">
        <f t="shared" si="260"/>
        <v>0</v>
      </c>
      <c r="V529" s="258"/>
      <c r="W529" s="129" t="str">
        <f t="shared" si="262"/>
        <v/>
      </c>
      <c r="X529" s="129">
        <f t="shared" si="261"/>
        <v>1</v>
      </c>
      <c r="Y529" s="129">
        <f t="shared" si="263"/>
        <v>1</v>
      </c>
      <c r="Z529" s="129" t="str" cm="1">
        <f t="array" ref="Z529">_xlfn.IFS(X529=4,"A",X529=3,"B",X529=2,"C",X529=1,"D")</f>
        <v>D</v>
      </c>
      <c r="AA529" s="175"/>
    </row>
    <row r="530" spans="1:27" customFormat="1" ht="103.5" customHeight="1">
      <c r="C530" s="78"/>
      <c r="D530" s="79"/>
      <c r="E530" s="71" t="s">
        <v>236</v>
      </c>
      <c r="F530" s="1452"/>
      <c r="G530" s="1452"/>
      <c r="H530" s="1452"/>
      <c r="I530" s="1452"/>
      <c r="J530" s="1452"/>
      <c r="K530" s="80" t="s">
        <v>132</v>
      </c>
      <c r="L530" s="80"/>
    </row>
    <row r="531" spans="1:27" customFormat="1" ht="146.25" customHeight="1">
      <c r="C531" s="75"/>
      <c r="D531" s="68"/>
      <c r="E531" s="71" t="s">
        <v>235</v>
      </c>
      <c r="F531" s="1452"/>
      <c r="G531" s="1452"/>
      <c r="H531" s="1452"/>
      <c r="I531" s="1452"/>
      <c r="J531" s="1452"/>
      <c r="L531" s="2"/>
      <c r="M531" s="2"/>
      <c r="N531" s="2"/>
    </row>
    <row r="532" spans="1:27" customFormat="1" ht="13.5" customHeight="1" thickBot="1">
      <c r="A532" s="81"/>
      <c r="B532" s="81"/>
      <c r="C532" s="81"/>
      <c r="D532" s="81"/>
      <c r="E532" s="311"/>
      <c r="F532" s="81"/>
      <c r="G532" s="81"/>
      <c r="H532" s="1205"/>
      <c r="I532" s="1205"/>
      <c r="J532" s="81"/>
      <c r="K532" s="81"/>
      <c r="L532" s="82"/>
      <c r="M532" s="2"/>
      <c r="N532" s="2"/>
    </row>
    <row r="533" spans="1:27" customFormat="1" ht="13.5" customHeight="1">
      <c r="E533" s="3"/>
      <c r="H533" s="1198"/>
      <c r="I533" s="1198"/>
      <c r="L533" s="2"/>
      <c r="M533" s="2"/>
      <c r="N533" s="2"/>
    </row>
    <row r="534" spans="1:27" customFormat="1" ht="15" customHeight="1">
      <c r="B534" s="10"/>
      <c r="C534" s="5"/>
      <c r="D534" s="5"/>
      <c r="E534" s="305"/>
      <c r="F534" s="5"/>
      <c r="G534" s="5"/>
      <c r="H534" s="1199"/>
      <c r="I534" s="1199"/>
      <c r="J534" s="5"/>
      <c r="K534" s="6"/>
      <c r="R534" s="11" t="str">
        <f>D535</f>
        <v>(選択してください)</v>
      </c>
    </row>
    <row r="535" spans="1:27" customFormat="1">
      <c r="B535" s="7"/>
      <c r="C535" s="77" t="str">
        <f ca="1">IFERROR(OFFSET('4.3民生部門電力以外の排出削減取組'!$C$1,MATCH(D535,'4.3民生部門電力以外の排出削減取組'!$E:$E,0)-1,0),"")</f>
        <v/>
      </c>
      <c r="D535" s="94" t="s">
        <v>130</v>
      </c>
      <c r="E535" s="72" t="s">
        <v>12</v>
      </c>
      <c r="F535" s="1451" t="str">
        <f ca="1">IFERROR(OFFSET('4.3民生部門電力以外の排出削減取組'!$G$1,MATCH($D535,'4.3民生部門電力以外の排出削減取組'!$E:$E,0)-1,0),"")</f>
        <v/>
      </c>
      <c r="G535" s="1451"/>
      <c r="H535" s="1451"/>
      <c r="I535" s="1451"/>
      <c r="J535" s="1451"/>
      <c r="K535" s="8"/>
      <c r="R535" s="255" t="str">
        <f ca="1">IFERROR(OFFSET('4.3民生部門電力以外の排出削減取組'!$G$1,MATCH($D535,'4.3民生部門電力以外の排出削減取組'!$E:$E,0)-1,0),"")</f>
        <v/>
      </c>
      <c r="S535" s="175"/>
      <c r="T535" s="175"/>
      <c r="U535" s="175"/>
      <c r="V535" s="175"/>
      <c r="W535" s="175"/>
      <c r="X535" s="175"/>
      <c r="Y535" s="175"/>
      <c r="Z535" s="175"/>
      <c r="AA535" s="175">
        <f ca="1">(F535=R535)*1</f>
        <v>1</v>
      </c>
    </row>
    <row r="536" spans="1:27" customFormat="1">
      <c r="B536" s="7"/>
      <c r="C536" s="915"/>
      <c r="D536" s="97"/>
      <c r="E536" s="72" t="s">
        <v>612</v>
      </c>
      <c r="F536" s="1447" t="str">
        <f ca="1">IFERROR(OFFSET('4.3民生部門電力以外の排出削減取組'!$J$1,MATCH($D535,'4.3民生部門電力以外の排出削減取組'!$E:$E,0)-1,0),"")</f>
        <v/>
      </c>
      <c r="G536" s="1448"/>
      <c r="H536" s="1448"/>
      <c r="I536" s="1448"/>
      <c r="J536" s="1449"/>
      <c r="K536" s="8"/>
      <c r="R536" s="255" t="str">
        <f ca="1">IFERROR(OFFSET('4.3民生部門電力以外の排出削減取組'!$J$1,MATCH($D535,'4.3民生部門電力以外の排出削減取組'!$E:$E,0)-1,0),"")</f>
        <v/>
      </c>
      <c r="S536" s="175"/>
      <c r="T536" s="175"/>
      <c r="U536" s="175"/>
      <c r="V536" s="175"/>
      <c r="W536" s="175"/>
      <c r="X536" s="175"/>
      <c r="Y536" s="175"/>
      <c r="Z536" s="175"/>
      <c r="AA536" s="175">
        <f ca="1">(F536=R536)*1</f>
        <v>1</v>
      </c>
    </row>
    <row r="537" spans="1:27" customFormat="1">
      <c r="B537" s="7"/>
      <c r="C537" s="74"/>
      <c r="D537" s="66"/>
      <c r="E537" s="72" t="s">
        <v>280</v>
      </c>
      <c r="F537" s="1470" t="str">
        <f ca="1">IFERROR(OFFSET('4.3民生部門電力以外の排出削減取組'!$H$1,MATCH($D535,'4.3民生部門電力以外の排出削減取組'!$E:$E,0)-1,0),"")</f>
        <v/>
      </c>
      <c r="G537" s="1470"/>
      <c r="H537" s="1470"/>
      <c r="I537" s="1470"/>
      <c r="J537" s="1470"/>
      <c r="K537" s="8"/>
      <c r="R537" s="175" t="str">
        <f ca="1">IFERROR(OFFSET('4.3民生部門電力以外の排出削減取組'!$H$1,MATCH($D535,'4.3民生部門電力以外の排出削減取組'!$E:$E,0)-1,0),"")</f>
        <v/>
      </c>
      <c r="S537" s="175"/>
      <c r="T537" s="175"/>
      <c r="U537" s="175"/>
      <c r="V537" s="175"/>
      <c r="W537" s="175"/>
      <c r="X537" s="175"/>
      <c r="Y537" s="175"/>
      <c r="Z537" s="175"/>
      <c r="AA537" s="175">
        <f t="shared" ref="AA537:AA538" ca="1" si="264">(F537=R537)*1</f>
        <v>1</v>
      </c>
    </row>
    <row r="538" spans="1:27" customFormat="1">
      <c r="B538" s="7"/>
      <c r="C538" s="74"/>
      <c r="D538" s="66"/>
      <c r="E538" s="72" t="s">
        <v>175</v>
      </c>
      <c r="F538" s="1451" t="str">
        <f>_xlfn.IFNA(R538,"")</f>
        <v/>
      </c>
      <c r="G538" s="1451"/>
      <c r="H538" s="1451"/>
      <c r="I538" s="1451"/>
      <c r="J538" s="1451"/>
      <c r="K538" s="8"/>
      <c r="R538" s="129" t="str">
        <f>IF(OR(COUNTIF($E540:$E545,"&lt;&gt;〇〇(合意形成対象者名に書き換え)")=3,COUNTIF($E540:$E545,"")&gt;3),"",IF(PRODUCT($Y540:$Y545)=1,Z540,""))</f>
        <v/>
      </c>
      <c r="S538" s="175"/>
      <c r="T538" s="175"/>
      <c r="U538" s="175"/>
      <c r="V538" s="175"/>
      <c r="W538" s="175"/>
      <c r="X538" s="175"/>
      <c r="Y538" s="175"/>
      <c r="Z538" s="175"/>
      <c r="AA538" s="175">
        <f t="shared" si="264"/>
        <v>1</v>
      </c>
    </row>
    <row r="539" spans="1:27" ht="63.75" customHeight="1">
      <c r="B539" s="95"/>
      <c r="C539" s="96"/>
      <c r="D539" s="97"/>
      <c r="E539" s="888"/>
      <c r="F539" s="313" t="s">
        <v>278</v>
      </c>
      <c r="G539" s="313" t="s">
        <v>268</v>
      </c>
      <c r="H539" s="1200" t="s">
        <v>437</v>
      </c>
      <c r="I539" s="1200" t="s">
        <v>439</v>
      </c>
      <c r="J539" s="313" t="s">
        <v>279</v>
      </c>
      <c r="K539" s="98"/>
      <c r="L539" s="11"/>
      <c r="R539" s="126" t="s">
        <v>278</v>
      </c>
      <c r="S539" s="126" t="s">
        <v>440</v>
      </c>
      <c r="T539" s="295" t="s">
        <v>437</v>
      </c>
      <c r="U539" s="295" t="s">
        <v>438</v>
      </c>
      <c r="V539" s="256" t="s">
        <v>270</v>
      </c>
      <c r="W539" s="126" t="s">
        <v>426</v>
      </c>
      <c r="X539" s="129" t="s">
        <v>402</v>
      </c>
      <c r="Y539" s="129" t="s">
        <v>430</v>
      </c>
      <c r="Z539" s="126" t="s">
        <v>425</v>
      </c>
      <c r="AA539" s="255"/>
    </row>
    <row r="540" spans="1:27" hidden="1">
      <c r="B540" s="95"/>
      <c r="C540" s="96"/>
      <c r="D540" s="97"/>
      <c r="E540" s="889"/>
      <c r="F540" s="439"/>
      <c r="G540" s="439"/>
      <c r="H540" s="1201"/>
      <c r="I540" s="1201"/>
      <c r="J540" s="439"/>
      <c r="K540" s="98"/>
      <c r="L540" s="11"/>
      <c r="R540" s="129">
        <f t="shared" ref="R540:R545" si="265">IF(F540="実施済",1,0)</f>
        <v>0</v>
      </c>
      <c r="S540" s="129">
        <f t="shared" ref="S540:S545" si="266">IF(G540="実施済",R540*1,0)</f>
        <v>0</v>
      </c>
      <c r="T540" s="129">
        <f t="shared" ref="T540:T545" si="267">IF(H540="実施済",S540*1,0)</f>
        <v>0</v>
      </c>
      <c r="U540" s="129">
        <f t="shared" ref="U540:U545" si="268">IF(I540="実施済",T540*1,0)</f>
        <v>0</v>
      </c>
      <c r="V540" s="258"/>
      <c r="W540" s="129" t="str">
        <f>IF(OR(E540="〇〇(合意形成対象者名に書き換え)",E540=""),"",SUM(S540,T540,U540))</f>
        <v/>
      </c>
      <c r="X540" s="129">
        <f t="shared" ref="X540:X545" si="269">MIN($W$540:$W$545)+1</f>
        <v>1</v>
      </c>
      <c r="Y540" s="129">
        <f>IF(E540="",1,IF(AND(E540="〇〇(合意形成対象者名に書き換え)",COUNTA($F540:$J540)=0),1,IF(AND(E540&lt;&gt;"〇〇(合意形成対象者名に書き換え)",COUNTA($F540:$J540)=5),1,0)))</f>
        <v>1</v>
      </c>
      <c r="Z540" s="129" t="str" cm="1">
        <f t="array" ref="Z540">_xlfn.IFS(X540=4,"A",X540=3,"B",X540=2,"C",X540=1,"D")</f>
        <v>D</v>
      </c>
      <c r="AA540" s="255"/>
    </row>
    <row r="541" spans="1:27">
      <c r="B541" s="95"/>
      <c r="C541" s="96"/>
      <c r="D541" s="97"/>
      <c r="E541" s="890" t="s">
        <v>129</v>
      </c>
      <c r="F541" s="445"/>
      <c r="G541" s="445"/>
      <c r="H541" s="1202"/>
      <c r="I541" s="1202"/>
      <c r="J541" s="445"/>
      <c r="K541" s="98"/>
      <c r="L541" s="11"/>
      <c r="R541" s="129">
        <f t="shared" si="265"/>
        <v>0</v>
      </c>
      <c r="S541" s="129">
        <f t="shared" si="266"/>
        <v>0</v>
      </c>
      <c r="T541" s="129">
        <f t="shared" si="267"/>
        <v>0</v>
      </c>
      <c r="U541" s="129">
        <f t="shared" si="268"/>
        <v>0</v>
      </c>
      <c r="V541" s="258"/>
      <c r="W541" s="129" t="str">
        <f t="shared" ref="W541:W545" si="270">IF(OR(E541="〇〇(合意形成対象者名に書き換え)",E541=""),"",SUM(S541,T541,U541))</f>
        <v/>
      </c>
      <c r="X541" s="129">
        <f t="shared" si="269"/>
        <v>1</v>
      </c>
      <c r="Y541" s="129">
        <f t="shared" ref="Y541:Y545" si="271">IF(E541="",1,IF(AND(E541="〇〇(合意形成対象者名に書き換え)",COUNTA($F541:$J541)=0),1,IF(AND(E541&lt;&gt;"〇〇(合意形成対象者名に書き換え)",COUNTA($F541:$J541)=5),1,0)))</f>
        <v>1</v>
      </c>
      <c r="Z541" s="129" t="str" cm="1">
        <f t="array" ref="Z541">_xlfn.IFS(X541=4,"A",X541=3,"B",X541=2,"C",X541=1,"D")</f>
        <v>D</v>
      </c>
      <c r="AA541" s="255"/>
    </row>
    <row r="542" spans="1:27">
      <c r="B542" s="95"/>
      <c r="C542" s="96"/>
      <c r="D542" s="97"/>
      <c r="E542" s="890" t="s">
        <v>129</v>
      </c>
      <c r="F542" s="441"/>
      <c r="G542" s="441"/>
      <c r="H542" s="1203"/>
      <c r="I542" s="1203"/>
      <c r="J542" s="441"/>
      <c r="K542" s="98"/>
      <c r="L542" s="11"/>
      <c r="R542" s="129">
        <f t="shared" si="265"/>
        <v>0</v>
      </c>
      <c r="S542" s="129">
        <f t="shared" si="266"/>
        <v>0</v>
      </c>
      <c r="T542" s="129">
        <f t="shared" si="267"/>
        <v>0</v>
      </c>
      <c r="U542" s="129">
        <f t="shared" si="268"/>
        <v>0</v>
      </c>
      <c r="V542" s="258"/>
      <c r="W542" s="129" t="str">
        <f t="shared" si="270"/>
        <v/>
      </c>
      <c r="X542" s="129">
        <f t="shared" si="269"/>
        <v>1</v>
      </c>
      <c r="Y542" s="129">
        <f t="shared" si="271"/>
        <v>1</v>
      </c>
      <c r="Z542" s="129" t="str" cm="1">
        <f t="array" ref="Z542">_xlfn.IFS(X542=4,"A",X542=3,"B",X542=2,"C",X542=1,"D")</f>
        <v>D</v>
      </c>
      <c r="AA542" s="255"/>
    </row>
    <row r="543" spans="1:27" s="99" customFormat="1">
      <c r="A543" s="11"/>
      <c r="B543" s="95"/>
      <c r="C543" s="96"/>
      <c r="D543" s="97"/>
      <c r="E543" s="890" t="s">
        <v>129</v>
      </c>
      <c r="F543" s="441"/>
      <c r="G543" s="441"/>
      <c r="H543" s="1203"/>
      <c r="I543" s="1203"/>
      <c r="J543" s="441"/>
      <c r="K543" s="98"/>
      <c r="L543" s="11"/>
      <c r="O543" s="11"/>
      <c r="P543" s="11"/>
      <c r="Q543" s="11"/>
      <c r="R543" s="129">
        <f t="shared" si="265"/>
        <v>0</v>
      </c>
      <c r="S543" s="129">
        <f t="shared" si="266"/>
        <v>0</v>
      </c>
      <c r="T543" s="129">
        <f t="shared" si="267"/>
        <v>0</v>
      </c>
      <c r="U543" s="129">
        <f t="shared" si="268"/>
        <v>0</v>
      </c>
      <c r="V543" s="258"/>
      <c r="W543" s="129" t="str">
        <f t="shared" si="270"/>
        <v/>
      </c>
      <c r="X543" s="129">
        <f t="shared" si="269"/>
        <v>1</v>
      </c>
      <c r="Y543" s="129">
        <f t="shared" si="271"/>
        <v>1</v>
      </c>
      <c r="Z543" s="129" t="str" cm="1">
        <f t="array" ref="Z543">_xlfn.IFS(X543=4,"A",X543=3,"B",X543=2,"C",X543=1,"D")</f>
        <v>D</v>
      </c>
      <c r="AA543" s="129"/>
    </row>
    <row r="544" spans="1:27" customFormat="1" ht="7.5" customHeight="1">
      <c r="B544" s="65"/>
      <c r="C544" s="4"/>
      <c r="D544" s="4"/>
      <c r="E544" s="288"/>
      <c r="F544" s="4"/>
      <c r="G544" s="4"/>
      <c r="H544" s="1204"/>
      <c r="I544" s="1204"/>
      <c r="J544" s="4"/>
      <c r="K544" s="9"/>
      <c r="L544" s="2"/>
      <c r="M544" s="2"/>
      <c r="N544" s="2"/>
      <c r="R544" s="129">
        <f t="shared" si="265"/>
        <v>0</v>
      </c>
      <c r="S544" s="129">
        <f t="shared" si="266"/>
        <v>0</v>
      </c>
      <c r="T544" s="129">
        <f t="shared" si="267"/>
        <v>0</v>
      </c>
      <c r="U544" s="129">
        <f t="shared" si="268"/>
        <v>0</v>
      </c>
      <c r="V544" s="258"/>
      <c r="W544" s="129" t="str">
        <f t="shared" si="270"/>
        <v/>
      </c>
      <c r="X544" s="129">
        <f t="shared" si="269"/>
        <v>1</v>
      </c>
      <c r="Y544" s="129">
        <f t="shared" si="271"/>
        <v>1</v>
      </c>
      <c r="Z544" s="129" t="str" cm="1">
        <f t="array" ref="Z544">_xlfn.IFS(X544=4,"A",X544=3,"B",X544=2,"C",X544=1,"D")</f>
        <v>D</v>
      </c>
      <c r="AA544" s="175"/>
    </row>
    <row r="545" spans="1:27" customFormat="1" ht="6" customHeight="1">
      <c r="E545" s="3"/>
      <c r="H545" s="1198"/>
      <c r="I545" s="1198"/>
      <c r="L545" s="2"/>
      <c r="M545" s="2"/>
      <c r="N545" s="2"/>
      <c r="R545" s="129">
        <f t="shared" si="265"/>
        <v>0</v>
      </c>
      <c r="S545" s="129">
        <f t="shared" si="266"/>
        <v>0</v>
      </c>
      <c r="T545" s="129">
        <f t="shared" si="267"/>
        <v>0</v>
      </c>
      <c r="U545" s="129">
        <f t="shared" si="268"/>
        <v>0</v>
      </c>
      <c r="V545" s="258"/>
      <c r="W545" s="129" t="str">
        <f t="shared" si="270"/>
        <v/>
      </c>
      <c r="X545" s="129">
        <f t="shared" si="269"/>
        <v>1</v>
      </c>
      <c r="Y545" s="129">
        <f t="shared" si="271"/>
        <v>1</v>
      </c>
      <c r="Z545" s="129" t="str" cm="1">
        <f t="array" ref="Z545">_xlfn.IFS(X545=4,"A",X545=3,"B",X545=2,"C",X545=1,"D")</f>
        <v>D</v>
      </c>
      <c r="AA545" s="175"/>
    </row>
    <row r="546" spans="1:27" customFormat="1" ht="103.5" customHeight="1">
      <c r="C546" s="78"/>
      <c r="D546" s="79"/>
      <c r="E546" s="71" t="s">
        <v>236</v>
      </c>
      <c r="F546" s="1452"/>
      <c r="G546" s="1452"/>
      <c r="H546" s="1452"/>
      <c r="I546" s="1452"/>
      <c r="J546" s="1452"/>
      <c r="K546" s="80" t="s">
        <v>132</v>
      </c>
      <c r="L546" s="80"/>
    </row>
    <row r="547" spans="1:27" customFormat="1" ht="146.25" customHeight="1">
      <c r="C547" s="75"/>
      <c r="D547" s="68"/>
      <c r="E547" s="71" t="s">
        <v>235</v>
      </c>
      <c r="F547" s="1452"/>
      <c r="G547" s="1452"/>
      <c r="H547" s="1452"/>
      <c r="I547" s="1452"/>
      <c r="J547" s="1452"/>
      <c r="L547" s="2"/>
      <c r="M547" s="2"/>
      <c r="N547" s="2"/>
    </row>
    <row r="548" spans="1:27" customFormat="1" ht="13.5" customHeight="1" thickBot="1">
      <c r="A548" s="81"/>
      <c r="B548" s="81"/>
      <c r="C548" s="81"/>
      <c r="D548" s="81"/>
      <c r="E548" s="311"/>
      <c r="F548" s="81"/>
      <c r="G548" s="81"/>
      <c r="H548" s="1205"/>
      <c r="I548" s="1205"/>
      <c r="J548" s="81"/>
      <c r="K548" s="81"/>
      <c r="L548" s="82"/>
      <c r="M548" s="2"/>
      <c r="N548" s="2"/>
    </row>
    <row r="549" spans="1:27" customFormat="1" ht="13.5" customHeight="1">
      <c r="E549" s="3"/>
      <c r="H549" s="1198"/>
      <c r="I549" s="1198"/>
      <c r="L549" s="2"/>
      <c r="M549" s="2"/>
      <c r="N549" s="2"/>
    </row>
    <row r="550" spans="1:27" customFormat="1" ht="15" customHeight="1">
      <c r="B550" s="10"/>
      <c r="C550" s="5"/>
      <c r="D550" s="5"/>
      <c r="E550" s="305"/>
      <c r="F550" s="5"/>
      <c r="G550" s="5"/>
      <c r="H550" s="1199"/>
      <c r="I550" s="1199"/>
      <c r="J550" s="5"/>
      <c r="K550" s="6"/>
      <c r="R550" s="11" t="str">
        <f>D551</f>
        <v>(選択してください)</v>
      </c>
    </row>
    <row r="551" spans="1:27" customFormat="1">
      <c r="B551" s="7"/>
      <c r="C551" s="77" t="str">
        <f ca="1">IFERROR(OFFSET('4.3民生部門電力以外の排出削減取組'!$C$1,MATCH(D551,'4.3民生部門電力以外の排出削減取組'!$E:$E,0)-1,0),"")</f>
        <v/>
      </c>
      <c r="D551" s="94" t="s">
        <v>130</v>
      </c>
      <c r="E551" s="72" t="s">
        <v>12</v>
      </c>
      <c r="F551" s="1451" t="str">
        <f ca="1">IFERROR(OFFSET('4.3民生部門電力以外の排出削減取組'!$G$1,MATCH($D551,'4.3民生部門電力以外の排出削減取組'!$E:$E,0)-1,0),"")</f>
        <v/>
      </c>
      <c r="G551" s="1451"/>
      <c r="H551" s="1451"/>
      <c r="I551" s="1451"/>
      <c r="J551" s="1451"/>
      <c r="K551" s="8"/>
      <c r="R551" s="255" t="str">
        <f ca="1">IFERROR(OFFSET('4.3民生部門電力以外の排出削減取組'!$G$1,MATCH($D551,'4.3民生部門電力以外の排出削減取組'!$E:$E,0)-1,0),"")</f>
        <v/>
      </c>
      <c r="S551" s="175"/>
      <c r="T551" s="175"/>
      <c r="U551" s="175"/>
      <c r="V551" s="175"/>
      <c r="W551" s="175"/>
      <c r="X551" s="175"/>
      <c r="Y551" s="175"/>
      <c r="Z551" s="175"/>
      <c r="AA551" s="175">
        <f ca="1">(F551=R551)*1</f>
        <v>1</v>
      </c>
    </row>
    <row r="552" spans="1:27" customFormat="1">
      <c r="B552" s="7"/>
      <c r="C552" s="915"/>
      <c r="D552" s="97"/>
      <c r="E552" s="72" t="s">
        <v>612</v>
      </c>
      <c r="F552" s="1447" t="str">
        <f ca="1">IFERROR(OFFSET('4.3民生部門電力以外の排出削減取組'!$J$1,MATCH($D551,'4.3民生部門電力以外の排出削減取組'!$E:$E,0)-1,0),"")</f>
        <v/>
      </c>
      <c r="G552" s="1448"/>
      <c r="H552" s="1448"/>
      <c r="I552" s="1448"/>
      <c r="J552" s="1449"/>
      <c r="K552" s="8"/>
      <c r="R552" s="255" t="str">
        <f ca="1">IFERROR(OFFSET('4.3民生部門電力以外の排出削減取組'!$J$1,MATCH($D551,'4.3民生部門電力以外の排出削減取組'!$E:$E,0)-1,0),"")</f>
        <v/>
      </c>
      <c r="S552" s="175"/>
      <c r="T552" s="175"/>
      <c r="U552" s="175"/>
      <c r="V552" s="175"/>
      <c r="W552" s="175"/>
      <c r="X552" s="175"/>
      <c r="Y552" s="175"/>
      <c r="Z552" s="175"/>
      <c r="AA552" s="175">
        <f ca="1">(F552=R552)*1</f>
        <v>1</v>
      </c>
    </row>
    <row r="553" spans="1:27" customFormat="1">
      <c r="B553" s="7"/>
      <c r="C553" s="74"/>
      <c r="D553" s="66"/>
      <c r="E553" s="72" t="s">
        <v>280</v>
      </c>
      <c r="F553" s="1470" t="str">
        <f ca="1">IFERROR(OFFSET('4.3民生部門電力以外の排出削減取組'!$H$1,MATCH($D551,'4.3民生部門電力以外の排出削減取組'!$E:$E,0)-1,0),"")</f>
        <v/>
      </c>
      <c r="G553" s="1470"/>
      <c r="H553" s="1470"/>
      <c r="I553" s="1470"/>
      <c r="J553" s="1470"/>
      <c r="K553" s="8"/>
      <c r="R553" s="175" t="str">
        <f ca="1">IFERROR(OFFSET('4.3民生部門電力以外の排出削減取組'!$H$1,MATCH($D551,'4.3民生部門電力以外の排出削減取組'!$E:$E,0)-1,0),"")</f>
        <v/>
      </c>
      <c r="S553" s="175"/>
      <c r="T553" s="175"/>
      <c r="U553" s="175"/>
      <c r="V553" s="175"/>
      <c r="W553" s="175"/>
      <c r="X553" s="175"/>
      <c r="Y553" s="175"/>
      <c r="Z553" s="175"/>
      <c r="AA553" s="175">
        <f t="shared" ref="AA553:AA554" ca="1" si="272">(F553=R553)*1</f>
        <v>1</v>
      </c>
    </row>
    <row r="554" spans="1:27" customFormat="1">
      <c r="B554" s="7"/>
      <c r="C554" s="74"/>
      <c r="D554" s="66"/>
      <c r="E554" s="72" t="s">
        <v>175</v>
      </c>
      <c r="F554" s="1451" t="str">
        <f>_xlfn.IFNA(R554,"")</f>
        <v/>
      </c>
      <c r="G554" s="1451"/>
      <c r="H554" s="1451"/>
      <c r="I554" s="1451"/>
      <c r="J554" s="1451"/>
      <c r="K554" s="8"/>
      <c r="R554" s="129" t="str">
        <f>IF(OR(COUNTIF($E556:$E561,"&lt;&gt;〇〇(合意形成対象者名に書き換え)")=3,COUNTIF($E556:$E561,"")&gt;3),"",IF(PRODUCT($Y556:$Y561)=1,Z556,""))</f>
        <v/>
      </c>
      <c r="S554" s="175"/>
      <c r="T554" s="175"/>
      <c r="U554" s="175"/>
      <c r="V554" s="175"/>
      <c r="W554" s="175"/>
      <c r="X554" s="175"/>
      <c r="Y554" s="175"/>
      <c r="Z554" s="175"/>
      <c r="AA554" s="175">
        <f t="shared" si="272"/>
        <v>1</v>
      </c>
    </row>
    <row r="555" spans="1:27" ht="63.75" customHeight="1">
      <c r="B555" s="95"/>
      <c r="C555" s="96"/>
      <c r="D555" s="97"/>
      <c r="E555" s="888"/>
      <c r="F555" s="313" t="s">
        <v>278</v>
      </c>
      <c r="G555" s="313" t="s">
        <v>268</v>
      </c>
      <c r="H555" s="1200" t="s">
        <v>437</v>
      </c>
      <c r="I555" s="1200" t="s">
        <v>439</v>
      </c>
      <c r="J555" s="313" t="s">
        <v>279</v>
      </c>
      <c r="K555" s="98"/>
      <c r="L555" s="11"/>
      <c r="R555" s="126" t="s">
        <v>278</v>
      </c>
      <c r="S555" s="126" t="s">
        <v>440</v>
      </c>
      <c r="T555" s="295" t="s">
        <v>437</v>
      </c>
      <c r="U555" s="295" t="s">
        <v>438</v>
      </c>
      <c r="V555" s="256" t="s">
        <v>270</v>
      </c>
      <c r="W555" s="126" t="s">
        <v>426</v>
      </c>
      <c r="X555" s="129" t="s">
        <v>402</v>
      </c>
      <c r="Y555" s="129" t="s">
        <v>430</v>
      </c>
      <c r="Z555" s="126" t="s">
        <v>425</v>
      </c>
      <c r="AA555" s="255"/>
    </row>
    <row r="556" spans="1:27" hidden="1">
      <c r="B556" s="95"/>
      <c r="C556" s="96"/>
      <c r="D556" s="97"/>
      <c r="E556" s="889"/>
      <c r="F556" s="439"/>
      <c r="G556" s="439"/>
      <c r="H556" s="1201"/>
      <c r="I556" s="1201"/>
      <c r="J556" s="439"/>
      <c r="K556" s="98"/>
      <c r="L556" s="11"/>
      <c r="R556" s="129">
        <f t="shared" ref="R556:R561" si="273">IF(F556="実施済",1,0)</f>
        <v>0</v>
      </c>
      <c r="S556" s="129">
        <f t="shared" ref="S556:S561" si="274">IF(G556="実施済",R556*1,0)</f>
        <v>0</v>
      </c>
      <c r="T556" s="129">
        <f t="shared" ref="T556:T561" si="275">IF(H556="実施済",S556*1,0)</f>
        <v>0</v>
      </c>
      <c r="U556" s="129">
        <f t="shared" ref="U556:U561" si="276">IF(I556="実施済",T556*1,0)</f>
        <v>0</v>
      </c>
      <c r="V556" s="258"/>
      <c r="W556" s="129" t="str">
        <f>IF(OR(E556="〇〇(合意形成対象者名に書き換え)",E556=""),"",SUM(S556,T556,U556))</f>
        <v/>
      </c>
      <c r="X556" s="129">
        <f t="shared" ref="X556:X561" si="277">MIN($W$556:$W$561)+1</f>
        <v>1</v>
      </c>
      <c r="Y556" s="129">
        <f>IF(E556="",1,IF(AND(E556="〇〇(合意形成対象者名に書き換え)",COUNTA($F556:$J556)=0),1,IF(AND(E556&lt;&gt;"〇〇(合意形成対象者名に書き換え)",COUNTA($F556:$J556)=5),1,0)))</f>
        <v>1</v>
      </c>
      <c r="Z556" s="129" t="str" cm="1">
        <f t="array" ref="Z556">_xlfn.IFS(X556=4,"A",X556=3,"B",X556=2,"C",X556=1,"D")</f>
        <v>D</v>
      </c>
      <c r="AA556" s="255"/>
    </row>
    <row r="557" spans="1:27">
      <c r="B557" s="95"/>
      <c r="C557" s="96"/>
      <c r="D557" s="97"/>
      <c r="E557" s="890" t="s">
        <v>129</v>
      </c>
      <c r="F557" s="445"/>
      <c r="G557" s="445"/>
      <c r="H557" s="1202"/>
      <c r="I557" s="1202"/>
      <c r="J557" s="445"/>
      <c r="K557" s="98"/>
      <c r="L557" s="11"/>
      <c r="R557" s="129">
        <f t="shared" si="273"/>
        <v>0</v>
      </c>
      <c r="S557" s="129">
        <f t="shared" si="274"/>
        <v>0</v>
      </c>
      <c r="T557" s="129">
        <f t="shared" si="275"/>
        <v>0</v>
      </c>
      <c r="U557" s="129">
        <f t="shared" si="276"/>
        <v>0</v>
      </c>
      <c r="V557" s="258"/>
      <c r="W557" s="129" t="str">
        <f t="shared" ref="W557:W561" si="278">IF(OR(E557="〇〇(合意形成対象者名に書き換え)",E557=""),"",SUM(S557,T557,U557))</f>
        <v/>
      </c>
      <c r="X557" s="129">
        <f t="shared" si="277"/>
        <v>1</v>
      </c>
      <c r="Y557" s="129">
        <f t="shared" ref="Y557:Y561" si="279">IF(E557="",1,IF(AND(E557="〇〇(合意形成対象者名に書き換え)",COUNTA($F557:$J557)=0),1,IF(AND(E557&lt;&gt;"〇〇(合意形成対象者名に書き換え)",COUNTA($F557:$J557)=5),1,0)))</f>
        <v>1</v>
      </c>
      <c r="Z557" s="129" t="str" cm="1">
        <f t="array" ref="Z557">_xlfn.IFS(X557=4,"A",X557=3,"B",X557=2,"C",X557=1,"D")</f>
        <v>D</v>
      </c>
      <c r="AA557" s="255"/>
    </row>
    <row r="558" spans="1:27">
      <c r="B558" s="95"/>
      <c r="C558" s="96"/>
      <c r="D558" s="97"/>
      <c r="E558" s="890" t="s">
        <v>129</v>
      </c>
      <c r="F558" s="441"/>
      <c r="G558" s="441"/>
      <c r="H558" s="1203"/>
      <c r="I558" s="1203"/>
      <c r="J558" s="441"/>
      <c r="K558" s="98"/>
      <c r="L558" s="11"/>
      <c r="R558" s="129">
        <f t="shared" si="273"/>
        <v>0</v>
      </c>
      <c r="S558" s="129">
        <f t="shared" si="274"/>
        <v>0</v>
      </c>
      <c r="T558" s="129">
        <f t="shared" si="275"/>
        <v>0</v>
      </c>
      <c r="U558" s="129">
        <f t="shared" si="276"/>
        <v>0</v>
      </c>
      <c r="V558" s="258"/>
      <c r="W558" s="129" t="str">
        <f t="shared" si="278"/>
        <v/>
      </c>
      <c r="X558" s="129">
        <f t="shared" si="277"/>
        <v>1</v>
      </c>
      <c r="Y558" s="129">
        <f t="shared" si="279"/>
        <v>1</v>
      </c>
      <c r="Z558" s="129" t="str" cm="1">
        <f t="array" ref="Z558">_xlfn.IFS(X558=4,"A",X558=3,"B",X558=2,"C",X558=1,"D")</f>
        <v>D</v>
      </c>
      <c r="AA558" s="255"/>
    </row>
    <row r="559" spans="1:27" s="99" customFormat="1">
      <c r="A559" s="11"/>
      <c r="B559" s="95"/>
      <c r="C559" s="96"/>
      <c r="D559" s="97"/>
      <c r="E559" s="890" t="s">
        <v>129</v>
      </c>
      <c r="F559" s="441"/>
      <c r="G559" s="441"/>
      <c r="H559" s="1203"/>
      <c r="I559" s="1203"/>
      <c r="J559" s="441"/>
      <c r="K559" s="98"/>
      <c r="L559" s="11"/>
      <c r="O559" s="11"/>
      <c r="P559" s="11"/>
      <c r="Q559" s="11"/>
      <c r="R559" s="129">
        <f t="shared" si="273"/>
        <v>0</v>
      </c>
      <c r="S559" s="129">
        <f t="shared" si="274"/>
        <v>0</v>
      </c>
      <c r="T559" s="129">
        <f t="shared" si="275"/>
        <v>0</v>
      </c>
      <c r="U559" s="129">
        <f t="shared" si="276"/>
        <v>0</v>
      </c>
      <c r="V559" s="258"/>
      <c r="W559" s="129" t="str">
        <f t="shared" si="278"/>
        <v/>
      </c>
      <c r="X559" s="129">
        <f t="shared" si="277"/>
        <v>1</v>
      </c>
      <c r="Y559" s="129">
        <f t="shared" si="279"/>
        <v>1</v>
      </c>
      <c r="Z559" s="129" t="str" cm="1">
        <f t="array" ref="Z559">_xlfn.IFS(X559=4,"A",X559=3,"B",X559=2,"C",X559=1,"D")</f>
        <v>D</v>
      </c>
      <c r="AA559" s="129"/>
    </row>
    <row r="560" spans="1:27" customFormat="1" ht="7.5" customHeight="1">
      <c r="B560" s="65"/>
      <c r="C560" s="4"/>
      <c r="D560" s="4"/>
      <c r="E560" s="288"/>
      <c r="F560" s="4"/>
      <c r="G560" s="4"/>
      <c r="H560" s="1204"/>
      <c r="I560" s="1204"/>
      <c r="J560" s="4"/>
      <c r="K560" s="9"/>
      <c r="L560" s="2"/>
      <c r="M560" s="2"/>
      <c r="N560" s="2"/>
      <c r="R560" s="129">
        <f t="shared" si="273"/>
        <v>0</v>
      </c>
      <c r="S560" s="129">
        <f t="shared" si="274"/>
        <v>0</v>
      </c>
      <c r="T560" s="129">
        <f t="shared" si="275"/>
        <v>0</v>
      </c>
      <c r="U560" s="129">
        <f t="shared" si="276"/>
        <v>0</v>
      </c>
      <c r="V560" s="258"/>
      <c r="W560" s="129" t="str">
        <f t="shared" si="278"/>
        <v/>
      </c>
      <c r="X560" s="129">
        <f t="shared" si="277"/>
        <v>1</v>
      </c>
      <c r="Y560" s="129">
        <f t="shared" si="279"/>
        <v>1</v>
      </c>
      <c r="Z560" s="129" t="str" cm="1">
        <f t="array" ref="Z560">_xlfn.IFS(X560=4,"A",X560=3,"B",X560=2,"C",X560=1,"D")</f>
        <v>D</v>
      </c>
      <c r="AA560" s="175"/>
    </row>
    <row r="561" spans="1:27" customFormat="1" ht="6" customHeight="1">
      <c r="E561" s="3"/>
      <c r="H561" s="1198"/>
      <c r="I561" s="1198"/>
      <c r="L561" s="2"/>
      <c r="M561" s="2"/>
      <c r="N561" s="2"/>
      <c r="R561" s="129">
        <f t="shared" si="273"/>
        <v>0</v>
      </c>
      <c r="S561" s="129">
        <f t="shared" si="274"/>
        <v>0</v>
      </c>
      <c r="T561" s="129">
        <f t="shared" si="275"/>
        <v>0</v>
      </c>
      <c r="U561" s="129">
        <f t="shared" si="276"/>
        <v>0</v>
      </c>
      <c r="V561" s="258"/>
      <c r="W561" s="129" t="str">
        <f t="shared" si="278"/>
        <v/>
      </c>
      <c r="X561" s="129">
        <f t="shared" si="277"/>
        <v>1</v>
      </c>
      <c r="Y561" s="129">
        <f t="shared" si="279"/>
        <v>1</v>
      </c>
      <c r="Z561" s="129" t="str" cm="1">
        <f t="array" ref="Z561">_xlfn.IFS(X561=4,"A",X561=3,"B",X561=2,"C",X561=1,"D")</f>
        <v>D</v>
      </c>
      <c r="AA561" s="175"/>
    </row>
    <row r="562" spans="1:27" customFormat="1" ht="103.5" customHeight="1">
      <c r="C562" s="78"/>
      <c r="D562" s="79"/>
      <c r="E562" s="71" t="s">
        <v>236</v>
      </c>
      <c r="F562" s="1452"/>
      <c r="G562" s="1452"/>
      <c r="H562" s="1452"/>
      <c r="I562" s="1452"/>
      <c r="J562" s="1452"/>
      <c r="K562" s="80" t="s">
        <v>132</v>
      </c>
      <c r="L562" s="80"/>
    </row>
    <row r="563" spans="1:27" customFormat="1" ht="146.25" customHeight="1">
      <c r="C563" s="75"/>
      <c r="D563" s="68"/>
      <c r="E563" s="71" t="s">
        <v>235</v>
      </c>
      <c r="F563" s="1452"/>
      <c r="G563" s="1452"/>
      <c r="H563" s="1452"/>
      <c r="I563" s="1452"/>
      <c r="J563" s="1452"/>
      <c r="L563" s="2"/>
      <c r="M563" s="2"/>
      <c r="N563" s="2"/>
    </row>
    <row r="564" spans="1:27" customFormat="1" ht="13.5" customHeight="1" thickBot="1">
      <c r="A564" s="81"/>
      <c r="B564" s="81"/>
      <c r="C564" s="81"/>
      <c r="D564" s="81"/>
      <c r="E564" s="311"/>
      <c r="F564" s="81"/>
      <c r="G564" s="81"/>
      <c r="H564" s="1205"/>
      <c r="I564" s="1205"/>
      <c r="J564" s="81"/>
      <c r="K564" s="81"/>
      <c r="L564" s="82"/>
      <c r="M564" s="2"/>
      <c r="N564" s="2"/>
    </row>
    <row r="565" spans="1:27" customFormat="1" ht="13.5" customHeight="1">
      <c r="E565" s="3"/>
      <c r="H565" s="1198"/>
      <c r="I565" s="1198"/>
      <c r="L565" s="2"/>
      <c r="M565" s="2"/>
      <c r="N565" s="2"/>
    </row>
    <row r="566" spans="1:27" customFormat="1" ht="15" customHeight="1">
      <c r="B566" s="10"/>
      <c r="C566" s="5"/>
      <c r="D566" s="5"/>
      <c r="E566" s="305"/>
      <c r="F566" s="5"/>
      <c r="G566" s="5"/>
      <c r="H566" s="1199"/>
      <c r="I566" s="1199"/>
      <c r="J566" s="5"/>
      <c r="K566" s="6"/>
      <c r="R566" s="11" t="str">
        <f>D567</f>
        <v>(選択してください)</v>
      </c>
    </row>
    <row r="567" spans="1:27" customFormat="1">
      <c r="B567" s="7"/>
      <c r="C567" s="77" t="str">
        <f ca="1">IFERROR(OFFSET('4.3民生部門電力以外の排出削減取組'!$C$1,MATCH(D567,'4.3民生部門電力以外の排出削減取組'!$E:$E,0)-1,0),"")</f>
        <v/>
      </c>
      <c r="D567" s="94" t="s">
        <v>130</v>
      </c>
      <c r="E567" s="72" t="s">
        <v>12</v>
      </c>
      <c r="F567" s="1451" t="str">
        <f ca="1">IFERROR(OFFSET('4.3民生部門電力以外の排出削減取組'!$G$1,MATCH($D567,'4.3民生部門電力以外の排出削減取組'!$E:$E,0)-1,0),"")</f>
        <v/>
      </c>
      <c r="G567" s="1451"/>
      <c r="H567" s="1451"/>
      <c r="I567" s="1451"/>
      <c r="J567" s="1451"/>
      <c r="K567" s="8"/>
      <c r="R567" s="255" t="str">
        <f ca="1">IFERROR(OFFSET('4.3民生部門電力以外の排出削減取組'!$G$1,MATCH($D567,'4.3民生部門電力以外の排出削減取組'!$E:$E,0)-1,0),"")</f>
        <v/>
      </c>
      <c r="S567" s="175"/>
      <c r="T567" s="175"/>
      <c r="U567" s="175"/>
      <c r="V567" s="175"/>
      <c r="W567" s="175"/>
      <c r="X567" s="175"/>
      <c r="Y567" s="175"/>
      <c r="Z567" s="175"/>
      <c r="AA567" s="175">
        <f ca="1">(F567=R567)*1</f>
        <v>1</v>
      </c>
    </row>
    <row r="568" spans="1:27" customFormat="1">
      <c r="B568" s="7"/>
      <c r="C568" s="915"/>
      <c r="D568" s="97"/>
      <c r="E568" s="72" t="s">
        <v>612</v>
      </c>
      <c r="F568" s="1447" t="str">
        <f ca="1">IFERROR(OFFSET('4.3民生部門電力以外の排出削減取組'!$J$1,MATCH($D567,'4.3民生部門電力以外の排出削減取組'!$E:$E,0)-1,0),"")</f>
        <v/>
      </c>
      <c r="G568" s="1448"/>
      <c r="H568" s="1448"/>
      <c r="I568" s="1448"/>
      <c r="J568" s="1449"/>
      <c r="K568" s="8"/>
      <c r="R568" s="255" t="str">
        <f ca="1">IFERROR(OFFSET('4.3民生部門電力以外の排出削減取組'!$J$1,MATCH($D567,'4.3民生部門電力以外の排出削減取組'!$E:$E,0)-1,0),"")</f>
        <v/>
      </c>
      <c r="S568" s="175"/>
      <c r="T568" s="175"/>
      <c r="U568" s="175"/>
      <c r="V568" s="175"/>
      <c r="W568" s="175"/>
      <c r="X568" s="175"/>
      <c r="Y568" s="175"/>
      <c r="Z568" s="175"/>
      <c r="AA568" s="175">
        <f ca="1">(F568=R568)*1</f>
        <v>1</v>
      </c>
    </row>
    <row r="569" spans="1:27" customFormat="1">
      <c r="B569" s="7"/>
      <c r="C569" s="74"/>
      <c r="D569" s="66"/>
      <c r="E569" s="72" t="s">
        <v>280</v>
      </c>
      <c r="F569" s="1470" t="str">
        <f ca="1">IFERROR(OFFSET('4.3民生部門電力以外の排出削減取組'!$H$1,MATCH($D567,'4.3民生部門電力以外の排出削減取組'!$E:$E,0)-1,0),"")</f>
        <v/>
      </c>
      <c r="G569" s="1470"/>
      <c r="H569" s="1470"/>
      <c r="I569" s="1470"/>
      <c r="J569" s="1470"/>
      <c r="K569" s="8"/>
      <c r="R569" s="175" t="str">
        <f ca="1">IFERROR(OFFSET('4.3民生部門電力以外の排出削減取組'!$H$1,MATCH($D567,'4.3民生部門電力以外の排出削減取組'!$E:$E,0)-1,0),"")</f>
        <v/>
      </c>
      <c r="S569" s="175"/>
      <c r="T569" s="175"/>
      <c r="U569" s="175"/>
      <c r="V569" s="175"/>
      <c r="W569" s="175"/>
      <c r="X569" s="175"/>
      <c r="Y569" s="175"/>
      <c r="Z569" s="175"/>
      <c r="AA569" s="175">
        <f t="shared" ref="AA569:AA570" ca="1" si="280">(F569=R569)*1</f>
        <v>1</v>
      </c>
    </row>
    <row r="570" spans="1:27" customFormat="1">
      <c r="B570" s="7"/>
      <c r="C570" s="74"/>
      <c r="D570" s="66"/>
      <c r="E570" s="72" t="s">
        <v>175</v>
      </c>
      <c r="F570" s="1451" t="str">
        <f>_xlfn.IFNA(R570,"")</f>
        <v/>
      </c>
      <c r="G570" s="1451"/>
      <c r="H570" s="1451"/>
      <c r="I570" s="1451"/>
      <c r="J570" s="1451"/>
      <c r="K570" s="8"/>
      <c r="R570" s="129" t="str">
        <f>IF(OR(COUNTIF($E572:$E577,"&lt;&gt;〇〇(合意形成対象者名に書き換え)")=3,COUNTIF($E572:$E577,"")&gt;3),"",IF(PRODUCT($Y572:$Y577)=1,Z572,""))</f>
        <v/>
      </c>
      <c r="S570" s="175"/>
      <c r="T570" s="175"/>
      <c r="U570" s="175"/>
      <c r="V570" s="175"/>
      <c r="W570" s="175"/>
      <c r="X570" s="175"/>
      <c r="Y570" s="175"/>
      <c r="Z570" s="175"/>
      <c r="AA570" s="175">
        <f t="shared" si="280"/>
        <v>1</v>
      </c>
    </row>
    <row r="571" spans="1:27" ht="63.75" customHeight="1">
      <c r="B571" s="95"/>
      <c r="C571" s="96"/>
      <c r="D571" s="97"/>
      <c r="E571" s="888"/>
      <c r="F571" s="313" t="s">
        <v>278</v>
      </c>
      <c r="G571" s="313" t="s">
        <v>268</v>
      </c>
      <c r="H571" s="1200" t="s">
        <v>437</v>
      </c>
      <c r="I571" s="1200" t="s">
        <v>439</v>
      </c>
      <c r="J571" s="313" t="s">
        <v>279</v>
      </c>
      <c r="K571" s="98"/>
      <c r="L571" s="11"/>
      <c r="R571" s="126" t="s">
        <v>278</v>
      </c>
      <c r="S571" s="126" t="s">
        <v>440</v>
      </c>
      <c r="T571" s="295" t="s">
        <v>437</v>
      </c>
      <c r="U571" s="295" t="s">
        <v>438</v>
      </c>
      <c r="V571" s="256" t="s">
        <v>270</v>
      </c>
      <c r="W571" s="126" t="s">
        <v>426</v>
      </c>
      <c r="X571" s="129" t="s">
        <v>402</v>
      </c>
      <c r="Y571" s="129" t="s">
        <v>430</v>
      </c>
      <c r="Z571" s="126" t="s">
        <v>425</v>
      </c>
      <c r="AA571" s="255"/>
    </row>
    <row r="572" spans="1:27" hidden="1">
      <c r="B572" s="95"/>
      <c r="C572" s="96"/>
      <c r="D572" s="97"/>
      <c r="E572" s="889"/>
      <c r="F572" s="439"/>
      <c r="G572" s="439"/>
      <c r="H572" s="1201"/>
      <c r="I572" s="1201"/>
      <c r="J572" s="439"/>
      <c r="K572" s="98"/>
      <c r="L572" s="11"/>
      <c r="R572" s="129">
        <f t="shared" ref="R572:R577" si="281">IF(F572="実施済",1,0)</f>
        <v>0</v>
      </c>
      <c r="S572" s="129">
        <f t="shared" ref="S572:S577" si="282">IF(G572="実施済",R572*1,0)</f>
        <v>0</v>
      </c>
      <c r="T572" s="129">
        <f t="shared" ref="T572:T577" si="283">IF(H572="実施済",S572*1,0)</f>
        <v>0</v>
      </c>
      <c r="U572" s="129">
        <f t="shared" ref="U572:U577" si="284">IF(I572="実施済",T572*1,0)</f>
        <v>0</v>
      </c>
      <c r="V572" s="258"/>
      <c r="W572" s="129" t="str">
        <f>IF(OR(E572="〇〇(合意形成対象者名に書き換え)",E572=""),"",SUM(S572,T572,U572))</f>
        <v/>
      </c>
      <c r="X572" s="129">
        <f t="shared" ref="X572:X577" si="285">MIN($W$572:$W$577)+1</f>
        <v>1</v>
      </c>
      <c r="Y572" s="129">
        <f>IF(E572="",1,IF(AND(E572="〇〇(合意形成対象者名に書き換え)",COUNTA($F572:$J572)=0),1,IF(AND(E572&lt;&gt;"〇〇(合意形成対象者名に書き換え)",COUNTA($F572:$J572)=5),1,0)))</f>
        <v>1</v>
      </c>
      <c r="Z572" s="129" t="str" cm="1">
        <f t="array" ref="Z572">_xlfn.IFS(X572=4,"A",X572=3,"B",X572=2,"C",X572=1,"D")</f>
        <v>D</v>
      </c>
      <c r="AA572" s="255"/>
    </row>
    <row r="573" spans="1:27">
      <c r="B573" s="95"/>
      <c r="C573" s="96"/>
      <c r="D573" s="97"/>
      <c r="E573" s="890" t="s">
        <v>129</v>
      </c>
      <c r="F573" s="445"/>
      <c r="G573" s="445"/>
      <c r="H573" s="1202"/>
      <c r="I573" s="1202"/>
      <c r="J573" s="445"/>
      <c r="K573" s="98"/>
      <c r="L573" s="11"/>
      <c r="R573" s="129">
        <f t="shared" si="281"/>
        <v>0</v>
      </c>
      <c r="S573" s="129">
        <f t="shared" si="282"/>
        <v>0</v>
      </c>
      <c r="T573" s="129">
        <f t="shared" si="283"/>
        <v>0</v>
      </c>
      <c r="U573" s="129">
        <f t="shared" si="284"/>
        <v>0</v>
      </c>
      <c r="V573" s="258"/>
      <c r="W573" s="129" t="str">
        <f t="shared" ref="W573:W577" si="286">IF(OR(E573="〇〇(合意形成対象者名に書き換え)",E573=""),"",SUM(S573,T573,U573))</f>
        <v/>
      </c>
      <c r="X573" s="129">
        <f t="shared" si="285"/>
        <v>1</v>
      </c>
      <c r="Y573" s="129">
        <f t="shared" ref="Y573:Y577" si="287">IF(E573="",1,IF(AND(E573="〇〇(合意形成対象者名に書き換え)",COUNTA($F573:$J573)=0),1,IF(AND(E573&lt;&gt;"〇〇(合意形成対象者名に書き換え)",COUNTA($F573:$J573)=5),1,0)))</f>
        <v>1</v>
      </c>
      <c r="Z573" s="129" t="str" cm="1">
        <f t="array" ref="Z573">_xlfn.IFS(X573=4,"A",X573=3,"B",X573=2,"C",X573=1,"D")</f>
        <v>D</v>
      </c>
      <c r="AA573" s="255"/>
    </row>
    <row r="574" spans="1:27">
      <c r="B574" s="95"/>
      <c r="C574" s="96"/>
      <c r="D574" s="97"/>
      <c r="E574" s="890" t="s">
        <v>129</v>
      </c>
      <c r="F574" s="441"/>
      <c r="G574" s="441"/>
      <c r="H574" s="1203"/>
      <c r="I574" s="1203"/>
      <c r="J574" s="441"/>
      <c r="K574" s="98"/>
      <c r="L574" s="11"/>
      <c r="R574" s="129">
        <f t="shared" si="281"/>
        <v>0</v>
      </c>
      <c r="S574" s="129">
        <f t="shared" si="282"/>
        <v>0</v>
      </c>
      <c r="T574" s="129">
        <f t="shared" si="283"/>
        <v>0</v>
      </c>
      <c r="U574" s="129">
        <f t="shared" si="284"/>
        <v>0</v>
      </c>
      <c r="V574" s="258"/>
      <c r="W574" s="129" t="str">
        <f t="shared" si="286"/>
        <v/>
      </c>
      <c r="X574" s="129">
        <f t="shared" si="285"/>
        <v>1</v>
      </c>
      <c r="Y574" s="129">
        <f t="shared" si="287"/>
        <v>1</v>
      </c>
      <c r="Z574" s="129" t="str" cm="1">
        <f t="array" ref="Z574">_xlfn.IFS(X574=4,"A",X574=3,"B",X574=2,"C",X574=1,"D")</f>
        <v>D</v>
      </c>
      <c r="AA574" s="255"/>
    </row>
    <row r="575" spans="1:27" s="99" customFormat="1">
      <c r="A575" s="11"/>
      <c r="B575" s="95"/>
      <c r="C575" s="96"/>
      <c r="D575" s="97"/>
      <c r="E575" s="890" t="s">
        <v>129</v>
      </c>
      <c r="F575" s="441"/>
      <c r="G575" s="441"/>
      <c r="H575" s="1203"/>
      <c r="I575" s="1203"/>
      <c r="J575" s="441"/>
      <c r="K575" s="98"/>
      <c r="L575" s="11"/>
      <c r="O575" s="11"/>
      <c r="P575" s="11"/>
      <c r="Q575" s="11"/>
      <c r="R575" s="129">
        <f t="shared" si="281"/>
        <v>0</v>
      </c>
      <c r="S575" s="129">
        <f t="shared" si="282"/>
        <v>0</v>
      </c>
      <c r="T575" s="129">
        <f t="shared" si="283"/>
        <v>0</v>
      </c>
      <c r="U575" s="129">
        <f t="shared" si="284"/>
        <v>0</v>
      </c>
      <c r="V575" s="258"/>
      <c r="W575" s="129" t="str">
        <f t="shared" si="286"/>
        <v/>
      </c>
      <c r="X575" s="129">
        <f t="shared" si="285"/>
        <v>1</v>
      </c>
      <c r="Y575" s="129">
        <f t="shared" si="287"/>
        <v>1</v>
      </c>
      <c r="Z575" s="129" t="str" cm="1">
        <f t="array" ref="Z575">_xlfn.IFS(X575=4,"A",X575=3,"B",X575=2,"C",X575=1,"D")</f>
        <v>D</v>
      </c>
      <c r="AA575" s="129"/>
    </row>
    <row r="576" spans="1:27" customFormat="1" ht="7.5" customHeight="1">
      <c r="B576" s="65"/>
      <c r="C576" s="4"/>
      <c r="D576" s="4"/>
      <c r="E576" s="288"/>
      <c r="F576" s="4"/>
      <c r="G576" s="4"/>
      <c r="H576" s="1204"/>
      <c r="I576" s="1204"/>
      <c r="J576" s="4"/>
      <c r="K576" s="9"/>
      <c r="L576" s="2"/>
      <c r="M576" s="2"/>
      <c r="N576" s="2"/>
      <c r="R576" s="129">
        <f t="shared" si="281"/>
        <v>0</v>
      </c>
      <c r="S576" s="129">
        <f t="shared" si="282"/>
        <v>0</v>
      </c>
      <c r="T576" s="129">
        <f t="shared" si="283"/>
        <v>0</v>
      </c>
      <c r="U576" s="129">
        <f t="shared" si="284"/>
        <v>0</v>
      </c>
      <c r="V576" s="258"/>
      <c r="W576" s="129" t="str">
        <f t="shared" si="286"/>
        <v/>
      </c>
      <c r="X576" s="129">
        <f t="shared" si="285"/>
        <v>1</v>
      </c>
      <c r="Y576" s="129">
        <f t="shared" si="287"/>
        <v>1</v>
      </c>
      <c r="Z576" s="129" t="str" cm="1">
        <f t="array" ref="Z576">_xlfn.IFS(X576=4,"A",X576=3,"B",X576=2,"C",X576=1,"D")</f>
        <v>D</v>
      </c>
      <c r="AA576" s="175"/>
    </row>
    <row r="577" spans="1:27" customFormat="1" ht="6" customHeight="1">
      <c r="E577" s="3"/>
      <c r="H577" s="1198"/>
      <c r="I577" s="1198"/>
      <c r="L577" s="2"/>
      <c r="M577" s="2"/>
      <c r="N577" s="2"/>
      <c r="R577" s="129">
        <f t="shared" si="281"/>
        <v>0</v>
      </c>
      <c r="S577" s="129">
        <f t="shared" si="282"/>
        <v>0</v>
      </c>
      <c r="T577" s="129">
        <f t="shared" si="283"/>
        <v>0</v>
      </c>
      <c r="U577" s="129">
        <f t="shared" si="284"/>
        <v>0</v>
      </c>
      <c r="V577" s="258"/>
      <c r="W577" s="129" t="str">
        <f t="shared" si="286"/>
        <v/>
      </c>
      <c r="X577" s="129">
        <f t="shared" si="285"/>
        <v>1</v>
      </c>
      <c r="Y577" s="129">
        <f t="shared" si="287"/>
        <v>1</v>
      </c>
      <c r="Z577" s="129" t="str" cm="1">
        <f t="array" ref="Z577">_xlfn.IFS(X577=4,"A",X577=3,"B",X577=2,"C",X577=1,"D")</f>
        <v>D</v>
      </c>
      <c r="AA577" s="175"/>
    </row>
    <row r="578" spans="1:27" customFormat="1" ht="103.5" customHeight="1">
      <c r="C578" s="78"/>
      <c r="D578" s="79"/>
      <c r="E578" s="71" t="s">
        <v>236</v>
      </c>
      <c r="F578" s="1452"/>
      <c r="G578" s="1452"/>
      <c r="H578" s="1452"/>
      <c r="I578" s="1452"/>
      <c r="J578" s="1452"/>
      <c r="K578" s="80" t="s">
        <v>132</v>
      </c>
      <c r="L578" s="80"/>
    </row>
    <row r="579" spans="1:27" customFormat="1" ht="146.25" customHeight="1">
      <c r="C579" s="75"/>
      <c r="D579" s="68"/>
      <c r="E579" s="71" t="s">
        <v>235</v>
      </c>
      <c r="F579" s="1452"/>
      <c r="G579" s="1452"/>
      <c r="H579" s="1452"/>
      <c r="I579" s="1452"/>
      <c r="J579" s="1452"/>
      <c r="L579" s="2"/>
      <c r="M579" s="2"/>
      <c r="N579" s="2"/>
    </row>
    <row r="580" spans="1:27" customFormat="1" ht="13.5" customHeight="1" thickBot="1">
      <c r="A580" s="81"/>
      <c r="B580" s="81"/>
      <c r="C580" s="81"/>
      <c r="D580" s="81"/>
      <c r="E580" s="311"/>
      <c r="F580" s="81"/>
      <c r="G580" s="81"/>
      <c r="H580" s="1205"/>
      <c r="I580" s="1205"/>
      <c r="J580" s="81"/>
      <c r="K580" s="81"/>
      <c r="L580" s="82"/>
      <c r="M580" s="2"/>
      <c r="N580" s="2"/>
    </row>
    <row r="581" spans="1:27" customFormat="1" ht="13.5" customHeight="1">
      <c r="E581" s="3"/>
      <c r="H581" s="1198"/>
      <c r="I581" s="1198"/>
      <c r="L581" s="2"/>
      <c r="M581" s="2"/>
      <c r="N581" s="2"/>
    </row>
    <row r="582" spans="1:27" customFormat="1" ht="15" customHeight="1">
      <c r="B582" s="10"/>
      <c r="C582" s="5"/>
      <c r="D582" s="5"/>
      <c r="E582" s="305"/>
      <c r="F582" s="5"/>
      <c r="G582" s="5"/>
      <c r="H582" s="1199"/>
      <c r="I582" s="1199"/>
      <c r="J582" s="5"/>
      <c r="K582" s="6"/>
      <c r="R582" s="11" t="str">
        <f>D583</f>
        <v>(選択してください)</v>
      </c>
    </row>
    <row r="583" spans="1:27" customFormat="1">
      <c r="B583" s="7"/>
      <c r="C583" s="77" t="str">
        <f ca="1">IFERROR(OFFSET('4.3民生部門電力以外の排出削減取組'!$C$1,MATCH(D583,'4.3民生部門電力以外の排出削減取組'!$E:$E,0)-1,0),"")</f>
        <v/>
      </c>
      <c r="D583" s="94" t="s">
        <v>130</v>
      </c>
      <c r="E583" s="72" t="s">
        <v>12</v>
      </c>
      <c r="F583" s="1451" t="str">
        <f ca="1">IFERROR(OFFSET('4.3民生部門電力以外の排出削減取組'!$G$1,MATCH($D583,'4.3民生部門電力以外の排出削減取組'!$E:$E,0)-1,0),"")</f>
        <v/>
      </c>
      <c r="G583" s="1451"/>
      <c r="H583" s="1451"/>
      <c r="I583" s="1451"/>
      <c r="J583" s="1451"/>
      <c r="K583" s="8"/>
      <c r="R583" s="255" t="str">
        <f ca="1">IFERROR(OFFSET('4.3民生部門電力以外の排出削減取組'!$G$1,MATCH($D583,'4.3民生部門電力以外の排出削減取組'!$E:$E,0)-1,0),"")</f>
        <v/>
      </c>
      <c r="S583" s="175"/>
      <c r="T583" s="175"/>
      <c r="U583" s="175"/>
      <c r="V583" s="175"/>
      <c r="W583" s="175"/>
      <c r="X583" s="175"/>
      <c r="Y583" s="175"/>
      <c r="Z583" s="175"/>
      <c r="AA583" s="175">
        <f ca="1">(F583=R583)*1</f>
        <v>1</v>
      </c>
    </row>
    <row r="584" spans="1:27" customFormat="1">
      <c r="B584" s="7"/>
      <c r="C584" s="915"/>
      <c r="D584" s="97"/>
      <c r="E584" s="72" t="s">
        <v>612</v>
      </c>
      <c r="F584" s="1447" t="str">
        <f ca="1">IFERROR(OFFSET('4.3民生部門電力以外の排出削減取組'!$J$1,MATCH($D583,'4.3民生部門電力以外の排出削減取組'!$E:$E,0)-1,0),"")</f>
        <v/>
      </c>
      <c r="G584" s="1448"/>
      <c r="H584" s="1448"/>
      <c r="I584" s="1448"/>
      <c r="J584" s="1449"/>
      <c r="K584" s="8"/>
      <c r="R584" s="255" t="str">
        <f ca="1">IFERROR(OFFSET('4.3民生部門電力以外の排出削減取組'!$J$1,MATCH($D583,'4.3民生部門電力以外の排出削減取組'!$E:$E,0)-1,0),"")</f>
        <v/>
      </c>
      <c r="S584" s="175"/>
      <c r="T584" s="175"/>
      <c r="U584" s="175"/>
      <c r="V584" s="175"/>
      <c r="W584" s="175"/>
      <c r="X584" s="175"/>
      <c r="Y584" s="175"/>
      <c r="Z584" s="175"/>
      <c r="AA584" s="175">
        <f ca="1">(F584=R584)*1</f>
        <v>1</v>
      </c>
    </row>
    <row r="585" spans="1:27" customFormat="1">
      <c r="B585" s="7"/>
      <c r="C585" s="74"/>
      <c r="D585" s="66"/>
      <c r="E585" s="72" t="s">
        <v>280</v>
      </c>
      <c r="F585" s="1470" t="str">
        <f ca="1">IFERROR(OFFSET('4.3民生部門電力以外の排出削減取組'!$H$1,MATCH($D583,'4.3民生部門電力以外の排出削減取組'!$E:$E,0)-1,0),"")</f>
        <v/>
      </c>
      <c r="G585" s="1470"/>
      <c r="H585" s="1470"/>
      <c r="I585" s="1470"/>
      <c r="J585" s="1470"/>
      <c r="K585" s="8"/>
      <c r="R585" s="175" t="str">
        <f ca="1">IFERROR(OFFSET('4.3民生部門電力以外の排出削減取組'!$H$1,MATCH($D583,'4.3民生部門電力以外の排出削減取組'!$E:$E,0)-1,0),"")</f>
        <v/>
      </c>
      <c r="S585" s="175"/>
      <c r="T585" s="175"/>
      <c r="U585" s="175"/>
      <c r="V585" s="175"/>
      <c r="W585" s="175"/>
      <c r="X585" s="175"/>
      <c r="Y585" s="175"/>
      <c r="Z585" s="175"/>
      <c r="AA585" s="175">
        <f t="shared" ref="AA585:AA586" ca="1" si="288">(F585=R585)*1</f>
        <v>1</v>
      </c>
    </row>
    <row r="586" spans="1:27" customFormat="1">
      <c r="B586" s="7"/>
      <c r="C586" s="74"/>
      <c r="D586" s="66"/>
      <c r="E586" s="72" t="s">
        <v>175</v>
      </c>
      <c r="F586" s="1451" t="str">
        <f>_xlfn.IFNA(R586,"")</f>
        <v/>
      </c>
      <c r="G586" s="1451"/>
      <c r="H586" s="1451"/>
      <c r="I586" s="1451"/>
      <c r="J586" s="1451"/>
      <c r="K586" s="8"/>
      <c r="R586" s="129" t="str">
        <f>IF(OR(COUNTIF($E588:$E593,"&lt;&gt;〇〇(合意形成対象者名に書き換え)")=3,COUNTIF($E588:$E593,"")&gt;3),"",IF(PRODUCT($Y588:$Y593)=1,Z588,""))</f>
        <v/>
      </c>
      <c r="S586" s="175"/>
      <c r="T586" s="175"/>
      <c r="U586" s="175"/>
      <c r="V586" s="175"/>
      <c r="W586" s="175"/>
      <c r="X586" s="175"/>
      <c r="Y586" s="175"/>
      <c r="Z586" s="175"/>
      <c r="AA586" s="175">
        <f t="shared" si="288"/>
        <v>1</v>
      </c>
    </row>
    <row r="587" spans="1:27" ht="63.75" customHeight="1">
      <c r="B587" s="95"/>
      <c r="C587" s="96"/>
      <c r="D587" s="97"/>
      <c r="E587" s="888"/>
      <c r="F587" s="313" t="s">
        <v>278</v>
      </c>
      <c r="G587" s="313" t="s">
        <v>268</v>
      </c>
      <c r="H587" s="1200" t="s">
        <v>437</v>
      </c>
      <c r="I587" s="1200" t="s">
        <v>439</v>
      </c>
      <c r="J587" s="313" t="s">
        <v>279</v>
      </c>
      <c r="K587" s="98"/>
      <c r="L587" s="11"/>
      <c r="R587" s="126" t="s">
        <v>278</v>
      </c>
      <c r="S587" s="126" t="s">
        <v>440</v>
      </c>
      <c r="T587" s="295" t="s">
        <v>437</v>
      </c>
      <c r="U587" s="295" t="s">
        <v>438</v>
      </c>
      <c r="V587" s="256" t="s">
        <v>270</v>
      </c>
      <c r="W587" s="126" t="s">
        <v>426</v>
      </c>
      <c r="X587" s="129" t="s">
        <v>402</v>
      </c>
      <c r="Y587" s="129" t="s">
        <v>430</v>
      </c>
      <c r="Z587" s="126" t="s">
        <v>425</v>
      </c>
      <c r="AA587" s="255"/>
    </row>
    <row r="588" spans="1:27" hidden="1">
      <c r="B588" s="95"/>
      <c r="C588" s="96"/>
      <c r="D588" s="97"/>
      <c r="E588" s="889"/>
      <c r="F588" s="439"/>
      <c r="G588" s="439"/>
      <c r="H588" s="1201"/>
      <c r="I588" s="1201"/>
      <c r="J588" s="439"/>
      <c r="K588" s="98"/>
      <c r="L588" s="11"/>
      <c r="R588" s="129">
        <f t="shared" ref="R588:R593" si="289">IF(F588="実施済",1,0)</f>
        <v>0</v>
      </c>
      <c r="S588" s="129">
        <f t="shared" ref="S588:S593" si="290">IF(G588="実施済",R588*1,0)</f>
        <v>0</v>
      </c>
      <c r="T588" s="129">
        <f t="shared" ref="T588:T593" si="291">IF(H588="実施済",S588*1,0)</f>
        <v>0</v>
      </c>
      <c r="U588" s="129">
        <f t="shared" ref="U588:U593" si="292">IF(I588="実施済",T588*1,0)</f>
        <v>0</v>
      </c>
      <c r="V588" s="258"/>
      <c r="W588" s="129" t="str">
        <f>IF(OR(E588="〇〇(合意形成対象者名に書き換え)",E588=""),"",SUM(S588,T588,U588))</f>
        <v/>
      </c>
      <c r="X588" s="129">
        <f t="shared" ref="X588:X593" si="293">MIN($W$588:$W$593)+1</f>
        <v>1</v>
      </c>
      <c r="Y588" s="129">
        <f>IF(E588="",1,IF(AND(E588="〇〇(合意形成対象者名に書き換え)",COUNTA($F588:$J588)=0),1,IF(AND(E588&lt;&gt;"〇〇(合意形成対象者名に書き換え)",COUNTA($F588:$J588)=5),1,0)))</f>
        <v>1</v>
      </c>
      <c r="Z588" s="129" t="str" cm="1">
        <f t="array" ref="Z588">_xlfn.IFS(X588=4,"A",X588=3,"B",X588=2,"C",X588=1,"D")</f>
        <v>D</v>
      </c>
      <c r="AA588" s="255"/>
    </row>
    <row r="589" spans="1:27">
      <c r="B589" s="95"/>
      <c r="C589" s="96"/>
      <c r="D589" s="97"/>
      <c r="E589" s="890" t="s">
        <v>129</v>
      </c>
      <c r="F589" s="445"/>
      <c r="G589" s="445"/>
      <c r="H589" s="1202"/>
      <c r="I589" s="1202"/>
      <c r="J589" s="445"/>
      <c r="K589" s="98"/>
      <c r="L589" s="11"/>
      <c r="R589" s="129">
        <f t="shared" si="289"/>
        <v>0</v>
      </c>
      <c r="S589" s="129">
        <f t="shared" si="290"/>
        <v>0</v>
      </c>
      <c r="T589" s="129">
        <f t="shared" si="291"/>
        <v>0</v>
      </c>
      <c r="U589" s="129">
        <f t="shared" si="292"/>
        <v>0</v>
      </c>
      <c r="V589" s="258"/>
      <c r="W589" s="129" t="str">
        <f t="shared" ref="W589:W593" si="294">IF(OR(E589="〇〇(合意形成対象者名に書き換え)",E589=""),"",SUM(S589,T589,U589))</f>
        <v/>
      </c>
      <c r="X589" s="129">
        <f t="shared" si="293"/>
        <v>1</v>
      </c>
      <c r="Y589" s="129">
        <f t="shared" ref="Y589:Y593" si="295">IF(E589="",1,IF(AND(E589="〇〇(合意形成対象者名に書き換え)",COUNTA($F589:$J589)=0),1,IF(AND(E589&lt;&gt;"〇〇(合意形成対象者名に書き換え)",COUNTA($F589:$J589)=5),1,0)))</f>
        <v>1</v>
      </c>
      <c r="Z589" s="129" t="str" cm="1">
        <f t="array" ref="Z589">_xlfn.IFS(X589=4,"A",X589=3,"B",X589=2,"C",X589=1,"D")</f>
        <v>D</v>
      </c>
      <c r="AA589" s="255"/>
    </row>
    <row r="590" spans="1:27">
      <c r="B590" s="95"/>
      <c r="C590" s="96"/>
      <c r="D590" s="97"/>
      <c r="E590" s="890" t="s">
        <v>129</v>
      </c>
      <c r="F590" s="441"/>
      <c r="G590" s="441"/>
      <c r="H590" s="1203"/>
      <c r="I590" s="1203"/>
      <c r="J590" s="441"/>
      <c r="K590" s="98"/>
      <c r="L590" s="11"/>
      <c r="R590" s="129">
        <f t="shared" si="289"/>
        <v>0</v>
      </c>
      <c r="S590" s="129">
        <f t="shared" si="290"/>
        <v>0</v>
      </c>
      <c r="T590" s="129">
        <f t="shared" si="291"/>
        <v>0</v>
      </c>
      <c r="U590" s="129">
        <f t="shared" si="292"/>
        <v>0</v>
      </c>
      <c r="V590" s="258"/>
      <c r="W590" s="129" t="str">
        <f t="shared" si="294"/>
        <v/>
      </c>
      <c r="X590" s="129">
        <f t="shared" si="293"/>
        <v>1</v>
      </c>
      <c r="Y590" s="129">
        <f t="shared" si="295"/>
        <v>1</v>
      </c>
      <c r="Z590" s="129" t="str" cm="1">
        <f t="array" ref="Z590">_xlfn.IFS(X590=4,"A",X590=3,"B",X590=2,"C",X590=1,"D")</f>
        <v>D</v>
      </c>
      <c r="AA590" s="255"/>
    </row>
    <row r="591" spans="1:27" s="99" customFormat="1">
      <c r="A591" s="11"/>
      <c r="B591" s="95"/>
      <c r="C591" s="96"/>
      <c r="D591" s="97"/>
      <c r="E591" s="890" t="s">
        <v>129</v>
      </c>
      <c r="F591" s="441"/>
      <c r="G591" s="441"/>
      <c r="H591" s="1203"/>
      <c r="I591" s="1203"/>
      <c r="J591" s="441"/>
      <c r="K591" s="98"/>
      <c r="L591" s="11"/>
      <c r="O591" s="11"/>
      <c r="P591" s="11"/>
      <c r="Q591" s="11"/>
      <c r="R591" s="129">
        <f t="shared" si="289"/>
        <v>0</v>
      </c>
      <c r="S591" s="129">
        <f t="shared" si="290"/>
        <v>0</v>
      </c>
      <c r="T591" s="129">
        <f t="shared" si="291"/>
        <v>0</v>
      </c>
      <c r="U591" s="129">
        <f t="shared" si="292"/>
        <v>0</v>
      </c>
      <c r="V591" s="258"/>
      <c r="W591" s="129" t="str">
        <f t="shared" si="294"/>
        <v/>
      </c>
      <c r="X591" s="129">
        <f t="shared" si="293"/>
        <v>1</v>
      </c>
      <c r="Y591" s="129">
        <f t="shared" si="295"/>
        <v>1</v>
      </c>
      <c r="Z591" s="129" t="str" cm="1">
        <f t="array" ref="Z591">_xlfn.IFS(X591=4,"A",X591=3,"B",X591=2,"C",X591=1,"D")</f>
        <v>D</v>
      </c>
      <c r="AA591" s="129"/>
    </row>
    <row r="592" spans="1:27" customFormat="1" ht="7.5" customHeight="1">
      <c r="B592" s="65"/>
      <c r="C592" s="4"/>
      <c r="D592" s="4"/>
      <c r="E592" s="288"/>
      <c r="F592" s="4"/>
      <c r="G592" s="4"/>
      <c r="H592" s="1204"/>
      <c r="I592" s="1204"/>
      <c r="J592" s="4"/>
      <c r="K592" s="9"/>
      <c r="L592" s="2"/>
      <c r="M592" s="2"/>
      <c r="N592" s="2"/>
      <c r="R592" s="129">
        <f t="shared" si="289"/>
        <v>0</v>
      </c>
      <c r="S592" s="129">
        <f t="shared" si="290"/>
        <v>0</v>
      </c>
      <c r="T592" s="129">
        <f t="shared" si="291"/>
        <v>0</v>
      </c>
      <c r="U592" s="129">
        <f t="shared" si="292"/>
        <v>0</v>
      </c>
      <c r="V592" s="258"/>
      <c r="W592" s="129" t="str">
        <f t="shared" si="294"/>
        <v/>
      </c>
      <c r="X592" s="129">
        <f t="shared" si="293"/>
        <v>1</v>
      </c>
      <c r="Y592" s="129">
        <f t="shared" si="295"/>
        <v>1</v>
      </c>
      <c r="Z592" s="129" t="str" cm="1">
        <f t="array" ref="Z592">_xlfn.IFS(X592=4,"A",X592=3,"B",X592=2,"C",X592=1,"D")</f>
        <v>D</v>
      </c>
      <c r="AA592" s="175"/>
    </row>
    <row r="593" spans="1:27" customFormat="1" ht="6" customHeight="1">
      <c r="E593" s="3"/>
      <c r="H593" s="1198"/>
      <c r="I593" s="1198"/>
      <c r="L593" s="2"/>
      <c r="M593" s="2"/>
      <c r="N593" s="2"/>
      <c r="R593" s="129">
        <f t="shared" si="289"/>
        <v>0</v>
      </c>
      <c r="S593" s="129">
        <f t="shared" si="290"/>
        <v>0</v>
      </c>
      <c r="T593" s="129">
        <f t="shared" si="291"/>
        <v>0</v>
      </c>
      <c r="U593" s="129">
        <f t="shared" si="292"/>
        <v>0</v>
      </c>
      <c r="V593" s="258"/>
      <c r="W593" s="129" t="str">
        <f t="shared" si="294"/>
        <v/>
      </c>
      <c r="X593" s="129">
        <f t="shared" si="293"/>
        <v>1</v>
      </c>
      <c r="Y593" s="129">
        <f t="shared" si="295"/>
        <v>1</v>
      </c>
      <c r="Z593" s="129" t="str" cm="1">
        <f t="array" ref="Z593">_xlfn.IFS(X593=4,"A",X593=3,"B",X593=2,"C",X593=1,"D")</f>
        <v>D</v>
      </c>
      <c r="AA593" s="175"/>
    </row>
    <row r="594" spans="1:27" customFormat="1" ht="103.5" customHeight="1">
      <c r="C594" s="78"/>
      <c r="D594" s="79"/>
      <c r="E594" s="71" t="s">
        <v>236</v>
      </c>
      <c r="F594" s="1452"/>
      <c r="G594" s="1452"/>
      <c r="H594" s="1452"/>
      <c r="I594" s="1452"/>
      <c r="J594" s="1452"/>
      <c r="K594" s="80" t="s">
        <v>132</v>
      </c>
      <c r="L594" s="80"/>
    </row>
    <row r="595" spans="1:27" customFormat="1" ht="146.25" customHeight="1">
      <c r="C595" s="75"/>
      <c r="D595" s="68"/>
      <c r="E595" s="71" t="s">
        <v>235</v>
      </c>
      <c r="F595" s="1452"/>
      <c r="G595" s="1452"/>
      <c r="H595" s="1452"/>
      <c r="I595" s="1452"/>
      <c r="J595" s="1452"/>
      <c r="L595" s="2"/>
      <c r="M595" s="2"/>
      <c r="N595" s="2"/>
    </row>
    <row r="596" spans="1:27" customFormat="1" ht="13.5" customHeight="1" thickBot="1">
      <c r="A596" s="81"/>
      <c r="B596" s="81"/>
      <c r="C596" s="81"/>
      <c r="D596" s="81"/>
      <c r="E596" s="311"/>
      <c r="F596" s="81"/>
      <c r="G596" s="81"/>
      <c r="H596" s="1205"/>
      <c r="I596" s="1205"/>
      <c r="J596" s="81"/>
      <c r="K596" s="81"/>
      <c r="L596" s="82"/>
      <c r="M596" s="2"/>
      <c r="N596" s="2"/>
    </row>
    <row r="597" spans="1:27" customFormat="1" ht="13.5" customHeight="1">
      <c r="E597" s="3"/>
      <c r="H597" s="1198"/>
      <c r="I597" s="1198"/>
      <c r="L597" s="2"/>
      <c r="M597" s="2"/>
      <c r="N597" s="2"/>
    </row>
    <row r="598" spans="1:27" customFormat="1" ht="15" customHeight="1">
      <c r="B598" s="10"/>
      <c r="C598" s="5"/>
      <c r="D598" s="5"/>
      <c r="E598" s="305"/>
      <c r="F598" s="5"/>
      <c r="G598" s="5"/>
      <c r="H598" s="1199"/>
      <c r="I598" s="1199"/>
      <c r="J598" s="5"/>
      <c r="K598" s="6"/>
      <c r="R598" s="11" t="str">
        <f>D599</f>
        <v>(選択してください)</v>
      </c>
    </row>
    <row r="599" spans="1:27" customFormat="1">
      <c r="B599" s="7"/>
      <c r="C599" s="77" t="str">
        <f ca="1">IFERROR(OFFSET('4.3民生部門電力以外の排出削減取組'!$C$1,MATCH(D599,'4.3民生部門電力以外の排出削減取組'!$E:$E,0)-1,0),"")</f>
        <v/>
      </c>
      <c r="D599" s="94" t="s">
        <v>130</v>
      </c>
      <c r="E599" s="72" t="s">
        <v>12</v>
      </c>
      <c r="F599" s="1451" t="str">
        <f ca="1">IFERROR(OFFSET('4.3民生部門電力以外の排出削減取組'!$G$1,MATCH($D599,'4.3民生部門電力以外の排出削減取組'!$E:$E,0)-1,0),"")</f>
        <v/>
      </c>
      <c r="G599" s="1451"/>
      <c r="H599" s="1451"/>
      <c r="I599" s="1451"/>
      <c r="J599" s="1451"/>
      <c r="K599" s="8"/>
      <c r="R599" s="255" t="str">
        <f ca="1">IFERROR(OFFSET('4.3民生部門電力以外の排出削減取組'!$G$1,MATCH($D599,'4.3民生部門電力以外の排出削減取組'!$E:$E,0)-1,0),"")</f>
        <v/>
      </c>
      <c r="S599" s="175"/>
      <c r="T599" s="175"/>
      <c r="U599" s="175"/>
      <c r="V599" s="175"/>
      <c r="W599" s="175"/>
      <c r="X599" s="175"/>
      <c r="Y599" s="175"/>
      <c r="Z599" s="175"/>
      <c r="AA599" s="175">
        <f ca="1">(F599=R599)*1</f>
        <v>1</v>
      </c>
    </row>
    <row r="600" spans="1:27" customFormat="1">
      <c r="B600" s="7"/>
      <c r="C600" s="915"/>
      <c r="D600" s="97"/>
      <c r="E600" s="72" t="s">
        <v>612</v>
      </c>
      <c r="F600" s="1447" t="str">
        <f ca="1">IFERROR(OFFSET('4.3民生部門電力以外の排出削減取組'!$J$1,MATCH($D599,'4.3民生部門電力以外の排出削減取組'!$E:$E,0)-1,0),"")</f>
        <v/>
      </c>
      <c r="G600" s="1448"/>
      <c r="H600" s="1448"/>
      <c r="I600" s="1448"/>
      <c r="J600" s="1449"/>
      <c r="K600" s="8"/>
      <c r="R600" s="255" t="str">
        <f ca="1">IFERROR(OFFSET('4.3民生部門電力以外の排出削減取組'!$J$1,MATCH($D599,'4.3民生部門電力以外の排出削減取組'!$E:$E,0)-1,0),"")</f>
        <v/>
      </c>
      <c r="S600" s="175"/>
      <c r="T600" s="175"/>
      <c r="U600" s="175"/>
      <c r="V600" s="175"/>
      <c r="W600" s="175"/>
      <c r="X600" s="175"/>
      <c r="Y600" s="175"/>
      <c r="Z600" s="175"/>
      <c r="AA600" s="175">
        <f ca="1">(F600=R600)*1</f>
        <v>1</v>
      </c>
    </row>
    <row r="601" spans="1:27" customFormat="1">
      <c r="B601" s="7"/>
      <c r="C601" s="74"/>
      <c r="D601" s="66"/>
      <c r="E601" s="72" t="s">
        <v>280</v>
      </c>
      <c r="F601" s="1470" t="str">
        <f ca="1">IFERROR(OFFSET('4.3民生部門電力以外の排出削減取組'!$H$1,MATCH($D599,'4.3民生部門電力以外の排出削減取組'!$E:$E,0)-1,0),"")</f>
        <v/>
      </c>
      <c r="G601" s="1470"/>
      <c r="H601" s="1470"/>
      <c r="I601" s="1470"/>
      <c r="J601" s="1470"/>
      <c r="K601" s="8"/>
      <c r="R601" s="175" t="str">
        <f ca="1">IFERROR(OFFSET('4.3民生部門電力以外の排出削減取組'!$H$1,MATCH($D599,'4.3民生部門電力以外の排出削減取組'!$E:$E,0)-1,0),"")</f>
        <v/>
      </c>
      <c r="S601" s="175"/>
      <c r="T601" s="175"/>
      <c r="U601" s="175"/>
      <c r="V601" s="175"/>
      <c r="W601" s="175"/>
      <c r="X601" s="175"/>
      <c r="Y601" s="175"/>
      <c r="Z601" s="175"/>
      <c r="AA601" s="175">
        <f t="shared" ref="AA601:AA602" ca="1" si="296">(F601=R601)*1</f>
        <v>1</v>
      </c>
    </row>
    <row r="602" spans="1:27" customFormat="1">
      <c r="B602" s="7"/>
      <c r="C602" s="74"/>
      <c r="D602" s="66"/>
      <c r="E602" s="72" t="s">
        <v>175</v>
      </c>
      <c r="F602" s="1451" t="str">
        <f>_xlfn.IFNA(R602,"")</f>
        <v/>
      </c>
      <c r="G602" s="1451"/>
      <c r="H602" s="1451"/>
      <c r="I602" s="1451"/>
      <c r="J602" s="1451"/>
      <c r="K602" s="8"/>
      <c r="R602" s="129" t="str">
        <f>IF(OR(COUNTIF($E604:$E609,"&lt;&gt;〇〇(合意形成対象者名に書き換え)")=3,COUNTIF($E604:$E609,"")&gt;3),"",IF(PRODUCT($Y604:$Y609)=1,Z604,""))</f>
        <v/>
      </c>
      <c r="S602" s="175"/>
      <c r="T602" s="175"/>
      <c r="U602" s="175"/>
      <c r="V602" s="175"/>
      <c r="W602" s="175"/>
      <c r="X602" s="175"/>
      <c r="Y602" s="175"/>
      <c r="Z602" s="175"/>
      <c r="AA602" s="175">
        <f t="shared" si="296"/>
        <v>1</v>
      </c>
    </row>
    <row r="603" spans="1:27" ht="63.75" customHeight="1">
      <c r="B603" s="95"/>
      <c r="C603" s="96"/>
      <c r="D603" s="97"/>
      <c r="E603" s="888"/>
      <c r="F603" s="313" t="s">
        <v>278</v>
      </c>
      <c r="G603" s="313" t="s">
        <v>268</v>
      </c>
      <c r="H603" s="1200" t="s">
        <v>437</v>
      </c>
      <c r="I603" s="1200" t="s">
        <v>439</v>
      </c>
      <c r="J603" s="313" t="s">
        <v>279</v>
      </c>
      <c r="K603" s="98"/>
      <c r="L603" s="11"/>
      <c r="R603" s="126" t="s">
        <v>278</v>
      </c>
      <c r="S603" s="126" t="s">
        <v>440</v>
      </c>
      <c r="T603" s="295" t="s">
        <v>437</v>
      </c>
      <c r="U603" s="295" t="s">
        <v>438</v>
      </c>
      <c r="V603" s="256" t="s">
        <v>270</v>
      </c>
      <c r="W603" s="126" t="s">
        <v>426</v>
      </c>
      <c r="X603" s="129" t="s">
        <v>402</v>
      </c>
      <c r="Y603" s="129" t="s">
        <v>430</v>
      </c>
      <c r="Z603" s="126" t="s">
        <v>425</v>
      </c>
      <c r="AA603" s="255"/>
    </row>
    <row r="604" spans="1:27" hidden="1">
      <c r="B604" s="95"/>
      <c r="C604" s="96"/>
      <c r="D604" s="97"/>
      <c r="E604" s="889"/>
      <c r="F604" s="439"/>
      <c r="G604" s="439"/>
      <c r="H604" s="1201"/>
      <c r="I604" s="1201"/>
      <c r="J604" s="439"/>
      <c r="K604" s="98"/>
      <c r="L604" s="11"/>
      <c r="R604" s="129">
        <f t="shared" ref="R604:R609" si="297">IF(F604="実施済",1,0)</f>
        <v>0</v>
      </c>
      <c r="S604" s="129">
        <f t="shared" ref="S604:S609" si="298">IF(G604="実施済",R604*1,0)</f>
        <v>0</v>
      </c>
      <c r="T604" s="129">
        <f t="shared" ref="T604:T609" si="299">IF(H604="実施済",S604*1,0)</f>
        <v>0</v>
      </c>
      <c r="U604" s="129">
        <f t="shared" ref="U604:U609" si="300">IF(I604="実施済",T604*1,0)</f>
        <v>0</v>
      </c>
      <c r="V604" s="258"/>
      <c r="W604" s="129" t="str">
        <f>IF(OR(E604="〇〇(合意形成対象者名に書き換え)",E604=""),"",SUM(S604,T604,U604))</f>
        <v/>
      </c>
      <c r="X604" s="129">
        <f t="shared" ref="X604:X609" si="301">MIN($W$604:$W$609)+1</f>
        <v>1</v>
      </c>
      <c r="Y604" s="129">
        <f>IF(E604="",1,IF(AND(E604="〇〇(合意形成対象者名に書き換え)",COUNTA($F604:$J604)=0),1,IF(AND(E604&lt;&gt;"〇〇(合意形成対象者名に書き換え)",COUNTA($F604:$J604)=5),1,0)))</f>
        <v>1</v>
      </c>
      <c r="Z604" s="129" t="str" cm="1">
        <f t="array" ref="Z604">_xlfn.IFS(X604=4,"A",X604=3,"B",X604=2,"C",X604=1,"D")</f>
        <v>D</v>
      </c>
      <c r="AA604" s="255"/>
    </row>
    <row r="605" spans="1:27">
      <c r="B605" s="95"/>
      <c r="C605" s="96"/>
      <c r="D605" s="97"/>
      <c r="E605" s="890" t="s">
        <v>129</v>
      </c>
      <c r="F605" s="445"/>
      <c r="G605" s="445"/>
      <c r="H605" s="1202"/>
      <c r="I605" s="1202"/>
      <c r="J605" s="445"/>
      <c r="K605" s="98"/>
      <c r="L605" s="11"/>
      <c r="R605" s="129">
        <f t="shared" si="297"/>
        <v>0</v>
      </c>
      <c r="S605" s="129">
        <f t="shared" si="298"/>
        <v>0</v>
      </c>
      <c r="T605" s="129">
        <f t="shared" si="299"/>
        <v>0</v>
      </c>
      <c r="U605" s="129">
        <f t="shared" si="300"/>
        <v>0</v>
      </c>
      <c r="V605" s="258"/>
      <c r="W605" s="129" t="str">
        <f t="shared" ref="W605:W609" si="302">IF(OR(E605="〇〇(合意形成対象者名に書き換え)",E605=""),"",SUM(S605,T605,U605))</f>
        <v/>
      </c>
      <c r="X605" s="129">
        <f t="shared" si="301"/>
        <v>1</v>
      </c>
      <c r="Y605" s="129">
        <f t="shared" ref="Y605:Y609" si="303">IF(E605="",1,IF(AND(E605="〇〇(合意形成対象者名に書き換え)",COUNTA($F605:$J605)=0),1,IF(AND(E605&lt;&gt;"〇〇(合意形成対象者名に書き換え)",COUNTA($F605:$J605)=5),1,0)))</f>
        <v>1</v>
      </c>
      <c r="Z605" s="129" t="str" cm="1">
        <f t="array" ref="Z605">_xlfn.IFS(X605=4,"A",X605=3,"B",X605=2,"C",X605=1,"D")</f>
        <v>D</v>
      </c>
      <c r="AA605" s="255"/>
    </row>
    <row r="606" spans="1:27">
      <c r="B606" s="95"/>
      <c r="C606" s="96"/>
      <c r="D606" s="97"/>
      <c r="E606" s="890" t="s">
        <v>129</v>
      </c>
      <c r="F606" s="441"/>
      <c r="G606" s="441"/>
      <c r="H606" s="1203"/>
      <c r="I606" s="1203"/>
      <c r="J606" s="441"/>
      <c r="K606" s="98"/>
      <c r="L606" s="11"/>
      <c r="R606" s="129">
        <f t="shared" si="297"/>
        <v>0</v>
      </c>
      <c r="S606" s="129">
        <f t="shared" si="298"/>
        <v>0</v>
      </c>
      <c r="T606" s="129">
        <f t="shared" si="299"/>
        <v>0</v>
      </c>
      <c r="U606" s="129">
        <f t="shared" si="300"/>
        <v>0</v>
      </c>
      <c r="V606" s="258"/>
      <c r="W606" s="129" t="str">
        <f t="shared" si="302"/>
        <v/>
      </c>
      <c r="X606" s="129">
        <f t="shared" si="301"/>
        <v>1</v>
      </c>
      <c r="Y606" s="129">
        <f t="shared" si="303"/>
        <v>1</v>
      </c>
      <c r="Z606" s="129" t="str" cm="1">
        <f t="array" ref="Z606">_xlfn.IFS(X606=4,"A",X606=3,"B",X606=2,"C",X606=1,"D")</f>
        <v>D</v>
      </c>
      <c r="AA606" s="255"/>
    </row>
    <row r="607" spans="1:27" s="99" customFormat="1">
      <c r="A607" s="11"/>
      <c r="B607" s="95"/>
      <c r="C607" s="96"/>
      <c r="D607" s="97"/>
      <c r="E607" s="890" t="s">
        <v>129</v>
      </c>
      <c r="F607" s="441"/>
      <c r="G607" s="441"/>
      <c r="H607" s="1203"/>
      <c r="I607" s="1203"/>
      <c r="J607" s="441"/>
      <c r="K607" s="98"/>
      <c r="L607" s="11"/>
      <c r="O607" s="11"/>
      <c r="P607" s="11"/>
      <c r="Q607" s="11"/>
      <c r="R607" s="129">
        <f t="shared" si="297"/>
        <v>0</v>
      </c>
      <c r="S607" s="129">
        <f t="shared" si="298"/>
        <v>0</v>
      </c>
      <c r="T607" s="129">
        <f t="shared" si="299"/>
        <v>0</v>
      </c>
      <c r="U607" s="129">
        <f t="shared" si="300"/>
        <v>0</v>
      </c>
      <c r="V607" s="258"/>
      <c r="W607" s="129" t="str">
        <f t="shared" si="302"/>
        <v/>
      </c>
      <c r="X607" s="129">
        <f t="shared" si="301"/>
        <v>1</v>
      </c>
      <c r="Y607" s="129">
        <f t="shared" si="303"/>
        <v>1</v>
      </c>
      <c r="Z607" s="129" t="str" cm="1">
        <f t="array" ref="Z607">_xlfn.IFS(X607=4,"A",X607=3,"B",X607=2,"C",X607=1,"D")</f>
        <v>D</v>
      </c>
      <c r="AA607" s="129"/>
    </row>
    <row r="608" spans="1:27" customFormat="1" ht="7.5" customHeight="1">
      <c r="B608" s="65"/>
      <c r="C608" s="4"/>
      <c r="D608" s="4"/>
      <c r="E608" s="288"/>
      <c r="F608" s="4"/>
      <c r="G608" s="4"/>
      <c r="H608" s="1204"/>
      <c r="I608" s="1204"/>
      <c r="J608" s="4"/>
      <c r="K608" s="9"/>
      <c r="L608" s="2"/>
      <c r="M608" s="2"/>
      <c r="N608" s="2"/>
      <c r="R608" s="129">
        <f t="shared" si="297"/>
        <v>0</v>
      </c>
      <c r="S608" s="129">
        <f t="shared" si="298"/>
        <v>0</v>
      </c>
      <c r="T608" s="129">
        <f t="shared" si="299"/>
        <v>0</v>
      </c>
      <c r="U608" s="129">
        <f t="shared" si="300"/>
        <v>0</v>
      </c>
      <c r="V608" s="258"/>
      <c r="W608" s="129" t="str">
        <f t="shared" si="302"/>
        <v/>
      </c>
      <c r="X608" s="129">
        <f t="shared" si="301"/>
        <v>1</v>
      </c>
      <c r="Y608" s="129">
        <f t="shared" si="303"/>
        <v>1</v>
      </c>
      <c r="Z608" s="129" t="str" cm="1">
        <f t="array" ref="Z608">_xlfn.IFS(X608=4,"A",X608=3,"B",X608=2,"C",X608=1,"D")</f>
        <v>D</v>
      </c>
      <c r="AA608" s="175"/>
    </row>
    <row r="609" spans="1:27" customFormat="1" ht="6" customHeight="1">
      <c r="E609" s="3"/>
      <c r="H609" s="1198"/>
      <c r="I609" s="1198"/>
      <c r="L609" s="2"/>
      <c r="M609" s="2"/>
      <c r="N609" s="2"/>
      <c r="R609" s="129">
        <f t="shared" si="297"/>
        <v>0</v>
      </c>
      <c r="S609" s="129">
        <f t="shared" si="298"/>
        <v>0</v>
      </c>
      <c r="T609" s="129">
        <f t="shared" si="299"/>
        <v>0</v>
      </c>
      <c r="U609" s="129">
        <f t="shared" si="300"/>
        <v>0</v>
      </c>
      <c r="V609" s="258"/>
      <c r="W609" s="129" t="str">
        <f t="shared" si="302"/>
        <v/>
      </c>
      <c r="X609" s="129">
        <f t="shared" si="301"/>
        <v>1</v>
      </c>
      <c r="Y609" s="129">
        <f t="shared" si="303"/>
        <v>1</v>
      </c>
      <c r="Z609" s="129" t="str" cm="1">
        <f t="array" ref="Z609">_xlfn.IFS(X609=4,"A",X609=3,"B",X609=2,"C",X609=1,"D")</f>
        <v>D</v>
      </c>
      <c r="AA609" s="175"/>
    </row>
    <row r="610" spans="1:27" customFormat="1" ht="103.5" customHeight="1">
      <c r="C610" s="78"/>
      <c r="D610" s="79"/>
      <c r="E610" s="71" t="s">
        <v>236</v>
      </c>
      <c r="F610" s="1452"/>
      <c r="G610" s="1452"/>
      <c r="H610" s="1452"/>
      <c r="I610" s="1452"/>
      <c r="J610" s="1452"/>
      <c r="K610" s="80" t="s">
        <v>132</v>
      </c>
      <c r="L610" s="80"/>
    </row>
    <row r="611" spans="1:27" customFormat="1" ht="146.25" customHeight="1">
      <c r="C611" s="75"/>
      <c r="D611" s="68"/>
      <c r="E611" s="71" t="s">
        <v>235</v>
      </c>
      <c r="F611" s="1452"/>
      <c r="G611" s="1452"/>
      <c r="H611" s="1452"/>
      <c r="I611" s="1452"/>
      <c r="J611" s="1452"/>
      <c r="L611" s="2"/>
      <c r="M611" s="2"/>
      <c r="N611" s="2"/>
    </row>
    <row r="612" spans="1:27" customFormat="1" ht="13.5" customHeight="1" thickBot="1">
      <c r="A612" s="81"/>
      <c r="B612" s="81"/>
      <c r="C612" s="81"/>
      <c r="D612" s="81"/>
      <c r="E612" s="311"/>
      <c r="F612" s="81"/>
      <c r="G612" s="81"/>
      <c r="H612" s="1205"/>
      <c r="I612" s="1205"/>
      <c r="J612" s="81"/>
      <c r="K612" s="81"/>
      <c r="L612" s="82"/>
      <c r="M612" s="2"/>
      <c r="N612" s="2"/>
    </row>
    <row r="613" spans="1:27" customFormat="1" ht="13.5" customHeight="1">
      <c r="E613" s="3"/>
      <c r="H613" s="1198"/>
      <c r="I613" s="1198"/>
      <c r="L613" s="2"/>
      <c r="M613" s="2"/>
      <c r="N613" s="2"/>
    </row>
    <row r="614" spans="1:27" customFormat="1" ht="15" customHeight="1">
      <c r="B614" s="10"/>
      <c r="C614" s="5"/>
      <c r="D614" s="5"/>
      <c r="E614" s="305"/>
      <c r="F614" s="5"/>
      <c r="G614" s="5"/>
      <c r="H614" s="1199"/>
      <c r="I614" s="1199"/>
      <c r="J614" s="5"/>
      <c r="K614" s="6"/>
      <c r="R614" s="11" t="str">
        <f>D615</f>
        <v>(選択してください)</v>
      </c>
    </row>
    <row r="615" spans="1:27" customFormat="1">
      <c r="B615" s="7"/>
      <c r="C615" s="77" t="str">
        <f ca="1">IFERROR(OFFSET('4.3民生部門電力以外の排出削減取組'!$C$1,MATCH(D615,'4.3民生部門電力以外の排出削減取組'!$E:$E,0)-1,0),"")</f>
        <v/>
      </c>
      <c r="D615" s="94" t="s">
        <v>130</v>
      </c>
      <c r="E615" s="72" t="s">
        <v>12</v>
      </c>
      <c r="F615" s="1451" t="str">
        <f ca="1">IFERROR(OFFSET('4.3民生部門電力以外の排出削減取組'!$G$1,MATCH($D615,'4.3民生部門電力以外の排出削減取組'!$E:$E,0)-1,0),"")</f>
        <v/>
      </c>
      <c r="G615" s="1451"/>
      <c r="H615" s="1451"/>
      <c r="I615" s="1451"/>
      <c r="J615" s="1451"/>
      <c r="K615" s="8"/>
      <c r="R615" s="255" t="str">
        <f ca="1">IFERROR(OFFSET('4.3民生部門電力以外の排出削減取組'!$G$1,MATCH($D615,'4.3民生部門電力以外の排出削減取組'!$E:$E,0)-1,0),"")</f>
        <v/>
      </c>
      <c r="S615" s="175"/>
      <c r="T615" s="175"/>
      <c r="U615" s="175"/>
      <c r="V615" s="175"/>
      <c r="W615" s="175"/>
      <c r="X615" s="175"/>
      <c r="Y615" s="175"/>
      <c r="Z615" s="175"/>
      <c r="AA615" s="175">
        <f ca="1">(F615=R615)*1</f>
        <v>1</v>
      </c>
    </row>
    <row r="616" spans="1:27" customFormat="1">
      <c r="B616" s="7"/>
      <c r="C616" s="915"/>
      <c r="D616" s="97"/>
      <c r="E616" s="72" t="s">
        <v>612</v>
      </c>
      <c r="F616" s="1447" t="str">
        <f ca="1">IFERROR(OFFSET('4.3民生部門電力以外の排出削減取組'!$J$1,MATCH($D615,'4.3民生部門電力以外の排出削減取組'!$E:$E,0)-1,0),"")</f>
        <v/>
      </c>
      <c r="G616" s="1448"/>
      <c r="H616" s="1448"/>
      <c r="I616" s="1448"/>
      <c r="J616" s="1449"/>
      <c r="K616" s="8"/>
      <c r="R616" s="255" t="str">
        <f ca="1">IFERROR(OFFSET('4.3民生部門電力以外の排出削減取組'!$J$1,MATCH($D615,'4.3民生部門電力以外の排出削減取組'!$E:$E,0)-1,0),"")</f>
        <v/>
      </c>
      <c r="S616" s="175"/>
      <c r="T616" s="175"/>
      <c r="U616" s="175"/>
      <c r="V616" s="175"/>
      <c r="W616" s="175"/>
      <c r="X616" s="175"/>
      <c r="Y616" s="175"/>
      <c r="Z616" s="175"/>
      <c r="AA616" s="175">
        <f ca="1">(F616=R616)*1</f>
        <v>1</v>
      </c>
    </row>
    <row r="617" spans="1:27" customFormat="1">
      <c r="B617" s="7"/>
      <c r="C617" s="74"/>
      <c r="D617" s="66"/>
      <c r="E617" s="72" t="s">
        <v>280</v>
      </c>
      <c r="F617" s="1470" t="str">
        <f ca="1">IFERROR(OFFSET('4.3民生部門電力以外の排出削減取組'!$H$1,MATCH($D615,'4.3民生部門電力以外の排出削減取組'!$E:$E,0)-1,0),"")</f>
        <v/>
      </c>
      <c r="G617" s="1470"/>
      <c r="H617" s="1470"/>
      <c r="I617" s="1470"/>
      <c r="J617" s="1470"/>
      <c r="K617" s="8"/>
      <c r="R617" s="175" t="str">
        <f ca="1">IFERROR(OFFSET('4.3民生部門電力以外の排出削減取組'!$H$1,MATCH($D615,'4.3民生部門電力以外の排出削減取組'!$E:$E,0)-1,0),"")</f>
        <v/>
      </c>
      <c r="S617" s="175"/>
      <c r="T617" s="175"/>
      <c r="U617" s="175"/>
      <c r="V617" s="175"/>
      <c r="W617" s="175"/>
      <c r="X617" s="175"/>
      <c r="Y617" s="175"/>
      <c r="Z617" s="175"/>
      <c r="AA617" s="175">
        <f t="shared" ref="AA617:AA618" ca="1" si="304">(F617=R617)*1</f>
        <v>1</v>
      </c>
    </row>
    <row r="618" spans="1:27" customFormat="1">
      <c r="B618" s="7"/>
      <c r="C618" s="74"/>
      <c r="D618" s="66"/>
      <c r="E618" s="72" t="s">
        <v>175</v>
      </c>
      <c r="F618" s="1451" t="str">
        <f>_xlfn.IFNA(R618,"")</f>
        <v/>
      </c>
      <c r="G618" s="1451"/>
      <c r="H618" s="1451"/>
      <c r="I618" s="1451"/>
      <c r="J618" s="1451"/>
      <c r="K618" s="8"/>
      <c r="R618" s="129" t="str">
        <f>IF(OR(COUNTIF($E620:$E625,"&lt;&gt;〇〇(合意形成対象者名に書き換え)")=3,COUNTIF($E620:$E625,"")&gt;3),"",IF(PRODUCT($Y620:$Y625)=1,Z620,""))</f>
        <v/>
      </c>
      <c r="S618" s="175"/>
      <c r="T618" s="175"/>
      <c r="U618" s="175"/>
      <c r="V618" s="175"/>
      <c r="W618" s="175"/>
      <c r="X618" s="175"/>
      <c r="Y618" s="175"/>
      <c r="Z618" s="175"/>
      <c r="AA618" s="175">
        <f t="shared" si="304"/>
        <v>1</v>
      </c>
    </row>
    <row r="619" spans="1:27" ht="63.75" customHeight="1">
      <c r="B619" s="95"/>
      <c r="C619" s="96"/>
      <c r="D619" s="97"/>
      <c r="E619" s="888"/>
      <c r="F619" s="313" t="s">
        <v>278</v>
      </c>
      <c r="G619" s="313" t="s">
        <v>268</v>
      </c>
      <c r="H619" s="1200" t="s">
        <v>437</v>
      </c>
      <c r="I619" s="1200" t="s">
        <v>439</v>
      </c>
      <c r="J619" s="313" t="s">
        <v>279</v>
      </c>
      <c r="K619" s="98"/>
      <c r="L619" s="11"/>
      <c r="R619" s="126" t="s">
        <v>278</v>
      </c>
      <c r="S619" s="126" t="s">
        <v>440</v>
      </c>
      <c r="T619" s="295" t="s">
        <v>437</v>
      </c>
      <c r="U619" s="295" t="s">
        <v>438</v>
      </c>
      <c r="V619" s="256" t="s">
        <v>270</v>
      </c>
      <c r="W619" s="126" t="s">
        <v>426</v>
      </c>
      <c r="X619" s="129" t="s">
        <v>402</v>
      </c>
      <c r="Y619" s="129" t="s">
        <v>430</v>
      </c>
      <c r="Z619" s="126" t="s">
        <v>425</v>
      </c>
      <c r="AA619" s="255"/>
    </row>
    <row r="620" spans="1:27" hidden="1">
      <c r="B620" s="95"/>
      <c r="C620" s="96"/>
      <c r="D620" s="97"/>
      <c r="E620" s="889"/>
      <c r="F620" s="439"/>
      <c r="G620" s="439"/>
      <c r="H620" s="1201"/>
      <c r="I620" s="1201"/>
      <c r="J620" s="439"/>
      <c r="K620" s="98"/>
      <c r="L620" s="11"/>
      <c r="R620" s="129">
        <f t="shared" ref="R620:R625" si="305">IF(F620="実施済",1,0)</f>
        <v>0</v>
      </c>
      <c r="S620" s="129">
        <f t="shared" ref="S620:S625" si="306">IF(G620="実施済",R620*1,0)</f>
        <v>0</v>
      </c>
      <c r="T620" s="129">
        <f t="shared" ref="T620:T625" si="307">IF(H620="実施済",S620*1,0)</f>
        <v>0</v>
      </c>
      <c r="U620" s="129">
        <f t="shared" ref="U620:U625" si="308">IF(I620="実施済",T620*1,0)</f>
        <v>0</v>
      </c>
      <c r="V620" s="258"/>
      <c r="W620" s="129" t="str">
        <f>IF(OR(E620="〇〇(合意形成対象者名に書き換え)",E620=""),"",SUM(S620,T620,U620))</f>
        <v/>
      </c>
      <c r="X620" s="129">
        <f t="shared" ref="X620:X625" si="309">MIN($W$620:$W$625)+1</f>
        <v>1</v>
      </c>
      <c r="Y620" s="129">
        <f>IF(E620="",1,IF(AND(E620="〇〇(合意形成対象者名に書き換え)",COUNTA($F620:$J620)=0),1,IF(AND(E620&lt;&gt;"〇〇(合意形成対象者名に書き換え)",COUNTA($F620:$J620)=5),1,0)))</f>
        <v>1</v>
      </c>
      <c r="Z620" s="129" t="str" cm="1">
        <f t="array" ref="Z620">_xlfn.IFS(X620=4,"A",X620=3,"B",X620=2,"C",X620=1,"D")</f>
        <v>D</v>
      </c>
      <c r="AA620" s="255"/>
    </row>
    <row r="621" spans="1:27">
      <c r="B621" s="95"/>
      <c r="C621" s="96"/>
      <c r="D621" s="97"/>
      <c r="E621" s="890" t="s">
        <v>129</v>
      </c>
      <c r="F621" s="445"/>
      <c r="G621" s="445"/>
      <c r="H621" s="1202"/>
      <c r="I621" s="1202"/>
      <c r="J621" s="445"/>
      <c r="K621" s="98"/>
      <c r="L621" s="11"/>
      <c r="R621" s="129">
        <f t="shared" si="305"/>
        <v>0</v>
      </c>
      <c r="S621" s="129">
        <f t="shared" si="306"/>
        <v>0</v>
      </c>
      <c r="T621" s="129">
        <f t="shared" si="307"/>
        <v>0</v>
      </c>
      <c r="U621" s="129">
        <f t="shared" si="308"/>
        <v>0</v>
      </c>
      <c r="V621" s="258"/>
      <c r="W621" s="129" t="str">
        <f t="shared" ref="W621:W625" si="310">IF(OR(E621="〇〇(合意形成対象者名に書き換え)",E621=""),"",SUM(S621,T621,U621))</f>
        <v/>
      </c>
      <c r="X621" s="129">
        <f t="shared" si="309"/>
        <v>1</v>
      </c>
      <c r="Y621" s="129">
        <f t="shared" ref="Y621:Y625" si="311">IF(E621="",1,IF(AND(E621="〇〇(合意形成対象者名に書き換え)",COUNTA($F621:$J621)=0),1,IF(AND(E621&lt;&gt;"〇〇(合意形成対象者名に書き換え)",COUNTA($F621:$J621)=5),1,0)))</f>
        <v>1</v>
      </c>
      <c r="Z621" s="129" t="str" cm="1">
        <f t="array" ref="Z621">_xlfn.IFS(X621=4,"A",X621=3,"B",X621=2,"C",X621=1,"D")</f>
        <v>D</v>
      </c>
      <c r="AA621" s="255"/>
    </row>
    <row r="622" spans="1:27">
      <c r="B622" s="95"/>
      <c r="C622" s="96"/>
      <c r="D622" s="97"/>
      <c r="E622" s="890" t="s">
        <v>129</v>
      </c>
      <c r="F622" s="441"/>
      <c r="G622" s="441"/>
      <c r="H622" s="1203"/>
      <c r="I622" s="1203"/>
      <c r="J622" s="441"/>
      <c r="K622" s="98"/>
      <c r="L622" s="11"/>
      <c r="R622" s="129">
        <f t="shared" si="305"/>
        <v>0</v>
      </c>
      <c r="S622" s="129">
        <f t="shared" si="306"/>
        <v>0</v>
      </c>
      <c r="T622" s="129">
        <f t="shared" si="307"/>
        <v>0</v>
      </c>
      <c r="U622" s="129">
        <f t="shared" si="308"/>
        <v>0</v>
      </c>
      <c r="V622" s="258"/>
      <c r="W622" s="129" t="str">
        <f t="shared" si="310"/>
        <v/>
      </c>
      <c r="X622" s="129">
        <f t="shared" si="309"/>
        <v>1</v>
      </c>
      <c r="Y622" s="129">
        <f t="shared" si="311"/>
        <v>1</v>
      </c>
      <c r="Z622" s="129" t="str" cm="1">
        <f t="array" ref="Z622">_xlfn.IFS(X622=4,"A",X622=3,"B",X622=2,"C",X622=1,"D")</f>
        <v>D</v>
      </c>
      <c r="AA622" s="255"/>
    </row>
    <row r="623" spans="1:27" s="99" customFormat="1">
      <c r="A623" s="11"/>
      <c r="B623" s="95"/>
      <c r="C623" s="96"/>
      <c r="D623" s="97"/>
      <c r="E623" s="890" t="s">
        <v>129</v>
      </c>
      <c r="F623" s="441"/>
      <c r="G623" s="441"/>
      <c r="H623" s="1203"/>
      <c r="I623" s="1203"/>
      <c r="J623" s="441"/>
      <c r="K623" s="98"/>
      <c r="L623" s="11"/>
      <c r="O623" s="11"/>
      <c r="P623" s="11"/>
      <c r="Q623" s="11"/>
      <c r="R623" s="129">
        <f t="shared" si="305"/>
        <v>0</v>
      </c>
      <c r="S623" s="129">
        <f t="shared" si="306"/>
        <v>0</v>
      </c>
      <c r="T623" s="129">
        <f t="shared" si="307"/>
        <v>0</v>
      </c>
      <c r="U623" s="129">
        <f t="shared" si="308"/>
        <v>0</v>
      </c>
      <c r="V623" s="258"/>
      <c r="W623" s="129" t="str">
        <f t="shared" si="310"/>
        <v/>
      </c>
      <c r="X623" s="129">
        <f t="shared" si="309"/>
        <v>1</v>
      </c>
      <c r="Y623" s="129">
        <f t="shared" si="311"/>
        <v>1</v>
      </c>
      <c r="Z623" s="129" t="str" cm="1">
        <f t="array" ref="Z623">_xlfn.IFS(X623=4,"A",X623=3,"B",X623=2,"C",X623=1,"D")</f>
        <v>D</v>
      </c>
      <c r="AA623" s="129"/>
    </row>
    <row r="624" spans="1:27" customFormat="1" ht="7.5" customHeight="1">
      <c r="B624" s="65"/>
      <c r="C624" s="4"/>
      <c r="D624" s="4"/>
      <c r="E624" s="288"/>
      <c r="F624" s="4"/>
      <c r="G624" s="4"/>
      <c r="H624" s="1204"/>
      <c r="I624" s="1204"/>
      <c r="J624" s="4"/>
      <c r="K624" s="9"/>
      <c r="L624" s="2"/>
      <c r="M624" s="2"/>
      <c r="N624" s="2"/>
      <c r="R624" s="129">
        <f t="shared" si="305"/>
        <v>0</v>
      </c>
      <c r="S624" s="129">
        <f t="shared" si="306"/>
        <v>0</v>
      </c>
      <c r="T624" s="129">
        <f t="shared" si="307"/>
        <v>0</v>
      </c>
      <c r="U624" s="129">
        <f t="shared" si="308"/>
        <v>0</v>
      </c>
      <c r="V624" s="258"/>
      <c r="W624" s="129" t="str">
        <f t="shared" si="310"/>
        <v/>
      </c>
      <c r="X624" s="129">
        <f t="shared" si="309"/>
        <v>1</v>
      </c>
      <c r="Y624" s="129">
        <f t="shared" si="311"/>
        <v>1</v>
      </c>
      <c r="Z624" s="129" t="str" cm="1">
        <f t="array" ref="Z624">_xlfn.IFS(X624=4,"A",X624=3,"B",X624=2,"C",X624=1,"D")</f>
        <v>D</v>
      </c>
      <c r="AA624" s="175"/>
    </row>
    <row r="625" spans="1:27" customFormat="1" ht="6" customHeight="1">
      <c r="E625" s="3"/>
      <c r="H625" s="1198"/>
      <c r="I625" s="1198"/>
      <c r="L625" s="2"/>
      <c r="M625" s="2"/>
      <c r="N625" s="2"/>
      <c r="R625" s="129">
        <f t="shared" si="305"/>
        <v>0</v>
      </c>
      <c r="S625" s="129">
        <f t="shared" si="306"/>
        <v>0</v>
      </c>
      <c r="T625" s="129">
        <f t="shared" si="307"/>
        <v>0</v>
      </c>
      <c r="U625" s="129">
        <f t="shared" si="308"/>
        <v>0</v>
      </c>
      <c r="V625" s="258"/>
      <c r="W625" s="129" t="str">
        <f t="shared" si="310"/>
        <v/>
      </c>
      <c r="X625" s="129">
        <f t="shared" si="309"/>
        <v>1</v>
      </c>
      <c r="Y625" s="129">
        <f t="shared" si="311"/>
        <v>1</v>
      </c>
      <c r="Z625" s="129" t="str" cm="1">
        <f t="array" ref="Z625">_xlfn.IFS(X625=4,"A",X625=3,"B",X625=2,"C",X625=1,"D")</f>
        <v>D</v>
      </c>
      <c r="AA625" s="175"/>
    </row>
    <row r="626" spans="1:27" customFormat="1" ht="103.5" customHeight="1">
      <c r="C626" s="78"/>
      <c r="D626" s="79"/>
      <c r="E626" s="71" t="s">
        <v>236</v>
      </c>
      <c r="F626" s="1452"/>
      <c r="G626" s="1452"/>
      <c r="H626" s="1452"/>
      <c r="I626" s="1452"/>
      <c r="J626" s="1452"/>
      <c r="K626" s="80" t="s">
        <v>132</v>
      </c>
      <c r="L626" s="80"/>
    </row>
    <row r="627" spans="1:27" customFormat="1" ht="146.25" customHeight="1">
      <c r="C627" s="75"/>
      <c r="D627" s="68"/>
      <c r="E627" s="71" t="s">
        <v>235</v>
      </c>
      <c r="F627" s="1452"/>
      <c r="G627" s="1452"/>
      <c r="H627" s="1452"/>
      <c r="I627" s="1452"/>
      <c r="J627" s="1452"/>
      <c r="L627" s="2"/>
      <c r="M627" s="2"/>
      <c r="N627" s="2"/>
    </row>
    <row r="628" spans="1:27" customFormat="1" ht="13.5" customHeight="1" thickBot="1">
      <c r="A628" s="81"/>
      <c r="B628" s="81"/>
      <c r="C628" s="81"/>
      <c r="D628" s="81"/>
      <c r="E628" s="311"/>
      <c r="F628" s="81"/>
      <c r="G628" s="81"/>
      <c r="H628" s="1205"/>
      <c r="I628" s="1205"/>
      <c r="J628" s="81"/>
      <c r="K628" s="81"/>
      <c r="L628" s="82"/>
      <c r="M628" s="2"/>
      <c r="N628" s="2"/>
    </row>
    <row r="629" spans="1:27" customFormat="1" ht="13.5" customHeight="1">
      <c r="E629" s="3"/>
      <c r="H629" s="1198"/>
      <c r="I629" s="1198"/>
      <c r="L629" s="2"/>
      <c r="M629" s="2"/>
      <c r="N629" s="2"/>
    </row>
    <row r="630" spans="1:27" customFormat="1" ht="15" customHeight="1">
      <c r="B630" s="10"/>
      <c r="C630" s="5"/>
      <c r="D630" s="5"/>
      <c r="E630" s="305"/>
      <c r="F630" s="5"/>
      <c r="G630" s="5"/>
      <c r="H630" s="1199"/>
      <c r="I630" s="1199"/>
      <c r="J630" s="5"/>
      <c r="K630" s="6"/>
      <c r="R630" s="11" t="str">
        <f>D631</f>
        <v>(選択してください)</v>
      </c>
    </row>
    <row r="631" spans="1:27" customFormat="1">
      <c r="B631" s="7"/>
      <c r="C631" s="77" t="str">
        <f ca="1">IFERROR(OFFSET('4.3民生部門電力以外の排出削減取組'!$C$1,MATCH(D631,'4.3民生部門電力以外の排出削減取組'!$E:$E,0)-1,0),"")</f>
        <v/>
      </c>
      <c r="D631" s="94" t="s">
        <v>130</v>
      </c>
      <c r="E631" s="72" t="s">
        <v>12</v>
      </c>
      <c r="F631" s="1451" t="str">
        <f ca="1">IFERROR(OFFSET('4.3民生部門電力以外の排出削減取組'!$G$1,MATCH($D631,'4.3民生部門電力以外の排出削減取組'!$E:$E,0)-1,0),"")</f>
        <v/>
      </c>
      <c r="G631" s="1451"/>
      <c r="H631" s="1451"/>
      <c r="I631" s="1451"/>
      <c r="J631" s="1451"/>
      <c r="K631" s="8"/>
      <c r="R631" s="255" t="str">
        <f ca="1">IFERROR(OFFSET('4.3民生部門電力以外の排出削減取組'!$G$1,MATCH($D631,'4.3民生部門電力以外の排出削減取組'!$E:$E,0)-1,0),"")</f>
        <v/>
      </c>
      <c r="S631" s="175"/>
      <c r="T631" s="175"/>
      <c r="U631" s="175"/>
      <c r="V631" s="175"/>
      <c r="W631" s="175"/>
      <c r="X631" s="175"/>
      <c r="Y631" s="175"/>
      <c r="Z631" s="175"/>
      <c r="AA631" s="175">
        <f ca="1">(F631=R631)*1</f>
        <v>1</v>
      </c>
    </row>
    <row r="632" spans="1:27" customFormat="1">
      <c r="B632" s="7"/>
      <c r="C632" s="915"/>
      <c r="D632" s="97"/>
      <c r="E632" s="72" t="s">
        <v>612</v>
      </c>
      <c r="F632" s="1447" t="str">
        <f ca="1">IFERROR(OFFSET('4.3民生部門電力以外の排出削減取組'!$J$1,MATCH($D631,'4.3民生部門電力以外の排出削減取組'!$E:$E,0)-1,0),"")</f>
        <v/>
      </c>
      <c r="G632" s="1448"/>
      <c r="H632" s="1448"/>
      <c r="I632" s="1448"/>
      <c r="J632" s="1449"/>
      <c r="K632" s="8"/>
      <c r="R632" s="255" t="str">
        <f ca="1">IFERROR(OFFSET('4.3民生部門電力以外の排出削減取組'!$J$1,MATCH($D631,'4.3民生部門電力以外の排出削減取組'!$E:$E,0)-1,0),"")</f>
        <v/>
      </c>
      <c r="S632" s="175"/>
      <c r="T632" s="175"/>
      <c r="U632" s="175"/>
      <c r="V632" s="175"/>
      <c r="W632" s="175"/>
      <c r="X632" s="175"/>
      <c r="Y632" s="175"/>
      <c r="Z632" s="175"/>
      <c r="AA632" s="175">
        <f ca="1">(F632=R632)*1</f>
        <v>1</v>
      </c>
    </row>
    <row r="633" spans="1:27" customFormat="1">
      <c r="B633" s="7"/>
      <c r="C633" s="74"/>
      <c r="D633" s="66"/>
      <c r="E633" s="72" t="s">
        <v>280</v>
      </c>
      <c r="F633" s="1470" t="str">
        <f ca="1">IFERROR(OFFSET('4.3民生部門電力以外の排出削減取組'!$H$1,MATCH($D631,'4.3民生部門電力以外の排出削減取組'!$E:$E,0)-1,0),"")</f>
        <v/>
      </c>
      <c r="G633" s="1470"/>
      <c r="H633" s="1470"/>
      <c r="I633" s="1470"/>
      <c r="J633" s="1470"/>
      <c r="K633" s="8"/>
      <c r="R633" s="175" t="str">
        <f ca="1">IFERROR(OFFSET('4.3民生部門電力以外の排出削減取組'!$H$1,MATCH($D631,'4.3民生部門電力以外の排出削減取組'!$E:$E,0)-1,0),"")</f>
        <v/>
      </c>
      <c r="S633" s="175"/>
      <c r="T633" s="175"/>
      <c r="U633" s="175"/>
      <c r="V633" s="175"/>
      <c r="W633" s="175"/>
      <c r="X633" s="175"/>
      <c r="Y633" s="175"/>
      <c r="Z633" s="175"/>
      <c r="AA633" s="175">
        <f t="shared" ref="AA633:AA634" ca="1" si="312">(F633=R633)*1</f>
        <v>1</v>
      </c>
    </row>
    <row r="634" spans="1:27" customFormat="1">
      <c r="B634" s="7"/>
      <c r="C634" s="74"/>
      <c r="D634" s="66"/>
      <c r="E634" s="72" t="s">
        <v>175</v>
      </c>
      <c r="F634" s="1451" t="str">
        <f>_xlfn.IFNA(R634,"")</f>
        <v/>
      </c>
      <c r="G634" s="1451"/>
      <c r="H634" s="1451"/>
      <c r="I634" s="1451"/>
      <c r="J634" s="1451"/>
      <c r="K634" s="8"/>
      <c r="R634" s="129" t="str">
        <f>IF(OR(COUNTIF($E636:$E641,"&lt;&gt;〇〇(合意形成対象者名に書き換え)")=3,COUNTIF($E636:$E641,"")&gt;3),"",IF(PRODUCT($Y636:$Y641)=1,Z636,""))</f>
        <v/>
      </c>
      <c r="S634" s="175"/>
      <c r="T634" s="175"/>
      <c r="U634" s="175"/>
      <c r="V634" s="175"/>
      <c r="W634" s="175"/>
      <c r="X634" s="175"/>
      <c r="Y634" s="175"/>
      <c r="Z634" s="175"/>
      <c r="AA634" s="175">
        <f t="shared" si="312"/>
        <v>1</v>
      </c>
    </row>
    <row r="635" spans="1:27" ht="63.75" customHeight="1">
      <c r="B635" s="95"/>
      <c r="C635" s="96"/>
      <c r="D635" s="97"/>
      <c r="E635" s="888"/>
      <c r="F635" s="313" t="s">
        <v>278</v>
      </c>
      <c r="G635" s="313" t="s">
        <v>268</v>
      </c>
      <c r="H635" s="1200" t="s">
        <v>437</v>
      </c>
      <c r="I635" s="1200" t="s">
        <v>439</v>
      </c>
      <c r="J635" s="313" t="s">
        <v>279</v>
      </c>
      <c r="K635" s="98"/>
      <c r="L635" s="11"/>
      <c r="R635" s="126" t="s">
        <v>278</v>
      </c>
      <c r="S635" s="126" t="s">
        <v>440</v>
      </c>
      <c r="T635" s="295" t="s">
        <v>437</v>
      </c>
      <c r="U635" s="295" t="s">
        <v>438</v>
      </c>
      <c r="V635" s="256" t="s">
        <v>270</v>
      </c>
      <c r="W635" s="126" t="s">
        <v>426</v>
      </c>
      <c r="X635" s="129" t="s">
        <v>402</v>
      </c>
      <c r="Y635" s="129" t="s">
        <v>430</v>
      </c>
      <c r="Z635" s="126" t="s">
        <v>425</v>
      </c>
      <c r="AA635" s="255"/>
    </row>
    <row r="636" spans="1:27" hidden="1">
      <c r="B636" s="95"/>
      <c r="C636" s="96"/>
      <c r="D636" s="97"/>
      <c r="E636" s="889"/>
      <c r="F636" s="439"/>
      <c r="G636" s="439"/>
      <c r="H636" s="1201"/>
      <c r="I636" s="1201"/>
      <c r="J636" s="439"/>
      <c r="K636" s="98"/>
      <c r="L636" s="11"/>
      <c r="R636" s="129">
        <f t="shared" ref="R636:R641" si="313">IF(F636="実施済",1,0)</f>
        <v>0</v>
      </c>
      <c r="S636" s="129">
        <f t="shared" ref="S636:S641" si="314">IF(G636="実施済",R636*1,0)</f>
        <v>0</v>
      </c>
      <c r="T636" s="129">
        <f t="shared" ref="T636:T641" si="315">IF(H636="実施済",S636*1,0)</f>
        <v>0</v>
      </c>
      <c r="U636" s="129">
        <f t="shared" ref="U636:U641" si="316">IF(I636="実施済",T636*1,0)</f>
        <v>0</v>
      </c>
      <c r="V636" s="258"/>
      <c r="W636" s="129" t="str">
        <f>IF(OR(E636="〇〇(合意形成対象者名に書き換え)",E636=""),"",SUM(S636,T636,U636))</f>
        <v/>
      </c>
      <c r="X636" s="129">
        <f t="shared" ref="X636:X641" si="317">MIN($W$636:$W$641)+1</f>
        <v>1</v>
      </c>
      <c r="Y636" s="129">
        <f>IF(E636="",1,IF(AND(E636="〇〇(合意形成対象者名に書き換え)",COUNTA($F636:$J636)=0),1,IF(AND(E636&lt;&gt;"〇〇(合意形成対象者名に書き換え)",COUNTA($F636:$J636)=5),1,0)))</f>
        <v>1</v>
      </c>
      <c r="Z636" s="129" t="str" cm="1">
        <f t="array" ref="Z636">_xlfn.IFS(X636=4,"A",X636=3,"B",X636=2,"C",X636=1,"D")</f>
        <v>D</v>
      </c>
      <c r="AA636" s="255"/>
    </row>
    <row r="637" spans="1:27">
      <c r="B637" s="95"/>
      <c r="C637" s="96"/>
      <c r="D637" s="97"/>
      <c r="E637" s="890" t="s">
        <v>129</v>
      </c>
      <c r="F637" s="445"/>
      <c r="G637" s="445"/>
      <c r="H637" s="1202"/>
      <c r="I637" s="1202"/>
      <c r="J637" s="445"/>
      <c r="K637" s="98"/>
      <c r="L637" s="11"/>
      <c r="R637" s="129">
        <f t="shared" si="313"/>
        <v>0</v>
      </c>
      <c r="S637" s="129">
        <f t="shared" si="314"/>
        <v>0</v>
      </c>
      <c r="T637" s="129">
        <f t="shared" si="315"/>
        <v>0</v>
      </c>
      <c r="U637" s="129">
        <f t="shared" si="316"/>
        <v>0</v>
      </c>
      <c r="V637" s="258"/>
      <c r="W637" s="129" t="str">
        <f t="shared" ref="W637:W641" si="318">IF(OR(E637="〇〇(合意形成対象者名に書き換え)",E637=""),"",SUM(S637,T637,U637))</f>
        <v/>
      </c>
      <c r="X637" s="129">
        <f t="shared" si="317"/>
        <v>1</v>
      </c>
      <c r="Y637" s="129">
        <f t="shared" ref="Y637:Y641" si="319">IF(E637="",1,IF(AND(E637="〇〇(合意形成対象者名に書き換え)",COUNTA($F637:$J637)=0),1,IF(AND(E637&lt;&gt;"〇〇(合意形成対象者名に書き換え)",COUNTA($F637:$J637)=5),1,0)))</f>
        <v>1</v>
      </c>
      <c r="Z637" s="129" t="str" cm="1">
        <f t="array" ref="Z637">_xlfn.IFS(X637=4,"A",X637=3,"B",X637=2,"C",X637=1,"D")</f>
        <v>D</v>
      </c>
      <c r="AA637" s="255"/>
    </row>
    <row r="638" spans="1:27">
      <c r="B638" s="95"/>
      <c r="C638" s="96"/>
      <c r="D638" s="97"/>
      <c r="E638" s="890" t="s">
        <v>129</v>
      </c>
      <c r="F638" s="441"/>
      <c r="G638" s="441"/>
      <c r="H638" s="1203"/>
      <c r="I638" s="1203"/>
      <c r="J638" s="441"/>
      <c r="K638" s="98"/>
      <c r="L638" s="11"/>
      <c r="R638" s="129">
        <f t="shared" si="313"/>
        <v>0</v>
      </c>
      <c r="S638" s="129">
        <f t="shared" si="314"/>
        <v>0</v>
      </c>
      <c r="T638" s="129">
        <f t="shared" si="315"/>
        <v>0</v>
      </c>
      <c r="U638" s="129">
        <f t="shared" si="316"/>
        <v>0</v>
      </c>
      <c r="V638" s="258"/>
      <c r="W638" s="129" t="str">
        <f t="shared" si="318"/>
        <v/>
      </c>
      <c r="X638" s="129">
        <f t="shared" si="317"/>
        <v>1</v>
      </c>
      <c r="Y638" s="129">
        <f t="shared" si="319"/>
        <v>1</v>
      </c>
      <c r="Z638" s="129" t="str" cm="1">
        <f t="array" ref="Z638">_xlfn.IFS(X638=4,"A",X638=3,"B",X638=2,"C",X638=1,"D")</f>
        <v>D</v>
      </c>
      <c r="AA638" s="255"/>
    </row>
    <row r="639" spans="1:27" s="99" customFormat="1">
      <c r="A639" s="11"/>
      <c r="B639" s="95"/>
      <c r="C639" s="96"/>
      <c r="D639" s="97"/>
      <c r="E639" s="890" t="s">
        <v>129</v>
      </c>
      <c r="F639" s="441"/>
      <c r="G639" s="441"/>
      <c r="H639" s="1203"/>
      <c r="I639" s="1203"/>
      <c r="J639" s="441"/>
      <c r="K639" s="98"/>
      <c r="L639" s="11"/>
      <c r="O639" s="11"/>
      <c r="P639" s="11"/>
      <c r="Q639" s="11"/>
      <c r="R639" s="129">
        <f t="shared" si="313"/>
        <v>0</v>
      </c>
      <c r="S639" s="129">
        <f t="shared" si="314"/>
        <v>0</v>
      </c>
      <c r="T639" s="129">
        <f t="shared" si="315"/>
        <v>0</v>
      </c>
      <c r="U639" s="129">
        <f t="shared" si="316"/>
        <v>0</v>
      </c>
      <c r="V639" s="258"/>
      <c r="W639" s="129" t="str">
        <f t="shared" si="318"/>
        <v/>
      </c>
      <c r="X639" s="129">
        <f t="shared" si="317"/>
        <v>1</v>
      </c>
      <c r="Y639" s="129">
        <f t="shared" si="319"/>
        <v>1</v>
      </c>
      <c r="Z639" s="129" t="str" cm="1">
        <f t="array" ref="Z639">_xlfn.IFS(X639=4,"A",X639=3,"B",X639=2,"C",X639=1,"D")</f>
        <v>D</v>
      </c>
      <c r="AA639" s="129"/>
    </row>
    <row r="640" spans="1:27" customFormat="1" ht="7.5" customHeight="1">
      <c r="B640" s="65"/>
      <c r="C640" s="4"/>
      <c r="D640" s="4"/>
      <c r="E640" s="288"/>
      <c r="F640" s="4"/>
      <c r="G640" s="4"/>
      <c r="H640" s="1204"/>
      <c r="I640" s="1204"/>
      <c r="J640" s="4"/>
      <c r="K640" s="9"/>
      <c r="L640" s="2"/>
      <c r="M640" s="2"/>
      <c r="N640" s="2"/>
      <c r="R640" s="129">
        <f t="shared" si="313"/>
        <v>0</v>
      </c>
      <c r="S640" s="129">
        <f t="shared" si="314"/>
        <v>0</v>
      </c>
      <c r="T640" s="129">
        <f t="shared" si="315"/>
        <v>0</v>
      </c>
      <c r="U640" s="129">
        <f t="shared" si="316"/>
        <v>0</v>
      </c>
      <c r="V640" s="258"/>
      <c r="W640" s="129" t="str">
        <f t="shared" si="318"/>
        <v/>
      </c>
      <c r="X640" s="129">
        <f t="shared" si="317"/>
        <v>1</v>
      </c>
      <c r="Y640" s="129">
        <f t="shared" si="319"/>
        <v>1</v>
      </c>
      <c r="Z640" s="129" t="str" cm="1">
        <f t="array" ref="Z640">_xlfn.IFS(X640=4,"A",X640=3,"B",X640=2,"C",X640=1,"D")</f>
        <v>D</v>
      </c>
      <c r="AA640" s="175"/>
    </row>
    <row r="641" spans="1:27" customFormat="1" ht="6" customHeight="1">
      <c r="E641" s="3"/>
      <c r="H641" s="1198"/>
      <c r="I641" s="1198"/>
      <c r="L641" s="2"/>
      <c r="M641" s="2"/>
      <c r="N641" s="2"/>
      <c r="R641" s="129">
        <f t="shared" si="313"/>
        <v>0</v>
      </c>
      <c r="S641" s="129">
        <f t="shared" si="314"/>
        <v>0</v>
      </c>
      <c r="T641" s="129">
        <f t="shared" si="315"/>
        <v>0</v>
      </c>
      <c r="U641" s="129">
        <f t="shared" si="316"/>
        <v>0</v>
      </c>
      <c r="V641" s="258"/>
      <c r="W641" s="129" t="str">
        <f t="shared" si="318"/>
        <v/>
      </c>
      <c r="X641" s="129">
        <f t="shared" si="317"/>
        <v>1</v>
      </c>
      <c r="Y641" s="129">
        <f t="shared" si="319"/>
        <v>1</v>
      </c>
      <c r="Z641" s="129" t="str" cm="1">
        <f t="array" ref="Z641">_xlfn.IFS(X641=4,"A",X641=3,"B",X641=2,"C",X641=1,"D")</f>
        <v>D</v>
      </c>
      <c r="AA641" s="175"/>
    </row>
    <row r="642" spans="1:27" customFormat="1" ht="103.5" customHeight="1">
      <c r="C642" s="78"/>
      <c r="D642" s="79"/>
      <c r="E642" s="71" t="s">
        <v>236</v>
      </c>
      <c r="F642" s="1452"/>
      <c r="G642" s="1452"/>
      <c r="H642" s="1452"/>
      <c r="I642" s="1452"/>
      <c r="J642" s="1452"/>
      <c r="K642" s="80" t="s">
        <v>132</v>
      </c>
      <c r="L642" s="80"/>
    </row>
    <row r="643" spans="1:27" customFormat="1" ht="146.25" customHeight="1">
      <c r="C643" s="75"/>
      <c r="D643" s="68"/>
      <c r="E643" s="71" t="s">
        <v>235</v>
      </c>
      <c r="F643" s="1452"/>
      <c r="G643" s="1452"/>
      <c r="H643" s="1452"/>
      <c r="I643" s="1452"/>
      <c r="J643" s="1452"/>
      <c r="L643" s="2"/>
      <c r="M643" s="2"/>
      <c r="N643" s="2"/>
    </row>
    <row r="644" spans="1:27" customFormat="1" ht="13.5" customHeight="1" thickBot="1">
      <c r="A644" s="81"/>
      <c r="B644" s="81"/>
      <c r="C644" s="81"/>
      <c r="D644" s="81"/>
      <c r="E644" s="311"/>
      <c r="F644" s="81"/>
      <c r="G644" s="81"/>
      <c r="H644" s="1205"/>
      <c r="I644" s="1205"/>
      <c r="J644" s="81"/>
      <c r="K644" s="81"/>
      <c r="L644" s="82"/>
      <c r="M644" s="2"/>
      <c r="N644" s="2"/>
    </row>
    <row r="645" spans="1:27" customFormat="1" ht="13.5" customHeight="1">
      <c r="E645" s="3"/>
      <c r="H645" s="1198"/>
      <c r="I645" s="1198"/>
      <c r="L645" s="2"/>
      <c r="M645" s="2"/>
      <c r="N645" s="2"/>
    </row>
    <row r="646" spans="1:27" customFormat="1" ht="15" customHeight="1">
      <c r="B646" s="10"/>
      <c r="C646" s="5"/>
      <c r="D646" s="5"/>
      <c r="E646" s="305"/>
      <c r="F646" s="5"/>
      <c r="G646" s="5"/>
      <c r="H646" s="1199"/>
      <c r="I646" s="1199"/>
      <c r="J646" s="5"/>
      <c r="K646" s="6"/>
      <c r="R646" s="11" t="str">
        <f>D647</f>
        <v>(選択してください)</v>
      </c>
    </row>
    <row r="647" spans="1:27" customFormat="1">
      <c r="B647" s="7"/>
      <c r="C647" s="77" t="str">
        <f ca="1">IFERROR(OFFSET('4.3民生部門電力以外の排出削減取組'!$C$1,MATCH(D647,'4.3民生部門電力以外の排出削減取組'!$E:$E,0)-1,0),"")</f>
        <v/>
      </c>
      <c r="D647" s="94" t="s">
        <v>130</v>
      </c>
      <c r="E647" s="72" t="s">
        <v>12</v>
      </c>
      <c r="F647" s="1451" t="str">
        <f ca="1">IFERROR(OFFSET('4.3民生部門電力以外の排出削減取組'!$G$1,MATCH($D647,'4.3民生部門電力以外の排出削減取組'!$E:$E,0)-1,0),"")</f>
        <v/>
      </c>
      <c r="G647" s="1451"/>
      <c r="H647" s="1451"/>
      <c r="I647" s="1451"/>
      <c r="J647" s="1451"/>
      <c r="K647" s="8"/>
      <c r="R647" s="255" t="str">
        <f ca="1">IFERROR(OFFSET('4.3民生部門電力以外の排出削減取組'!$G$1,MATCH($D647,'4.3民生部門電力以外の排出削減取組'!$E:$E,0)-1,0),"")</f>
        <v/>
      </c>
      <c r="S647" s="175"/>
      <c r="T647" s="175"/>
      <c r="U647" s="175"/>
      <c r="V647" s="175"/>
      <c r="W647" s="175"/>
      <c r="X647" s="175"/>
      <c r="Y647" s="175"/>
      <c r="Z647" s="175"/>
      <c r="AA647" s="175">
        <f ca="1">(F647=R647)*1</f>
        <v>1</v>
      </c>
    </row>
    <row r="648" spans="1:27" customFormat="1">
      <c r="B648" s="7"/>
      <c r="C648" s="915"/>
      <c r="D648" s="97"/>
      <c r="E648" s="72" t="s">
        <v>612</v>
      </c>
      <c r="F648" s="1447" t="str">
        <f ca="1">IFERROR(OFFSET('4.3民生部門電力以外の排出削減取組'!$J$1,MATCH($D647,'4.3民生部門電力以外の排出削減取組'!$E:$E,0)-1,0),"")</f>
        <v/>
      </c>
      <c r="G648" s="1448"/>
      <c r="H648" s="1448"/>
      <c r="I648" s="1448"/>
      <c r="J648" s="1449"/>
      <c r="K648" s="8"/>
      <c r="R648" s="255" t="str">
        <f ca="1">IFERROR(OFFSET('4.3民生部門電力以外の排出削減取組'!$J$1,MATCH($D647,'4.3民生部門電力以外の排出削減取組'!$E:$E,0)-1,0),"")</f>
        <v/>
      </c>
      <c r="S648" s="175"/>
      <c r="T648" s="175"/>
      <c r="U648" s="175"/>
      <c r="V648" s="175"/>
      <c r="W648" s="175"/>
      <c r="X648" s="175"/>
      <c r="Y648" s="175"/>
      <c r="Z648" s="175"/>
      <c r="AA648" s="175">
        <f ca="1">(F648=R648)*1</f>
        <v>1</v>
      </c>
    </row>
    <row r="649" spans="1:27" customFormat="1">
      <c r="B649" s="7"/>
      <c r="C649" s="74"/>
      <c r="D649" s="66"/>
      <c r="E649" s="72" t="s">
        <v>280</v>
      </c>
      <c r="F649" s="1470" t="str">
        <f ca="1">IFERROR(OFFSET('4.3民生部門電力以外の排出削減取組'!$H$1,MATCH($D647,'4.3民生部門電力以外の排出削減取組'!$E:$E,0)-1,0),"")</f>
        <v/>
      </c>
      <c r="G649" s="1470"/>
      <c r="H649" s="1470"/>
      <c r="I649" s="1470"/>
      <c r="J649" s="1470"/>
      <c r="K649" s="8"/>
      <c r="R649" s="175" t="str">
        <f ca="1">IFERROR(OFFSET('4.3民生部門電力以外の排出削減取組'!$H$1,MATCH($D647,'4.3民生部門電力以外の排出削減取組'!$E:$E,0)-1,0),"")</f>
        <v/>
      </c>
      <c r="S649" s="175"/>
      <c r="T649" s="175"/>
      <c r="U649" s="175"/>
      <c r="V649" s="175"/>
      <c r="W649" s="175"/>
      <c r="X649" s="175"/>
      <c r="Y649" s="175"/>
      <c r="Z649" s="175"/>
      <c r="AA649" s="175">
        <f t="shared" ref="AA649:AA650" ca="1" si="320">(F649=R649)*1</f>
        <v>1</v>
      </c>
    </row>
    <row r="650" spans="1:27" customFormat="1">
      <c r="B650" s="7"/>
      <c r="C650" s="74"/>
      <c r="D650" s="66"/>
      <c r="E650" s="72" t="s">
        <v>175</v>
      </c>
      <c r="F650" s="1451" t="str">
        <f>_xlfn.IFNA(R650,"")</f>
        <v/>
      </c>
      <c r="G650" s="1451"/>
      <c r="H650" s="1451"/>
      <c r="I650" s="1451"/>
      <c r="J650" s="1451"/>
      <c r="K650" s="8"/>
      <c r="R650" s="129" t="str">
        <f>IF(OR(COUNTIF($E652:$E657,"&lt;&gt;〇〇(合意形成対象者名に書き換え)")=3,COUNTIF($E652:$E657,"")&gt;3),"",IF(PRODUCT($Y652:$Y657)=1,Z652,""))</f>
        <v/>
      </c>
      <c r="S650" s="175"/>
      <c r="T650" s="175"/>
      <c r="U650" s="175"/>
      <c r="V650" s="175"/>
      <c r="W650" s="175"/>
      <c r="X650" s="175"/>
      <c r="Y650" s="175"/>
      <c r="Z650" s="175"/>
      <c r="AA650" s="175">
        <f t="shared" si="320"/>
        <v>1</v>
      </c>
    </row>
    <row r="651" spans="1:27" ht="63.75" customHeight="1">
      <c r="B651" s="95"/>
      <c r="C651" s="96"/>
      <c r="D651" s="97"/>
      <c r="E651" s="888"/>
      <c r="F651" s="313" t="s">
        <v>278</v>
      </c>
      <c r="G651" s="313" t="s">
        <v>268</v>
      </c>
      <c r="H651" s="1200" t="s">
        <v>437</v>
      </c>
      <c r="I651" s="1200" t="s">
        <v>439</v>
      </c>
      <c r="J651" s="313" t="s">
        <v>279</v>
      </c>
      <c r="K651" s="98"/>
      <c r="L651" s="11"/>
      <c r="R651" s="126" t="s">
        <v>278</v>
      </c>
      <c r="S651" s="126" t="s">
        <v>440</v>
      </c>
      <c r="T651" s="295" t="s">
        <v>437</v>
      </c>
      <c r="U651" s="295" t="s">
        <v>438</v>
      </c>
      <c r="V651" s="256" t="s">
        <v>270</v>
      </c>
      <c r="W651" s="126" t="s">
        <v>426</v>
      </c>
      <c r="X651" s="129" t="s">
        <v>402</v>
      </c>
      <c r="Y651" s="129" t="s">
        <v>430</v>
      </c>
      <c r="Z651" s="126" t="s">
        <v>425</v>
      </c>
      <c r="AA651" s="255"/>
    </row>
    <row r="652" spans="1:27" hidden="1">
      <c r="B652" s="95"/>
      <c r="C652" s="96"/>
      <c r="D652" s="97"/>
      <c r="E652" s="889"/>
      <c r="F652" s="439"/>
      <c r="G652" s="439"/>
      <c r="H652" s="1201"/>
      <c r="I652" s="1201"/>
      <c r="J652" s="439"/>
      <c r="K652" s="98"/>
      <c r="L652" s="11"/>
      <c r="R652" s="129">
        <f t="shared" ref="R652:R657" si="321">IF(F652="実施済",1,0)</f>
        <v>0</v>
      </c>
      <c r="S652" s="129">
        <f t="shared" ref="S652:S657" si="322">IF(G652="実施済",R652*1,0)</f>
        <v>0</v>
      </c>
      <c r="T652" s="129">
        <f t="shared" ref="T652:T657" si="323">IF(H652="実施済",S652*1,0)</f>
        <v>0</v>
      </c>
      <c r="U652" s="129">
        <f t="shared" ref="U652:U657" si="324">IF(I652="実施済",T652*1,0)</f>
        <v>0</v>
      </c>
      <c r="V652" s="258"/>
      <c r="W652" s="129" t="str">
        <f>IF(OR(E652="〇〇(合意形成対象者名に書き換え)",E652=""),"",SUM(S652,T652,U652))</f>
        <v/>
      </c>
      <c r="X652" s="129">
        <f t="shared" ref="X652:X657" si="325">MIN($W$652:$W$657)+1</f>
        <v>1</v>
      </c>
      <c r="Y652" s="129">
        <f>IF(E652="",1,IF(AND(E652="〇〇(合意形成対象者名に書き換え)",COUNTA($F652:$J652)=0),1,IF(AND(E652&lt;&gt;"〇〇(合意形成対象者名に書き換え)",COUNTA($F652:$J652)=5),1,0)))</f>
        <v>1</v>
      </c>
      <c r="Z652" s="129" t="str" cm="1">
        <f t="array" ref="Z652">_xlfn.IFS(X652=4,"A",X652=3,"B",X652=2,"C",X652=1,"D")</f>
        <v>D</v>
      </c>
      <c r="AA652" s="255"/>
    </row>
    <row r="653" spans="1:27">
      <c r="B653" s="95"/>
      <c r="C653" s="96"/>
      <c r="D653" s="97"/>
      <c r="E653" s="890" t="s">
        <v>129</v>
      </c>
      <c r="F653" s="445"/>
      <c r="G653" s="445"/>
      <c r="H653" s="1202"/>
      <c r="I653" s="1202"/>
      <c r="J653" s="445"/>
      <c r="K653" s="98"/>
      <c r="L653" s="11"/>
      <c r="R653" s="129">
        <f t="shared" si="321"/>
        <v>0</v>
      </c>
      <c r="S653" s="129">
        <f t="shared" si="322"/>
        <v>0</v>
      </c>
      <c r="T653" s="129">
        <f t="shared" si="323"/>
        <v>0</v>
      </c>
      <c r="U653" s="129">
        <f t="shared" si="324"/>
        <v>0</v>
      </c>
      <c r="V653" s="258"/>
      <c r="W653" s="129" t="str">
        <f t="shared" ref="W653:W657" si="326">IF(OR(E653="〇〇(合意形成対象者名に書き換え)",E653=""),"",SUM(S653,T653,U653))</f>
        <v/>
      </c>
      <c r="X653" s="129">
        <f t="shared" si="325"/>
        <v>1</v>
      </c>
      <c r="Y653" s="129">
        <f t="shared" ref="Y653:Y657" si="327">IF(E653="",1,IF(AND(E653="〇〇(合意形成対象者名に書き換え)",COUNTA($F653:$J653)=0),1,IF(AND(E653&lt;&gt;"〇〇(合意形成対象者名に書き換え)",COUNTA($F653:$J653)=5),1,0)))</f>
        <v>1</v>
      </c>
      <c r="Z653" s="129" t="str" cm="1">
        <f t="array" ref="Z653">_xlfn.IFS(X653=4,"A",X653=3,"B",X653=2,"C",X653=1,"D")</f>
        <v>D</v>
      </c>
      <c r="AA653" s="255"/>
    </row>
    <row r="654" spans="1:27">
      <c r="B654" s="95"/>
      <c r="C654" s="96"/>
      <c r="D654" s="97"/>
      <c r="E654" s="890" t="s">
        <v>129</v>
      </c>
      <c r="F654" s="441"/>
      <c r="G654" s="441"/>
      <c r="H654" s="1203"/>
      <c r="I654" s="1203"/>
      <c r="J654" s="441"/>
      <c r="K654" s="98"/>
      <c r="L654" s="11"/>
      <c r="R654" s="129">
        <f t="shared" si="321"/>
        <v>0</v>
      </c>
      <c r="S654" s="129">
        <f t="shared" si="322"/>
        <v>0</v>
      </c>
      <c r="T654" s="129">
        <f t="shared" si="323"/>
        <v>0</v>
      </c>
      <c r="U654" s="129">
        <f t="shared" si="324"/>
        <v>0</v>
      </c>
      <c r="V654" s="258"/>
      <c r="W654" s="129" t="str">
        <f t="shared" si="326"/>
        <v/>
      </c>
      <c r="X654" s="129">
        <f t="shared" si="325"/>
        <v>1</v>
      </c>
      <c r="Y654" s="129">
        <f t="shared" si="327"/>
        <v>1</v>
      </c>
      <c r="Z654" s="129" t="str" cm="1">
        <f t="array" ref="Z654">_xlfn.IFS(X654=4,"A",X654=3,"B",X654=2,"C",X654=1,"D")</f>
        <v>D</v>
      </c>
      <c r="AA654" s="255"/>
    </row>
    <row r="655" spans="1:27" s="99" customFormat="1">
      <c r="A655" s="11"/>
      <c r="B655" s="95"/>
      <c r="C655" s="96"/>
      <c r="D655" s="97"/>
      <c r="E655" s="890" t="s">
        <v>129</v>
      </c>
      <c r="F655" s="441"/>
      <c r="G655" s="441"/>
      <c r="H655" s="1203"/>
      <c r="I655" s="1203"/>
      <c r="J655" s="441"/>
      <c r="K655" s="98"/>
      <c r="L655" s="11"/>
      <c r="O655" s="11"/>
      <c r="P655" s="11"/>
      <c r="Q655" s="11"/>
      <c r="R655" s="129">
        <f t="shared" si="321"/>
        <v>0</v>
      </c>
      <c r="S655" s="129">
        <f t="shared" si="322"/>
        <v>0</v>
      </c>
      <c r="T655" s="129">
        <f t="shared" si="323"/>
        <v>0</v>
      </c>
      <c r="U655" s="129">
        <f t="shared" si="324"/>
        <v>0</v>
      </c>
      <c r="V655" s="258"/>
      <c r="W655" s="129" t="str">
        <f t="shared" si="326"/>
        <v/>
      </c>
      <c r="X655" s="129">
        <f t="shared" si="325"/>
        <v>1</v>
      </c>
      <c r="Y655" s="129">
        <f t="shared" si="327"/>
        <v>1</v>
      </c>
      <c r="Z655" s="129" t="str" cm="1">
        <f t="array" ref="Z655">_xlfn.IFS(X655=4,"A",X655=3,"B",X655=2,"C",X655=1,"D")</f>
        <v>D</v>
      </c>
      <c r="AA655" s="129"/>
    </row>
    <row r="656" spans="1:27" customFormat="1" ht="7.5" customHeight="1">
      <c r="B656" s="65"/>
      <c r="C656" s="4"/>
      <c r="D656" s="4"/>
      <c r="E656" s="288"/>
      <c r="F656" s="4"/>
      <c r="G656" s="4"/>
      <c r="H656" s="1204"/>
      <c r="I656" s="1204"/>
      <c r="J656" s="4"/>
      <c r="K656" s="9"/>
      <c r="L656" s="2"/>
      <c r="M656" s="2"/>
      <c r="N656" s="2"/>
      <c r="R656" s="129">
        <f t="shared" si="321"/>
        <v>0</v>
      </c>
      <c r="S656" s="129">
        <f t="shared" si="322"/>
        <v>0</v>
      </c>
      <c r="T656" s="129">
        <f t="shared" si="323"/>
        <v>0</v>
      </c>
      <c r="U656" s="129">
        <f t="shared" si="324"/>
        <v>0</v>
      </c>
      <c r="V656" s="258"/>
      <c r="W656" s="129" t="str">
        <f t="shared" si="326"/>
        <v/>
      </c>
      <c r="X656" s="129">
        <f t="shared" si="325"/>
        <v>1</v>
      </c>
      <c r="Y656" s="129">
        <f t="shared" si="327"/>
        <v>1</v>
      </c>
      <c r="Z656" s="129" t="str" cm="1">
        <f t="array" ref="Z656">_xlfn.IFS(X656=4,"A",X656=3,"B",X656=2,"C",X656=1,"D")</f>
        <v>D</v>
      </c>
      <c r="AA656" s="175"/>
    </row>
    <row r="657" spans="1:27" customFormat="1" ht="6" customHeight="1">
      <c r="E657" s="3"/>
      <c r="H657" s="1198"/>
      <c r="I657" s="1198"/>
      <c r="L657" s="2"/>
      <c r="M657" s="2"/>
      <c r="N657" s="2"/>
      <c r="R657" s="129">
        <f t="shared" si="321"/>
        <v>0</v>
      </c>
      <c r="S657" s="129">
        <f t="shared" si="322"/>
        <v>0</v>
      </c>
      <c r="T657" s="129">
        <f t="shared" si="323"/>
        <v>0</v>
      </c>
      <c r="U657" s="129">
        <f t="shared" si="324"/>
        <v>0</v>
      </c>
      <c r="V657" s="258"/>
      <c r="W657" s="129" t="str">
        <f t="shared" si="326"/>
        <v/>
      </c>
      <c r="X657" s="129">
        <f t="shared" si="325"/>
        <v>1</v>
      </c>
      <c r="Y657" s="129">
        <f t="shared" si="327"/>
        <v>1</v>
      </c>
      <c r="Z657" s="129" t="str" cm="1">
        <f t="array" ref="Z657">_xlfn.IFS(X657=4,"A",X657=3,"B",X657=2,"C",X657=1,"D")</f>
        <v>D</v>
      </c>
      <c r="AA657" s="175"/>
    </row>
    <row r="658" spans="1:27" customFormat="1" ht="103.5" customHeight="1">
      <c r="C658" s="78"/>
      <c r="D658" s="79"/>
      <c r="E658" s="71" t="s">
        <v>236</v>
      </c>
      <c r="F658" s="1452"/>
      <c r="G658" s="1452"/>
      <c r="H658" s="1452"/>
      <c r="I658" s="1452"/>
      <c r="J658" s="1452"/>
      <c r="K658" s="80" t="s">
        <v>132</v>
      </c>
      <c r="L658" s="80"/>
    </row>
    <row r="659" spans="1:27" customFormat="1" ht="146.25" customHeight="1">
      <c r="C659" s="75"/>
      <c r="D659" s="68"/>
      <c r="E659" s="71" t="s">
        <v>235</v>
      </c>
      <c r="F659" s="1452"/>
      <c r="G659" s="1452"/>
      <c r="H659" s="1452"/>
      <c r="I659" s="1452"/>
      <c r="J659" s="1452"/>
      <c r="L659" s="2"/>
      <c r="M659" s="2"/>
      <c r="N659" s="2"/>
    </row>
    <row r="660" spans="1:27" customFormat="1" ht="13.5" customHeight="1" thickBot="1">
      <c r="A660" s="81"/>
      <c r="B660" s="81"/>
      <c r="C660" s="81"/>
      <c r="D660" s="81"/>
      <c r="E660" s="311"/>
      <c r="F660" s="81"/>
      <c r="G660" s="81"/>
      <c r="H660" s="1205"/>
      <c r="I660" s="1205"/>
      <c r="J660" s="81"/>
      <c r="K660" s="81"/>
      <c r="L660" s="82"/>
      <c r="M660" s="2"/>
      <c r="N660" s="2"/>
    </row>
    <row r="661" spans="1:27" customFormat="1" ht="13.5" customHeight="1">
      <c r="E661" s="3"/>
      <c r="H661" s="1198"/>
      <c r="I661" s="1198"/>
      <c r="L661" s="2"/>
      <c r="M661" s="2"/>
      <c r="N661" s="2"/>
    </row>
    <row r="662" spans="1:27" customFormat="1" ht="15" customHeight="1">
      <c r="B662" s="10"/>
      <c r="C662" s="5"/>
      <c r="D662" s="5"/>
      <c r="E662" s="305"/>
      <c r="F662" s="5"/>
      <c r="G662" s="5"/>
      <c r="H662" s="1199"/>
      <c r="I662" s="1199"/>
      <c r="J662" s="5"/>
      <c r="K662" s="6"/>
      <c r="R662" s="11" t="str">
        <f>D663</f>
        <v>(選択してください)</v>
      </c>
    </row>
    <row r="663" spans="1:27" customFormat="1">
      <c r="B663" s="7"/>
      <c r="C663" s="77" t="str">
        <f ca="1">IFERROR(OFFSET('4.3民生部門電力以外の排出削減取組'!$C$1,MATCH(D663,'4.3民生部門電力以外の排出削減取組'!$E:$E,0)-1,0),"")</f>
        <v/>
      </c>
      <c r="D663" s="94" t="s">
        <v>130</v>
      </c>
      <c r="E663" s="72" t="s">
        <v>12</v>
      </c>
      <c r="F663" s="1451" t="str">
        <f ca="1">IFERROR(OFFSET('4.3民生部門電力以外の排出削減取組'!$G$1,MATCH($D663,'4.3民生部門電力以外の排出削減取組'!$E:$E,0)-1,0),"")</f>
        <v/>
      </c>
      <c r="G663" s="1451"/>
      <c r="H663" s="1451"/>
      <c r="I663" s="1451"/>
      <c r="J663" s="1451"/>
      <c r="K663" s="8"/>
      <c r="R663" s="255" t="str">
        <f ca="1">IFERROR(OFFSET('4.3民生部門電力以外の排出削減取組'!$G$1,MATCH($D663,'4.3民生部門電力以外の排出削減取組'!$E:$E,0)-1,0),"")</f>
        <v/>
      </c>
      <c r="S663" s="175"/>
      <c r="T663" s="175"/>
      <c r="U663" s="175"/>
      <c r="V663" s="175"/>
      <c r="W663" s="175"/>
      <c r="X663" s="175"/>
      <c r="Y663" s="175"/>
      <c r="Z663" s="175"/>
      <c r="AA663" s="175">
        <f ca="1">(F663=R663)*1</f>
        <v>1</v>
      </c>
    </row>
    <row r="664" spans="1:27" customFormat="1">
      <c r="B664" s="7"/>
      <c r="C664" s="915"/>
      <c r="D664" s="97"/>
      <c r="E664" s="72" t="s">
        <v>612</v>
      </c>
      <c r="F664" s="1447" t="str">
        <f ca="1">IFERROR(OFFSET('4.3民生部門電力以外の排出削減取組'!$J$1,MATCH($D663,'4.3民生部門電力以外の排出削減取組'!$E:$E,0)-1,0),"")</f>
        <v/>
      </c>
      <c r="G664" s="1448"/>
      <c r="H664" s="1448"/>
      <c r="I664" s="1448"/>
      <c r="J664" s="1449"/>
      <c r="K664" s="8"/>
      <c r="R664" s="255" t="str">
        <f ca="1">IFERROR(OFFSET('4.3民生部門電力以外の排出削減取組'!$J$1,MATCH($D663,'4.3民生部門電力以外の排出削減取組'!$E:$E,0)-1,0),"")</f>
        <v/>
      </c>
      <c r="S664" s="175"/>
      <c r="T664" s="175"/>
      <c r="U664" s="175"/>
      <c r="V664" s="175"/>
      <c r="W664" s="175"/>
      <c r="X664" s="175"/>
      <c r="Y664" s="175"/>
      <c r="Z664" s="175"/>
      <c r="AA664" s="175">
        <f ca="1">(F664=R664)*1</f>
        <v>1</v>
      </c>
    </row>
    <row r="665" spans="1:27" customFormat="1">
      <c r="B665" s="7"/>
      <c r="C665" s="74"/>
      <c r="D665" s="66"/>
      <c r="E665" s="72" t="s">
        <v>280</v>
      </c>
      <c r="F665" s="1470" t="str">
        <f ca="1">IFERROR(OFFSET('4.3民生部門電力以外の排出削減取組'!$H$1,MATCH($D663,'4.3民生部門電力以外の排出削減取組'!$E:$E,0)-1,0),"")</f>
        <v/>
      </c>
      <c r="G665" s="1470"/>
      <c r="H665" s="1470"/>
      <c r="I665" s="1470"/>
      <c r="J665" s="1470"/>
      <c r="K665" s="8"/>
      <c r="R665" s="175" t="str">
        <f ca="1">IFERROR(OFFSET('4.3民生部門電力以外の排出削減取組'!$H$1,MATCH($D663,'4.3民生部門電力以外の排出削減取組'!$E:$E,0)-1,0),"")</f>
        <v/>
      </c>
      <c r="S665" s="175"/>
      <c r="T665" s="175"/>
      <c r="U665" s="175"/>
      <c r="V665" s="175"/>
      <c r="W665" s="175"/>
      <c r="X665" s="175"/>
      <c r="Y665" s="175"/>
      <c r="Z665" s="175"/>
      <c r="AA665" s="175">
        <f t="shared" ref="AA665:AA666" ca="1" si="328">(F665=R665)*1</f>
        <v>1</v>
      </c>
    </row>
    <row r="666" spans="1:27" customFormat="1">
      <c r="B666" s="7"/>
      <c r="C666" s="74"/>
      <c r="D666" s="66"/>
      <c r="E666" s="72" t="s">
        <v>175</v>
      </c>
      <c r="F666" s="1451" t="str">
        <f>_xlfn.IFNA(R666,"")</f>
        <v/>
      </c>
      <c r="G666" s="1451"/>
      <c r="H666" s="1451"/>
      <c r="I666" s="1451"/>
      <c r="J666" s="1451"/>
      <c r="K666" s="8"/>
      <c r="R666" s="129" t="str">
        <f>IF(OR(COUNTIF($E668:$E673,"&lt;&gt;〇〇(合意形成対象者名に書き換え)")=3,COUNTIF($E668:$E673,"")&gt;3),"",IF(PRODUCT($Y668:$Y673)=1,Z668,""))</f>
        <v/>
      </c>
      <c r="S666" s="175"/>
      <c r="T666" s="175"/>
      <c r="U666" s="175"/>
      <c r="V666" s="175"/>
      <c r="W666" s="175"/>
      <c r="X666" s="175"/>
      <c r="Y666" s="175"/>
      <c r="Z666" s="175"/>
      <c r="AA666" s="175">
        <f t="shared" si="328"/>
        <v>1</v>
      </c>
    </row>
    <row r="667" spans="1:27" ht="63.75" customHeight="1">
      <c r="B667" s="95"/>
      <c r="C667" s="96"/>
      <c r="D667" s="97"/>
      <c r="E667" s="888"/>
      <c r="F667" s="313" t="s">
        <v>278</v>
      </c>
      <c r="G667" s="313" t="s">
        <v>268</v>
      </c>
      <c r="H667" s="1200" t="s">
        <v>437</v>
      </c>
      <c r="I667" s="1200" t="s">
        <v>439</v>
      </c>
      <c r="J667" s="313" t="s">
        <v>279</v>
      </c>
      <c r="K667" s="98"/>
      <c r="L667" s="11"/>
      <c r="R667" s="126" t="s">
        <v>278</v>
      </c>
      <c r="S667" s="126" t="s">
        <v>440</v>
      </c>
      <c r="T667" s="295" t="s">
        <v>437</v>
      </c>
      <c r="U667" s="295" t="s">
        <v>438</v>
      </c>
      <c r="V667" s="256" t="s">
        <v>270</v>
      </c>
      <c r="W667" s="126" t="s">
        <v>426</v>
      </c>
      <c r="X667" s="129" t="s">
        <v>402</v>
      </c>
      <c r="Y667" s="129" t="s">
        <v>430</v>
      </c>
      <c r="Z667" s="126" t="s">
        <v>425</v>
      </c>
      <c r="AA667" s="255"/>
    </row>
    <row r="668" spans="1:27" hidden="1">
      <c r="B668" s="95"/>
      <c r="C668" s="96"/>
      <c r="D668" s="97"/>
      <c r="E668" s="889"/>
      <c r="F668" s="439"/>
      <c r="G668" s="439"/>
      <c r="H668" s="1201"/>
      <c r="I668" s="1201"/>
      <c r="J668" s="439"/>
      <c r="K668" s="98"/>
      <c r="L668" s="11"/>
      <c r="R668" s="129">
        <f t="shared" ref="R668:R673" si="329">IF(F668="実施済",1,0)</f>
        <v>0</v>
      </c>
      <c r="S668" s="129">
        <f t="shared" ref="S668:S673" si="330">IF(G668="実施済",R668*1,0)</f>
        <v>0</v>
      </c>
      <c r="T668" s="129">
        <f t="shared" ref="T668:T673" si="331">IF(H668="実施済",S668*1,0)</f>
        <v>0</v>
      </c>
      <c r="U668" s="129">
        <f t="shared" ref="U668:U673" si="332">IF(I668="実施済",T668*1,0)</f>
        <v>0</v>
      </c>
      <c r="V668" s="258"/>
      <c r="W668" s="129" t="str">
        <f>IF(OR(E668="〇〇(合意形成対象者名に書き換え)",E668=""),"",SUM(S668,T668,U668))</f>
        <v/>
      </c>
      <c r="X668" s="129">
        <f t="shared" ref="X668:X673" si="333">MIN($W$668:$W$673)+1</f>
        <v>1</v>
      </c>
      <c r="Y668" s="129">
        <f>IF(E668="",1,IF(AND(E668="〇〇(合意形成対象者名に書き換え)",COUNTA($F668:$J668)=0),1,IF(AND(E668&lt;&gt;"〇〇(合意形成対象者名に書き換え)",COUNTA($F668:$J668)=5),1,0)))</f>
        <v>1</v>
      </c>
      <c r="Z668" s="129" t="str" cm="1">
        <f t="array" ref="Z668">_xlfn.IFS(X668=4,"A",X668=3,"B",X668=2,"C",X668=1,"D")</f>
        <v>D</v>
      </c>
      <c r="AA668" s="255"/>
    </row>
    <row r="669" spans="1:27">
      <c r="B669" s="95"/>
      <c r="C669" s="96"/>
      <c r="D669" s="97"/>
      <c r="E669" s="890" t="s">
        <v>129</v>
      </c>
      <c r="F669" s="445"/>
      <c r="G669" s="445"/>
      <c r="H669" s="1202"/>
      <c r="I669" s="1202"/>
      <c r="J669" s="445"/>
      <c r="K669" s="98"/>
      <c r="L669" s="11"/>
      <c r="R669" s="129">
        <f t="shared" si="329"/>
        <v>0</v>
      </c>
      <c r="S669" s="129">
        <f t="shared" si="330"/>
        <v>0</v>
      </c>
      <c r="T669" s="129">
        <f t="shared" si="331"/>
        <v>0</v>
      </c>
      <c r="U669" s="129">
        <f t="shared" si="332"/>
        <v>0</v>
      </c>
      <c r="V669" s="258"/>
      <c r="W669" s="129" t="str">
        <f t="shared" ref="W669:W673" si="334">IF(OR(E669="〇〇(合意形成対象者名に書き換え)",E669=""),"",SUM(S669,T669,U669))</f>
        <v/>
      </c>
      <c r="X669" s="129">
        <f t="shared" si="333"/>
        <v>1</v>
      </c>
      <c r="Y669" s="129">
        <f t="shared" ref="Y669:Y673" si="335">IF(E669="",1,IF(AND(E669="〇〇(合意形成対象者名に書き換え)",COUNTA($F669:$J669)=0),1,IF(AND(E669&lt;&gt;"〇〇(合意形成対象者名に書き換え)",COUNTA($F669:$J669)=5),1,0)))</f>
        <v>1</v>
      </c>
      <c r="Z669" s="129" t="str" cm="1">
        <f t="array" ref="Z669">_xlfn.IFS(X669=4,"A",X669=3,"B",X669=2,"C",X669=1,"D")</f>
        <v>D</v>
      </c>
      <c r="AA669" s="255"/>
    </row>
    <row r="670" spans="1:27">
      <c r="B670" s="95"/>
      <c r="C670" s="96"/>
      <c r="D670" s="97"/>
      <c r="E670" s="890" t="s">
        <v>129</v>
      </c>
      <c r="F670" s="441"/>
      <c r="G670" s="441"/>
      <c r="H670" s="1203"/>
      <c r="I670" s="1203"/>
      <c r="J670" s="441"/>
      <c r="K670" s="98"/>
      <c r="L670" s="11"/>
      <c r="R670" s="129">
        <f t="shared" si="329"/>
        <v>0</v>
      </c>
      <c r="S670" s="129">
        <f t="shared" si="330"/>
        <v>0</v>
      </c>
      <c r="T670" s="129">
        <f t="shared" si="331"/>
        <v>0</v>
      </c>
      <c r="U670" s="129">
        <f t="shared" si="332"/>
        <v>0</v>
      </c>
      <c r="V670" s="258"/>
      <c r="W670" s="129" t="str">
        <f t="shared" si="334"/>
        <v/>
      </c>
      <c r="X670" s="129">
        <f t="shared" si="333"/>
        <v>1</v>
      </c>
      <c r="Y670" s="129">
        <f t="shared" si="335"/>
        <v>1</v>
      </c>
      <c r="Z670" s="129" t="str" cm="1">
        <f t="array" ref="Z670">_xlfn.IFS(X670=4,"A",X670=3,"B",X670=2,"C",X670=1,"D")</f>
        <v>D</v>
      </c>
      <c r="AA670" s="255"/>
    </row>
    <row r="671" spans="1:27" s="99" customFormat="1">
      <c r="A671" s="11"/>
      <c r="B671" s="95"/>
      <c r="C671" s="96"/>
      <c r="D671" s="97"/>
      <c r="E671" s="890" t="s">
        <v>129</v>
      </c>
      <c r="F671" s="441"/>
      <c r="G671" s="441"/>
      <c r="H671" s="1203"/>
      <c r="I671" s="1203"/>
      <c r="J671" s="441"/>
      <c r="K671" s="98"/>
      <c r="L671" s="11"/>
      <c r="O671" s="11"/>
      <c r="P671" s="11"/>
      <c r="Q671" s="11"/>
      <c r="R671" s="129">
        <f t="shared" si="329"/>
        <v>0</v>
      </c>
      <c r="S671" s="129">
        <f t="shared" si="330"/>
        <v>0</v>
      </c>
      <c r="T671" s="129">
        <f t="shared" si="331"/>
        <v>0</v>
      </c>
      <c r="U671" s="129">
        <f t="shared" si="332"/>
        <v>0</v>
      </c>
      <c r="V671" s="258"/>
      <c r="W671" s="129" t="str">
        <f t="shared" si="334"/>
        <v/>
      </c>
      <c r="X671" s="129">
        <f t="shared" si="333"/>
        <v>1</v>
      </c>
      <c r="Y671" s="129">
        <f t="shared" si="335"/>
        <v>1</v>
      </c>
      <c r="Z671" s="129" t="str" cm="1">
        <f t="array" ref="Z671">_xlfn.IFS(X671=4,"A",X671=3,"B",X671=2,"C",X671=1,"D")</f>
        <v>D</v>
      </c>
      <c r="AA671" s="129"/>
    </row>
    <row r="672" spans="1:27" customFormat="1" ht="7.5" customHeight="1">
      <c r="B672" s="65"/>
      <c r="C672" s="4"/>
      <c r="D672" s="4"/>
      <c r="E672" s="288"/>
      <c r="F672" s="4"/>
      <c r="G672" s="4"/>
      <c r="H672" s="1204"/>
      <c r="I672" s="1204"/>
      <c r="J672" s="4"/>
      <c r="K672" s="9"/>
      <c r="L672" s="2"/>
      <c r="M672" s="2"/>
      <c r="N672" s="2"/>
      <c r="R672" s="129">
        <f t="shared" si="329"/>
        <v>0</v>
      </c>
      <c r="S672" s="129">
        <f t="shared" si="330"/>
        <v>0</v>
      </c>
      <c r="T672" s="129">
        <f t="shared" si="331"/>
        <v>0</v>
      </c>
      <c r="U672" s="129">
        <f t="shared" si="332"/>
        <v>0</v>
      </c>
      <c r="V672" s="258"/>
      <c r="W672" s="129" t="str">
        <f t="shared" si="334"/>
        <v/>
      </c>
      <c r="X672" s="129">
        <f t="shared" si="333"/>
        <v>1</v>
      </c>
      <c r="Y672" s="129">
        <f t="shared" si="335"/>
        <v>1</v>
      </c>
      <c r="Z672" s="129" t="str" cm="1">
        <f t="array" ref="Z672">_xlfn.IFS(X672=4,"A",X672=3,"B",X672=2,"C",X672=1,"D")</f>
        <v>D</v>
      </c>
      <c r="AA672" s="175"/>
    </row>
    <row r="673" spans="1:27" customFormat="1" ht="6" customHeight="1">
      <c r="E673" s="3"/>
      <c r="H673" s="1198"/>
      <c r="I673" s="1198"/>
      <c r="L673" s="2"/>
      <c r="M673" s="2"/>
      <c r="N673" s="2"/>
      <c r="R673" s="129">
        <f t="shared" si="329"/>
        <v>0</v>
      </c>
      <c r="S673" s="129">
        <f t="shared" si="330"/>
        <v>0</v>
      </c>
      <c r="T673" s="129">
        <f t="shared" si="331"/>
        <v>0</v>
      </c>
      <c r="U673" s="129">
        <f t="shared" si="332"/>
        <v>0</v>
      </c>
      <c r="V673" s="258"/>
      <c r="W673" s="129" t="str">
        <f t="shared" si="334"/>
        <v/>
      </c>
      <c r="X673" s="129">
        <f t="shared" si="333"/>
        <v>1</v>
      </c>
      <c r="Y673" s="129">
        <f t="shared" si="335"/>
        <v>1</v>
      </c>
      <c r="Z673" s="129" t="str" cm="1">
        <f t="array" ref="Z673">_xlfn.IFS(X673=4,"A",X673=3,"B",X673=2,"C",X673=1,"D")</f>
        <v>D</v>
      </c>
      <c r="AA673" s="175"/>
    </row>
    <row r="674" spans="1:27" customFormat="1" ht="103.5" customHeight="1">
      <c r="C674" s="78"/>
      <c r="D674" s="79"/>
      <c r="E674" s="71" t="s">
        <v>236</v>
      </c>
      <c r="F674" s="1452"/>
      <c r="G674" s="1452"/>
      <c r="H674" s="1452"/>
      <c r="I674" s="1452"/>
      <c r="J674" s="1452"/>
      <c r="K674" s="80" t="s">
        <v>132</v>
      </c>
      <c r="L674" s="80"/>
    </row>
    <row r="675" spans="1:27" customFormat="1" ht="146.25" customHeight="1">
      <c r="C675" s="75"/>
      <c r="D675" s="68"/>
      <c r="E675" s="71" t="s">
        <v>235</v>
      </c>
      <c r="F675" s="1452"/>
      <c r="G675" s="1452"/>
      <c r="H675" s="1452"/>
      <c r="I675" s="1452"/>
      <c r="J675" s="1452"/>
      <c r="L675" s="2"/>
      <c r="M675" s="2"/>
      <c r="N675" s="2"/>
    </row>
    <row r="676" spans="1:27" customFormat="1" ht="13.5" customHeight="1" thickBot="1">
      <c r="A676" s="81"/>
      <c r="B676" s="81"/>
      <c r="C676" s="81"/>
      <c r="D676" s="81"/>
      <c r="E676" s="311"/>
      <c r="F676" s="81"/>
      <c r="G676" s="81"/>
      <c r="H676" s="1205"/>
      <c r="I676" s="1205"/>
      <c r="J676" s="81"/>
      <c r="K676" s="81"/>
      <c r="L676" s="82"/>
      <c r="M676" s="2"/>
      <c r="N676" s="2"/>
    </row>
    <row r="677" spans="1:27" customFormat="1" ht="13.5" customHeight="1">
      <c r="E677" s="3"/>
      <c r="H677" s="1198"/>
      <c r="I677" s="1198"/>
      <c r="L677" s="2"/>
      <c r="M677" s="2"/>
      <c r="N677" s="2"/>
    </row>
    <row r="678" spans="1:27" customFormat="1" ht="15" customHeight="1">
      <c r="B678" s="10"/>
      <c r="C678" s="5"/>
      <c r="D678" s="5"/>
      <c r="E678" s="305"/>
      <c r="F678" s="5"/>
      <c r="G678" s="5"/>
      <c r="H678" s="1199"/>
      <c r="I678" s="1199"/>
      <c r="J678" s="5"/>
      <c r="K678" s="6"/>
      <c r="R678" s="11" t="str">
        <f>D679</f>
        <v>(選択してください)</v>
      </c>
    </row>
    <row r="679" spans="1:27" customFormat="1">
      <c r="B679" s="7"/>
      <c r="C679" s="77" t="str">
        <f ca="1">IFERROR(OFFSET('4.3民生部門電力以外の排出削減取組'!$C$1,MATCH(D679,'4.3民生部門電力以外の排出削減取組'!$E:$E,0)-1,0),"")</f>
        <v/>
      </c>
      <c r="D679" s="94" t="s">
        <v>130</v>
      </c>
      <c r="E679" s="72" t="s">
        <v>12</v>
      </c>
      <c r="F679" s="1451" t="str">
        <f ca="1">IFERROR(OFFSET('4.3民生部門電力以外の排出削減取組'!$G$1,MATCH($D679,'4.3民生部門電力以外の排出削減取組'!$E:$E,0)-1,0),"")</f>
        <v/>
      </c>
      <c r="G679" s="1451"/>
      <c r="H679" s="1451"/>
      <c r="I679" s="1451"/>
      <c r="J679" s="1451"/>
      <c r="K679" s="8"/>
      <c r="R679" s="255" t="str">
        <f ca="1">IFERROR(OFFSET('4.3民生部門電力以外の排出削減取組'!$G$1,MATCH($D679,'4.3民生部門電力以外の排出削減取組'!$E:$E,0)-1,0),"")</f>
        <v/>
      </c>
      <c r="S679" s="175"/>
      <c r="T679" s="175"/>
      <c r="U679" s="175"/>
      <c r="V679" s="175"/>
      <c r="W679" s="175"/>
      <c r="X679" s="175"/>
      <c r="Y679" s="175"/>
      <c r="Z679" s="175"/>
      <c r="AA679" s="175">
        <f ca="1">(F679=R679)*1</f>
        <v>1</v>
      </c>
    </row>
    <row r="680" spans="1:27" customFormat="1">
      <c r="B680" s="7"/>
      <c r="C680" s="915"/>
      <c r="D680" s="97"/>
      <c r="E680" s="72" t="s">
        <v>612</v>
      </c>
      <c r="F680" s="1447" t="str">
        <f ca="1">IFERROR(OFFSET('4.3民生部門電力以外の排出削減取組'!$J$1,MATCH($D679,'4.3民生部門電力以外の排出削減取組'!$E:$E,0)-1,0),"")</f>
        <v/>
      </c>
      <c r="G680" s="1448"/>
      <c r="H680" s="1448"/>
      <c r="I680" s="1448"/>
      <c r="J680" s="1449"/>
      <c r="K680" s="8"/>
      <c r="R680" s="255" t="str">
        <f ca="1">IFERROR(OFFSET('4.3民生部門電力以外の排出削減取組'!$J$1,MATCH($D679,'4.3民生部門電力以外の排出削減取組'!$E:$E,0)-1,0),"")</f>
        <v/>
      </c>
      <c r="S680" s="175"/>
      <c r="T680" s="175"/>
      <c r="U680" s="175"/>
      <c r="V680" s="175"/>
      <c r="W680" s="175"/>
      <c r="X680" s="175"/>
      <c r="Y680" s="175"/>
      <c r="Z680" s="175"/>
      <c r="AA680" s="175">
        <f ca="1">(F680=R680)*1</f>
        <v>1</v>
      </c>
    </row>
    <row r="681" spans="1:27" customFormat="1">
      <c r="B681" s="7"/>
      <c r="C681" s="74"/>
      <c r="D681" s="66"/>
      <c r="E681" s="72" t="s">
        <v>280</v>
      </c>
      <c r="F681" s="1470" t="str">
        <f ca="1">IFERROR(OFFSET('4.3民生部門電力以外の排出削減取組'!$H$1,MATCH($D679,'4.3民生部門電力以外の排出削減取組'!$E:$E,0)-1,0),"")</f>
        <v/>
      </c>
      <c r="G681" s="1470"/>
      <c r="H681" s="1470"/>
      <c r="I681" s="1470"/>
      <c r="J681" s="1470"/>
      <c r="K681" s="8"/>
      <c r="R681" s="175" t="str">
        <f ca="1">IFERROR(OFFSET('4.3民生部門電力以外の排出削減取組'!$H$1,MATCH($D679,'4.3民生部門電力以外の排出削減取組'!$E:$E,0)-1,0),"")</f>
        <v/>
      </c>
      <c r="S681" s="175"/>
      <c r="T681" s="175"/>
      <c r="U681" s="175"/>
      <c r="V681" s="175"/>
      <c r="W681" s="175"/>
      <c r="X681" s="175"/>
      <c r="Y681" s="175"/>
      <c r="Z681" s="175"/>
      <c r="AA681" s="175">
        <f t="shared" ref="AA681:AA682" ca="1" si="336">(F681=R681)*1</f>
        <v>1</v>
      </c>
    </row>
    <row r="682" spans="1:27" customFormat="1">
      <c r="B682" s="7"/>
      <c r="C682" s="74"/>
      <c r="D682" s="66"/>
      <c r="E682" s="72" t="s">
        <v>175</v>
      </c>
      <c r="F682" s="1451" t="str">
        <f>_xlfn.IFNA(R682,"")</f>
        <v/>
      </c>
      <c r="G682" s="1451"/>
      <c r="H682" s="1451"/>
      <c r="I682" s="1451"/>
      <c r="J682" s="1451"/>
      <c r="K682" s="8"/>
      <c r="R682" s="129" t="str">
        <f>IF(OR(COUNTIF($E684:$E689,"&lt;&gt;〇〇(合意形成対象者名に書き換え)")=3,COUNTIF($E684:$E689,"")&gt;3),"",IF(PRODUCT($Y684:$Y689)=1,Z684,""))</f>
        <v/>
      </c>
      <c r="S682" s="175"/>
      <c r="T682" s="175"/>
      <c r="U682" s="175"/>
      <c r="V682" s="175"/>
      <c r="W682" s="175"/>
      <c r="X682" s="175"/>
      <c r="Y682" s="175"/>
      <c r="Z682" s="175"/>
      <c r="AA682" s="175">
        <f t="shared" si="336"/>
        <v>1</v>
      </c>
    </row>
    <row r="683" spans="1:27" ht="63.75" customHeight="1">
      <c r="B683" s="95"/>
      <c r="C683" s="96"/>
      <c r="D683" s="97"/>
      <c r="E683" s="888"/>
      <c r="F683" s="313" t="s">
        <v>278</v>
      </c>
      <c r="G683" s="313" t="s">
        <v>268</v>
      </c>
      <c r="H683" s="1200" t="s">
        <v>437</v>
      </c>
      <c r="I683" s="1200" t="s">
        <v>439</v>
      </c>
      <c r="J683" s="313" t="s">
        <v>279</v>
      </c>
      <c r="K683" s="98"/>
      <c r="L683" s="11"/>
      <c r="R683" s="126" t="s">
        <v>278</v>
      </c>
      <c r="S683" s="126" t="s">
        <v>440</v>
      </c>
      <c r="T683" s="295" t="s">
        <v>437</v>
      </c>
      <c r="U683" s="295" t="s">
        <v>438</v>
      </c>
      <c r="V683" s="256" t="s">
        <v>270</v>
      </c>
      <c r="W683" s="126" t="s">
        <v>426</v>
      </c>
      <c r="X683" s="129" t="s">
        <v>402</v>
      </c>
      <c r="Y683" s="129" t="s">
        <v>430</v>
      </c>
      <c r="Z683" s="126" t="s">
        <v>425</v>
      </c>
      <c r="AA683" s="255"/>
    </row>
    <row r="684" spans="1:27" hidden="1">
      <c r="B684" s="95"/>
      <c r="C684" s="96"/>
      <c r="D684" s="97"/>
      <c r="E684" s="889"/>
      <c r="F684" s="439"/>
      <c r="G684" s="439"/>
      <c r="H684" s="1201"/>
      <c r="I684" s="1201"/>
      <c r="J684" s="439"/>
      <c r="K684" s="98"/>
      <c r="L684" s="11"/>
      <c r="R684" s="129">
        <f t="shared" ref="R684:R689" si="337">IF(F684="実施済",1,0)</f>
        <v>0</v>
      </c>
      <c r="S684" s="129">
        <f t="shared" ref="S684:S689" si="338">IF(G684="実施済",R684*1,0)</f>
        <v>0</v>
      </c>
      <c r="T684" s="129">
        <f t="shared" ref="T684:T689" si="339">IF(H684="実施済",S684*1,0)</f>
        <v>0</v>
      </c>
      <c r="U684" s="129">
        <f t="shared" ref="U684:U689" si="340">IF(I684="実施済",T684*1,0)</f>
        <v>0</v>
      </c>
      <c r="V684" s="258"/>
      <c r="W684" s="129" t="str">
        <f>IF(OR(E684="〇〇(合意形成対象者名に書き換え)",E684=""),"",SUM(S684,T684,U684))</f>
        <v/>
      </c>
      <c r="X684" s="129">
        <f t="shared" ref="X684:X689" si="341">MIN($W$684:$W$689)+1</f>
        <v>1</v>
      </c>
      <c r="Y684" s="129">
        <f>IF(E684="",1,IF(AND(E684="〇〇(合意形成対象者名に書き換え)",COUNTA($F684:$J684)=0),1,IF(AND(E684&lt;&gt;"〇〇(合意形成対象者名に書き換え)",COUNTA($F684:$J684)=5),1,0)))</f>
        <v>1</v>
      </c>
      <c r="Z684" s="129" t="str" cm="1">
        <f t="array" ref="Z684">_xlfn.IFS(X684=4,"A",X684=3,"B",X684=2,"C",X684=1,"D")</f>
        <v>D</v>
      </c>
      <c r="AA684" s="255"/>
    </row>
    <row r="685" spans="1:27">
      <c r="B685" s="95"/>
      <c r="C685" s="96"/>
      <c r="D685" s="97"/>
      <c r="E685" s="890" t="s">
        <v>129</v>
      </c>
      <c r="F685" s="445"/>
      <c r="G685" s="445"/>
      <c r="H685" s="1202"/>
      <c r="I685" s="1202"/>
      <c r="J685" s="445"/>
      <c r="K685" s="98"/>
      <c r="L685" s="11"/>
      <c r="R685" s="129">
        <f t="shared" si="337"/>
        <v>0</v>
      </c>
      <c r="S685" s="129">
        <f t="shared" si="338"/>
        <v>0</v>
      </c>
      <c r="T685" s="129">
        <f t="shared" si="339"/>
        <v>0</v>
      </c>
      <c r="U685" s="129">
        <f t="shared" si="340"/>
        <v>0</v>
      </c>
      <c r="V685" s="258"/>
      <c r="W685" s="129" t="str">
        <f t="shared" ref="W685:W689" si="342">IF(OR(E685="〇〇(合意形成対象者名に書き換え)",E685=""),"",SUM(S685,T685,U685))</f>
        <v/>
      </c>
      <c r="X685" s="129">
        <f t="shared" si="341"/>
        <v>1</v>
      </c>
      <c r="Y685" s="129">
        <f t="shared" ref="Y685:Y689" si="343">IF(E685="",1,IF(AND(E685="〇〇(合意形成対象者名に書き換え)",COUNTA($F685:$J685)=0),1,IF(AND(E685&lt;&gt;"〇〇(合意形成対象者名に書き換え)",COUNTA($F685:$J685)=5),1,0)))</f>
        <v>1</v>
      </c>
      <c r="Z685" s="129" t="str" cm="1">
        <f t="array" ref="Z685">_xlfn.IFS(X685=4,"A",X685=3,"B",X685=2,"C",X685=1,"D")</f>
        <v>D</v>
      </c>
      <c r="AA685" s="255"/>
    </row>
    <row r="686" spans="1:27">
      <c r="B686" s="95"/>
      <c r="C686" s="96"/>
      <c r="D686" s="97"/>
      <c r="E686" s="890" t="s">
        <v>129</v>
      </c>
      <c r="F686" s="441"/>
      <c r="G686" s="441"/>
      <c r="H686" s="1203"/>
      <c r="I686" s="1203"/>
      <c r="J686" s="441"/>
      <c r="K686" s="98"/>
      <c r="L686" s="11"/>
      <c r="R686" s="129">
        <f t="shared" si="337"/>
        <v>0</v>
      </c>
      <c r="S686" s="129">
        <f t="shared" si="338"/>
        <v>0</v>
      </c>
      <c r="T686" s="129">
        <f t="shared" si="339"/>
        <v>0</v>
      </c>
      <c r="U686" s="129">
        <f t="shared" si="340"/>
        <v>0</v>
      </c>
      <c r="V686" s="258"/>
      <c r="W686" s="129" t="str">
        <f t="shared" si="342"/>
        <v/>
      </c>
      <c r="X686" s="129">
        <f t="shared" si="341"/>
        <v>1</v>
      </c>
      <c r="Y686" s="129">
        <f t="shared" si="343"/>
        <v>1</v>
      </c>
      <c r="Z686" s="129" t="str" cm="1">
        <f t="array" ref="Z686">_xlfn.IFS(X686=4,"A",X686=3,"B",X686=2,"C",X686=1,"D")</f>
        <v>D</v>
      </c>
      <c r="AA686" s="255"/>
    </row>
    <row r="687" spans="1:27" s="99" customFormat="1">
      <c r="A687" s="11"/>
      <c r="B687" s="95"/>
      <c r="C687" s="96"/>
      <c r="D687" s="97"/>
      <c r="E687" s="890" t="s">
        <v>129</v>
      </c>
      <c r="F687" s="441"/>
      <c r="G687" s="441"/>
      <c r="H687" s="1203"/>
      <c r="I687" s="1203"/>
      <c r="J687" s="441"/>
      <c r="K687" s="98"/>
      <c r="L687" s="11"/>
      <c r="O687" s="11"/>
      <c r="P687" s="11"/>
      <c r="Q687" s="11"/>
      <c r="R687" s="129">
        <f t="shared" si="337"/>
        <v>0</v>
      </c>
      <c r="S687" s="129">
        <f t="shared" si="338"/>
        <v>0</v>
      </c>
      <c r="T687" s="129">
        <f t="shared" si="339"/>
        <v>0</v>
      </c>
      <c r="U687" s="129">
        <f t="shared" si="340"/>
        <v>0</v>
      </c>
      <c r="V687" s="258"/>
      <c r="W687" s="129" t="str">
        <f t="shared" si="342"/>
        <v/>
      </c>
      <c r="X687" s="129">
        <f t="shared" si="341"/>
        <v>1</v>
      </c>
      <c r="Y687" s="129">
        <f t="shared" si="343"/>
        <v>1</v>
      </c>
      <c r="Z687" s="129" t="str" cm="1">
        <f t="array" ref="Z687">_xlfn.IFS(X687=4,"A",X687=3,"B",X687=2,"C",X687=1,"D")</f>
        <v>D</v>
      </c>
      <c r="AA687" s="129"/>
    </row>
    <row r="688" spans="1:27" customFormat="1" ht="7.5" customHeight="1">
      <c r="B688" s="65"/>
      <c r="C688" s="4"/>
      <c r="D688" s="4"/>
      <c r="E688" s="288"/>
      <c r="F688" s="4"/>
      <c r="G688" s="4"/>
      <c r="H688" s="1204"/>
      <c r="I688" s="1204"/>
      <c r="J688" s="4"/>
      <c r="K688" s="9"/>
      <c r="L688" s="2"/>
      <c r="M688" s="2"/>
      <c r="N688" s="2"/>
      <c r="R688" s="129">
        <f t="shared" si="337"/>
        <v>0</v>
      </c>
      <c r="S688" s="129">
        <f t="shared" si="338"/>
        <v>0</v>
      </c>
      <c r="T688" s="129">
        <f t="shared" si="339"/>
        <v>0</v>
      </c>
      <c r="U688" s="129">
        <f t="shared" si="340"/>
        <v>0</v>
      </c>
      <c r="V688" s="258"/>
      <c r="W688" s="129" t="str">
        <f t="shared" si="342"/>
        <v/>
      </c>
      <c r="X688" s="129">
        <f t="shared" si="341"/>
        <v>1</v>
      </c>
      <c r="Y688" s="129">
        <f t="shared" si="343"/>
        <v>1</v>
      </c>
      <c r="Z688" s="129" t="str" cm="1">
        <f t="array" ref="Z688">_xlfn.IFS(X688=4,"A",X688=3,"B",X688=2,"C",X688=1,"D")</f>
        <v>D</v>
      </c>
      <c r="AA688" s="175"/>
    </row>
    <row r="689" spans="1:27" customFormat="1" ht="6" customHeight="1">
      <c r="E689" s="3"/>
      <c r="H689" s="1198"/>
      <c r="I689" s="1198"/>
      <c r="L689" s="2"/>
      <c r="M689" s="2"/>
      <c r="N689" s="2"/>
      <c r="R689" s="129">
        <f t="shared" si="337"/>
        <v>0</v>
      </c>
      <c r="S689" s="129">
        <f t="shared" si="338"/>
        <v>0</v>
      </c>
      <c r="T689" s="129">
        <f t="shared" si="339"/>
        <v>0</v>
      </c>
      <c r="U689" s="129">
        <f t="shared" si="340"/>
        <v>0</v>
      </c>
      <c r="V689" s="258"/>
      <c r="W689" s="129" t="str">
        <f t="shared" si="342"/>
        <v/>
      </c>
      <c r="X689" s="129">
        <f t="shared" si="341"/>
        <v>1</v>
      </c>
      <c r="Y689" s="129">
        <f t="shared" si="343"/>
        <v>1</v>
      </c>
      <c r="Z689" s="129" t="str" cm="1">
        <f t="array" ref="Z689">_xlfn.IFS(X689=4,"A",X689=3,"B",X689=2,"C",X689=1,"D")</f>
        <v>D</v>
      </c>
      <c r="AA689" s="175"/>
    </row>
    <row r="690" spans="1:27" customFormat="1" ht="103.5" customHeight="1">
      <c r="C690" s="78"/>
      <c r="D690" s="79"/>
      <c r="E690" s="71" t="s">
        <v>236</v>
      </c>
      <c r="F690" s="1452"/>
      <c r="G690" s="1452"/>
      <c r="H690" s="1452"/>
      <c r="I690" s="1452"/>
      <c r="J690" s="1452"/>
      <c r="K690" s="80" t="s">
        <v>132</v>
      </c>
      <c r="L690" s="80"/>
    </row>
    <row r="691" spans="1:27" customFormat="1" ht="146.25" customHeight="1">
      <c r="C691" s="75"/>
      <c r="D691" s="68"/>
      <c r="E691" s="71" t="s">
        <v>235</v>
      </c>
      <c r="F691" s="1452"/>
      <c r="G691" s="1452"/>
      <c r="H691" s="1452"/>
      <c r="I691" s="1452"/>
      <c r="J691" s="1452"/>
      <c r="L691" s="2"/>
      <c r="M691" s="2"/>
      <c r="N691" s="2"/>
    </row>
    <row r="692" spans="1:27" customFormat="1" ht="13.5" customHeight="1" thickBot="1">
      <c r="A692" s="81"/>
      <c r="B692" s="81"/>
      <c r="C692" s="81"/>
      <c r="D692" s="81"/>
      <c r="E692" s="311"/>
      <c r="F692" s="81"/>
      <c r="G692" s="81"/>
      <c r="H692" s="1205"/>
      <c r="I692" s="1205"/>
      <c r="J692" s="81"/>
      <c r="K692" s="81"/>
      <c r="L692" s="82"/>
      <c r="M692" s="2"/>
      <c r="N692" s="2"/>
    </row>
    <row r="693" spans="1:27" customFormat="1" ht="13.5" customHeight="1">
      <c r="E693" s="3"/>
      <c r="H693" s="1198"/>
      <c r="I693" s="1198"/>
      <c r="L693" s="2"/>
      <c r="M693" s="2"/>
      <c r="N693" s="2"/>
    </row>
    <row r="694" spans="1:27" customFormat="1" ht="15" customHeight="1">
      <c r="B694" s="10"/>
      <c r="C694" s="5"/>
      <c r="D694" s="5"/>
      <c r="E694" s="305"/>
      <c r="F694" s="5"/>
      <c r="G694" s="5"/>
      <c r="H694" s="1199"/>
      <c r="I694" s="1199"/>
      <c r="J694" s="5"/>
      <c r="K694" s="6"/>
      <c r="R694" s="11" t="str">
        <f>D695</f>
        <v>(選択してください)</v>
      </c>
    </row>
    <row r="695" spans="1:27" customFormat="1">
      <c r="B695" s="7"/>
      <c r="C695" s="77" t="str">
        <f ca="1">IFERROR(OFFSET('4.3民生部門電力以外の排出削減取組'!$C$1,MATCH(D695,'4.3民生部門電力以外の排出削減取組'!$E:$E,0)-1,0),"")</f>
        <v/>
      </c>
      <c r="D695" s="94" t="s">
        <v>130</v>
      </c>
      <c r="E695" s="72" t="s">
        <v>12</v>
      </c>
      <c r="F695" s="1451" t="str">
        <f ca="1">IFERROR(OFFSET('4.3民生部門電力以外の排出削減取組'!$G$1,MATCH($D695,'4.3民生部門電力以外の排出削減取組'!$E:$E,0)-1,0),"")</f>
        <v/>
      </c>
      <c r="G695" s="1451"/>
      <c r="H695" s="1451"/>
      <c r="I695" s="1451"/>
      <c r="J695" s="1451"/>
      <c r="K695" s="8"/>
      <c r="R695" s="255" t="str">
        <f ca="1">IFERROR(OFFSET('4.3民生部門電力以外の排出削減取組'!$G$1,MATCH($D695,'4.3民生部門電力以外の排出削減取組'!$E:$E,0)-1,0),"")</f>
        <v/>
      </c>
      <c r="S695" s="175"/>
      <c r="T695" s="175"/>
      <c r="U695" s="175"/>
      <c r="V695" s="175"/>
      <c r="W695" s="175"/>
      <c r="X695" s="175"/>
      <c r="Y695" s="175"/>
      <c r="Z695" s="175"/>
      <c r="AA695" s="175">
        <f ca="1">(F695=R695)*1</f>
        <v>1</v>
      </c>
    </row>
    <row r="696" spans="1:27" customFormat="1">
      <c r="B696" s="7"/>
      <c r="C696" s="915"/>
      <c r="D696" s="97"/>
      <c r="E696" s="72" t="s">
        <v>612</v>
      </c>
      <c r="F696" s="1447" t="str">
        <f ca="1">IFERROR(OFFSET('4.3民生部門電力以外の排出削減取組'!$J$1,MATCH($D695,'4.3民生部門電力以外の排出削減取組'!$E:$E,0)-1,0),"")</f>
        <v/>
      </c>
      <c r="G696" s="1448"/>
      <c r="H696" s="1448"/>
      <c r="I696" s="1448"/>
      <c r="J696" s="1449"/>
      <c r="K696" s="8"/>
      <c r="R696" s="255" t="str">
        <f ca="1">IFERROR(OFFSET('4.3民生部門電力以外の排出削減取組'!$J$1,MATCH($D695,'4.3民生部門電力以外の排出削減取組'!$E:$E,0)-1,0),"")</f>
        <v/>
      </c>
      <c r="S696" s="175"/>
      <c r="T696" s="175"/>
      <c r="U696" s="175"/>
      <c r="V696" s="175"/>
      <c r="W696" s="175"/>
      <c r="X696" s="175"/>
      <c r="Y696" s="175"/>
      <c r="Z696" s="175"/>
      <c r="AA696" s="175">
        <f ca="1">(F696=R696)*1</f>
        <v>1</v>
      </c>
    </row>
    <row r="697" spans="1:27" customFormat="1">
      <c r="B697" s="7"/>
      <c r="C697" s="74"/>
      <c r="D697" s="66"/>
      <c r="E697" s="72" t="s">
        <v>280</v>
      </c>
      <c r="F697" s="1470" t="str">
        <f ca="1">IFERROR(OFFSET('4.3民生部門電力以外の排出削減取組'!$H$1,MATCH($D695,'4.3民生部門電力以外の排出削減取組'!$E:$E,0)-1,0),"")</f>
        <v/>
      </c>
      <c r="G697" s="1470"/>
      <c r="H697" s="1470"/>
      <c r="I697" s="1470"/>
      <c r="J697" s="1470"/>
      <c r="K697" s="8"/>
      <c r="R697" s="175" t="str">
        <f ca="1">IFERROR(OFFSET('4.3民生部門電力以外の排出削減取組'!$H$1,MATCH($D695,'4.3民生部門電力以外の排出削減取組'!$E:$E,0)-1,0),"")</f>
        <v/>
      </c>
      <c r="S697" s="175"/>
      <c r="T697" s="175"/>
      <c r="U697" s="175"/>
      <c r="V697" s="175"/>
      <c r="W697" s="175"/>
      <c r="X697" s="175"/>
      <c r="Y697" s="175"/>
      <c r="Z697" s="175"/>
      <c r="AA697" s="175">
        <f t="shared" ref="AA697:AA698" ca="1" si="344">(F697=R697)*1</f>
        <v>1</v>
      </c>
    </row>
    <row r="698" spans="1:27" customFormat="1">
      <c r="B698" s="7"/>
      <c r="C698" s="74"/>
      <c r="D698" s="66"/>
      <c r="E698" s="72" t="s">
        <v>175</v>
      </c>
      <c r="F698" s="1451" t="str">
        <f>_xlfn.IFNA(R698,"")</f>
        <v/>
      </c>
      <c r="G698" s="1451"/>
      <c r="H698" s="1451"/>
      <c r="I698" s="1451"/>
      <c r="J698" s="1451"/>
      <c r="K698" s="8"/>
      <c r="R698" s="129" t="str">
        <f>IF(OR(COUNTIF($E700:$E705,"&lt;&gt;〇〇(合意形成対象者名に書き換え)")=3,COUNTIF($E700:$E705,"")&gt;3),"",IF(PRODUCT($Y700:$Y705)=1,Z700,""))</f>
        <v/>
      </c>
      <c r="S698" s="175"/>
      <c r="T698" s="175"/>
      <c r="U698" s="175"/>
      <c r="V698" s="175"/>
      <c r="W698" s="175"/>
      <c r="X698" s="175"/>
      <c r="Y698" s="175"/>
      <c r="Z698" s="175"/>
      <c r="AA698" s="175">
        <f t="shared" si="344"/>
        <v>1</v>
      </c>
    </row>
    <row r="699" spans="1:27" ht="63.75" customHeight="1">
      <c r="B699" s="95"/>
      <c r="C699" s="96"/>
      <c r="D699" s="97"/>
      <c r="E699" s="888"/>
      <c r="F699" s="313" t="s">
        <v>278</v>
      </c>
      <c r="G699" s="313" t="s">
        <v>268</v>
      </c>
      <c r="H699" s="1200" t="s">
        <v>437</v>
      </c>
      <c r="I699" s="1200" t="s">
        <v>439</v>
      </c>
      <c r="J699" s="313" t="s">
        <v>279</v>
      </c>
      <c r="K699" s="98"/>
      <c r="L699" s="11"/>
      <c r="R699" s="126" t="s">
        <v>278</v>
      </c>
      <c r="S699" s="126" t="s">
        <v>440</v>
      </c>
      <c r="T699" s="295" t="s">
        <v>437</v>
      </c>
      <c r="U699" s="295" t="s">
        <v>438</v>
      </c>
      <c r="V699" s="256" t="s">
        <v>270</v>
      </c>
      <c r="W699" s="126" t="s">
        <v>426</v>
      </c>
      <c r="X699" s="129" t="s">
        <v>402</v>
      </c>
      <c r="Y699" s="129" t="s">
        <v>430</v>
      </c>
      <c r="Z699" s="126" t="s">
        <v>425</v>
      </c>
      <c r="AA699" s="255"/>
    </row>
    <row r="700" spans="1:27" hidden="1">
      <c r="B700" s="95"/>
      <c r="C700" s="96"/>
      <c r="D700" s="97"/>
      <c r="E700" s="889"/>
      <c r="F700" s="439"/>
      <c r="G700" s="439"/>
      <c r="H700" s="1201"/>
      <c r="I700" s="1201"/>
      <c r="J700" s="439"/>
      <c r="K700" s="98"/>
      <c r="L700" s="11"/>
      <c r="R700" s="129">
        <f t="shared" ref="R700:R705" si="345">IF(F700="実施済",1,0)</f>
        <v>0</v>
      </c>
      <c r="S700" s="129">
        <f t="shared" ref="S700:S705" si="346">IF(G700="実施済",R700*1,0)</f>
        <v>0</v>
      </c>
      <c r="T700" s="129">
        <f t="shared" ref="T700:T705" si="347">IF(H700="実施済",S700*1,0)</f>
        <v>0</v>
      </c>
      <c r="U700" s="129">
        <f t="shared" ref="U700:U705" si="348">IF(I700="実施済",T700*1,0)</f>
        <v>0</v>
      </c>
      <c r="V700" s="258"/>
      <c r="W700" s="129" t="str">
        <f>IF(OR(E700="〇〇(合意形成対象者名に書き換え)",E700=""),"",SUM(S700,T700,U700))</f>
        <v/>
      </c>
      <c r="X700" s="129">
        <f t="shared" ref="X700:X705" si="349">MIN($W$700:$W$705)+1</f>
        <v>1</v>
      </c>
      <c r="Y700" s="129">
        <f>IF(E700="",1,IF(AND(E700="〇〇(合意形成対象者名に書き換え)",COUNTA($F700:$J700)=0),1,IF(AND(E700&lt;&gt;"〇〇(合意形成対象者名に書き換え)",COUNTA($F700:$J700)=5),1,0)))</f>
        <v>1</v>
      </c>
      <c r="Z700" s="129" t="str" cm="1">
        <f t="array" ref="Z700">_xlfn.IFS(X700=4,"A",X700=3,"B",X700=2,"C",X700=1,"D")</f>
        <v>D</v>
      </c>
      <c r="AA700" s="255"/>
    </row>
    <row r="701" spans="1:27">
      <c r="B701" s="95"/>
      <c r="C701" s="96"/>
      <c r="D701" s="97"/>
      <c r="E701" s="890" t="s">
        <v>129</v>
      </c>
      <c r="F701" s="445"/>
      <c r="G701" s="445"/>
      <c r="H701" s="1202"/>
      <c r="I701" s="1202"/>
      <c r="J701" s="445"/>
      <c r="K701" s="98"/>
      <c r="L701" s="11"/>
      <c r="R701" s="129">
        <f t="shared" si="345"/>
        <v>0</v>
      </c>
      <c r="S701" s="129">
        <f t="shared" si="346"/>
        <v>0</v>
      </c>
      <c r="T701" s="129">
        <f t="shared" si="347"/>
        <v>0</v>
      </c>
      <c r="U701" s="129">
        <f t="shared" si="348"/>
        <v>0</v>
      </c>
      <c r="V701" s="258"/>
      <c r="W701" s="129" t="str">
        <f t="shared" ref="W701:W705" si="350">IF(OR(E701="〇〇(合意形成対象者名に書き換え)",E701=""),"",SUM(S701,T701,U701))</f>
        <v/>
      </c>
      <c r="X701" s="129">
        <f t="shared" si="349"/>
        <v>1</v>
      </c>
      <c r="Y701" s="129">
        <f t="shared" ref="Y701:Y705" si="351">IF(E701="",1,IF(AND(E701="〇〇(合意形成対象者名に書き換え)",COUNTA($F701:$J701)=0),1,IF(AND(E701&lt;&gt;"〇〇(合意形成対象者名に書き換え)",COUNTA($F701:$J701)=5),1,0)))</f>
        <v>1</v>
      </c>
      <c r="Z701" s="129" t="str" cm="1">
        <f t="array" ref="Z701">_xlfn.IFS(X701=4,"A",X701=3,"B",X701=2,"C",X701=1,"D")</f>
        <v>D</v>
      </c>
      <c r="AA701" s="255"/>
    </row>
    <row r="702" spans="1:27">
      <c r="B702" s="95"/>
      <c r="C702" s="96"/>
      <c r="D702" s="97"/>
      <c r="E702" s="890" t="s">
        <v>129</v>
      </c>
      <c r="F702" s="441"/>
      <c r="G702" s="441"/>
      <c r="H702" s="1203"/>
      <c r="I702" s="1203"/>
      <c r="J702" s="441"/>
      <c r="K702" s="98"/>
      <c r="L702" s="11"/>
      <c r="R702" s="129">
        <f t="shared" si="345"/>
        <v>0</v>
      </c>
      <c r="S702" s="129">
        <f t="shared" si="346"/>
        <v>0</v>
      </c>
      <c r="T702" s="129">
        <f t="shared" si="347"/>
        <v>0</v>
      </c>
      <c r="U702" s="129">
        <f t="shared" si="348"/>
        <v>0</v>
      </c>
      <c r="V702" s="258"/>
      <c r="W702" s="129" t="str">
        <f t="shared" si="350"/>
        <v/>
      </c>
      <c r="X702" s="129">
        <f t="shared" si="349"/>
        <v>1</v>
      </c>
      <c r="Y702" s="129">
        <f t="shared" si="351"/>
        <v>1</v>
      </c>
      <c r="Z702" s="129" t="str" cm="1">
        <f t="array" ref="Z702">_xlfn.IFS(X702=4,"A",X702=3,"B",X702=2,"C",X702=1,"D")</f>
        <v>D</v>
      </c>
      <c r="AA702" s="255"/>
    </row>
    <row r="703" spans="1:27" s="99" customFormat="1">
      <c r="A703" s="11"/>
      <c r="B703" s="95"/>
      <c r="C703" s="96"/>
      <c r="D703" s="97"/>
      <c r="E703" s="890" t="s">
        <v>129</v>
      </c>
      <c r="F703" s="441"/>
      <c r="G703" s="441"/>
      <c r="H703" s="1203"/>
      <c r="I703" s="1203"/>
      <c r="J703" s="441"/>
      <c r="K703" s="98"/>
      <c r="L703" s="11"/>
      <c r="O703" s="11"/>
      <c r="P703" s="11"/>
      <c r="Q703" s="11"/>
      <c r="R703" s="129">
        <f t="shared" si="345"/>
        <v>0</v>
      </c>
      <c r="S703" s="129">
        <f t="shared" si="346"/>
        <v>0</v>
      </c>
      <c r="T703" s="129">
        <f t="shared" si="347"/>
        <v>0</v>
      </c>
      <c r="U703" s="129">
        <f t="shared" si="348"/>
        <v>0</v>
      </c>
      <c r="V703" s="258"/>
      <c r="W703" s="129" t="str">
        <f t="shared" si="350"/>
        <v/>
      </c>
      <c r="X703" s="129">
        <f t="shared" si="349"/>
        <v>1</v>
      </c>
      <c r="Y703" s="129">
        <f t="shared" si="351"/>
        <v>1</v>
      </c>
      <c r="Z703" s="129" t="str" cm="1">
        <f t="array" ref="Z703">_xlfn.IFS(X703=4,"A",X703=3,"B",X703=2,"C",X703=1,"D")</f>
        <v>D</v>
      </c>
      <c r="AA703" s="129"/>
    </row>
    <row r="704" spans="1:27" customFormat="1" ht="7.5" customHeight="1">
      <c r="B704" s="65"/>
      <c r="C704" s="4"/>
      <c r="D704" s="4"/>
      <c r="E704" s="288"/>
      <c r="F704" s="4"/>
      <c r="G704" s="4"/>
      <c r="H704" s="1204"/>
      <c r="I704" s="1204"/>
      <c r="J704" s="4"/>
      <c r="K704" s="9"/>
      <c r="L704" s="2"/>
      <c r="M704" s="2"/>
      <c r="N704" s="2"/>
      <c r="R704" s="129">
        <f t="shared" si="345"/>
        <v>0</v>
      </c>
      <c r="S704" s="129">
        <f t="shared" si="346"/>
        <v>0</v>
      </c>
      <c r="T704" s="129">
        <f t="shared" si="347"/>
        <v>0</v>
      </c>
      <c r="U704" s="129">
        <f t="shared" si="348"/>
        <v>0</v>
      </c>
      <c r="V704" s="258"/>
      <c r="W704" s="129" t="str">
        <f t="shared" si="350"/>
        <v/>
      </c>
      <c r="X704" s="129">
        <f t="shared" si="349"/>
        <v>1</v>
      </c>
      <c r="Y704" s="129">
        <f t="shared" si="351"/>
        <v>1</v>
      </c>
      <c r="Z704" s="129" t="str" cm="1">
        <f t="array" ref="Z704">_xlfn.IFS(X704=4,"A",X704=3,"B",X704=2,"C",X704=1,"D")</f>
        <v>D</v>
      </c>
      <c r="AA704" s="175"/>
    </row>
    <row r="705" spans="1:27" customFormat="1" ht="6" customHeight="1">
      <c r="E705" s="3"/>
      <c r="H705" s="1198"/>
      <c r="I705" s="1198"/>
      <c r="L705" s="2"/>
      <c r="M705" s="2"/>
      <c r="N705" s="2"/>
      <c r="R705" s="129">
        <f t="shared" si="345"/>
        <v>0</v>
      </c>
      <c r="S705" s="129">
        <f t="shared" si="346"/>
        <v>0</v>
      </c>
      <c r="T705" s="129">
        <f t="shared" si="347"/>
        <v>0</v>
      </c>
      <c r="U705" s="129">
        <f t="shared" si="348"/>
        <v>0</v>
      </c>
      <c r="V705" s="258"/>
      <c r="W705" s="129" t="str">
        <f t="shared" si="350"/>
        <v/>
      </c>
      <c r="X705" s="129">
        <f t="shared" si="349"/>
        <v>1</v>
      </c>
      <c r="Y705" s="129">
        <f t="shared" si="351"/>
        <v>1</v>
      </c>
      <c r="Z705" s="129" t="str" cm="1">
        <f t="array" ref="Z705">_xlfn.IFS(X705=4,"A",X705=3,"B",X705=2,"C",X705=1,"D")</f>
        <v>D</v>
      </c>
      <c r="AA705" s="175"/>
    </row>
    <row r="706" spans="1:27" customFormat="1" ht="103.5" customHeight="1">
      <c r="C706" s="78"/>
      <c r="D706" s="79"/>
      <c r="E706" s="71" t="s">
        <v>236</v>
      </c>
      <c r="F706" s="1452"/>
      <c r="G706" s="1452"/>
      <c r="H706" s="1452"/>
      <c r="I706" s="1452"/>
      <c r="J706" s="1452"/>
      <c r="K706" s="80" t="s">
        <v>132</v>
      </c>
      <c r="L706" s="80"/>
    </row>
    <row r="707" spans="1:27" customFormat="1" ht="146.25" customHeight="1">
      <c r="C707" s="75"/>
      <c r="D707" s="68"/>
      <c r="E707" s="71" t="s">
        <v>235</v>
      </c>
      <c r="F707" s="1452"/>
      <c r="G707" s="1452"/>
      <c r="H707" s="1452"/>
      <c r="I707" s="1452"/>
      <c r="J707" s="1452"/>
      <c r="L707" s="2"/>
      <c r="M707" s="2"/>
      <c r="N707" s="2"/>
    </row>
    <row r="708" spans="1:27" customFormat="1" ht="13.5" customHeight="1" thickBot="1">
      <c r="A708" s="81"/>
      <c r="B708" s="81"/>
      <c r="C708" s="81"/>
      <c r="D708" s="81"/>
      <c r="E708" s="311"/>
      <c r="F708" s="81"/>
      <c r="G708" s="81"/>
      <c r="H708" s="1205"/>
      <c r="I708" s="1205"/>
      <c r="J708" s="81"/>
      <c r="K708" s="81"/>
      <c r="L708" s="82"/>
      <c r="M708" s="2"/>
      <c r="N708" s="2"/>
    </row>
    <row r="709" spans="1:27" customFormat="1" ht="13.5" customHeight="1">
      <c r="E709" s="3"/>
      <c r="H709" s="1198"/>
      <c r="I709" s="1198"/>
      <c r="L709" s="2"/>
      <c r="M709" s="2"/>
      <c r="N709" s="2"/>
    </row>
    <row r="710" spans="1:27" customFormat="1" ht="15" customHeight="1">
      <c r="B710" s="10"/>
      <c r="C710" s="5"/>
      <c r="D710" s="5"/>
      <c r="E710" s="305"/>
      <c r="F710" s="5"/>
      <c r="G710" s="5"/>
      <c r="H710" s="1199"/>
      <c r="I710" s="1199"/>
      <c r="J710" s="5"/>
      <c r="K710" s="6"/>
      <c r="R710" s="11" t="str">
        <f>D711</f>
        <v>(選択してください)</v>
      </c>
    </row>
    <row r="711" spans="1:27" customFormat="1">
      <c r="B711" s="7"/>
      <c r="C711" s="77" t="str">
        <f ca="1">IFERROR(OFFSET('4.3民生部門電力以外の排出削減取組'!$C$1,MATCH(D711,'4.3民生部門電力以外の排出削減取組'!$E:$E,0)-1,0),"")</f>
        <v/>
      </c>
      <c r="D711" s="94" t="s">
        <v>130</v>
      </c>
      <c r="E711" s="72" t="s">
        <v>12</v>
      </c>
      <c r="F711" s="1451" t="str">
        <f ca="1">IFERROR(OFFSET('4.3民生部門電力以外の排出削減取組'!$G$1,MATCH($D711,'4.3民生部門電力以外の排出削減取組'!$E:$E,0)-1,0),"")</f>
        <v/>
      </c>
      <c r="G711" s="1451"/>
      <c r="H711" s="1451"/>
      <c r="I711" s="1451"/>
      <c r="J711" s="1451"/>
      <c r="K711" s="8"/>
      <c r="R711" s="255" t="str">
        <f ca="1">IFERROR(OFFSET('4.3民生部門電力以外の排出削減取組'!$G$1,MATCH($D711,'4.3民生部門電力以外の排出削減取組'!$E:$E,0)-1,0),"")</f>
        <v/>
      </c>
      <c r="S711" s="175"/>
      <c r="T711" s="175"/>
      <c r="U711" s="175"/>
      <c r="V711" s="175"/>
      <c r="W711" s="175"/>
      <c r="X711" s="175"/>
      <c r="Y711" s="175"/>
      <c r="Z711" s="175"/>
      <c r="AA711" s="175">
        <f ca="1">(F711=R711)*1</f>
        <v>1</v>
      </c>
    </row>
    <row r="712" spans="1:27" customFormat="1">
      <c r="B712" s="7"/>
      <c r="C712" s="915"/>
      <c r="D712" s="97"/>
      <c r="E712" s="72" t="s">
        <v>612</v>
      </c>
      <c r="F712" s="1447" t="str">
        <f ca="1">IFERROR(OFFSET('4.3民生部門電力以外の排出削減取組'!$J$1,MATCH($D711,'4.3民生部門電力以外の排出削減取組'!$E:$E,0)-1,0),"")</f>
        <v/>
      </c>
      <c r="G712" s="1448"/>
      <c r="H712" s="1448"/>
      <c r="I712" s="1448"/>
      <c r="J712" s="1449"/>
      <c r="K712" s="8"/>
      <c r="R712" s="255" t="str">
        <f ca="1">IFERROR(OFFSET('4.3民生部門電力以外の排出削減取組'!$J$1,MATCH($D711,'4.3民生部門電力以外の排出削減取組'!$E:$E,0)-1,0),"")</f>
        <v/>
      </c>
      <c r="S712" s="175"/>
      <c r="T712" s="175"/>
      <c r="U712" s="175"/>
      <c r="V712" s="175"/>
      <c r="W712" s="175"/>
      <c r="X712" s="175"/>
      <c r="Y712" s="175"/>
      <c r="Z712" s="175"/>
      <c r="AA712" s="175">
        <f ca="1">(F712=R712)*1</f>
        <v>1</v>
      </c>
    </row>
    <row r="713" spans="1:27" customFormat="1">
      <c r="B713" s="7"/>
      <c r="C713" s="74"/>
      <c r="D713" s="66"/>
      <c r="E713" s="72" t="s">
        <v>280</v>
      </c>
      <c r="F713" s="1470" t="str">
        <f ca="1">IFERROR(OFFSET('4.3民生部門電力以外の排出削減取組'!$H$1,MATCH($D711,'4.3民生部門電力以外の排出削減取組'!$E:$E,0)-1,0),"")</f>
        <v/>
      </c>
      <c r="G713" s="1470"/>
      <c r="H713" s="1470"/>
      <c r="I713" s="1470"/>
      <c r="J713" s="1470"/>
      <c r="K713" s="8"/>
      <c r="R713" s="175" t="str">
        <f ca="1">IFERROR(OFFSET('4.3民生部門電力以外の排出削減取組'!$H$1,MATCH($D711,'4.3民生部門電力以外の排出削減取組'!$E:$E,0)-1,0),"")</f>
        <v/>
      </c>
      <c r="S713" s="175"/>
      <c r="T713" s="175"/>
      <c r="U713" s="175"/>
      <c r="V713" s="175"/>
      <c r="W713" s="175"/>
      <c r="X713" s="175"/>
      <c r="Y713" s="175"/>
      <c r="Z713" s="175"/>
      <c r="AA713" s="175">
        <f t="shared" ref="AA713:AA714" ca="1" si="352">(F713=R713)*1</f>
        <v>1</v>
      </c>
    </row>
    <row r="714" spans="1:27" customFormat="1">
      <c r="B714" s="7"/>
      <c r="C714" s="74"/>
      <c r="D714" s="66"/>
      <c r="E714" s="72" t="s">
        <v>175</v>
      </c>
      <c r="F714" s="1451" t="str">
        <f>_xlfn.IFNA(R714,"")</f>
        <v/>
      </c>
      <c r="G714" s="1451"/>
      <c r="H714" s="1451"/>
      <c r="I714" s="1451"/>
      <c r="J714" s="1451"/>
      <c r="K714" s="8"/>
      <c r="R714" s="129" t="str">
        <f>IF(OR(COUNTIF($E716:$E721,"&lt;&gt;〇〇(合意形成対象者名に書き換え)")=3,COUNTIF($E716:$E721,"")&gt;3),"",IF(PRODUCT($Y716:$Y721)=1,Z716,""))</f>
        <v/>
      </c>
      <c r="S714" s="175"/>
      <c r="T714" s="175"/>
      <c r="U714" s="175"/>
      <c r="V714" s="175"/>
      <c r="W714" s="175"/>
      <c r="X714" s="175"/>
      <c r="Y714" s="175"/>
      <c r="Z714" s="175"/>
      <c r="AA714" s="175">
        <f t="shared" si="352"/>
        <v>1</v>
      </c>
    </row>
    <row r="715" spans="1:27" ht="63.75" customHeight="1">
      <c r="B715" s="95"/>
      <c r="C715" s="96"/>
      <c r="D715" s="97"/>
      <c r="E715" s="888"/>
      <c r="F715" s="313" t="s">
        <v>278</v>
      </c>
      <c r="G715" s="313" t="s">
        <v>268</v>
      </c>
      <c r="H715" s="1200" t="s">
        <v>437</v>
      </c>
      <c r="I715" s="1200" t="s">
        <v>439</v>
      </c>
      <c r="J715" s="313" t="s">
        <v>279</v>
      </c>
      <c r="K715" s="98"/>
      <c r="L715" s="11"/>
      <c r="R715" s="126" t="s">
        <v>278</v>
      </c>
      <c r="S715" s="126" t="s">
        <v>440</v>
      </c>
      <c r="T715" s="295" t="s">
        <v>437</v>
      </c>
      <c r="U715" s="295" t="s">
        <v>438</v>
      </c>
      <c r="V715" s="256" t="s">
        <v>270</v>
      </c>
      <c r="W715" s="126" t="s">
        <v>426</v>
      </c>
      <c r="X715" s="129" t="s">
        <v>402</v>
      </c>
      <c r="Y715" s="129" t="s">
        <v>430</v>
      </c>
      <c r="Z715" s="126" t="s">
        <v>425</v>
      </c>
      <c r="AA715" s="255"/>
    </row>
    <row r="716" spans="1:27" hidden="1">
      <c r="B716" s="95"/>
      <c r="C716" s="96"/>
      <c r="D716" s="97"/>
      <c r="E716" s="889"/>
      <c r="F716" s="439"/>
      <c r="G716" s="439"/>
      <c r="H716" s="1201"/>
      <c r="I716" s="1201"/>
      <c r="J716" s="439"/>
      <c r="K716" s="98"/>
      <c r="L716" s="11"/>
      <c r="R716" s="129">
        <f t="shared" ref="R716:R721" si="353">IF(F716="実施済",1,0)</f>
        <v>0</v>
      </c>
      <c r="S716" s="129">
        <f t="shared" ref="S716:S721" si="354">IF(G716="実施済",R716*1,0)</f>
        <v>0</v>
      </c>
      <c r="T716" s="129">
        <f t="shared" ref="T716:T721" si="355">IF(H716="実施済",S716*1,0)</f>
        <v>0</v>
      </c>
      <c r="U716" s="129">
        <f t="shared" ref="U716:U721" si="356">IF(I716="実施済",T716*1,0)</f>
        <v>0</v>
      </c>
      <c r="V716" s="258"/>
      <c r="W716" s="129" t="str">
        <f>IF(OR(E716="〇〇(合意形成対象者名に書き換え)",E716=""),"",SUM(S716,T716,U716))</f>
        <v/>
      </c>
      <c r="X716" s="129">
        <f t="shared" ref="X716:X721" si="357">MIN($W$716:$W$721)+1</f>
        <v>1</v>
      </c>
      <c r="Y716" s="129">
        <f>IF(E716="",1,IF(AND(E716="〇〇(合意形成対象者名に書き換え)",COUNTA($F716:$J716)=0),1,IF(AND(E716&lt;&gt;"〇〇(合意形成対象者名に書き換え)",COUNTA($F716:$J716)=5),1,0)))</f>
        <v>1</v>
      </c>
      <c r="Z716" s="129" t="str" cm="1">
        <f t="array" ref="Z716">_xlfn.IFS(X716=4,"A",X716=3,"B",X716=2,"C",X716=1,"D")</f>
        <v>D</v>
      </c>
      <c r="AA716" s="255"/>
    </row>
    <row r="717" spans="1:27">
      <c r="B717" s="95"/>
      <c r="C717" s="96"/>
      <c r="D717" s="97"/>
      <c r="E717" s="890" t="s">
        <v>129</v>
      </c>
      <c r="F717" s="445"/>
      <c r="G717" s="445"/>
      <c r="H717" s="1202"/>
      <c r="I717" s="1202"/>
      <c r="J717" s="445"/>
      <c r="K717" s="98"/>
      <c r="L717" s="11"/>
      <c r="R717" s="129">
        <f t="shared" si="353"/>
        <v>0</v>
      </c>
      <c r="S717" s="129">
        <f t="shared" si="354"/>
        <v>0</v>
      </c>
      <c r="T717" s="129">
        <f t="shared" si="355"/>
        <v>0</v>
      </c>
      <c r="U717" s="129">
        <f t="shared" si="356"/>
        <v>0</v>
      </c>
      <c r="V717" s="258"/>
      <c r="W717" s="129" t="str">
        <f t="shared" ref="W717:W721" si="358">IF(OR(E717="〇〇(合意形成対象者名に書き換え)",E717=""),"",SUM(S717,T717,U717))</f>
        <v/>
      </c>
      <c r="X717" s="129">
        <f t="shared" si="357"/>
        <v>1</v>
      </c>
      <c r="Y717" s="129">
        <f t="shared" ref="Y717:Y721" si="359">IF(E717="",1,IF(AND(E717="〇〇(合意形成対象者名に書き換え)",COUNTA($F717:$J717)=0),1,IF(AND(E717&lt;&gt;"〇〇(合意形成対象者名に書き換え)",COUNTA($F717:$J717)=5),1,0)))</f>
        <v>1</v>
      </c>
      <c r="Z717" s="129" t="str" cm="1">
        <f t="array" ref="Z717">_xlfn.IFS(X717=4,"A",X717=3,"B",X717=2,"C",X717=1,"D")</f>
        <v>D</v>
      </c>
      <c r="AA717" s="255"/>
    </row>
    <row r="718" spans="1:27">
      <c r="B718" s="95"/>
      <c r="C718" s="96"/>
      <c r="D718" s="97"/>
      <c r="E718" s="890" t="s">
        <v>129</v>
      </c>
      <c r="F718" s="441"/>
      <c r="G718" s="441"/>
      <c r="H718" s="1203"/>
      <c r="I718" s="1203"/>
      <c r="J718" s="441"/>
      <c r="K718" s="98"/>
      <c r="L718" s="11"/>
      <c r="R718" s="129">
        <f t="shared" si="353"/>
        <v>0</v>
      </c>
      <c r="S718" s="129">
        <f t="shared" si="354"/>
        <v>0</v>
      </c>
      <c r="T718" s="129">
        <f t="shared" si="355"/>
        <v>0</v>
      </c>
      <c r="U718" s="129">
        <f t="shared" si="356"/>
        <v>0</v>
      </c>
      <c r="V718" s="258"/>
      <c r="W718" s="129" t="str">
        <f t="shared" si="358"/>
        <v/>
      </c>
      <c r="X718" s="129">
        <f t="shared" si="357"/>
        <v>1</v>
      </c>
      <c r="Y718" s="129">
        <f t="shared" si="359"/>
        <v>1</v>
      </c>
      <c r="Z718" s="129" t="str" cm="1">
        <f t="array" ref="Z718">_xlfn.IFS(X718=4,"A",X718=3,"B",X718=2,"C",X718=1,"D")</f>
        <v>D</v>
      </c>
      <c r="AA718" s="255"/>
    </row>
    <row r="719" spans="1:27" s="99" customFormat="1">
      <c r="A719" s="11"/>
      <c r="B719" s="95"/>
      <c r="C719" s="96"/>
      <c r="D719" s="97"/>
      <c r="E719" s="890" t="s">
        <v>129</v>
      </c>
      <c r="F719" s="441"/>
      <c r="G719" s="441"/>
      <c r="H719" s="1203"/>
      <c r="I719" s="1203"/>
      <c r="J719" s="441"/>
      <c r="K719" s="98"/>
      <c r="L719" s="11"/>
      <c r="O719" s="11"/>
      <c r="P719" s="11"/>
      <c r="Q719" s="11"/>
      <c r="R719" s="129">
        <f t="shared" si="353"/>
        <v>0</v>
      </c>
      <c r="S719" s="129">
        <f t="shared" si="354"/>
        <v>0</v>
      </c>
      <c r="T719" s="129">
        <f t="shared" si="355"/>
        <v>0</v>
      </c>
      <c r="U719" s="129">
        <f t="shared" si="356"/>
        <v>0</v>
      </c>
      <c r="V719" s="258"/>
      <c r="W719" s="129" t="str">
        <f t="shared" si="358"/>
        <v/>
      </c>
      <c r="X719" s="129">
        <f t="shared" si="357"/>
        <v>1</v>
      </c>
      <c r="Y719" s="129">
        <f t="shared" si="359"/>
        <v>1</v>
      </c>
      <c r="Z719" s="129" t="str" cm="1">
        <f t="array" ref="Z719">_xlfn.IFS(X719=4,"A",X719=3,"B",X719=2,"C",X719=1,"D")</f>
        <v>D</v>
      </c>
      <c r="AA719" s="129"/>
    </row>
    <row r="720" spans="1:27" customFormat="1" ht="7.5" customHeight="1">
      <c r="B720" s="65"/>
      <c r="C720" s="4"/>
      <c r="D720" s="4"/>
      <c r="E720" s="288"/>
      <c r="F720" s="4"/>
      <c r="G720" s="4"/>
      <c r="H720" s="1204"/>
      <c r="I720" s="1204"/>
      <c r="J720" s="4"/>
      <c r="K720" s="9"/>
      <c r="L720" s="2"/>
      <c r="M720" s="2"/>
      <c r="N720" s="2"/>
      <c r="R720" s="129">
        <f t="shared" si="353"/>
        <v>0</v>
      </c>
      <c r="S720" s="129">
        <f t="shared" si="354"/>
        <v>0</v>
      </c>
      <c r="T720" s="129">
        <f t="shared" si="355"/>
        <v>0</v>
      </c>
      <c r="U720" s="129">
        <f t="shared" si="356"/>
        <v>0</v>
      </c>
      <c r="V720" s="258"/>
      <c r="W720" s="129" t="str">
        <f t="shared" si="358"/>
        <v/>
      </c>
      <c r="X720" s="129">
        <f t="shared" si="357"/>
        <v>1</v>
      </c>
      <c r="Y720" s="129">
        <f t="shared" si="359"/>
        <v>1</v>
      </c>
      <c r="Z720" s="129" t="str" cm="1">
        <f t="array" ref="Z720">_xlfn.IFS(X720=4,"A",X720=3,"B",X720=2,"C",X720=1,"D")</f>
        <v>D</v>
      </c>
      <c r="AA720" s="175"/>
    </row>
    <row r="721" spans="1:27" customFormat="1" ht="6" customHeight="1">
      <c r="E721" s="3"/>
      <c r="H721" s="1198"/>
      <c r="I721" s="1198"/>
      <c r="L721" s="2"/>
      <c r="M721" s="2"/>
      <c r="N721" s="2"/>
      <c r="R721" s="129">
        <f t="shared" si="353"/>
        <v>0</v>
      </c>
      <c r="S721" s="129">
        <f t="shared" si="354"/>
        <v>0</v>
      </c>
      <c r="T721" s="129">
        <f t="shared" si="355"/>
        <v>0</v>
      </c>
      <c r="U721" s="129">
        <f t="shared" si="356"/>
        <v>0</v>
      </c>
      <c r="V721" s="258"/>
      <c r="W721" s="129" t="str">
        <f t="shared" si="358"/>
        <v/>
      </c>
      <c r="X721" s="129">
        <f t="shared" si="357"/>
        <v>1</v>
      </c>
      <c r="Y721" s="129">
        <f t="shared" si="359"/>
        <v>1</v>
      </c>
      <c r="Z721" s="129" t="str" cm="1">
        <f t="array" ref="Z721">_xlfn.IFS(X721=4,"A",X721=3,"B",X721=2,"C",X721=1,"D")</f>
        <v>D</v>
      </c>
      <c r="AA721" s="175"/>
    </row>
    <row r="722" spans="1:27" customFormat="1" ht="103.5" customHeight="1">
      <c r="C722" s="78"/>
      <c r="D722" s="79"/>
      <c r="E722" s="71" t="s">
        <v>236</v>
      </c>
      <c r="F722" s="1452"/>
      <c r="G722" s="1452"/>
      <c r="H722" s="1452"/>
      <c r="I722" s="1452"/>
      <c r="J722" s="1452"/>
      <c r="K722" s="80" t="s">
        <v>132</v>
      </c>
      <c r="L722" s="80"/>
    </row>
    <row r="723" spans="1:27" customFormat="1" ht="146.25" customHeight="1">
      <c r="C723" s="75"/>
      <c r="D723" s="68"/>
      <c r="E723" s="71" t="s">
        <v>235</v>
      </c>
      <c r="F723" s="1452"/>
      <c r="G723" s="1452"/>
      <c r="H723" s="1452"/>
      <c r="I723" s="1452"/>
      <c r="J723" s="1452"/>
      <c r="L723" s="2"/>
      <c r="M723" s="2"/>
      <c r="N723" s="2"/>
    </row>
    <row r="724" spans="1:27" customFormat="1" ht="13.5" customHeight="1" thickBot="1">
      <c r="A724" s="81"/>
      <c r="B724" s="81"/>
      <c r="C724" s="81"/>
      <c r="D724" s="81"/>
      <c r="E724" s="311"/>
      <c r="F724" s="81"/>
      <c r="G724" s="81"/>
      <c r="H724" s="1205"/>
      <c r="I724" s="1205"/>
      <c r="J724" s="81"/>
      <c r="K724" s="81"/>
      <c r="L724" s="82"/>
      <c r="M724" s="2"/>
      <c r="N724" s="2"/>
    </row>
    <row r="725" spans="1:27" customFormat="1" ht="13.5" customHeight="1">
      <c r="E725" s="3"/>
      <c r="H725" s="1198"/>
      <c r="I725" s="1198"/>
      <c r="L725" s="2"/>
      <c r="M725" s="2"/>
      <c r="N725" s="2"/>
    </row>
    <row r="726" spans="1:27" customFormat="1" ht="15" customHeight="1">
      <c r="B726" s="10"/>
      <c r="C726" s="5"/>
      <c r="D726" s="5"/>
      <c r="E726" s="305"/>
      <c r="F726" s="5"/>
      <c r="G726" s="5"/>
      <c r="H726" s="1199"/>
      <c r="I726" s="1199"/>
      <c r="J726" s="5"/>
      <c r="K726" s="6"/>
      <c r="R726" s="11" t="str">
        <f>D727</f>
        <v>(選択してください)</v>
      </c>
    </row>
    <row r="727" spans="1:27" customFormat="1">
      <c r="B727" s="7"/>
      <c r="C727" s="77" t="str">
        <f ca="1">IFERROR(OFFSET('4.3民生部門電力以外の排出削減取組'!$C$1,MATCH(D727,'4.3民生部門電力以外の排出削減取組'!$E:$E,0)-1,0),"")</f>
        <v/>
      </c>
      <c r="D727" s="94" t="s">
        <v>130</v>
      </c>
      <c r="E727" s="72" t="s">
        <v>12</v>
      </c>
      <c r="F727" s="1451" t="str">
        <f ca="1">IFERROR(OFFSET('4.3民生部門電力以外の排出削減取組'!$G$1,MATCH($D727,'4.3民生部門電力以外の排出削減取組'!$E:$E,0)-1,0),"")</f>
        <v/>
      </c>
      <c r="G727" s="1451"/>
      <c r="H727" s="1451"/>
      <c r="I727" s="1451"/>
      <c r="J727" s="1451"/>
      <c r="K727" s="8"/>
      <c r="R727" s="255" t="str">
        <f ca="1">IFERROR(OFFSET('4.3民生部門電力以外の排出削減取組'!$G$1,MATCH($D727,'4.3民生部門電力以外の排出削減取組'!$E:$E,0)-1,0),"")</f>
        <v/>
      </c>
      <c r="S727" s="175"/>
      <c r="T727" s="175"/>
      <c r="U727" s="175"/>
      <c r="V727" s="175"/>
      <c r="W727" s="175"/>
      <c r="X727" s="175"/>
      <c r="Y727" s="175"/>
      <c r="Z727" s="175"/>
      <c r="AA727" s="175">
        <f ca="1">(F727=R727)*1</f>
        <v>1</v>
      </c>
    </row>
    <row r="728" spans="1:27" customFormat="1">
      <c r="B728" s="7"/>
      <c r="C728" s="915"/>
      <c r="D728" s="97"/>
      <c r="E728" s="72" t="s">
        <v>612</v>
      </c>
      <c r="F728" s="1447" t="str">
        <f ca="1">IFERROR(OFFSET('4.3民生部門電力以外の排出削減取組'!$J$1,MATCH($D727,'4.3民生部門電力以外の排出削減取組'!$E:$E,0)-1,0),"")</f>
        <v/>
      </c>
      <c r="G728" s="1448"/>
      <c r="H728" s="1448"/>
      <c r="I728" s="1448"/>
      <c r="J728" s="1449"/>
      <c r="K728" s="8"/>
      <c r="R728" s="255" t="str">
        <f ca="1">IFERROR(OFFSET('4.3民生部門電力以外の排出削減取組'!$J$1,MATCH($D727,'4.3民生部門電力以外の排出削減取組'!$E:$E,0)-1,0),"")</f>
        <v/>
      </c>
      <c r="S728" s="175"/>
      <c r="T728" s="175"/>
      <c r="U728" s="175"/>
      <c r="V728" s="175"/>
      <c r="W728" s="175"/>
      <c r="X728" s="175"/>
      <c r="Y728" s="175"/>
      <c r="Z728" s="175"/>
      <c r="AA728" s="175">
        <f ca="1">(F728=R728)*1</f>
        <v>1</v>
      </c>
    </row>
    <row r="729" spans="1:27" customFormat="1">
      <c r="B729" s="7"/>
      <c r="C729" s="74"/>
      <c r="D729" s="66"/>
      <c r="E729" s="72" t="s">
        <v>280</v>
      </c>
      <c r="F729" s="1470" t="str">
        <f ca="1">IFERROR(OFFSET('4.3民生部門電力以外の排出削減取組'!$H$1,MATCH($D727,'4.3民生部門電力以外の排出削減取組'!$E:$E,0)-1,0),"")</f>
        <v/>
      </c>
      <c r="G729" s="1470"/>
      <c r="H729" s="1470"/>
      <c r="I729" s="1470"/>
      <c r="J729" s="1470"/>
      <c r="K729" s="8"/>
      <c r="R729" s="175" t="str">
        <f ca="1">IFERROR(OFFSET('4.3民生部門電力以外の排出削減取組'!$H$1,MATCH($D727,'4.3民生部門電力以外の排出削減取組'!$E:$E,0)-1,0),"")</f>
        <v/>
      </c>
      <c r="S729" s="175"/>
      <c r="T729" s="175"/>
      <c r="U729" s="175"/>
      <c r="V729" s="175"/>
      <c r="W729" s="175"/>
      <c r="X729" s="175"/>
      <c r="Y729" s="175"/>
      <c r="Z729" s="175"/>
      <c r="AA729" s="175">
        <f t="shared" ref="AA729:AA730" ca="1" si="360">(F729=R729)*1</f>
        <v>1</v>
      </c>
    </row>
    <row r="730" spans="1:27" customFormat="1">
      <c r="B730" s="7"/>
      <c r="C730" s="74"/>
      <c r="D730" s="66"/>
      <c r="E730" s="72" t="s">
        <v>175</v>
      </c>
      <c r="F730" s="1451" t="str">
        <f>_xlfn.IFNA(R730,"")</f>
        <v/>
      </c>
      <c r="G730" s="1451"/>
      <c r="H730" s="1451"/>
      <c r="I730" s="1451"/>
      <c r="J730" s="1451"/>
      <c r="K730" s="8"/>
      <c r="R730" s="129" t="str">
        <f>IF(OR(COUNTIF($E732:$E737,"&lt;&gt;〇〇(合意形成対象者名に書き換え)")=3,COUNTIF($E732:$E737,"")&gt;3),"",IF(PRODUCT($Y732:$Y737)=1,Z732,""))</f>
        <v/>
      </c>
      <c r="S730" s="175"/>
      <c r="T730" s="175"/>
      <c r="U730" s="175"/>
      <c r="V730" s="175"/>
      <c r="W730" s="175"/>
      <c r="X730" s="175"/>
      <c r="Y730" s="175"/>
      <c r="Z730" s="175"/>
      <c r="AA730" s="175">
        <f t="shared" si="360"/>
        <v>1</v>
      </c>
    </row>
    <row r="731" spans="1:27" ht="63.75" customHeight="1">
      <c r="B731" s="95"/>
      <c r="C731" s="96"/>
      <c r="D731" s="97"/>
      <c r="E731" s="888"/>
      <c r="F731" s="313" t="s">
        <v>278</v>
      </c>
      <c r="G731" s="313" t="s">
        <v>268</v>
      </c>
      <c r="H731" s="1200" t="s">
        <v>437</v>
      </c>
      <c r="I731" s="1200" t="s">
        <v>439</v>
      </c>
      <c r="J731" s="313" t="s">
        <v>279</v>
      </c>
      <c r="K731" s="98"/>
      <c r="L731" s="11"/>
      <c r="R731" s="126" t="s">
        <v>278</v>
      </c>
      <c r="S731" s="126" t="s">
        <v>440</v>
      </c>
      <c r="T731" s="295" t="s">
        <v>437</v>
      </c>
      <c r="U731" s="295" t="s">
        <v>438</v>
      </c>
      <c r="V731" s="256" t="s">
        <v>270</v>
      </c>
      <c r="W731" s="126" t="s">
        <v>426</v>
      </c>
      <c r="X731" s="129" t="s">
        <v>402</v>
      </c>
      <c r="Y731" s="129" t="s">
        <v>430</v>
      </c>
      <c r="Z731" s="126" t="s">
        <v>425</v>
      </c>
      <c r="AA731" s="255"/>
    </row>
    <row r="732" spans="1:27" hidden="1">
      <c r="B732" s="95"/>
      <c r="C732" s="96"/>
      <c r="D732" s="97"/>
      <c r="E732" s="889"/>
      <c r="F732" s="439"/>
      <c r="G732" s="439"/>
      <c r="H732" s="1201"/>
      <c r="I732" s="1201"/>
      <c r="J732" s="439"/>
      <c r="K732" s="98"/>
      <c r="L732" s="11"/>
      <c r="R732" s="129">
        <f t="shared" ref="R732:R737" si="361">IF(F732="実施済",1,0)</f>
        <v>0</v>
      </c>
      <c r="S732" s="129">
        <f t="shared" ref="S732:S737" si="362">IF(G732="実施済",R732*1,0)</f>
        <v>0</v>
      </c>
      <c r="T732" s="129">
        <f t="shared" ref="T732:T737" si="363">IF(H732="実施済",S732*1,0)</f>
        <v>0</v>
      </c>
      <c r="U732" s="129">
        <f t="shared" ref="U732:U737" si="364">IF(I732="実施済",T732*1,0)</f>
        <v>0</v>
      </c>
      <c r="V732" s="258"/>
      <c r="W732" s="129" t="str">
        <f>IF(OR(E732="〇〇(合意形成対象者名に書き換え)",E732=""),"",SUM(S732,T732,U732))</f>
        <v/>
      </c>
      <c r="X732" s="129">
        <f t="shared" ref="X732:X737" si="365">MIN($W$732:$W$737)+1</f>
        <v>1</v>
      </c>
      <c r="Y732" s="129">
        <f>IF(E732="",1,IF(AND(E732="〇〇(合意形成対象者名に書き換え)",COUNTA($F732:$J732)=0),1,IF(AND(E732&lt;&gt;"〇〇(合意形成対象者名に書き換え)",COUNTA($F732:$J732)=5),1,0)))</f>
        <v>1</v>
      </c>
      <c r="Z732" s="129" t="str" cm="1">
        <f t="array" ref="Z732">_xlfn.IFS(X732=4,"A",X732=3,"B",X732=2,"C",X732=1,"D")</f>
        <v>D</v>
      </c>
      <c r="AA732" s="255"/>
    </row>
    <row r="733" spans="1:27">
      <c r="B733" s="95"/>
      <c r="C733" s="96"/>
      <c r="D733" s="97"/>
      <c r="E733" s="890" t="s">
        <v>129</v>
      </c>
      <c r="F733" s="445"/>
      <c r="G733" s="445"/>
      <c r="H733" s="1202"/>
      <c r="I733" s="1202"/>
      <c r="J733" s="445"/>
      <c r="K733" s="98"/>
      <c r="L733" s="11"/>
      <c r="R733" s="129">
        <f t="shared" si="361"/>
        <v>0</v>
      </c>
      <c r="S733" s="129">
        <f t="shared" si="362"/>
        <v>0</v>
      </c>
      <c r="T733" s="129">
        <f t="shared" si="363"/>
        <v>0</v>
      </c>
      <c r="U733" s="129">
        <f t="shared" si="364"/>
        <v>0</v>
      </c>
      <c r="V733" s="258"/>
      <c r="W733" s="129" t="str">
        <f t="shared" ref="W733:W737" si="366">IF(OR(E733="〇〇(合意形成対象者名に書き換え)",E733=""),"",SUM(S733,T733,U733))</f>
        <v/>
      </c>
      <c r="X733" s="129">
        <f t="shared" si="365"/>
        <v>1</v>
      </c>
      <c r="Y733" s="129">
        <f t="shared" ref="Y733:Y737" si="367">IF(E733="",1,IF(AND(E733="〇〇(合意形成対象者名に書き換え)",COUNTA($F733:$J733)=0),1,IF(AND(E733&lt;&gt;"〇〇(合意形成対象者名に書き換え)",COUNTA($F733:$J733)=5),1,0)))</f>
        <v>1</v>
      </c>
      <c r="Z733" s="129" t="str" cm="1">
        <f t="array" ref="Z733">_xlfn.IFS(X733=4,"A",X733=3,"B",X733=2,"C",X733=1,"D")</f>
        <v>D</v>
      </c>
      <c r="AA733" s="255"/>
    </row>
    <row r="734" spans="1:27">
      <c r="B734" s="95"/>
      <c r="C734" s="96"/>
      <c r="D734" s="97"/>
      <c r="E734" s="890" t="s">
        <v>129</v>
      </c>
      <c r="F734" s="441"/>
      <c r="G734" s="441"/>
      <c r="H734" s="1203"/>
      <c r="I734" s="1203"/>
      <c r="J734" s="441"/>
      <c r="K734" s="98"/>
      <c r="L734" s="11"/>
      <c r="R734" s="129">
        <f t="shared" si="361"/>
        <v>0</v>
      </c>
      <c r="S734" s="129">
        <f t="shared" si="362"/>
        <v>0</v>
      </c>
      <c r="T734" s="129">
        <f t="shared" si="363"/>
        <v>0</v>
      </c>
      <c r="U734" s="129">
        <f t="shared" si="364"/>
        <v>0</v>
      </c>
      <c r="V734" s="258"/>
      <c r="W734" s="129" t="str">
        <f t="shared" si="366"/>
        <v/>
      </c>
      <c r="X734" s="129">
        <f t="shared" si="365"/>
        <v>1</v>
      </c>
      <c r="Y734" s="129">
        <f t="shared" si="367"/>
        <v>1</v>
      </c>
      <c r="Z734" s="129" t="str" cm="1">
        <f t="array" ref="Z734">_xlfn.IFS(X734=4,"A",X734=3,"B",X734=2,"C",X734=1,"D")</f>
        <v>D</v>
      </c>
      <c r="AA734" s="255"/>
    </row>
    <row r="735" spans="1:27" s="99" customFormat="1">
      <c r="A735" s="11"/>
      <c r="B735" s="95"/>
      <c r="C735" s="96"/>
      <c r="D735" s="97"/>
      <c r="E735" s="890" t="s">
        <v>129</v>
      </c>
      <c r="F735" s="441"/>
      <c r="G735" s="441"/>
      <c r="H735" s="1203"/>
      <c r="I735" s="1203"/>
      <c r="J735" s="441"/>
      <c r="K735" s="98"/>
      <c r="L735" s="11"/>
      <c r="O735" s="11"/>
      <c r="P735" s="11"/>
      <c r="Q735" s="11"/>
      <c r="R735" s="129">
        <f t="shared" si="361"/>
        <v>0</v>
      </c>
      <c r="S735" s="129">
        <f t="shared" si="362"/>
        <v>0</v>
      </c>
      <c r="T735" s="129">
        <f t="shared" si="363"/>
        <v>0</v>
      </c>
      <c r="U735" s="129">
        <f t="shared" si="364"/>
        <v>0</v>
      </c>
      <c r="V735" s="258"/>
      <c r="W735" s="129" t="str">
        <f t="shared" si="366"/>
        <v/>
      </c>
      <c r="X735" s="129">
        <f t="shared" si="365"/>
        <v>1</v>
      </c>
      <c r="Y735" s="129">
        <f t="shared" si="367"/>
        <v>1</v>
      </c>
      <c r="Z735" s="129" t="str" cm="1">
        <f t="array" ref="Z735">_xlfn.IFS(X735=4,"A",X735=3,"B",X735=2,"C",X735=1,"D")</f>
        <v>D</v>
      </c>
      <c r="AA735" s="129"/>
    </row>
    <row r="736" spans="1:27" customFormat="1" ht="7.5" customHeight="1">
      <c r="B736" s="65"/>
      <c r="C736" s="4"/>
      <c r="D736" s="4"/>
      <c r="E736" s="288"/>
      <c r="F736" s="4"/>
      <c r="G736" s="4"/>
      <c r="H736" s="1204"/>
      <c r="I736" s="1204"/>
      <c r="J736" s="4"/>
      <c r="K736" s="9"/>
      <c r="L736" s="2"/>
      <c r="M736" s="2"/>
      <c r="N736" s="2"/>
      <c r="R736" s="129">
        <f t="shared" si="361"/>
        <v>0</v>
      </c>
      <c r="S736" s="129">
        <f t="shared" si="362"/>
        <v>0</v>
      </c>
      <c r="T736" s="129">
        <f t="shared" si="363"/>
        <v>0</v>
      </c>
      <c r="U736" s="129">
        <f t="shared" si="364"/>
        <v>0</v>
      </c>
      <c r="V736" s="258"/>
      <c r="W736" s="129" t="str">
        <f t="shared" si="366"/>
        <v/>
      </c>
      <c r="X736" s="129">
        <f t="shared" si="365"/>
        <v>1</v>
      </c>
      <c r="Y736" s="129">
        <f t="shared" si="367"/>
        <v>1</v>
      </c>
      <c r="Z736" s="129" t="str" cm="1">
        <f t="array" ref="Z736">_xlfn.IFS(X736=4,"A",X736=3,"B",X736=2,"C",X736=1,"D")</f>
        <v>D</v>
      </c>
      <c r="AA736" s="175"/>
    </row>
    <row r="737" spans="1:27" customFormat="1" ht="6" customHeight="1">
      <c r="E737" s="3"/>
      <c r="H737" s="1198"/>
      <c r="I737" s="1198"/>
      <c r="L737" s="2"/>
      <c r="M737" s="2"/>
      <c r="N737" s="2"/>
      <c r="R737" s="129">
        <f t="shared" si="361"/>
        <v>0</v>
      </c>
      <c r="S737" s="129">
        <f t="shared" si="362"/>
        <v>0</v>
      </c>
      <c r="T737" s="129">
        <f t="shared" si="363"/>
        <v>0</v>
      </c>
      <c r="U737" s="129">
        <f t="shared" si="364"/>
        <v>0</v>
      </c>
      <c r="V737" s="258"/>
      <c r="W737" s="129" t="str">
        <f t="shared" si="366"/>
        <v/>
      </c>
      <c r="X737" s="129">
        <f t="shared" si="365"/>
        <v>1</v>
      </c>
      <c r="Y737" s="129">
        <f t="shared" si="367"/>
        <v>1</v>
      </c>
      <c r="Z737" s="129" t="str" cm="1">
        <f t="array" ref="Z737">_xlfn.IFS(X737=4,"A",X737=3,"B",X737=2,"C",X737=1,"D")</f>
        <v>D</v>
      </c>
      <c r="AA737" s="175"/>
    </row>
    <row r="738" spans="1:27" customFormat="1" ht="103.5" customHeight="1">
      <c r="C738" s="78"/>
      <c r="D738" s="79"/>
      <c r="E738" s="71" t="s">
        <v>236</v>
      </c>
      <c r="F738" s="1452"/>
      <c r="G738" s="1452"/>
      <c r="H738" s="1452"/>
      <c r="I738" s="1452"/>
      <c r="J738" s="1452"/>
      <c r="K738" s="80" t="s">
        <v>132</v>
      </c>
      <c r="L738" s="80"/>
    </row>
    <row r="739" spans="1:27" customFormat="1" ht="146.25" customHeight="1">
      <c r="C739" s="75"/>
      <c r="D739" s="68"/>
      <c r="E739" s="71" t="s">
        <v>235</v>
      </c>
      <c r="F739" s="1452"/>
      <c r="G739" s="1452"/>
      <c r="H739" s="1452"/>
      <c r="I739" s="1452"/>
      <c r="J739" s="1452"/>
      <c r="L739" s="2"/>
      <c r="M739" s="2"/>
      <c r="N739" s="2"/>
    </row>
    <row r="740" spans="1:27" customFormat="1" ht="13.5" customHeight="1" thickBot="1">
      <c r="A740" s="81"/>
      <c r="B740" s="81"/>
      <c r="C740" s="81"/>
      <c r="D740" s="81"/>
      <c r="E740" s="311"/>
      <c r="F740" s="81"/>
      <c r="G740" s="81"/>
      <c r="H740" s="1205"/>
      <c r="I740" s="1205"/>
      <c r="J740" s="81"/>
      <c r="K740" s="81"/>
      <c r="L740" s="82"/>
      <c r="M740" s="2"/>
      <c r="N740" s="2"/>
    </row>
    <row r="741" spans="1:27" customFormat="1" ht="13.5" customHeight="1">
      <c r="E741" s="3"/>
      <c r="H741" s="1198"/>
      <c r="I741" s="1198"/>
      <c r="L741" s="2"/>
      <c r="M741" s="2"/>
      <c r="N741" s="2"/>
    </row>
    <row r="742" spans="1:27" customFormat="1" ht="15" customHeight="1">
      <c r="B742" s="10"/>
      <c r="C742" s="5"/>
      <c r="D742" s="5"/>
      <c r="E742" s="305"/>
      <c r="F742" s="5"/>
      <c r="G742" s="5"/>
      <c r="H742" s="1199"/>
      <c r="I742" s="1199"/>
      <c r="J742" s="5"/>
      <c r="K742" s="6"/>
      <c r="R742" s="11" t="str">
        <f>D743</f>
        <v>(選択してください)</v>
      </c>
    </row>
    <row r="743" spans="1:27" customFormat="1">
      <c r="B743" s="7"/>
      <c r="C743" s="77" t="str">
        <f ca="1">IFERROR(OFFSET('4.3民生部門電力以外の排出削減取組'!$C$1,MATCH(D743,'4.3民生部門電力以外の排出削減取組'!$E:$E,0)-1,0),"")</f>
        <v/>
      </c>
      <c r="D743" s="94" t="s">
        <v>130</v>
      </c>
      <c r="E743" s="72" t="s">
        <v>12</v>
      </c>
      <c r="F743" s="1451" t="str">
        <f ca="1">IFERROR(OFFSET('4.3民生部門電力以外の排出削減取組'!$G$1,MATCH($D743,'4.3民生部門電力以外の排出削減取組'!$E:$E,0)-1,0),"")</f>
        <v/>
      </c>
      <c r="G743" s="1451"/>
      <c r="H743" s="1451"/>
      <c r="I743" s="1451"/>
      <c r="J743" s="1451"/>
      <c r="K743" s="8"/>
      <c r="R743" s="255" t="str">
        <f ca="1">IFERROR(OFFSET('4.3民生部門電力以外の排出削減取組'!$G$1,MATCH($D743,'4.3民生部門電力以外の排出削減取組'!$E:$E,0)-1,0),"")</f>
        <v/>
      </c>
      <c r="S743" s="175"/>
      <c r="T743" s="175"/>
      <c r="U743" s="175"/>
      <c r="V743" s="175"/>
      <c r="W743" s="175"/>
      <c r="X743" s="175"/>
      <c r="Y743" s="175"/>
      <c r="Z743" s="175"/>
      <c r="AA743" s="175">
        <f ca="1">(F743=R743)*1</f>
        <v>1</v>
      </c>
    </row>
    <row r="744" spans="1:27" customFormat="1">
      <c r="B744" s="7"/>
      <c r="C744" s="915"/>
      <c r="D744" s="97"/>
      <c r="E744" s="72" t="s">
        <v>612</v>
      </c>
      <c r="F744" s="1447" t="str">
        <f ca="1">IFERROR(OFFSET('4.3民生部門電力以外の排出削減取組'!$J$1,MATCH($D743,'4.3民生部門電力以外の排出削減取組'!$E:$E,0)-1,0),"")</f>
        <v/>
      </c>
      <c r="G744" s="1448"/>
      <c r="H744" s="1448"/>
      <c r="I744" s="1448"/>
      <c r="J744" s="1449"/>
      <c r="K744" s="8"/>
      <c r="R744" s="255" t="str">
        <f ca="1">IFERROR(OFFSET('4.3民生部門電力以外の排出削減取組'!$J$1,MATCH($D743,'4.3民生部門電力以外の排出削減取組'!$E:$E,0)-1,0),"")</f>
        <v/>
      </c>
      <c r="S744" s="175"/>
      <c r="T744" s="175"/>
      <c r="U744" s="175"/>
      <c r="V744" s="175"/>
      <c r="W744" s="175"/>
      <c r="X744" s="175"/>
      <c r="Y744" s="175"/>
      <c r="Z744" s="175"/>
      <c r="AA744" s="175">
        <f ca="1">(F744=R744)*1</f>
        <v>1</v>
      </c>
    </row>
    <row r="745" spans="1:27" customFormat="1">
      <c r="B745" s="7"/>
      <c r="C745" s="74"/>
      <c r="D745" s="66"/>
      <c r="E745" s="72" t="s">
        <v>280</v>
      </c>
      <c r="F745" s="1470" t="str">
        <f ca="1">IFERROR(OFFSET('4.3民生部門電力以外の排出削減取組'!$H$1,MATCH($D743,'4.3民生部門電力以外の排出削減取組'!$E:$E,0)-1,0),"")</f>
        <v/>
      </c>
      <c r="G745" s="1470"/>
      <c r="H745" s="1470"/>
      <c r="I745" s="1470"/>
      <c r="J745" s="1470"/>
      <c r="K745" s="8"/>
      <c r="R745" s="175" t="str">
        <f ca="1">IFERROR(OFFSET('4.3民生部門電力以外の排出削減取組'!$H$1,MATCH($D743,'4.3民生部門電力以外の排出削減取組'!$E:$E,0)-1,0),"")</f>
        <v/>
      </c>
      <c r="S745" s="175"/>
      <c r="T745" s="175"/>
      <c r="U745" s="175"/>
      <c r="V745" s="175"/>
      <c r="W745" s="175"/>
      <c r="X745" s="175"/>
      <c r="Y745" s="175"/>
      <c r="Z745" s="175"/>
      <c r="AA745" s="175">
        <f t="shared" ref="AA745:AA746" ca="1" si="368">(F745=R745)*1</f>
        <v>1</v>
      </c>
    </row>
    <row r="746" spans="1:27" customFormat="1">
      <c r="B746" s="7"/>
      <c r="C746" s="74"/>
      <c r="D746" s="66"/>
      <c r="E746" s="72" t="s">
        <v>175</v>
      </c>
      <c r="F746" s="1451" t="str">
        <f>_xlfn.IFNA(R746,"")</f>
        <v/>
      </c>
      <c r="G746" s="1451"/>
      <c r="H746" s="1451"/>
      <c r="I746" s="1451"/>
      <c r="J746" s="1451"/>
      <c r="K746" s="8"/>
      <c r="R746" s="129" t="str">
        <f>IF(OR(COUNTIF($E748:$E753,"&lt;&gt;〇〇(合意形成対象者名に書き換え)")=3,COUNTIF($E748:$E753,"")&gt;3),"",IF(PRODUCT($Y748:$Y753)=1,Z748,""))</f>
        <v/>
      </c>
      <c r="S746" s="175"/>
      <c r="T746" s="175"/>
      <c r="U746" s="175"/>
      <c r="V746" s="175"/>
      <c r="W746" s="175"/>
      <c r="X746" s="175"/>
      <c r="Y746" s="175"/>
      <c r="Z746" s="175"/>
      <c r="AA746" s="175">
        <f t="shared" si="368"/>
        <v>1</v>
      </c>
    </row>
    <row r="747" spans="1:27" ht="63.75" customHeight="1">
      <c r="B747" s="95"/>
      <c r="C747" s="96"/>
      <c r="D747" s="97"/>
      <c r="E747" s="888"/>
      <c r="F747" s="313" t="s">
        <v>278</v>
      </c>
      <c r="G747" s="313" t="s">
        <v>268</v>
      </c>
      <c r="H747" s="1200" t="s">
        <v>437</v>
      </c>
      <c r="I747" s="1200" t="s">
        <v>439</v>
      </c>
      <c r="J747" s="313" t="s">
        <v>279</v>
      </c>
      <c r="K747" s="98"/>
      <c r="L747" s="11"/>
      <c r="R747" s="126" t="s">
        <v>278</v>
      </c>
      <c r="S747" s="126" t="s">
        <v>440</v>
      </c>
      <c r="T747" s="295" t="s">
        <v>437</v>
      </c>
      <c r="U747" s="295" t="s">
        <v>438</v>
      </c>
      <c r="V747" s="256" t="s">
        <v>270</v>
      </c>
      <c r="W747" s="126" t="s">
        <v>426</v>
      </c>
      <c r="X747" s="129" t="s">
        <v>402</v>
      </c>
      <c r="Y747" s="129" t="s">
        <v>430</v>
      </c>
      <c r="Z747" s="126" t="s">
        <v>425</v>
      </c>
      <c r="AA747" s="255"/>
    </row>
    <row r="748" spans="1:27" hidden="1">
      <c r="B748" s="95"/>
      <c r="C748" s="96"/>
      <c r="D748" s="97"/>
      <c r="E748" s="889"/>
      <c r="F748" s="439"/>
      <c r="G748" s="439"/>
      <c r="H748" s="1201"/>
      <c r="I748" s="1201"/>
      <c r="J748" s="439"/>
      <c r="K748" s="98"/>
      <c r="L748" s="11"/>
      <c r="R748" s="129">
        <f t="shared" ref="R748:R753" si="369">IF(F748="実施済",1,0)</f>
        <v>0</v>
      </c>
      <c r="S748" s="129">
        <f t="shared" ref="S748:S753" si="370">IF(G748="実施済",R748*1,0)</f>
        <v>0</v>
      </c>
      <c r="T748" s="129">
        <f t="shared" ref="T748:T753" si="371">IF(H748="実施済",S748*1,0)</f>
        <v>0</v>
      </c>
      <c r="U748" s="129">
        <f t="shared" ref="U748:U753" si="372">IF(I748="実施済",T748*1,0)</f>
        <v>0</v>
      </c>
      <c r="V748" s="258"/>
      <c r="W748" s="129" t="str">
        <f>IF(OR(E748="〇〇(合意形成対象者名に書き換え)",E748=""),"",SUM(S748,T748,U748))</f>
        <v/>
      </c>
      <c r="X748" s="129">
        <f t="shared" ref="X748:X753" si="373">MIN($W$748:$W$753)+1</f>
        <v>1</v>
      </c>
      <c r="Y748" s="129">
        <f>IF(E748="",1,IF(AND(E748="〇〇(合意形成対象者名に書き換え)",COUNTA($F748:$J748)=0),1,IF(AND(E748&lt;&gt;"〇〇(合意形成対象者名に書き換え)",COUNTA($F748:$J748)=5),1,0)))</f>
        <v>1</v>
      </c>
      <c r="Z748" s="129" t="str" cm="1">
        <f t="array" ref="Z748">_xlfn.IFS(X748=4,"A",X748=3,"B",X748=2,"C",X748=1,"D")</f>
        <v>D</v>
      </c>
      <c r="AA748" s="255"/>
    </row>
    <row r="749" spans="1:27">
      <c r="B749" s="95"/>
      <c r="C749" s="96"/>
      <c r="D749" s="97"/>
      <c r="E749" s="890" t="s">
        <v>129</v>
      </c>
      <c r="F749" s="445"/>
      <c r="G749" s="445"/>
      <c r="H749" s="1202"/>
      <c r="I749" s="1202"/>
      <c r="J749" s="445"/>
      <c r="K749" s="98"/>
      <c r="L749" s="11"/>
      <c r="R749" s="129">
        <f t="shared" si="369"/>
        <v>0</v>
      </c>
      <c r="S749" s="129">
        <f t="shared" si="370"/>
        <v>0</v>
      </c>
      <c r="T749" s="129">
        <f t="shared" si="371"/>
        <v>0</v>
      </c>
      <c r="U749" s="129">
        <f t="shared" si="372"/>
        <v>0</v>
      </c>
      <c r="V749" s="258"/>
      <c r="W749" s="129" t="str">
        <f t="shared" ref="W749:W753" si="374">IF(OR(E749="〇〇(合意形成対象者名に書き換え)",E749=""),"",SUM(S749,T749,U749))</f>
        <v/>
      </c>
      <c r="X749" s="129">
        <f t="shared" si="373"/>
        <v>1</v>
      </c>
      <c r="Y749" s="129">
        <f t="shared" ref="Y749:Y753" si="375">IF(E749="",1,IF(AND(E749="〇〇(合意形成対象者名に書き換え)",COUNTA($F749:$J749)=0),1,IF(AND(E749&lt;&gt;"〇〇(合意形成対象者名に書き換え)",COUNTA($F749:$J749)=5),1,0)))</f>
        <v>1</v>
      </c>
      <c r="Z749" s="129" t="str" cm="1">
        <f t="array" ref="Z749">_xlfn.IFS(X749=4,"A",X749=3,"B",X749=2,"C",X749=1,"D")</f>
        <v>D</v>
      </c>
      <c r="AA749" s="255"/>
    </row>
    <row r="750" spans="1:27">
      <c r="B750" s="95"/>
      <c r="C750" s="96"/>
      <c r="D750" s="97"/>
      <c r="E750" s="890" t="s">
        <v>129</v>
      </c>
      <c r="F750" s="441"/>
      <c r="G750" s="441"/>
      <c r="H750" s="1203"/>
      <c r="I750" s="1203"/>
      <c r="J750" s="441"/>
      <c r="K750" s="98"/>
      <c r="L750" s="11"/>
      <c r="R750" s="129">
        <f t="shared" si="369"/>
        <v>0</v>
      </c>
      <c r="S750" s="129">
        <f t="shared" si="370"/>
        <v>0</v>
      </c>
      <c r="T750" s="129">
        <f t="shared" si="371"/>
        <v>0</v>
      </c>
      <c r="U750" s="129">
        <f t="shared" si="372"/>
        <v>0</v>
      </c>
      <c r="V750" s="258"/>
      <c r="W750" s="129" t="str">
        <f t="shared" si="374"/>
        <v/>
      </c>
      <c r="X750" s="129">
        <f t="shared" si="373"/>
        <v>1</v>
      </c>
      <c r="Y750" s="129">
        <f t="shared" si="375"/>
        <v>1</v>
      </c>
      <c r="Z750" s="129" t="str" cm="1">
        <f t="array" ref="Z750">_xlfn.IFS(X750=4,"A",X750=3,"B",X750=2,"C",X750=1,"D")</f>
        <v>D</v>
      </c>
      <c r="AA750" s="255"/>
    </row>
    <row r="751" spans="1:27" s="99" customFormat="1">
      <c r="A751" s="11"/>
      <c r="B751" s="95"/>
      <c r="C751" s="96"/>
      <c r="D751" s="97"/>
      <c r="E751" s="890" t="s">
        <v>129</v>
      </c>
      <c r="F751" s="441"/>
      <c r="G751" s="441"/>
      <c r="H751" s="1203"/>
      <c r="I751" s="1203"/>
      <c r="J751" s="441"/>
      <c r="K751" s="98"/>
      <c r="L751" s="11"/>
      <c r="O751" s="11"/>
      <c r="P751" s="11"/>
      <c r="Q751" s="11"/>
      <c r="R751" s="129">
        <f t="shared" si="369"/>
        <v>0</v>
      </c>
      <c r="S751" s="129">
        <f t="shared" si="370"/>
        <v>0</v>
      </c>
      <c r="T751" s="129">
        <f t="shared" si="371"/>
        <v>0</v>
      </c>
      <c r="U751" s="129">
        <f t="shared" si="372"/>
        <v>0</v>
      </c>
      <c r="V751" s="258"/>
      <c r="W751" s="129" t="str">
        <f t="shared" si="374"/>
        <v/>
      </c>
      <c r="X751" s="129">
        <f t="shared" si="373"/>
        <v>1</v>
      </c>
      <c r="Y751" s="129">
        <f t="shared" si="375"/>
        <v>1</v>
      </c>
      <c r="Z751" s="129" t="str" cm="1">
        <f t="array" ref="Z751">_xlfn.IFS(X751=4,"A",X751=3,"B",X751=2,"C",X751=1,"D")</f>
        <v>D</v>
      </c>
      <c r="AA751" s="129"/>
    </row>
    <row r="752" spans="1:27" customFormat="1" ht="7.5" customHeight="1">
      <c r="B752" s="65"/>
      <c r="C752" s="4"/>
      <c r="D752" s="4"/>
      <c r="E752" s="288"/>
      <c r="F752" s="4"/>
      <c r="G752" s="4"/>
      <c r="H752" s="1204"/>
      <c r="I752" s="1204"/>
      <c r="J752" s="4"/>
      <c r="K752" s="9"/>
      <c r="L752" s="2"/>
      <c r="M752" s="2"/>
      <c r="N752" s="2"/>
      <c r="R752" s="129">
        <f t="shared" si="369"/>
        <v>0</v>
      </c>
      <c r="S752" s="129">
        <f t="shared" si="370"/>
        <v>0</v>
      </c>
      <c r="T752" s="129">
        <f t="shared" si="371"/>
        <v>0</v>
      </c>
      <c r="U752" s="129">
        <f t="shared" si="372"/>
        <v>0</v>
      </c>
      <c r="V752" s="258"/>
      <c r="W752" s="129" t="str">
        <f t="shared" si="374"/>
        <v/>
      </c>
      <c r="X752" s="129">
        <f t="shared" si="373"/>
        <v>1</v>
      </c>
      <c r="Y752" s="129">
        <f t="shared" si="375"/>
        <v>1</v>
      </c>
      <c r="Z752" s="129" t="str" cm="1">
        <f t="array" ref="Z752">_xlfn.IFS(X752=4,"A",X752=3,"B",X752=2,"C",X752=1,"D")</f>
        <v>D</v>
      </c>
      <c r="AA752" s="175"/>
    </row>
    <row r="753" spans="1:27" customFormat="1" ht="6" customHeight="1">
      <c r="E753" s="3"/>
      <c r="H753" s="1198"/>
      <c r="I753" s="1198"/>
      <c r="L753" s="2"/>
      <c r="M753" s="2"/>
      <c r="N753" s="2"/>
      <c r="R753" s="129">
        <f t="shared" si="369"/>
        <v>0</v>
      </c>
      <c r="S753" s="129">
        <f t="shared" si="370"/>
        <v>0</v>
      </c>
      <c r="T753" s="129">
        <f t="shared" si="371"/>
        <v>0</v>
      </c>
      <c r="U753" s="129">
        <f t="shared" si="372"/>
        <v>0</v>
      </c>
      <c r="V753" s="258"/>
      <c r="W753" s="129" t="str">
        <f t="shared" si="374"/>
        <v/>
      </c>
      <c r="X753" s="129">
        <f t="shared" si="373"/>
        <v>1</v>
      </c>
      <c r="Y753" s="129">
        <f t="shared" si="375"/>
        <v>1</v>
      </c>
      <c r="Z753" s="129" t="str" cm="1">
        <f t="array" ref="Z753">_xlfn.IFS(X753=4,"A",X753=3,"B",X753=2,"C",X753=1,"D")</f>
        <v>D</v>
      </c>
      <c r="AA753" s="175"/>
    </row>
    <row r="754" spans="1:27" customFormat="1" ht="103.5" customHeight="1">
      <c r="C754" s="78"/>
      <c r="D754" s="79"/>
      <c r="E754" s="71" t="s">
        <v>236</v>
      </c>
      <c r="F754" s="1452"/>
      <c r="G754" s="1452"/>
      <c r="H754" s="1452"/>
      <c r="I754" s="1452"/>
      <c r="J754" s="1452"/>
      <c r="K754" s="80" t="s">
        <v>132</v>
      </c>
      <c r="L754" s="80"/>
    </row>
    <row r="755" spans="1:27" customFormat="1" ht="146.25" customHeight="1">
      <c r="C755" s="75"/>
      <c r="D755" s="68"/>
      <c r="E755" s="71" t="s">
        <v>235</v>
      </c>
      <c r="F755" s="1452"/>
      <c r="G755" s="1452"/>
      <c r="H755" s="1452"/>
      <c r="I755" s="1452"/>
      <c r="J755" s="1452"/>
      <c r="L755" s="2"/>
      <c r="M755" s="2"/>
      <c r="N755" s="2"/>
    </row>
    <row r="756" spans="1:27" customFormat="1" ht="13.5" customHeight="1" thickBot="1">
      <c r="A756" s="81"/>
      <c r="B756" s="81"/>
      <c r="C756" s="81"/>
      <c r="D756" s="81"/>
      <c r="E756" s="311"/>
      <c r="F756" s="81"/>
      <c r="G756" s="81"/>
      <c r="H756" s="1205"/>
      <c r="I756" s="1205"/>
      <c r="J756" s="81"/>
      <c r="K756" s="81"/>
      <c r="L756" s="82"/>
      <c r="M756" s="2"/>
      <c r="N756" s="2"/>
    </row>
    <row r="757" spans="1:27" customFormat="1" ht="13.5" customHeight="1">
      <c r="E757" s="3"/>
      <c r="H757" s="1198"/>
      <c r="I757" s="1198"/>
      <c r="L757" s="2"/>
      <c r="M757" s="2"/>
      <c r="N757" s="2"/>
    </row>
    <row r="758" spans="1:27" customFormat="1" ht="15" customHeight="1">
      <c r="B758" s="10"/>
      <c r="C758" s="5"/>
      <c r="D758" s="5"/>
      <c r="E758" s="305"/>
      <c r="F758" s="5"/>
      <c r="G758" s="5"/>
      <c r="H758" s="1199"/>
      <c r="I758" s="1199"/>
      <c r="J758" s="5"/>
      <c r="K758" s="6"/>
      <c r="R758" s="11" t="str">
        <f>D759</f>
        <v>(選択してください)</v>
      </c>
    </row>
    <row r="759" spans="1:27" customFormat="1">
      <c r="B759" s="7"/>
      <c r="C759" s="77" t="str">
        <f ca="1">IFERROR(OFFSET('4.3民生部門電力以外の排出削減取組'!$C$1,MATCH(D759,'4.3民生部門電力以外の排出削減取組'!$E:$E,0)-1,0),"")</f>
        <v/>
      </c>
      <c r="D759" s="94" t="s">
        <v>130</v>
      </c>
      <c r="E759" s="72" t="s">
        <v>12</v>
      </c>
      <c r="F759" s="1451" t="str">
        <f ca="1">IFERROR(OFFSET('4.3民生部門電力以外の排出削減取組'!$G$1,MATCH($D759,'4.3民生部門電力以外の排出削減取組'!$E:$E,0)-1,0),"")</f>
        <v/>
      </c>
      <c r="G759" s="1451"/>
      <c r="H759" s="1451"/>
      <c r="I759" s="1451"/>
      <c r="J759" s="1451"/>
      <c r="K759" s="8"/>
      <c r="R759" s="255" t="str">
        <f ca="1">IFERROR(OFFSET('4.3民生部門電力以外の排出削減取組'!$G$1,MATCH($D759,'4.3民生部門電力以外の排出削減取組'!$E:$E,0)-1,0),"")</f>
        <v/>
      </c>
      <c r="S759" s="175"/>
      <c r="T759" s="175"/>
      <c r="U759" s="175"/>
      <c r="V759" s="175"/>
      <c r="W759" s="175"/>
      <c r="X759" s="175"/>
      <c r="Y759" s="175"/>
      <c r="Z759" s="175"/>
      <c r="AA759" s="175">
        <f ca="1">(F759=R759)*1</f>
        <v>1</v>
      </c>
    </row>
    <row r="760" spans="1:27" customFormat="1">
      <c r="B760" s="7"/>
      <c r="C760" s="915"/>
      <c r="D760" s="97"/>
      <c r="E760" s="72" t="s">
        <v>612</v>
      </c>
      <c r="F760" s="1447" t="str">
        <f ca="1">IFERROR(OFFSET('4.3民生部門電力以外の排出削減取組'!$J$1,MATCH($D759,'4.3民生部門電力以外の排出削減取組'!$E:$E,0)-1,0),"")</f>
        <v/>
      </c>
      <c r="G760" s="1448"/>
      <c r="H760" s="1448"/>
      <c r="I760" s="1448"/>
      <c r="J760" s="1449"/>
      <c r="K760" s="8"/>
      <c r="R760" s="255" t="str">
        <f ca="1">IFERROR(OFFSET('4.3民生部門電力以外の排出削減取組'!$J$1,MATCH($D759,'4.3民生部門電力以外の排出削減取組'!$E:$E,0)-1,0),"")</f>
        <v/>
      </c>
      <c r="S760" s="175"/>
      <c r="T760" s="175"/>
      <c r="U760" s="175"/>
      <c r="V760" s="175"/>
      <c r="W760" s="175"/>
      <c r="X760" s="175"/>
      <c r="Y760" s="175"/>
      <c r="Z760" s="175"/>
      <c r="AA760" s="175">
        <f ca="1">(F760=R760)*1</f>
        <v>1</v>
      </c>
    </row>
    <row r="761" spans="1:27" customFormat="1">
      <c r="B761" s="7"/>
      <c r="C761" s="74"/>
      <c r="D761" s="66"/>
      <c r="E761" s="72" t="s">
        <v>280</v>
      </c>
      <c r="F761" s="1470" t="str">
        <f ca="1">IFERROR(OFFSET('4.3民生部門電力以外の排出削減取組'!$H$1,MATCH($D759,'4.3民生部門電力以外の排出削減取組'!$E:$E,0)-1,0),"")</f>
        <v/>
      </c>
      <c r="G761" s="1470"/>
      <c r="H761" s="1470"/>
      <c r="I761" s="1470"/>
      <c r="J761" s="1470"/>
      <c r="K761" s="8"/>
      <c r="R761" s="175" t="str">
        <f ca="1">IFERROR(OFFSET('4.3民生部門電力以外の排出削減取組'!$H$1,MATCH($D759,'4.3民生部門電力以外の排出削減取組'!$E:$E,0)-1,0),"")</f>
        <v/>
      </c>
      <c r="S761" s="175"/>
      <c r="T761" s="175"/>
      <c r="U761" s="175"/>
      <c r="V761" s="175"/>
      <c r="W761" s="175"/>
      <c r="X761" s="175"/>
      <c r="Y761" s="175"/>
      <c r="Z761" s="175"/>
      <c r="AA761" s="175">
        <f t="shared" ref="AA761:AA762" ca="1" si="376">(F761=R761)*1</f>
        <v>1</v>
      </c>
    </row>
    <row r="762" spans="1:27" customFormat="1">
      <c r="B762" s="7"/>
      <c r="C762" s="74"/>
      <c r="D762" s="66"/>
      <c r="E762" s="72" t="s">
        <v>175</v>
      </c>
      <c r="F762" s="1451" t="str">
        <f>_xlfn.IFNA(R762,"")</f>
        <v/>
      </c>
      <c r="G762" s="1451"/>
      <c r="H762" s="1451"/>
      <c r="I762" s="1451"/>
      <c r="J762" s="1451"/>
      <c r="K762" s="8"/>
      <c r="R762" s="129" t="str">
        <f>IF(OR(COUNTIF($E764:$E769,"&lt;&gt;〇〇(合意形成対象者名に書き換え)")=3,COUNTIF($E764:$E769,"")&gt;3),"",IF(PRODUCT($Y764:$Y769)=1,Z764,""))</f>
        <v/>
      </c>
      <c r="S762" s="175"/>
      <c r="T762" s="175"/>
      <c r="U762" s="175"/>
      <c r="V762" s="175"/>
      <c r="W762" s="175"/>
      <c r="X762" s="175"/>
      <c r="Y762" s="175"/>
      <c r="Z762" s="175"/>
      <c r="AA762" s="175">
        <f t="shared" si="376"/>
        <v>1</v>
      </c>
    </row>
    <row r="763" spans="1:27" ht="63.75" customHeight="1">
      <c r="B763" s="95"/>
      <c r="C763" s="96"/>
      <c r="D763" s="97"/>
      <c r="E763" s="888"/>
      <c r="F763" s="313" t="s">
        <v>278</v>
      </c>
      <c r="G763" s="313" t="s">
        <v>268</v>
      </c>
      <c r="H763" s="1200" t="s">
        <v>437</v>
      </c>
      <c r="I763" s="1200" t="s">
        <v>439</v>
      </c>
      <c r="J763" s="313" t="s">
        <v>279</v>
      </c>
      <c r="K763" s="98"/>
      <c r="L763" s="11"/>
      <c r="R763" s="126" t="s">
        <v>278</v>
      </c>
      <c r="S763" s="126" t="s">
        <v>440</v>
      </c>
      <c r="T763" s="295" t="s">
        <v>437</v>
      </c>
      <c r="U763" s="295" t="s">
        <v>438</v>
      </c>
      <c r="V763" s="256" t="s">
        <v>270</v>
      </c>
      <c r="W763" s="126" t="s">
        <v>426</v>
      </c>
      <c r="X763" s="129" t="s">
        <v>402</v>
      </c>
      <c r="Y763" s="129" t="s">
        <v>430</v>
      </c>
      <c r="Z763" s="126" t="s">
        <v>425</v>
      </c>
      <c r="AA763" s="255"/>
    </row>
    <row r="764" spans="1:27" hidden="1">
      <c r="B764" s="95"/>
      <c r="C764" s="96"/>
      <c r="D764" s="97"/>
      <c r="E764" s="889"/>
      <c r="F764" s="439"/>
      <c r="G764" s="439"/>
      <c r="H764" s="1201"/>
      <c r="I764" s="1201"/>
      <c r="J764" s="439"/>
      <c r="K764" s="98"/>
      <c r="L764" s="11"/>
      <c r="R764" s="129">
        <f t="shared" ref="R764:R769" si="377">IF(F764="実施済",1,0)</f>
        <v>0</v>
      </c>
      <c r="S764" s="129">
        <f t="shared" ref="S764:S769" si="378">IF(G764="実施済",R764*1,0)</f>
        <v>0</v>
      </c>
      <c r="T764" s="129">
        <f t="shared" ref="T764:T769" si="379">IF(H764="実施済",S764*1,0)</f>
        <v>0</v>
      </c>
      <c r="U764" s="129">
        <f t="shared" ref="U764:U769" si="380">IF(I764="実施済",T764*1,0)</f>
        <v>0</v>
      </c>
      <c r="V764" s="258"/>
      <c r="W764" s="129" t="str">
        <f>IF(OR(E764="〇〇(合意形成対象者名に書き換え)",E764=""),"",SUM(S764,T764,U764))</f>
        <v/>
      </c>
      <c r="X764" s="129">
        <f t="shared" ref="X764:X769" si="381">MIN($W$764:$W$769)+1</f>
        <v>1</v>
      </c>
      <c r="Y764" s="129">
        <f>IF(E764="",1,IF(AND(E764="〇〇(合意形成対象者名に書き換え)",COUNTA($F764:$J764)=0),1,IF(AND(E764&lt;&gt;"〇〇(合意形成対象者名に書き換え)",COUNTA($F764:$J764)=5),1,0)))</f>
        <v>1</v>
      </c>
      <c r="Z764" s="129" t="str" cm="1">
        <f t="array" ref="Z764">_xlfn.IFS(X764=4,"A",X764=3,"B",X764=2,"C",X764=1,"D")</f>
        <v>D</v>
      </c>
      <c r="AA764" s="255"/>
    </row>
    <row r="765" spans="1:27">
      <c r="B765" s="95"/>
      <c r="C765" s="96"/>
      <c r="D765" s="97"/>
      <c r="E765" s="890" t="s">
        <v>129</v>
      </c>
      <c r="F765" s="445"/>
      <c r="G765" s="445"/>
      <c r="H765" s="1202"/>
      <c r="I765" s="1202"/>
      <c r="J765" s="445"/>
      <c r="K765" s="98"/>
      <c r="L765" s="11"/>
      <c r="R765" s="129">
        <f t="shared" si="377"/>
        <v>0</v>
      </c>
      <c r="S765" s="129">
        <f t="shared" si="378"/>
        <v>0</v>
      </c>
      <c r="T765" s="129">
        <f t="shared" si="379"/>
        <v>0</v>
      </c>
      <c r="U765" s="129">
        <f t="shared" si="380"/>
        <v>0</v>
      </c>
      <c r="V765" s="258"/>
      <c r="W765" s="129" t="str">
        <f t="shared" ref="W765:W769" si="382">IF(OR(E765="〇〇(合意形成対象者名に書き換え)",E765=""),"",SUM(S765,T765,U765))</f>
        <v/>
      </c>
      <c r="X765" s="129">
        <f t="shared" si="381"/>
        <v>1</v>
      </c>
      <c r="Y765" s="129">
        <f t="shared" ref="Y765:Y769" si="383">IF(E765="",1,IF(AND(E765="〇〇(合意形成対象者名に書き換え)",COUNTA($F765:$J765)=0),1,IF(AND(E765&lt;&gt;"〇〇(合意形成対象者名に書き換え)",COUNTA($F765:$J765)=5),1,0)))</f>
        <v>1</v>
      </c>
      <c r="Z765" s="129" t="str" cm="1">
        <f t="array" ref="Z765">_xlfn.IFS(X765=4,"A",X765=3,"B",X765=2,"C",X765=1,"D")</f>
        <v>D</v>
      </c>
      <c r="AA765" s="255"/>
    </row>
    <row r="766" spans="1:27">
      <c r="B766" s="95"/>
      <c r="C766" s="96"/>
      <c r="D766" s="97"/>
      <c r="E766" s="890" t="s">
        <v>129</v>
      </c>
      <c r="F766" s="441"/>
      <c r="G766" s="441"/>
      <c r="H766" s="1203"/>
      <c r="I766" s="1203"/>
      <c r="J766" s="441"/>
      <c r="K766" s="98"/>
      <c r="L766" s="11"/>
      <c r="R766" s="129">
        <f t="shared" si="377"/>
        <v>0</v>
      </c>
      <c r="S766" s="129">
        <f t="shared" si="378"/>
        <v>0</v>
      </c>
      <c r="T766" s="129">
        <f t="shared" si="379"/>
        <v>0</v>
      </c>
      <c r="U766" s="129">
        <f t="shared" si="380"/>
        <v>0</v>
      </c>
      <c r="V766" s="258"/>
      <c r="W766" s="129" t="str">
        <f t="shared" si="382"/>
        <v/>
      </c>
      <c r="X766" s="129">
        <f t="shared" si="381"/>
        <v>1</v>
      </c>
      <c r="Y766" s="129">
        <f t="shared" si="383"/>
        <v>1</v>
      </c>
      <c r="Z766" s="129" t="str" cm="1">
        <f t="array" ref="Z766">_xlfn.IFS(X766=4,"A",X766=3,"B",X766=2,"C",X766=1,"D")</f>
        <v>D</v>
      </c>
      <c r="AA766" s="255"/>
    </row>
    <row r="767" spans="1:27" s="99" customFormat="1">
      <c r="A767" s="11"/>
      <c r="B767" s="95"/>
      <c r="C767" s="96"/>
      <c r="D767" s="97"/>
      <c r="E767" s="890" t="s">
        <v>129</v>
      </c>
      <c r="F767" s="441"/>
      <c r="G767" s="441"/>
      <c r="H767" s="1203"/>
      <c r="I767" s="1203"/>
      <c r="J767" s="441"/>
      <c r="K767" s="98"/>
      <c r="L767" s="11"/>
      <c r="O767" s="11"/>
      <c r="P767" s="11"/>
      <c r="Q767" s="11"/>
      <c r="R767" s="129">
        <f t="shared" si="377"/>
        <v>0</v>
      </c>
      <c r="S767" s="129">
        <f t="shared" si="378"/>
        <v>0</v>
      </c>
      <c r="T767" s="129">
        <f t="shared" si="379"/>
        <v>0</v>
      </c>
      <c r="U767" s="129">
        <f t="shared" si="380"/>
        <v>0</v>
      </c>
      <c r="V767" s="258"/>
      <c r="W767" s="129" t="str">
        <f t="shared" si="382"/>
        <v/>
      </c>
      <c r="X767" s="129">
        <f t="shared" si="381"/>
        <v>1</v>
      </c>
      <c r="Y767" s="129">
        <f t="shared" si="383"/>
        <v>1</v>
      </c>
      <c r="Z767" s="129" t="str" cm="1">
        <f t="array" ref="Z767">_xlfn.IFS(X767=4,"A",X767=3,"B",X767=2,"C",X767=1,"D")</f>
        <v>D</v>
      </c>
      <c r="AA767" s="129"/>
    </row>
    <row r="768" spans="1:27" customFormat="1" ht="7.5" customHeight="1">
      <c r="B768" s="65"/>
      <c r="C768" s="4"/>
      <c r="D768" s="4"/>
      <c r="E768" s="288"/>
      <c r="F768" s="4"/>
      <c r="G768" s="4"/>
      <c r="H768" s="1204"/>
      <c r="I768" s="1204"/>
      <c r="J768" s="4"/>
      <c r="K768" s="9"/>
      <c r="L768" s="2"/>
      <c r="M768" s="2"/>
      <c r="N768" s="2"/>
      <c r="R768" s="129">
        <f t="shared" si="377"/>
        <v>0</v>
      </c>
      <c r="S768" s="129">
        <f t="shared" si="378"/>
        <v>0</v>
      </c>
      <c r="T768" s="129">
        <f t="shared" si="379"/>
        <v>0</v>
      </c>
      <c r="U768" s="129">
        <f t="shared" si="380"/>
        <v>0</v>
      </c>
      <c r="V768" s="258"/>
      <c r="W768" s="129" t="str">
        <f t="shared" si="382"/>
        <v/>
      </c>
      <c r="X768" s="129">
        <f t="shared" si="381"/>
        <v>1</v>
      </c>
      <c r="Y768" s="129">
        <f t="shared" si="383"/>
        <v>1</v>
      </c>
      <c r="Z768" s="129" t="str" cm="1">
        <f t="array" ref="Z768">_xlfn.IFS(X768=4,"A",X768=3,"B",X768=2,"C",X768=1,"D")</f>
        <v>D</v>
      </c>
      <c r="AA768" s="175"/>
    </row>
    <row r="769" spans="1:27" customFormat="1" ht="6" customHeight="1">
      <c r="E769" s="3"/>
      <c r="H769" s="1198"/>
      <c r="I769" s="1198"/>
      <c r="L769" s="2"/>
      <c r="M769" s="2"/>
      <c r="N769" s="2"/>
      <c r="R769" s="129">
        <f t="shared" si="377"/>
        <v>0</v>
      </c>
      <c r="S769" s="129">
        <f t="shared" si="378"/>
        <v>0</v>
      </c>
      <c r="T769" s="129">
        <f t="shared" si="379"/>
        <v>0</v>
      </c>
      <c r="U769" s="129">
        <f t="shared" si="380"/>
        <v>0</v>
      </c>
      <c r="V769" s="258"/>
      <c r="W769" s="129" t="str">
        <f t="shared" si="382"/>
        <v/>
      </c>
      <c r="X769" s="129">
        <f t="shared" si="381"/>
        <v>1</v>
      </c>
      <c r="Y769" s="129">
        <f t="shared" si="383"/>
        <v>1</v>
      </c>
      <c r="Z769" s="129" t="str" cm="1">
        <f t="array" ref="Z769">_xlfn.IFS(X769=4,"A",X769=3,"B",X769=2,"C",X769=1,"D")</f>
        <v>D</v>
      </c>
      <c r="AA769" s="175"/>
    </row>
    <row r="770" spans="1:27" customFormat="1" ht="103.5" customHeight="1">
      <c r="C770" s="78"/>
      <c r="D770" s="79"/>
      <c r="E770" s="71" t="s">
        <v>236</v>
      </c>
      <c r="F770" s="1452"/>
      <c r="G770" s="1452"/>
      <c r="H770" s="1452"/>
      <c r="I770" s="1452"/>
      <c r="J770" s="1452"/>
      <c r="K770" s="80" t="s">
        <v>132</v>
      </c>
      <c r="L770" s="80"/>
    </row>
    <row r="771" spans="1:27" customFormat="1" ht="146.25" customHeight="1">
      <c r="C771" s="75"/>
      <c r="D771" s="68"/>
      <c r="E771" s="71" t="s">
        <v>235</v>
      </c>
      <c r="F771" s="1452"/>
      <c r="G771" s="1452"/>
      <c r="H771" s="1452"/>
      <c r="I771" s="1452"/>
      <c r="J771" s="1452"/>
      <c r="L771" s="2"/>
      <c r="M771" s="2"/>
      <c r="N771" s="2"/>
    </row>
    <row r="772" spans="1:27" customFormat="1" ht="13.5" customHeight="1" thickBot="1">
      <c r="A772" s="81"/>
      <c r="B772" s="81"/>
      <c r="C772" s="81"/>
      <c r="D772" s="81"/>
      <c r="E772" s="311"/>
      <c r="F772" s="81"/>
      <c r="G772" s="81"/>
      <c r="H772" s="1205"/>
      <c r="I772" s="1205"/>
      <c r="J772" s="81"/>
      <c r="K772" s="81"/>
      <c r="L772" s="82"/>
      <c r="M772" s="2"/>
      <c r="N772" s="2"/>
    </row>
    <row r="773" spans="1:27" customFormat="1" ht="13.5" customHeight="1">
      <c r="E773" s="3"/>
      <c r="H773" s="1198"/>
      <c r="I773" s="1198"/>
      <c r="L773" s="2"/>
      <c r="M773" s="2"/>
      <c r="N773" s="2"/>
    </row>
    <row r="774" spans="1:27" customFormat="1" ht="15" customHeight="1">
      <c r="B774" s="10"/>
      <c r="C774" s="5"/>
      <c r="D774" s="5"/>
      <c r="E774" s="305"/>
      <c r="F774" s="5"/>
      <c r="G774" s="5"/>
      <c r="H774" s="1199"/>
      <c r="I774" s="1199"/>
      <c r="J774" s="5"/>
      <c r="K774" s="6"/>
      <c r="R774" s="11" t="str">
        <f>D775</f>
        <v>(選択してください)</v>
      </c>
    </row>
    <row r="775" spans="1:27" customFormat="1">
      <c r="B775" s="7"/>
      <c r="C775" s="77" t="str">
        <f ca="1">IFERROR(OFFSET('4.3民生部門電力以外の排出削減取組'!$C$1,MATCH(D775,'4.3民生部門電力以外の排出削減取組'!$E:$E,0)-1,0),"")</f>
        <v/>
      </c>
      <c r="D775" s="94" t="s">
        <v>130</v>
      </c>
      <c r="E775" s="72" t="s">
        <v>12</v>
      </c>
      <c r="F775" s="1451" t="str">
        <f ca="1">IFERROR(OFFSET('4.3民生部門電力以外の排出削減取組'!$G$1,MATCH($D775,'4.3民生部門電力以外の排出削減取組'!$E:$E,0)-1,0),"")</f>
        <v/>
      </c>
      <c r="G775" s="1451"/>
      <c r="H775" s="1451"/>
      <c r="I775" s="1451"/>
      <c r="J775" s="1451"/>
      <c r="K775" s="8"/>
      <c r="R775" s="255" t="str">
        <f ca="1">IFERROR(OFFSET('4.3民生部門電力以外の排出削減取組'!$G$1,MATCH($D775,'4.3民生部門電力以外の排出削減取組'!$E:$E,0)-1,0),"")</f>
        <v/>
      </c>
      <c r="S775" s="175"/>
      <c r="T775" s="175"/>
      <c r="U775" s="175"/>
      <c r="V775" s="175"/>
      <c r="W775" s="175"/>
      <c r="X775" s="175"/>
      <c r="Y775" s="175"/>
      <c r="Z775" s="175"/>
      <c r="AA775" s="175">
        <f ca="1">(F775=R775)*1</f>
        <v>1</v>
      </c>
    </row>
    <row r="776" spans="1:27" customFormat="1">
      <c r="B776" s="7"/>
      <c r="C776" s="915"/>
      <c r="D776" s="97"/>
      <c r="E776" s="72" t="s">
        <v>612</v>
      </c>
      <c r="F776" s="1447" t="str">
        <f ca="1">IFERROR(OFFSET('4.3民生部門電力以外の排出削減取組'!$J$1,MATCH($D775,'4.3民生部門電力以外の排出削減取組'!$E:$E,0)-1,0),"")</f>
        <v/>
      </c>
      <c r="G776" s="1448"/>
      <c r="H776" s="1448"/>
      <c r="I776" s="1448"/>
      <c r="J776" s="1449"/>
      <c r="K776" s="8"/>
      <c r="R776" s="255" t="str">
        <f ca="1">IFERROR(OFFSET('4.3民生部門電力以外の排出削減取組'!$J$1,MATCH($D775,'4.3民生部門電力以外の排出削減取組'!$E:$E,0)-1,0),"")</f>
        <v/>
      </c>
      <c r="S776" s="175"/>
      <c r="T776" s="175"/>
      <c r="U776" s="175"/>
      <c r="V776" s="175"/>
      <c r="W776" s="175"/>
      <c r="X776" s="175"/>
      <c r="Y776" s="175"/>
      <c r="Z776" s="175"/>
      <c r="AA776" s="175">
        <f ca="1">(F776=R776)*1</f>
        <v>1</v>
      </c>
    </row>
    <row r="777" spans="1:27" customFormat="1">
      <c r="B777" s="7"/>
      <c r="C777" s="74"/>
      <c r="D777" s="66"/>
      <c r="E777" s="72" t="s">
        <v>280</v>
      </c>
      <c r="F777" s="1470" t="str">
        <f ca="1">IFERROR(OFFSET('4.3民生部門電力以外の排出削減取組'!$H$1,MATCH($D775,'4.3民生部門電力以外の排出削減取組'!$E:$E,0)-1,0),"")</f>
        <v/>
      </c>
      <c r="G777" s="1470"/>
      <c r="H777" s="1470"/>
      <c r="I777" s="1470"/>
      <c r="J777" s="1470"/>
      <c r="K777" s="8"/>
      <c r="R777" s="175" t="str">
        <f ca="1">IFERROR(OFFSET('4.3民生部門電力以外の排出削減取組'!$H$1,MATCH($D775,'4.3民生部門電力以外の排出削減取組'!$E:$E,0)-1,0),"")</f>
        <v/>
      </c>
      <c r="S777" s="175"/>
      <c r="T777" s="175"/>
      <c r="U777" s="175"/>
      <c r="V777" s="175"/>
      <c r="W777" s="175"/>
      <c r="X777" s="175"/>
      <c r="Y777" s="175"/>
      <c r="Z777" s="175"/>
      <c r="AA777" s="175">
        <f t="shared" ref="AA777:AA778" ca="1" si="384">(F777=R777)*1</f>
        <v>1</v>
      </c>
    </row>
    <row r="778" spans="1:27" customFormat="1">
      <c r="B778" s="7"/>
      <c r="C778" s="74"/>
      <c r="D778" s="66"/>
      <c r="E778" s="72" t="s">
        <v>175</v>
      </c>
      <c r="F778" s="1451" t="str">
        <f>_xlfn.IFNA(R778,"")</f>
        <v/>
      </c>
      <c r="G778" s="1451"/>
      <c r="H778" s="1451"/>
      <c r="I778" s="1451"/>
      <c r="J778" s="1451"/>
      <c r="K778" s="8"/>
      <c r="R778" s="129" t="str">
        <f>IF(OR(COUNTIF($E780:$E785,"&lt;&gt;〇〇(合意形成対象者名に書き換え)")=3,COUNTIF($E780:$E785,"")&gt;3),"",IF(PRODUCT($Y780:$Y785)=1,Z780,""))</f>
        <v/>
      </c>
      <c r="S778" s="175"/>
      <c r="T778" s="175"/>
      <c r="U778" s="175"/>
      <c r="V778" s="175"/>
      <c r="W778" s="175"/>
      <c r="X778" s="175"/>
      <c r="Y778" s="175"/>
      <c r="Z778" s="175"/>
      <c r="AA778" s="175">
        <f t="shared" si="384"/>
        <v>1</v>
      </c>
    </row>
    <row r="779" spans="1:27" ht="63.75" customHeight="1">
      <c r="B779" s="95"/>
      <c r="C779" s="96"/>
      <c r="D779" s="97"/>
      <c r="E779" s="888"/>
      <c r="F779" s="313" t="s">
        <v>278</v>
      </c>
      <c r="G779" s="313" t="s">
        <v>268</v>
      </c>
      <c r="H779" s="1200" t="s">
        <v>437</v>
      </c>
      <c r="I779" s="1200" t="s">
        <v>439</v>
      </c>
      <c r="J779" s="313" t="s">
        <v>279</v>
      </c>
      <c r="K779" s="98"/>
      <c r="L779" s="11"/>
      <c r="R779" s="126" t="s">
        <v>278</v>
      </c>
      <c r="S779" s="126" t="s">
        <v>440</v>
      </c>
      <c r="T779" s="295" t="s">
        <v>437</v>
      </c>
      <c r="U779" s="295" t="s">
        <v>438</v>
      </c>
      <c r="V779" s="256" t="s">
        <v>270</v>
      </c>
      <c r="W779" s="126" t="s">
        <v>426</v>
      </c>
      <c r="X779" s="129" t="s">
        <v>402</v>
      </c>
      <c r="Y779" s="129" t="s">
        <v>430</v>
      </c>
      <c r="Z779" s="126" t="s">
        <v>425</v>
      </c>
      <c r="AA779" s="255"/>
    </row>
    <row r="780" spans="1:27" hidden="1">
      <c r="B780" s="95"/>
      <c r="C780" s="96"/>
      <c r="D780" s="97"/>
      <c r="E780" s="889"/>
      <c r="F780" s="439"/>
      <c r="G780" s="439"/>
      <c r="H780" s="1201"/>
      <c r="I780" s="1201"/>
      <c r="J780" s="439"/>
      <c r="K780" s="98"/>
      <c r="L780" s="11"/>
      <c r="R780" s="129">
        <f t="shared" ref="R780:R785" si="385">IF(F780="実施済",1,0)</f>
        <v>0</v>
      </c>
      <c r="S780" s="129">
        <f t="shared" ref="S780:S785" si="386">IF(G780="実施済",R780*1,0)</f>
        <v>0</v>
      </c>
      <c r="T780" s="129">
        <f t="shared" ref="T780:T785" si="387">IF(H780="実施済",S780*1,0)</f>
        <v>0</v>
      </c>
      <c r="U780" s="129">
        <f t="shared" ref="U780:U785" si="388">IF(I780="実施済",T780*1,0)</f>
        <v>0</v>
      </c>
      <c r="V780" s="258"/>
      <c r="W780" s="129" t="str">
        <f>IF(OR(E780="〇〇(合意形成対象者名に書き換え)",E780=""),"",SUM(S780,T780,U780))</f>
        <v/>
      </c>
      <c r="X780" s="129">
        <f t="shared" ref="X780:X785" si="389">MIN($W$780:$W$785)+1</f>
        <v>1</v>
      </c>
      <c r="Y780" s="129">
        <f>IF(E780="",1,IF(AND(E780="〇〇(合意形成対象者名に書き換え)",COUNTA($F780:$J780)=0),1,IF(AND(E780&lt;&gt;"〇〇(合意形成対象者名に書き換え)",COUNTA($F780:$J780)=5),1,0)))</f>
        <v>1</v>
      </c>
      <c r="Z780" s="129" t="str" cm="1">
        <f t="array" ref="Z780">_xlfn.IFS(X780=4,"A",X780=3,"B",X780=2,"C",X780=1,"D")</f>
        <v>D</v>
      </c>
      <c r="AA780" s="255"/>
    </row>
    <row r="781" spans="1:27">
      <c r="B781" s="95"/>
      <c r="C781" s="96"/>
      <c r="D781" s="97"/>
      <c r="E781" s="890" t="s">
        <v>129</v>
      </c>
      <c r="F781" s="445"/>
      <c r="G781" s="445"/>
      <c r="H781" s="1202"/>
      <c r="I781" s="1202"/>
      <c r="J781" s="445"/>
      <c r="K781" s="98"/>
      <c r="L781" s="11"/>
      <c r="R781" s="129">
        <f t="shared" si="385"/>
        <v>0</v>
      </c>
      <c r="S781" s="129">
        <f t="shared" si="386"/>
        <v>0</v>
      </c>
      <c r="T781" s="129">
        <f t="shared" si="387"/>
        <v>0</v>
      </c>
      <c r="U781" s="129">
        <f t="shared" si="388"/>
        <v>0</v>
      </c>
      <c r="V781" s="258"/>
      <c r="W781" s="129" t="str">
        <f t="shared" ref="W781:W785" si="390">IF(OR(E781="〇〇(合意形成対象者名に書き換え)",E781=""),"",SUM(S781,T781,U781))</f>
        <v/>
      </c>
      <c r="X781" s="129">
        <f t="shared" si="389"/>
        <v>1</v>
      </c>
      <c r="Y781" s="129">
        <f t="shared" ref="Y781:Y785" si="391">IF(E781="",1,IF(AND(E781="〇〇(合意形成対象者名に書き換え)",COUNTA($F781:$J781)=0),1,IF(AND(E781&lt;&gt;"〇〇(合意形成対象者名に書き換え)",COUNTA($F781:$J781)=5),1,0)))</f>
        <v>1</v>
      </c>
      <c r="Z781" s="129" t="str" cm="1">
        <f t="array" ref="Z781">_xlfn.IFS(X781=4,"A",X781=3,"B",X781=2,"C",X781=1,"D")</f>
        <v>D</v>
      </c>
      <c r="AA781" s="255"/>
    </row>
    <row r="782" spans="1:27">
      <c r="B782" s="95"/>
      <c r="C782" s="96"/>
      <c r="D782" s="97"/>
      <c r="E782" s="890" t="s">
        <v>129</v>
      </c>
      <c r="F782" s="441"/>
      <c r="G782" s="441"/>
      <c r="H782" s="1203"/>
      <c r="I782" s="1203"/>
      <c r="J782" s="441"/>
      <c r="K782" s="98"/>
      <c r="L782" s="11"/>
      <c r="R782" s="129">
        <f t="shared" si="385"/>
        <v>0</v>
      </c>
      <c r="S782" s="129">
        <f t="shared" si="386"/>
        <v>0</v>
      </c>
      <c r="T782" s="129">
        <f t="shared" si="387"/>
        <v>0</v>
      </c>
      <c r="U782" s="129">
        <f t="shared" si="388"/>
        <v>0</v>
      </c>
      <c r="V782" s="258"/>
      <c r="W782" s="129" t="str">
        <f t="shared" si="390"/>
        <v/>
      </c>
      <c r="X782" s="129">
        <f t="shared" si="389"/>
        <v>1</v>
      </c>
      <c r="Y782" s="129">
        <f t="shared" si="391"/>
        <v>1</v>
      </c>
      <c r="Z782" s="129" t="str" cm="1">
        <f t="array" ref="Z782">_xlfn.IFS(X782=4,"A",X782=3,"B",X782=2,"C",X782=1,"D")</f>
        <v>D</v>
      </c>
      <c r="AA782" s="255"/>
    </row>
    <row r="783" spans="1:27" s="99" customFormat="1">
      <c r="A783" s="11"/>
      <c r="B783" s="95"/>
      <c r="C783" s="96"/>
      <c r="D783" s="97"/>
      <c r="E783" s="890" t="s">
        <v>129</v>
      </c>
      <c r="F783" s="441"/>
      <c r="G783" s="441"/>
      <c r="H783" s="1203"/>
      <c r="I783" s="1203"/>
      <c r="J783" s="441"/>
      <c r="K783" s="98"/>
      <c r="L783" s="11"/>
      <c r="O783" s="11"/>
      <c r="P783" s="11"/>
      <c r="Q783" s="11"/>
      <c r="R783" s="129">
        <f t="shared" si="385"/>
        <v>0</v>
      </c>
      <c r="S783" s="129">
        <f t="shared" si="386"/>
        <v>0</v>
      </c>
      <c r="T783" s="129">
        <f t="shared" si="387"/>
        <v>0</v>
      </c>
      <c r="U783" s="129">
        <f t="shared" si="388"/>
        <v>0</v>
      </c>
      <c r="V783" s="258"/>
      <c r="W783" s="129" t="str">
        <f t="shared" si="390"/>
        <v/>
      </c>
      <c r="X783" s="129">
        <f t="shared" si="389"/>
        <v>1</v>
      </c>
      <c r="Y783" s="129">
        <f t="shared" si="391"/>
        <v>1</v>
      </c>
      <c r="Z783" s="129" t="str" cm="1">
        <f t="array" ref="Z783">_xlfn.IFS(X783=4,"A",X783=3,"B",X783=2,"C",X783=1,"D")</f>
        <v>D</v>
      </c>
      <c r="AA783" s="129"/>
    </row>
    <row r="784" spans="1:27" customFormat="1" ht="7.5" customHeight="1">
      <c r="B784" s="65"/>
      <c r="C784" s="4"/>
      <c r="D784" s="4"/>
      <c r="E784" s="288"/>
      <c r="F784" s="4"/>
      <c r="G784" s="4"/>
      <c r="H784" s="1204"/>
      <c r="I784" s="1204"/>
      <c r="J784" s="4"/>
      <c r="K784" s="9"/>
      <c r="L784" s="2"/>
      <c r="M784" s="2"/>
      <c r="N784" s="2"/>
      <c r="R784" s="129">
        <f t="shared" si="385"/>
        <v>0</v>
      </c>
      <c r="S784" s="129">
        <f t="shared" si="386"/>
        <v>0</v>
      </c>
      <c r="T784" s="129">
        <f t="shared" si="387"/>
        <v>0</v>
      </c>
      <c r="U784" s="129">
        <f t="shared" si="388"/>
        <v>0</v>
      </c>
      <c r="V784" s="258"/>
      <c r="W784" s="129" t="str">
        <f t="shared" si="390"/>
        <v/>
      </c>
      <c r="X784" s="129">
        <f t="shared" si="389"/>
        <v>1</v>
      </c>
      <c r="Y784" s="129">
        <f t="shared" si="391"/>
        <v>1</v>
      </c>
      <c r="Z784" s="129" t="str" cm="1">
        <f t="array" ref="Z784">_xlfn.IFS(X784=4,"A",X784=3,"B",X784=2,"C",X784=1,"D")</f>
        <v>D</v>
      </c>
      <c r="AA784" s="175"/>
    </row>
    <row r="785" spans="1:27" customFormat="1" ht="6" customHeight="1">
      <c r="E785" s="3"/>
      <c r="H785" s="1198"/>
      <c r="I785" s="1198"/>
      <c r="L785" s="2"/>
      <c r="M785" s="2"/>
      <c r="N785" s="2"/>
      <c r="R785" s="129">
        <f t="shared" si="385"/>
        <v>0</v>
      </c>
      <c r="S785" s="129">
        <f t="shared" si="386"/>
        <v>0</v>
      </c>
      <c r="T785" s="129">
        <f t="shared" si="387"/>
        <v>0</v>
      </c>
      <c r="U785" s="129">
        <f t="shared" si="388"/>
        <v>0</v>
      </c>
      <c r="V785" s="258"/>
      <c r="W785" s="129" t="str">
        <f t="shared" si="390"/>
        <v/>
      </c>
      <c r="X785" s="129">
        <f t="shared" si="389"/>
        <v>1</v>
      </c>
      <c r="Y785" s="129">
        <f t="shared" si="391"/>
        <v>1</v>
      </c>
      <c r="Z785" s="129" t="str" cm="1">
        <f t="array" ref="Z785">_xlfn.IFS(X785=4,"A",X785=3,"B",X785=2,"C",X785=1,"D")</f>
        <v>D</v>
      </c>
      <c r="AA785" s="175"/>
    </row>
    <row r="786" spans="1:27" customFormat="1" ht="103.5" customHeight="1">
      <c r="C786" s="78"/>
      <c r="D786" s="79"/>
      <c r="E786" s="71" t="s">
        <v>236</v>
      </c>
      <c r="F786" s="1452"/>
      <c r="G786" s="1452"/>
      <c r="H786" s="1452"/>
      <c r="I786" s="1452"/>
      <c r="J786" s="1452"/>
      <c r="K786" s="80" t="s">
        <v>132</v>
      </c>
      <c r="L786" s="80"/>
    </row>
    <row r="787" spans="1:27" customFormat="1" ht="146.25" customHeight="1">
      <c r="C787" s="75"/>
      <c r="D787" s="68"/>
      <c r="E787" s="71" t="s">
        <v>235</v>
      </c>
      <c r="F787" s="1452"/>
      <c r="G787" s="1452"/>
      <c r="H787" s="1452"/>
      <c r="I787" s="1452"/>
      <c r="J787" s="1452"/>
      <c r="L787" s="2"/>
      <c r="M787" s="2"/>
      <c r="N787" s="2"/>
    </row>
    <row r="788" spans="1:27" customFormat="1" ht="13.5" customHeight="1" thickBot="1">
      <c r="A788" s="81"/>
      <c r="B788" s="81"/>
      <c r="C788" s="81"/>
      <c r="D788" s="81"/>
      <c r="E788" s="311"/>
      <c r="F788" s="81"/>
      <c r="G788" s="81"/>
      <c r="H788" s="1205"/>
      <c r="I788" s="1205"/>
      <c r="J788" s="81"/>
      <c r="K788" s="81"/>
      <c r="L788" s="82"/>
      <c r="M788" s="2"/>
      <c r="N788" s="2"/>
    </row>
    <row r="789" spans="1:27" customFormat="1" ht="13.5" customHeight="1">
      <c r="E789" s="3"/>
      <c r="H789" s="1198"/>
      <c r="I789" s="1198"/>
      <c r="L789" s="2"/>
      <c r="M789" s="2"/>
      <c r="N789" s="2"/>
    </row>
    <row r="790" spans="1:27" customFormat="1" ht="15" customHeight="1">
      <c r="B790" s="10"/>
      <c r="C790" s="5"/>
      <c r="D790" s="5"/>
      <c r="E790" s="305"/>
      <c r="F790" s="5"/>
      <c r="G790" s="5"/>
      <c r="H790" s="1199"/>
      <c r="I790" s="1199"/>
      <c r="J790" s="5"/>
      <c r="K790" s="6"/>
      <c r="R790" s="11" t="str">
        <f>D791</f>
        <v>(選択してください)</v>
      </c>
    </row>
    <row r="791" spans="1:27" customFormat="1">
      <c r="B791" s="7"/>
      <c r="C791" s="77" t="str">
        <f ca="1">IFERROR(OFFSET('4.3民生部門電力以外の排出削減取組'!$C$1,MATCH(D791,'4.3民生部門電力以外の排出削減取組'!$E:$E,0)-1,0),"")</f>
        <v/>
      </c>
      <c r="D791" s="94" t="s">
        <v>130</v>
      </c>
      <c r="E791" s="72" t="s">
        <v>12</v>
      </c>
      <c r="F791" s="1451" t="str">
        <f ca="1">IFERROR(OFFSET('4.3民生部門電力以外の排出削減取組'!$G$1,MATCH($D791,'4.3民生部門電力以外の排出削減取組'!$E:$E,0)-1,0),"")</f>
        <v/>
      </c>
      <c r="G791" s="1451"/>
      <c r="H791" s="1451"/>
      <c r="I791" s="1451"/>
      <c r="J791" s="1451"/>
      <c r="K791" s="8"/>
      <c r="R791" s="255" t="str">
        <f ca="1">IFERROR(OFFSET('4.3民生部門電力以外の排出削減取組'!$G$1,MATCH($D791,'4.3民生部門電力以外の排出削減取組'!$E:$E,0)-1,0),"")</f>
        <v/>
      </c>
      <c r="S791" s="175"/>
      <c r="T791" s="175"/>
      <c r="U791" s="175"/>
      <c r="V791" s="175"/>
      <c r="W791" s="175"/>
      <c r="X791" s="175"/>
      <c r="Y791" s="175"/>
      <c r="Z791" s="175"/>
      <c r="AA791" s="175">
        <f ca="1">(F791=R791)*1</f>
        <v>1</v>
      </c>
    </row>
    <row r="792" spans="1:27" customFormat="1">
      <c r="B792" s="7"/>
      <c r="C792" s="915"/>
      <c r="D792" s="97"/>
      <c r="E792" s="72" t="s">
        <v>612</v>
      </c>
      <c r="F792" s="1447" t="str">
        <f ca="1">IFERROR(OFFSET('4.3民生部門電力以外の排出削減取組'!$J$1,MATCH($D791,'4.3民生部門電力以外の排出削減取組'!$E:$E,0)-1,0),"")</f>
        <v/>
      </c>
      <c r="G792" s="1448"/>
      <c r="H792" s="1448"/>
      <c r="I792" s="1448"/>
      <c r="J792" s="1449"/>
      <c r="K792" s="8"/>
      <c r="R792" s="255" t="str">
        <f ca="1">IFERROR(OFFSET('4.3民生部門電力以外の排出削減取組'!$J$1,MATCH($D791,'4.3民生部門電力以外の排出削減取組'!$E:$E,0)-1,0),"")</f>
        <v/>
      </c>
      <c r="S792" s="175"/>
      <c r="T792" s="175"/>
      <c r="U792" s="175"/>
      <c r="V792" s="175"/>
      <c r="W792" s="175"/>
      <c r="X792" s="175"/>
      <c r="Y792" s="175"/>
      <c r="Z792" s="175"/>
      <c r="AA792" s="175">
        <f ca="1">(F792=R792)*1</f>
        <v>1</v>
      </c>
    </row>
    <row r="793" spans="1:27" customFormat="1">
      <c r="B793" s="7"/>
      <c r="C793" s="74"/>
      <c r="D793" s="66"/>
      <c r="E793" s="72" t="s">
        <v>280</v>
      </c>
      <c r="F793" s="1470" t="str">
        <f ca="1">IFERROR(OFFSET('4.3民生部門電力以外の排出削減取組'!$H$1,MATCH($D791,'4.3民生部門電力以外の排出削減取組'!$E:$E,0)-1,0),"")</f>
        <v/>
      </c>
      <c r="G793" s="1470"/>
      <c r="H793" s="1470"/>
      <c r="I793" s="1470"/>
      <c r="J793" s="1470"/>
      <c r="K793" s="8"/>
      <c r="R793" s="175" t="str">
        <f ca="1">IFERROR(OFFSET('4.3民生部門電力以外の排出削減取組'!$H$1,MATCH($D791,'4.3民生部門電力以外の排出削減取組'!$E:$E,0)-1,0),"")</f>
        <v/>
      </c>
      <c r="S793" s="175"/>
      <c r="T793" s="175"/>
      <c r="U793" s="175"/>
      <c r="V793" s="175"/>
      <c r="W793" s="175"/>
      <c r="X793" s="175"/>
      <c r="Y793" s="175"/>
      <c r="Z793" s="175"/>
      <c r="AA793" s="175">
        <f t="shared" ref="AA793:AA794" ca="1" si="392">(F793=R793)*1</f>
        <v>1</v>
      </c>
    </row>
    <row r="794" spans="1:27" customFormat="1">
      <c r="B794" s="7"/>
      <c r="C794" s="74"/>
      <c r="D794" s="66"/>
      <c r="E794" s="72" t="s">
        <v>175</v>
      </c>
      <c r="F794" s="1451" t="str">
        <f>_xlfn.IFNA(R794,"")</f>
        <v/>
      </c>
      <c r="G794" s="1451"/>
      <c r="H794" s="1451"/>
      <c r="I794" s="1451"/>
      <c r="J794" s="1451"/>
      <c r="K794" s="8"/>
      <c r="R794" s="129" t="str">
        <f>IF(OR(COUNTIF($E796:$E801,"&lt;&gt;〇〇(合意形成対象者名に書き換え)")=3,COUNTIF($E796:$E801,"")&gt;3),"",IF(PRODUCT($Y796:$Y801)=1,Z796,""))</f>
        <v/>
      </c>
      <c r="S794" s="175"/>
      <c r="T794" s="175"/>
      <c r="U794" s="175"/>
      <c r="V794" s="175"/>
      <c r="W794" s="175"/>
      <c r="X794" s="175"/>
      <c r="Y794" s="175"/>
      <c r="Z794" s="175"/>
      <c r="AA794" s="175">
        <f t="shared" si="392"/>
        <v>1</v>
      </c>
    </row>
    <row r="795" spans="1:27" ht="63.75" customHeight="1">
      <c r="B795" s="95"/>
      <c r="C795" s="96"/>
      <c r="D795" s="97"/>
      <c r="E795" s="888"/>
      <c r="F795" s="313" t="s">
        <v>278</v>
      </c>
      <c r="G795" s="313" t="s">
        <v>268</v>
      </c>
      <c r="H795" s="1200" t="s">
        <v>437</v>
      </c>
      <c r="I795" s="1200" t="s">
        <v>439</v>
      </c>
      <c r="J795" s="313" t="s">
        <v>279</v>
      </c>
      <c r="K795" s="98"/>
      <c r="L795" s="11"/>
      <c r="R795" s="126" t="s">
        <v>278</v>
      </c>
      <c r="S795" s="126" t="s">
        <v>440</v>
      </c>
      <c r="T795" s="295" t="s">
        <v>437</v>
      </c>
      <c r="U795" s="295" t="s">
        <v>438</v>
      </c>
      <c r="V795" s="256" t="s">
        <v>270</v>
      </c>
      <c r="W795" s="126" t="s">
        <v>426</v>
      </c>
      <c r="X795" s="129" t="s">
        <v>402</v>
      </c>
      <c r="Y795" s="129" t="s">
        <v>430</v>
      </c>
      <c r="Z795" s="126" t="s">
        <v>425</v>
      </c>
      <c r="AA795" s="255"/>
    </row>
    <row r="796" spans="1:27" hidden="1">
      <c r="B796" s="95"/>
      <c r="C796" s="96"/>
      <c r="D796" s="97"/>
      <c r="E796" s="889"/>
      <c r="F796" s="439"/>
      <c r="G796" s="439"/>
      <c r="H796" s="1201"/>
      <c r="I796" s="1201"/>
      <c r="J796" s="439"/>
      <c r="K796" s="98"/>
      <c r="L796" s="11"/>
      <c r="R796" s="129">
        <f t="shared" ref="R796:R801" si="393">IF(F796="実施済",1,0)</f>
        <v>0</v>
      </c>
      <c r="S796" s="129">
        <f t="shared" ref="S796:S801" si="394">IF(G796="実施済",R796*1,0)</f>
        <v>0</v>
      </c>
      <c r="T796" s="129">
        <f t="shared" ref="T796:T801" si="395">IF(H796="実施済",S796*1,0)</f>
        <v>0</v>
      </c>
      <c r="U796" s="129">
        <f t="shared" ref="U796:U801" si="396">IF(I796="実施済",T796*1,0)</f>
        <v>0</v>
      </c>
      <c r="V796" s="258"/>
      <c r="W796" s="129" t="str">
        <f>IF(OR(E796="〇〇(合意形成対象者名に書き換え)",E796=""),"",SUM(S796,T796,U796))</f>
        <v/>
      </c>
      <c r="X796" s="129">
        <f t="shared" ref="X796:X801" si="397">MIN($W$796:$W$801)+1</f>
        <v>1</v>
      </c>
      <c r="Y796" s="129">
        <f>IF(E796="",1,IF(AND(E796="〇〇(合意形成対象者名に書き換え)",COUNTA($F796:$J796)=0),1,IF(AND(E796&lt;&gt;"〇〇(合意形成対象者名に書き換え)",COUNTA($F796:$J796)=5),1,0)))</f>
        <v>1</v>
      </c>
      <c r="Z796" s="129" t="str" cm="1">
        <f t="array" ref="Z796">_xlfn.IFS(X796=4,"A",X796=3,"B",X796=2,"C",X796=1,"D")</f>
        <v>D</v>
      </c>
      <c r="AA796" s="255"/>
    </row>
    <row r="797" spans="1:27">
      <c r="B797" s="95"/>
      <c r="C797" s="96"/>
      <c r="D797" s="97"/>
      <c r="E797" s="890" t="s">
        <v>129</v>
      </c>
      <c r="F797" s="445"/>
      <c r="G797" s="445"/>
      <c r="H797" s="1202"/>
      <c r="I797" s="1202"/>
      <c r="J797" s="445"/>
      <c r="K797" s="98"/>
      <c r="L797" s="11"/>
      <c r="R797" s="129">
        <f t="shared" si="393"/>
        <v>0</v>
      </c>
      <c r="S797" s="129">
        <f t="shared" si="394"/>
        <v>0</v>
      </c>
      <c r="T797" s="129">
        <f t="shared" si="395"/>
        <v>0</v>
      </c>
      <c r="U797" s="129">
        <f t="shared" si="396"/>
        <v>0</v>
      </c>
      <c r="V797" s="258"/>
      <c r="W797" s="129" t="str">
        <f t="shared" ref="W797:W801" si="398">IF(OR(E797="〇〇(合意形成対象者名に書き換え)",E797=""),"",SUM(S797,T797,U797))</f>
        <v/>
      </c>
      <c r="X797" s="129">
        <f t="shared" si="397"/>
        <v>1</v>
      </c>
      <c r="Y797" s="129">
        <f t="shared" ref="Y797:Y801" si="399">IF(E797="",1,IF(AND(E797="〇〇(合意形成対象者名に書き換え)",COUNTA($F797:$J797)=0),1,IF(AND(E797&lt;&gt;"〇〇(合意形成対象者名に書き換え)",COUNTA($F797:$J797)=5),1,0)))</f>
        <v>1</v>
      </c>
      <c r="Z797" s="129" t="str" cm="1">
        <f t="array" ref="Z797">_xlfn.IFS(X797=4,"A",X797=3,"B",X797=2,"C",X797=1,"D")</f>
        <v>D</v>
      </c>
      <c r="AA797" s="255"/>
    </row>
    <row r="798" spans="1:27">
      <c r="B798" s="95"/>
      <c r="C798" s="96"/>
      <c r="D798" s="97"/>
      <c r="E798" s="890" t="s">
        <v>129</v>
      </c>
      <c r="F798" s="441"/>
      <c r="G798" s="441"/>
      <c r="H798" s="1203"/>
      <c r="I798" s="1203"/>
      <c r="J798" s="441"/>
      <c r="K798" s="98"/>
      <c r="L798" s="11"/>
      <c r="R798" s="129">
        <f t="shared" si="393"/>
        <v>0</v>
      </c>
      <c r="S798" s="129">
        <f t="shared" si="394"/>
        <v>0</v>
      </c>
      <c r="T798" s="129">
        <f t="shared" si="395"/>
        <v>0</v>
      </c>
      <c r="U798" s="129">
        <f t="shared" si="396"/>
        <v>0</v>
      </c>
      <c r="V798" s="258"/>
      <c r="W798" s="129" t="str">
        <f t="shared" si="398"/>
        <v/>
      </c>
      <c r="X798" s="129">
        <f t="shared" si="397"/>
        <v>1</v>
      </c>
      <c r="Y798" s="129">
        <f t="shared" si="399"/>
        <v>1</v>
      </c>
      <c r="Z798" s="129" t="str" cm="1">
        <f t="array" ref="Z798">_xlfn.IFS(X798=4,"A",X798=3,"B",X798=2,"C",X798=1,"D")</f>
        <v>D</v>
      </c>
      <c r="AA798" s="255"/>
    </row>
    <row r="799" spans="1:27" s="99" customFormat="1">
      <c r="A799" s="11"/>
      <c r="B799" s="95"/>
      <c r="C799" s="96"/>
      <c r="D799" s="97"/>
      <c r="E799" s="890" t="s">
        <v>129</v>
      </c>
      <c r="F799" s="441"/>
      <c r="G799" s="441"/>
      <c r="H799" s="1203"/>
      <c r="I799" s="1203"/>
      <c r="J799" s="441"/>
      <c r="K799" s="98"/>
      <c r="L799" s="11"/>
      <c r="O799" s="11"/>
      <c r="P799" s="11"/>
      <c r="Q799" s="11"/>
      <c r="R799" s="129">
        <f t="shared" si="393"/>
        <v>0</v>
      </c>
      <c r="S799" s="129">
        <f t="shared" si="394"/>
        <v>0</v>
      </c>
      <c r="T799" s="129">
        <f t="shared" si="395"/>
        <v>0</v>
      </c>
      <c r="U799" s="129">
        <f t="shared" si="396"/>
        <v>0</v>
      </c>
      <c r="V799" s="258"/>
      <c r="W799" s="129" t="str">
        <f t="shared" si="398"/>
        <v/>
      </c>
      <c r="X799" s="129">
        <f t="shared" si="397"/>
        <v>1</v>
      </c>
      <c r="Y799" s="129">
        <f t="shared" si="399"/>
        <v>1</v>
      </c>
      <c r="Z799" s="129" t="str" cm="1">
        <f t="array" ref="Z799">_xlfn.IFS(X799=4,"A",X799=3,"B",X799=2,"C",X799=1,"D")</f>
        <v>D</v>
      </c>
      <c r="AA799" s="129"/>
    </row>
    <row r="800" spans="1:27" customFormat="1" ht="7.5" customHeight="1">
      <c r="B800" s="65"/>
      <c r="C800" s="4"/>
      <c r="D800" s="4"/>
      <c r="E800" s="288"/>
      <c r="F800" s="4"/>
      <c r="G800" s="4"/>
      <c r="H800" s="1204"/>
      <c r="I800" s="1204"/>
      <c r="J800" s="4"/>
      <c r="K800" s="9"/>
      <c r="L800" s="2"/>
      <c r="M800" s="2"/>
      <c r="N800" s="2"/>
      <c r="R800" s="129">
        <f t="shared" si="393"/>
        <v>0</v>
      </c>
      <c r="S800" s="129">
        <f t="shared" si="394"/>
        <v>0</v>
      </c>
      <c r="T800" s="129">
        <f t="shared" si="395"/>
        <v>0</v>
      </c>
      <c r="U800" s="129">
        <f t="shared" si="396"/>
        <v>0</v>
      </c>
      <c r="V800" s="258"/>
      <c r="W800" s="129" t="str">
        <f t="shared" si="398"/>
        <v/>
      </c>
      <c r="X800" s="129">
        <f t="shared" si="397"/>
        <v>1</v>
      </c>
      <c r="Y800" s="129">
        <f t="shared" si="399"/>
        <v>1</v>
      </c>
      <c r="Z800" s="129" t="str" cm="1">
        <f t="array" ref="Z800">_xlfn.IFS(X800=4,"A",X800=3,"B",X800=2,"C",X800=1,"D")</f>
        <v>D</v>
      </c>
      <c r="AA800" s="175"/>
    </row>
    <row r="801" spans="1:27" customFormat="1" ht="6" customHeight="1">
      <c r="E801" s="3"/>
      <c r="H801" s="1198"/>
      <c r="I801" s="1198"/>
      <c r="L801" s="2"/>
      <c r="M801" s="2"/>
      <c r="N801" s="2"/>
      <c r="R801" s="129">
        <f t="shared" si="393"/>
        <v>0</v>
      </c>
      <c r="S801" s="129">
        <f t="shared" si="394"/>
        <v>0</v>
      </c>
      <c r="T801" s="129">
        <f t="shared" si="395"/>
        <v>0</v>
      </c>
      <c r="U801" s="129">
        <f t="shared" si="396"/>
        <v>0</v>
      </c>
      <c r="V801" s="258"/>
      <c r="W801" s="129" t="str">
        <f t="shared" si="398"/>
        <v/>
      </c>
      <c r="X801" s="129">
        <f t="shared" si="397"/>
        <v>1</v>
      </c>
      <c r="Y801" s="129">
        <f t="shared" si="399"/>
        <v>1</v>
      </c>
      <c r="Z801" s="129" t="str" cm="1">
        <f t="array" ref="Z801">_xlfn.IFS(X801=4,"A",X801=3,"B",X801=2,"C",X801=1,"D")</f>
        <v>D</v>
      </c>
      <c r="AA801" s="175"/>
    </row>
    <row r="802" spans="1:27" customFormat="1" ht="103.5" customHeight="1">
      <c r="C802" s="78"/>
      <c r="D802" s="79"/>
      <c r="E802" s="71" t="s">
        <v>236</v>
      </c>
      <c r="F802" s="1452"/>
      <c r="G802" s="1452"/>
      <c r="H802" s="1452"/>
      <c r="I802" s="1452"/>
      <c r="J802" s="1452"/>
      <c r="K802" s="80" t="s">
        <v>132</v>
      </c>
      <c r="L802" s="80"/>
    </row>
    <row r="803" spans="1:27" customFormat="1" ht="146.25" customHeight="1">
      <c r="C803" s="75"/>
      <c r="D803" s="68"/>
      <c r="E803" s="71" t="s">
        <v>235</v>
      </c>
      <c r="F803" s="1452"/>
      <c r="G803" s="1452"/>
      <c r="H803" s="1452"/>
      <c r="I803" s="1452"/>
      <c r="J803" s="1452"/>
      <c r="L803" s="2"/>
      <c r="M803" s="2"/>
      <c r="N803" s="2"/>
    </row>
    <row r="804" spans="1:27" customFormat="1" ht="13.5" customHeight="1" thickBot="1">
      <c r="A804" s="81"/>
      <c r="B804" s="81"/>
      <c r="C804" s="81"/>
      <c r="D804" s="81"/>
      <c r="E804" s="311"/>
      <c r="F804" s="81"/>
      <c r="G804" s="81"/>
      <c r="H804" s="1205"/>
      <c r="I804" s="1205"/>
      <c r="J804" s="81"/>
      <c r="K804" s="81"/>
      <c r="L804" s="82"/>
      <c r="M804" s="2"/>
      <c r="N804" s="2"/>
    </row>
  </sheetData>
  <sheetProtection algorithmName="SHA-512" hashValue="TM42rPG6mXTa7MjbdyG7j9hd4ITulOtA4lr8U83hKM3qPmpPALoDW2lc481D5PhLuRKnSBhKfSbfJ5lxwZ70iQ==" saltValue="dWLlFc1kK/BEtkBx1PhA1A==" spinCount="100000" sheet="1" formatCells="0" insertRows="0" deleteRows="0"/>
  <mergeCells count="301">
    <mergeCell ref="F794:J794"/>
    <mergeCell ref="F802:J802"/>
    <mergeCell ref="F803:J803"/>
    <mergeCell ref="F762:J762"/>
    <mergeCell ref="F770:J770"/>
    <mergeCell ref="F771:J771"/>
    <mergeCell ref="F775:J775"/>
    <mergeCell ref="F776:J776"/>
    <mergeCell ref="F777:J777"/>
    <mergeCell ref="F778:J778"/>
    <mergeCell ref="F786:J786"/>
    <mergeCell ref="F787:J787"/>
    <mergeCell ref="F746:J746"/>
    <mergeCell ref="F754:J754"/>
    <mergeCell ref="F755:J755"/>
    <mergeCell ref="F759:J759"/>
    <mergeCell ref="F760:J760"/>
    <mergeCell ref="F761:J761"/>
    <mergeCell ref="F791:J791"/>
    <mergeCell ref="F792:J792"/>
    <mergeCell ref="F793:J793"/>
    <mergeCell ref="F727:J727"/>
    <mergeCell ref="F728:J728"/>
    <mergeCell ref="F729:J729"/>
    <mergeCell ref="F730:J730"/>
    <mergeCell ref="F738:J738"/>
    <mergeCell ref="F739:J739"/>
    <mergeCell ref="F743:J743"/>
    <mergeCell ref="F744:J744"/>
    <mergeCell ref="F745:J745"/>
    <mergeCell ref="F698:J698"/>
    <mergeCell ref="F706:J706"/>
    <mergeCell ref="F707:J707"/>
    <mergeCell ref="F711:J711"/>
    <mergeCell ref="F712:J712"/>
    <mergeCell ref="F713:J713"/>
    <mergeCell ref="F714:J714"/>
    <mergeCell ref="F722:J722"/>
    <mergeCell ref="F723:J723"/>
    <mergeCell ref="F679:J679"/>
    <mergeCell ref="F680:J680"/>
    <mergeCell ref="F681:J681"/>
    <mergeCell ref="F682:J682"/>
    <mergeCell ref="F690:J690"/>
    <mergeCell ref="F691:J691"/>
    <mergeCell ref="F695:J695"/>
    <mergeCell ref="F696:J696"/>
    <mergeCell ref="F697:J697"/>
    <mergeCell ref="F650:J650"/>
    <mergeCell ref="F658:J658"/>
    <mergeCell ref="F659:J659"/>
    <mergeCell ref="F663:J663"/>
    <mergeCell ref="F664:J664"/>
    <mergeCell ref="F665:J665"/>
    <mergeCell ref="F666:J666"/>
    <mergeCell ref="F674:J674"/>
    <mergeCell ref="F675:J675"/>
    <mergeCell ref="F631:J631"/>
    <mergeCell ref="F632:J632"/>
    <mergeCell ref="F633:J633"/>
    <mergeCell ref="F634:J634"/>
    <mergeCell ref="F642:J642"/>
    <mergeCell ref="F643:J643"/>
    <mergeCell ref="F647:J647"/>
    <mergeCell ref="F648:J648"/>
    <mergeCell ref="F649:J649"/>
    <mergeCell ref="F602:J602"/>
    <mergeCell ref="F610:J610"/>
    <mergeCell ref="F611:J611"/>
    <mergeCell ref="F615:J615"/>
    <mergeCell ref="F616:J616"/>
    <mergeCell ref="F617:J617"/>
    <mergeCell ref="F618:J618"/>
    <mergeCell ref="F626:J626"/>
    <mergeCell ref="F627:J627"/>
    <mergeCell ref="F583:J583"/>
    <mergeCell ref="F584:J584"/>
    <mergeCell ref="F585:J585"/>
    <mergeCell ref="F586:J586"/>
    <mergeCell ref="F594:J594"/>
    <mergeCell ref="F595:J595"/>
    <mergeCell ref="F599:J599"/>
    <mergeCell ref="F600:J600"/>
    <mergeCell ref="F601:J601"/>
    <mergeCell ref="F554:J554"/>
    <mergeCell ref="F562:J562"/>
    <mergeCell ref="F563:J563"/>
    <mergeCell ref="F567:J567"/>
    <mergeCell ref="F568:J568"/>
    <mergeCell ref="F569:J569"/>
    <mergeCell ref="F570:J570"/>
    <mergeCell ref="F578:J578"/>
    <mergeCell ref="F579:J579"/>
    <mergeCell ref="F535:J535"/>
    <mergeCell ref="F536:J536"/>
    <mergeCell ref="F537:J537"/>
    <mergeCell ref="F538:J538"/>
    <mergeCell ref="F546:J546"/>
    <mergeCell ref="F547:J547"/>
    <mergeCell ref="F551:J551"/>
    <mergeCell ref="F552:J552"/>
    <mergeCell ref="F553:J553"/>
    <mergeCell ref="F506:J506"/>
    <mergeCell ref="F514:J514"/>
    <mergeCell ref="F515:J515"/>
    <mergeCell ref="F519:J519"/>
    <mergeCell ref="F520:J520"/>
    <mergeCell ref="F521:J521"/>
    <mergeCell ref="F522:J522"/>
    <mergeCell ref="F530:J530"/>
    <mergeCell ref="F531:J531"/>
    <mergeCell ref="F487:J487"/>
    <mergeCell ref="F488:J488"/>
    <mergeCell ref="F489:J489"/>
    <mergeCell ref="F490:J490"/>
    <mergeCell ref="F498:J498"/>
    <mergeCell ref="F499:J499"/>
    <mergeCell ref="F503:J503"/>
    <mergeCell ref="F504:J504"/>
    <mergeCell ref="F505:J505"/>
    <mergeCell ref="F458:J458"/>
    <mergeCell ref="F466:J466"/>
    <mergeCell ref="F467:J467"/>
    <mergeCell ref="F471:J471"/>
    <mergeCell ref="F472:J472"/>
    <mergeCell ref="F473:J473"/>
    <mergeCell ref="F474:J474"/>
    <mergeCell ref="F482:J482"/>
    <mergeCell ref="F483:J483"/>
    <mergeCell ref="F440:J440"/>
    <mergeCell ref="F441:J441"/>
    <mergeCell ref="F442:J442"/>
    <mergeCell ref="F450:J450"/>
    <mergeCell ref="F451:J451"/>
    <mergeCell ref="F439:J439"/>
    <mergeCell ref="F455:J455"/>
    <mergeCell ref="F456:J456"/>
    <mergeCell ref="F457:J457"/>
    <mergeCell ref="F393:J393"/>
    <mergeCell ref="F394:J394"/>
    <mergeCell ref="F370:J370"/>
    <mergeCell ref="F378:J378"/>
    <mergeCell ref="F371:J371"/>
    <mergeCell ref="F375:J375"/>
    <mergeCell ref="F376:J376"/>
    <mergeCell ref="F377:J377"/>
    <mergeCell ref="F435:J435"/>
    <mergeCell ref="F425:J425"/>
    <mergeCell ref="F426:J426"/>
    <mergeCell ref="F434:J434"/>
    <mergeCell ref="F423:J423"/>
    <mergeCell ref="F424:J424"/>
    <mergeCell ref="F408:J408"/>
    <mergeCell ref="F409:J409"/>
    <mergeCell ref="F402:J402"/>
    <mergeCell ref="F403:J403"/>
    <mergeCell ref="F407:J407"/>
    <mergeCell ref="F410:J410"/>
    <mergeCell ref="F418:J418"/>
    <mergeCell ref="F419:J419"/>
    <mergeCell ref="F386:J386"/>
    <mergeCell ref="F387:J387"/>
    <mergeCell ref="F215:J215"/>
    <mergeCell ref="F216:J216"/>
    <mergeCell ref="F217:J217"/>
    <mergeCell ref="F226:J226"/>
    <mergeCell ref="F227:J227"/>
    <mergeCell ref="F231:J231"/>
    <mergeCell ref="F232:J232"/>
    <mergeCell ref="F242:J242"/>
    <mergeCell ref="F247:J247"/>
    <mergeCell ref="F218:J218"/>
    <mergeCell ref="F185:J185"/>
    <mergeCell ref="F186:J186"/>
    <mergeCell ref="F194:J194"/>
    <mergeCell ref="F195:J195"/>
    <mergeCell ref="F200:J200"/>
    <mergeCell ref="F201:J201"/>
    <mergeCell ref="F202:J202"/>
    <mergeCell ref="F210:J210"/>
    <mergeCell ref="F211:J211"/>
    <mergeCell ref="F199:J199"/>
    <mergeCell ref="F391:J391"/>
    <mergeCell ref="F392:J392"/>
    <mergeCell ref="F360:J360"/>
    <mergeCell ref="F361:J361"/>
    <mergeCell ref="F362:J362"/>
    <mergeCell ref="F323:J323"/>
    <mergeCell ref="F330:J330"/>
    <mergeCell ref="F359:J359"/>
    <mergeCell ref="F327:J327"/>
    <mergeCell ref="F328:J328"/>
    <mergeCell ref="F329:J329"/>
    <mergeCell ref="F295:J295"/>
    <mergeCell ref="F279:J279"/>
    <mergeCell ref="F280:J280"/>
    <mergeCell ref="F263:J263"/>
    <mergeCell ref="F264:J264"/>
    <mergeCell ref="F265:J265"/>
    <mergeCell ref="F274:J274"/>
    <mergeCell ref="F275:J275"/>
    <mergeCell ref="F281:J281"/>
    <mergeCell ref="F282:J282"/>
    <mergeCell ref="F290:J290"/>
    <mergeCell ref="F291:J291"/>
    <mergeCell ref="F296:J296"/>
    <mergeCell ref="F297:J297"/>
    <mergeCell ref="F298:J298"/>
    <mergeCell ref="F306:J306"/>
    <mergeCell ref="F307:J307"/>
    <mergeCell ref="F311:J311"/>
    <mergeCell ref="F312:J312"/>
    <mergeCell ref="F313:J313"/>
    <mergeCell ref="F314:J314"/>
    <mergeCell ref="F322:J322"/>
    <mergeCell ref="F354:J354"/>
    <mergeCell ref="F355:J355"/>
    <mergeCell ref="F338:J338"/>
    <mergeCell ref="F339:J339"/>
    <mergeCell ref="F343:J343"/>
    <mergeCell ref="F344:J344"/>
    <mergeCell ref="F345:J345"/>
    <mergeCell ref="F346:J346"/>
    <mergeCell ref="F248:J248"/>
    <mergeCell ref="F249:J249"/>
    <mergeCell ref="F250:J250"/>
    <mergeCell ref="F258:J258"/>
    <mergeCell ref="F259:J259"/>
    <mergeCell ref="F266:J266"/>
    <mergeCell ref="F233:J233"/>
    <mergeCell ref="F234:J234"/>
    <mergeCell ref="F243:J243"/>
    <mergeCell ref="F183:J183"/>
    <mergeCell ref="F184:J184"/>
    <mergeCell ref="F168:J168"/>
    <mergeCell ref="F169:J169"/>
    <mergeCell ref="F162:J162"/>
    <mergeCell ref="F163:J163"/>
    <mergeCell ref="F167:J167"/>
    <mergeCell ref="F170:J170"/>
    <mergeCell ref="F178:J178"/>
    <mergeCell ref="F179:J179"/>
    <mergeCell ref="F153:J153"/>
    <mergeCell ref="F154:J154"/>
    <mergeCell ref="F130:J130"/>
    <mergeCell ref="F138:J138"/>
    <mergeCell ref="F131:J131"/>
    <mergeCell ref="F135:J135"/>
    <mergeCell ref="F136:J136"/>
    <mergeCell ref="F137:J137"/>
    <mergeCell ref="F146:J146"/>
    <mergeCell ref="F147:J147"/>
    <mergeCell ref="F151:J151"/>
    <mergeCell ref="F152:J152"/>
    <mergeCell ref="F121:J121"/>
    <mergeCell ref="F122:J122"/>
    <mergeCell ref="F83:J83"/>
    <mergeCell ref="F90:J90"/>
    <mergeCell ref="F55:J55"/>
    <mergeCell ref="F39:J39"/>
    <mergeCell ref="F40:J40"/>
    <mergeCell ref="F23:J23"/>
    <mergeCell ref="F24:J24"/>
    <mergeCell ref="F25:J25"/>
    <mergeCell ref="F34:J34"/>
    <mergeCell ref="F114:J114"/>
    <mergeCell ref="F115:J115"/>
    <mergeCell ref="F98:J98"/>
    <mergeCell ref="F99:J99"/>
    <mergeCell ref="F103:J103"/>
    <mergeCell ref="F104:J104"/>
    <mergeCell ref="F105:J105"/>
    <mergeCell ref="F106:J106"/>
    <mergeCell ref="F119:J119"/>
    <mergeCell ref="F35:J35"/>
    <mergeCell ref="F41:J41"/>
    <mergeCell ref="F42:J42"/>
    <mergeCell ref="F50:J50"/>
    <mergeCell ref="F18:J18"/>
    <mergeCell ref="F19:J19"/>
    <mergeCell ref="B2:K2"/>
    <mergeCell ref="F7:J7"/>
    <mergeCell ref="F9:J9"/>
    <mergeCell ref="F10:J10"/>
    <mergeCell ref="F8:J8"/>
    <mergeCell ref="F26:J26"/>
    <mergeCell ref="F120:J120"/>
    <mergeCell ref="F51:J51"/>
    <mergeCell ref="F56:J56"/>
    <mergeCell ref="F57:J57"/>
    <mergeCell ref="F58:J58"/>
    <mergeCell ref="F66:J66"/>
    <mergeCell ref="F67:J67"/>
    <mergeCell ref="F71:J71"/>
    <mergeCell ref="F72:J72"/>
    <mergeCell ref="F73:J73"/>
    <mergeCell ref="F74:J74"/>
    <mergeCell ref="F82:J82"/>
    <mergeCell ref="F87:J87"/>
    <mergeCell ref="F88:J88"/>
    <mergeCell ref="F89:J89"/>
  </mergeCells>
  <phoneticPr fontId="1"/>
  <conditionalFormatting sqref="C16:D16">
    <cfRule type="expression" dxfId="518" priority="877">
      <formula>$E18="懸念事項"</formula>
    </cfRule>
  </conditionalFormatting>
  <conditionalFormatting sqref="C32:D32">
    <cfRule type="expression" dxfId="517" priority="542">
      <formula>$E34="懸念事項"</formula>
    </cfRule>
  </conditionalFormatting>
  <conditionalFormatting sqref="C48:D48">
    <cfRule type="expression" dxfId="516" priority="532">
      <formula>$E50="懸念事項"</formula>
    </cfRule>
  </conditionalFormatting>
  <conditionalFormatting sqref="C64:D64">
    <cfRule type="expression" dxfId="515" priority="522">
      <formula>$E66="懸念事項"</formula>
    </cfRule>
  </conditionalFormatting>
  <conditionalFormatting sqref="C80:D80">
    <cfRule type="expression" dxfId="514" priority="512">
      <formula>$E82="懸念事項"</formula>
    </cfRule>
  </conditionalFormatting>
  <conditionalFormatting sqref="C96:D96">
    <cfRule type="expression" dxfId="513" priority="502">
      <formula>$E98="懸念事項"</formula>
    </cfRule>
  </conditionalFormatting>
  <conditionalFormatting sqref="C112:D112">
    <cfRule type="expression" dxfId="512" priority="492">
      <formula>$E114="懸念事項"</formula>
    </cfRule>
  </conditionalFormatting>
  <conditionalFormatting sqref="C128:D128">
    <cfRule type="expression" dxfId="511" priority="482">
      <formula>$E130="懸念事項"</formula>
    </cfRule>
  </conditionalFormatting>
  <conditionalFormatting sqref="C144:D144">
    <cfRule type="expression" dxfId="510" priority="472">
      <formula>$E146="懸念事項"</formula>
    </cfRule>
  </conditionalFormatting>
  <conditionalFormatting sqref="C160:D160">
    <cfRule type="expression" dxfId="509" priority="462">
      <formula>$E162="懸念事項"</formula>
    </cfRule>
  </conditionalFormatting>
  <conditionalFormatting sqref="C176:D176">
    <cfRule type="expression" dxfId="508" priority="452">
      <formula>$E178="懸念事項"</formula>
    </cfRule>
  </conditionalFormatting>
  <conditionalFormatting sqref="C192:D192">
    <cfRule type="expression" dxfId="507" priority="442">
      <formula>$E194="懸念事項"</formula>
    </cfRule>
  </conditionalFormatting>
  <conditionalFormatting sqref="C208:D208">
    <cfRule type="expression" dxfId="506" priority="432">
      <formula>$E210="懸念事項"</formula>
    </cfRule>
  </conditionalFormatting>
  <conditionalFormatting sqref="C224:D224">
    <cfRule type="expression" dxfId="505" priority="422">
      <formula>$E226="懸念事項"</formula>
    </cfRule>
  </conditionalFormatting>
  <conditionalFormatting sqref="C240:D240">
    <cfRule type="expression" dxfId="504" priority="412">
      <formula>$E242="懸念事項"</formula>
    </cfRule>
  </conditionalFormatting>
  <conditionalFormatting sqref="C256:D256">
    <cfRule type="expression" dxfId="503" priority="402">
      <formula>$E258="懸念事項"</formula>
    </cfRule>
  </conditionalFormatting>
  <conditionalFormatting sqref="C272:D272">
    <cfRule type="expression" dxfId="502" priority="392">
      <formula>$E274="懸念事項"</formula>
    </cfRule>
  </conditionalFormatting>
  <conditionalFormatting sqref="C288:D288">
    <cfRule type="expression" dxfId="501" priority="382">
      <formula>$E290="懸念事項"</formula>
    </cfRule>
  </conditionalFormatting>
  <conditionalFormatting sqref="C304:D304">
    <cfRule type="expression" dxfId="500" priority="372">
      <formula>$E306="懸念事項"</formula>
    </cfRule>
  </conditionalFormatting>
  <conditionalFormatting sqref="C320:D320">
    <cfRule type="expression" dxfId="499" priority="362">
      <formula>$E322="懸念事項"</formula>
    </cfRule>
  </conditionalFormatting>
  <conditionalFormatting sqref="C336:D336">
    <cfRule type="expression" dxfId="498" priority="352">
      <formula>$E338="懸念事項"</formula>
    </cfRule>
  </conditionalFormatting>
  <conditionalFormatting sqref="C352:D352">
    <cfRule type="expression" dxfId="497" priority="342">
      <formula>$E354="懸念事項"</formula>
    </cfRule>
  </conditionalFormatting>
  <conditionalFormatting sqref="C368:D368">
    <cfRule type="expression" dxfId="496" priority="332">
      <formula>$E370="懸念事項"</formula>
    </cfRule>
  </conditionalFormatting>
  <conditionalFormatting sqref="C384:D384">
    <cfRule type="expression" dxfId="495" priority="322">
      <formula>$E386="懸念事項"</formula>
    </cfRule>
  </conditionalFormatting>
  <conditionalFormatting sqref="C400:D400">
    <cfRule type="expression" dxfId="494" priority="312">
      <formula>$E402="懸念事項"</formula>
    </cfRule>
  </conditionalFormatting>
  <conditionalFormatting sqref="C416:D416">
    <cfRule type="expression" dxfId="493" priority="302">
      <formula>$E418="懸念事項"</formula>
    </cfRule>
  </conditionalFormatting>
  <conditionalFormatting sqref="C432:D432">
    <cfRule type="expression" dxfId="492" priority="292">
      <formula>$E434="懸念事項"</formula>
    </cfRule>
  </conditionalFormatting>
  <conditionalFormatting sqref="C448:D448">
    <cfRule type="expression" dxfId="491" priority="282">
      <formula>$E450="懸念事項"</formula>
    </cfRule>
  </conditionalFormatting>
  <conditionalFormatting sqref="C464:D464">
    <cfRule type="expression" dxfId="490" priority="272">
      <formula>$E466="懸念事項"</formula>
    </cfRule>
  </conditionalFormatting>
  <conditionalFormatting sqref="C480:D480">
    <cfRule type="expression" dxfId="489" priority="262">
      <formula>$E482="懸念事項"</formula>
    </cfRule>
  </conditionalFormatting>
  <conditionalFormatting sqref="C496:D496">
    <cfRule type="expression" dxfId="488" priority="252">
      <formula>$E498="懸念事項"</formula>
    </cfRule>
  </conditionalFormatting>
  <conditionalFormatting sqref="C512:D512">
    <cfRule type="expression" dxfId="487" priority="242">
      <formula>$E514="懸念事項"</formula>
    </cfRule>
  </conditionalFormatting>
  <conditionalFormatting sqref="C528:D528">
    <cfRule type="expression" dxfId="486" priority="232">
      <formula>$E530="懸念事項"</formula>
    </cfRule>
  </conditionalFormatting>
  <conditionalFormatting sqref="C544:D544">
    <cfRule type="expression" dxfId="485" priority="222">
      <formula>$E546="懸念事項"</formula>
    </cfRule>
  </conditionalFormatting>
  <conditionalFormatting sqref="C560:D560">
    <cfRule type="expression" dxfId="484" priority="212">
      <formula>$E562="懸念事項"</formula>
    </cfRule>
  </conditionalFormatting>
  <conditionalFormatting sqref="C576:D576">
    <cfRule type="expression" dxfId="483" priority="202">
      <formula>$E578="懸念事項"</formula>
    </cfRule>
  </conditionalFormatting>
  <conditionalFormatting sqref="C592:D592">
    <cfRule type="expression" dxfId="482" priority="192">
      <formula>$E594="懸念事項"</formula>
    </cfRule>
  </conditionalFormatting>
  <conditionalFormatting sqref="C608:D608">
    <cfRule type="expression" dxfId="481" priority="182">
      <formula>$E610="懸念事項"</formula>
    </cfRule>
  </conditionalFormatting>
  <conditionalFormatting sqref="C624:D624">
    <cfRule type="expression" dxfId="480" priority="172">
      <formula>$E626="懸念事項"</formula>
    </cfRule>
  </conditionalFormatting>
  <conditionalFormatting sqref="C640:D640">
    <cfRule type="expression" dxfId="479" priority="162">
      <formula>$E642="懸念事項"</formula>
    </cfRule>
  </conditionalFormatting>
  <conditionalFormatting sqref="C656:D656">
    <cfRule type="expression" dxfId="478" priority="152">
      <formula>$E658="懸念事項"</formula>
    </cfRule>
  </conditionalFormatting>
  <conditionalFormatting sqref="C672:D672">
    <cfRule type="expression" dxfId="477" priority="142">
      <formula>$E674="懸念事項"</formula>
    </cfRule>
  </conditionalFormatting>
  <conditionalFormatting sqref="C688:D688">
    <cfRule type="expression" dxfId="476" priority="132">
      <formula>$E690="懸念事項"</formula>
    </cfRule>
  </conditionalFormatting>
  <conditionalFormatting sqref="C704:D704">
    <cfRule type="expression" dxfId="475" priority="122">
      <formula>$E706="懸念事項"</formula>
    </cfRule>
  </conditionalFormatting>
  <conditionalFormatting sqref="C720:D720">
    <cfRule type="expression" dxfId="474" priority="112">
      <formula>$E722="懸念事項"</formula>
    </cfRule>
  </conditionalFormatting>
  <conditionalFormatting sqref="C736:D736">
    <cfRule type="expression" dxfId="473" priority="102">
      <formula>$E738="懸念事項"</formula>
    </cfRule>
  </conditionalFormatting>
  <conditionalFormatting sqref="C752:D752">
    <cfRule type="expression" dxfId="472" priority="92">
      <formula>$E754="懸念事項"</formula>
    </cfRule>
  </conditionalFormatting>
  <conditionalFormatting sqref="C768:D768">
    <cfRule type="expression" dxfId="471" priority="82">
      <formula>$E770="懸念事項"</formula>
    </cfRule>
  </conditionalFormatting>
  <conditionalFormatting sqref="C784:D784">
    <cfRule type="expression" dxfId="470" priority="72">
      <formula>$E786="懸念事項"</formula>
    </cfRule>
  </conditionalFormatting>
  <conditionalFormatting sqref="C800:D800">
    <cfRule type="expression" dxfId="469" priority="62">
      <formula>$E802="懸念事項"</formula>
    </cfRule>
  </conditionalFormatting>
  <conditionalFormatting sqref="C11:J16">
    <cfRule type="expression" dxfId="468" priority="962">
      <formula>$R11=""</formula>
    </cfRule>
  </conditionalFormatting>
  <conditionalFormatting sqref="C27:J32">
    <cfRule type="expression" dxfId="467" priority="543">
      <formula>$R27=""</formula>
    </cfRule>
  </conditionalFormatting>
  <conditionalFormatting sqref="C43:J48">
    <cfRule type="expression" dxfId="466" priority="533">
      <formula>$R43=""</formula>
    </cfRule>
  </conditionalFormatting>
  <conditionalFormatting sqref="C59:J64">
    <cfRule type="expression" dxfId="465" priority="523">
      <formula>$R59=""</formula>
    </cfRule>
  </conditionalFormatting>
  <conditionalFormatting sqref="C75:J80">
    <cfRule type="expression" dxfId="464" priority="513">
      <formula>$R75=""</formula>
    </cfRule>
  </conditionalFormatting>
  <conditionalFormatting sqref="C91:J96">
    <cfRule type="expression" dxfId="463" priority="503">
      <formula>$R91=""</formula>
    </cfRule>
  </conditionalFormatting>
  <conditionalFormatting sqref="C107:J112">
    <cfRule type="expression" dxfId="462" priority="493">
      <formula>$R107=""</formula>
    </cfRule>
  </conditionalFormatting>
  <conditionalFormatting sqref="C123:J128">
    <cfRule type="expression" dxfId="461" priority="483">
      <formula>$R123=""</formula>
    </cfRule>
  </conditionalFormatting>
  <conditionalFormatting sqref="C139:J144">
    <cfRule type="expression" dxfId="460" priority="473">
      <formula>$R139=""</formula>
    </cfRule>
  </conditionalFormatting>
  <conditionalFormatting sqref="C155:J160">
    <cfRule type="expression" dxfId="459" priority="463">
      <formula>$R155=""</formula>
    </cfRule>
  </conditionalFormatting>
  <conditionalFormatting sqref="C171:J176">
    <cfRule type="expression" dxfId="458" priority="453">
      <formula>$R171=""</formula>
    </cfRule>
  </conditionalFormatting>
  <conditionalFormatting sqref="C187:J192">
    <cfRule type="expression" dxfId="457" priority="443">
      <formula>$R187=""</formula>
    </cfRule>
  </conditionalFormatting>
  <conditionalFormatting sqref="C203:J208">
    <cfRule type="expression" dxfId="456" priority="433">
      <formula>$R203=""</formula>
    </cfRule>
  </conditionalFormatting>
  <conditionalFormatting sqref="C219:J224">
    <cfRule type="expression" dxfId="455" priority="423">
      <formula>$R219=""</formula>
    </cfRule>
  </conditionalFormatting>
  <conditionalFormatting sqref="C235:J240">
    <cfRule type="expression" dxfId="454" priority="413">
      <formula>$R235=""</formula>
    </cfRule>
  </conditionalFormatting>
  <conditionalFormatting sqref="C251:J256">
    <cfRule type="expression" dxfId="453" priority="403">
      <formula>$R251=""</formula>
    </cfRule>
  </conditionalFormatting>
  <conditionalFormatting sqref="C267:J272">
    <cfRule type="expression" dxfId="452" priority="393">
      <formula>$R267=""</formula>
    </cfRule>
  </conditionalFormatting>
  <conditionalFormatting sqref="C283:J288">
    <cfRule type="expression" dxfId="451" priority="383">
      <formula>$R283=""</formula>
    </cfRule>
  </conditionalFormatting>
  <conditionalFormatting sqref="C299:J304">
    <cfRule type="expression" dxfId="450" priority="373">
      <formula>$R299=""</formula>
    </cfRule>
  </conditionalFormatting>
  <conditionalFormatting sqref="C315:J320">
    <cfRule type="expression" dxfId="449" priority="363">
      <formula>$R315=""</formula>
    </cfRule>
  </conditionalFormatting>
  <conditionalFormatting sqref="C331:J336">
    <cfRule type="expression" dxfId="448" priority="353">
      <formula>$R331=""</formula>
    </cfRule>
  </conditionalFormatting>
  <conditionalFormatting sqref="C347:J352">
    <cfRule type="expression" dxfId="447" priority="343">
      <formula>$R347=""</formula>
    </cfRule>
  </conditionalFormatting>
  <conditionalFormatting sqref="C363:J368">
    <cfRule type="expression" dxfId="446" priority="333">
      <formula>$R363=""</formula>
    </cfRule>
  </conditionalFormatting>
  <conditionalFormatting sqref="C379:J384">
    <cfRule type="expression" dxfId="445" priority="323">
      <formula>$R379=""</formula>
    </cfRule>
  </conditionalFormatting>
  <conditionalFormatting sqref="C395:J400">
    <cfRule type="expression" dxfId="444" priority="313">
      <formula>$R395=""</formula>
    </cfRule>
  </conditionalFormatting>
  <conditionalFormatting sqref="C411:J416">
    <cfRule type="expression" dxfId="443" priority="303">
      <formula>$R411=""</formula>
    </cfRule>
  </conditionalFormatting>
  <conditionalFormatting sqref="C427:J432">
    <cfRule type="expression" dxfId="442" priority="293">
      <formula>$R427=""</formula>
    </cfRule>
  </conditionalFormatting>
  <conditionalFormatting sqref="C443:J448">
    <cfRule type="expression" dxfId="441" priority="283">
      <formula>$R443=""</formula>
    </cfRule>
  </conditionalFormatting>
  <conditionalFormatting sqref="C459:J464">
    <cfRule type="expression" dxfId="440" priority="273">
      <formula>$R459=""</formula>
    </cfRule>
  </conditionalFormatting>
  <conditionalFormatting sqref="C475:J480">
    <cfRule type="expression" dxfId="439" priority="263">
      <formula>$R475=""</formula>
    </cfRule>
  </conditionalFormatting>
  <conditionalFormatting sqref="C491:J496">
    <cfRule type="expression" dxfId="438" priority="253">
      <formula>$R491=""</formula>
    </cfRule>
  </conditionalFormatting>
  <conditionalFormatting sqref="C507:J512">
    <cfRule type="expression" dxfId="437" priority="243">
      <formula>$R507=""</formula>
    </cfRule>
  </conditionalFormatting>
  <conditionalFormatting sqref="C523:J528">
    <cfRule type="expression" dxfId="436" priority="233">
      <formula>$R523=""</formula>
    </cfRule>
  </conditionalFormatting>
  <conditionalFormatting sqref="C539:J544">
    <cfRule type="expression" dxfId="435" priority="223">
      <formula>$R539=""</formula>
    </cfRule>
  </conditionalFormatting>
  <conditionalFormatting sqref="C555:J560">
    <cfRule type="expression" dxfId="434" priority="213">
      <formula>$R555=""</formula>
    </cfRule>
  </conditionalFormatting>
  <conditionalFormatting sqref="C571:J576">
    <cfRule type="expression" dxfId="433" priority="203">
      <formula>$R571=""</formula>
    </cfRule>
  </conditionalFormatting>
  <conditionalFormatting sqref="C587:J592">
    <cfRule type="expression" dxfId="432" priority="193">
      <formula>$R587=""</formula>
    </cfRule>
  </conditionalFormatting>
  <conditionalFormatting sqref="C603:J608">
    <cfRule type="expression" dxfId="431" priority="183">
      <formula>$R603=""</formula>
    </cfRule>
  </conditionalFormatting>
  <conditionalFormatting sqref="C619:J624">
    <cfRule type="expression" dxfId="430" priority="173">
      <formula>$R619=""</formula>
    </cfRule>
  </conditionalFormatting>
  <conditionalFormatting sqref="C635:J640">
    <cfRule type="expression" dxfId="429" priority="163">
      <formula>$R635=""</formula>
    </cfRule>
  </conditionalFormatting>
  <conditionalFormatting sqref="C651:J656">
    <cfRule type="expression" dxfId="428" priority="153">
      <formula>$R651=""</formula>
    </cfRule>
  </conditionalFormatting>
  <conditionalFormatting sqref="C667:J672">
    <cfRule type="expression" dxfId="427" priority="143">
      <formula>$R667=""</formula>
    </cfRule>
  </conditionalFormatting>
  <conditionalFormatting sqref="C683:J688">
    <cfRule type="expression" dxfId="426" priority="133">
      <formula>$R683=""</formula>
    </cfRule>
  </conditionalFormatting>
  <conditionalFormatting sqref="C699:J704">
    <cfRule type="expression" dxfId="425" priority="123">
      <formula>$R699=""</formula>
    </cfRule>
  </conditionalFormatting>
  <conditionalFormatting sqref="C715:J720">
    <cfRule type="expression" dxfId="424" priority="113">
      <formula>$R715=""</formula>
    </cfRule>
  </conditionalFormatting>
  <conditionalFormatting sqref="C731:J736">
    <cfRule type="expression" dxfId="423" priority="103">
      <formula>$R731=""</formula>
    </cfRule>
  </conditionalFormatting>
  <conditionalFormatting sqref="C747:J752">
    <cfRule type="expression" dxfId="422" priority="93">
      <formula>$R747=""</formula>
    </cfRule>
  </conditionalFormatting>
  <conditionalFormatting sqref="C763:J768">
    <cfRule type="expression" dxfId="421" priority="83">
      <formula>$R763=""</formula>
    </cfRule>
  </conditionalFormatting>
  <conditionalFormatting sqref="C779:J784">
    <cfRule type="expression" dxfId="420" priority="73">
      <formula>$R779=""</formula>
    </cfRule>
  </conditionalFormatting>
  <conditionalFormatting sqref="C795:J800">
    <cfRule type="expression" dxfId="419" priority="63">
      <formula>$R795=""</formula>
    </cfRule>
  </conditionalFormatting>
  <conditionalFormatting sqref="D7:D8">
    <cfRule type="containsText" dxfId="418" priority="1232" operator="containsText" text="選択してください">
      <formula>NOT(ISERROR(SEARCH("選択してください",D7)))</formula>
    </cfRule>
  </conditionalFormatting>
  <conditionalFormatting sqref="D23:D24">
    <cfRule type="containsText" dxfId="417" priority="546" operator="containsText" text="選択してください">
      <formula>NOT(ISERROR(SEARCH("選択してください",D23)))</formula>
    </cfRule>
  </conditionalFormatting>
  <conditionalFormatting sqref="D39:D40">
    <cfRule type="containsText" dxfId="416" priority="536" operator="containsText" text="選択してください">
      <formula>NOT(ISERROR(SEARCH("選択してください",D39)))</formula>
    </cfRule>
  </conditionalFormatting>
  <conditionalFormatting sqref="D55:D56">
    <cfRule type="containsText" dxfId="415" priority="526" operator="containsText" text="選択してください">
      <formula>NOT(ISERROR(SEARCH("選択してください",D55)))</formula>
    </cfRule>
  </conditionalFormatting>
  <conditionalFormatting sqref="D71:D72">
    <cfRule type="containsText" dxfId="414" priority="516" operator="containsText" text="選択してください">
      <formula>NOT(ISERROR(SEARCH("選択してください",D71)))</formula>
    </cfRule>
  </conditionalFormatting>
  <conditionalFormatting sqref="D87:D88">
    <cfRule type="containsText" dxfId="413" priority="506" operator="containsText" text="選択してください">
      <formula>NOT(ISERROR(SEARCH("選択してください",D87)))</formula>
    </cfRule>
  </conditionalFormatting>
  <conditionalFormatting sqref="D103:D104">
    <cfRule type="containsText" dxfId="412" priority="496" operator="containsText" text="選択してください">
      <formula>NOT(ISERROR(SEARCH("選択してください",D103)))</formula>
    </cfRule>
  </conditionalFormatting>
  <conditionalFormatting sqref="D119:D120">
    <cfRule type="containsText" dxfId="411" priority="486" operator="containsText" text="選択してください">
      <formula>NOT(ISERROR(SEARCH("選択してください",D119)))</formula>
    </cfRule>
  </conditionalFormatting>
  <conditionalFormatting sqref="D135:D136">
    <cfRule type="containsText" dxfId="410" priority="476" operator="containsText" text="選択してください">
      <formula>NOT(ISERROR(SEARCH("選択してください",D135)))</formula>
    </cfRule>
  </conditionalFormatting>
  <conditionalFormatting sqref="D151:D152">
    <cfRule type="containsText" dxfId="409" priority="466" operator="containsText" text="選択してください">
      <formula>NOT(ISERROR(SEARCH("選択してください",D151)))</formula>
    </cfRule>
  </conditionalFormatting>
  <conditionalFormatting sqref="D167:D168">
    <cfRule type="containsText" dxfId="408" priority="456" operator="containsText" text="選択してください">
      <formula>NOT(ISERROR(SEARCH("選択してください",D167)))</formula>
    </cfRule>
  </conditionalFormatting>
  <conditionalFormatting sqref="D183:D184">
    <cfRule type="containsText" dxfId="407" priority="446" operator="containsText" text="選択してください">
      <formula>NOT(ISERROR(SEARCH("選択してください",D183)))</formula>
    </cfRule>
  </conditionalFormatting>
  <conditionalFormatting sqref="D199:D200">
    <cfRule type="containsText" dxfId="406" priority="436" operator="containsText" text="選択してください">
      <formula>NOT(ISERROR(SEARCH("選択してください",D199)))</formula>
    </cfRule>
  </conditionalFormatting>
  <conditionalFormatting sqref="D215:D216">
    <cfRule type="containsText" dxfId="405" priority="426" operator="containsText" text="選択してください">
      <formula>NOT(ISERROR(SEARCH("選択してください",D215)))</formula>
    </cfRule>
  </conditionalFormatting>
  <conditionalFormatting sqref="D231:D232">
    <cfRule type="containsText" dxfId="404" priority="416" operator="containsText" text="選択してください">
      <formula>NOT(ISERROR(SEARCH("選択してください",D231)))</formula>
    </cfRule>
  </conditionalFormatting>
  <conditionalFormatting sqref="D247:D248">
    <cfRule type="containsText" dxfId="403" priority="406" operator="containsText" text="選択してください">
      <formula>NOT(ISERROR(SEARCH("選択してください",D247)))</formula>
    </cfRule>
  </conditionalFormatting>
  <conditionalFormatting sqref="D263:D264">
    <cfRule type="containsText" dxfId="402" priority="396" operator="containsText" text="選択してください">
      <formula>NOT(ISERROR(SEARCH("選択してください",D263)))</formula>
    </cfRule>
  </conditionalFormatting>
  <conditionalFormatting sqref="D279:D280">
    <cfRule type="containsText" dxfId="401" priority="386" operator="containsText" text="選択してください">
      <formula>NOT(ISERROR(SEARCH("選択してください",D279)))</formula>
    </cfRule>
  </conditionalFormatting>
  <conditionalFormatting sqref="D295:D296">
    <cfRule type="containsText" dxfId="400" priority="376" operator="containsText" text="選択してください">
      <formula>NOT(ISERROR(SEARCH("選択してください",D295)))</formula>
    </cfRule>
  </conditionalFormatting>
  <conditionalFormatting sqref="D311:D312">
    <cfRule type="containsText" dxfId="399" priority="366" operator="containsText" text="選択してください">
      <formula>NOT(ISERROR(SEARCH("選択してください",D311)))</formula>
    </cfRule>
  </conditionalFormatting>
  <conditionalFormatting sqref="D327:D328">
    <cfRule type="containsText" dxfId="398" priority="356" operator="containsText" text="選択してください">
      <formula>NOT(ISERROR(SEARCH("選択してください",D327)))</formula>
    </cfRule>
  </conditionalFormatting>
  <conditionalFormatting sqref="D343:D344">
    <cfRule type="containsText" dxfId="397" priority="346" operator="containsText" text="選択してください">
      <formula>NOT(ISERROR(SEARCH("選択してください",D343)))</formula>
    </cfRule>
  </conditionalFormatting>
  <conditionalFormatting sqref="D359:D360">
    <cfRule type="containsText" dxfId="396" priority="336" operator="containsText" text="選択してください">
      <formula>NOT(ISERROR(SEARCH("選択してください",D359)))</formula>
    </cfRule>
  </conditionalFormatting>
  <conditionalFormatting sqref="D375:D376">
    <cfRule type="containsText" dxfId="395" priority="326" operator="containsText" text="選択してください">
      <formula>NOT(ISERROR(SEARCH("選択してください",D375)))</formula>
    </cfRule>
  </conditionalFormatting>
  <conditionalFormatting sqref="D391:D392">
    <cfRule type="containsText" dxfId="394" priority="316" operator="containsText" text="選択してください">
      <formula>NOT(ISERROR(SEARCH("選択してください",D391)))</formula>
    </cfRule>
  </conditionalFormatting>
  <conditionalFormatting sqref="D407:D408">
    <cfRule type="containsText" dxfId="393" priority="306" operator="containsText" text="選択してください">
      <formula>NOT(ISERROR(SEARCH("選択してください",D407)))</formula>
    </cfRule>
  </conditionalFormatting>
  <conditionalFormatting sqref="D423:D424">
    <cfRule type="containsText" dxfId="392" priority="296" operator="containsText" text="選択してください">
      <formula>NOT(ISERROR(SEARCH("選択してください",D423)))</formula>
    </cfRule>
  </conditionalFormatting>
  <conditionalFormatting sqref="D439:D440">
    <cfRule type="containsText" dxfId="391" priority="286" operator="containsText" text="選択してください">
      <formula>NOT(ISERROR(SEARCH("選択してください",D439)))</formula>
    </cfRule>
  </conditionalFormatting>
  <conditionalFormatting sqref="D455:D456">
    <cfRule type="containsText" dxfId="390" priority="276" operator="containsText" text="選択してください">
      <formula>NOT(ISERROR(SEARCH("選択してください",D455)))</formula>
    </cfRule>
  </conditionalFormatting>
  <conditionalFormatting sqref="D471:D472">
    <cfRule type="containsText" dxfId="389" priority="266" operator="containsText" text="選択してください">
      <formula>NOT(ISERROR(SEARCH("選択してください",D471)))</formula>
    </cfRule>
  </conditionalFormatting>
  <conditionalFormatting sqref="D487:D488">
    <cfRule type="containsText" dxfId="388" priority="256" operator="containsText" text="選択してください">
      <formula>NOT(ISERROR(SEARCH("選択してください",D487)))</formula>
    </cfRule>
  </conditionalFormatting>
  <conditionalFormatting sqref="D503:D504">
    <cfRule type="containsText" dxfId="387" priority="246" operator="containsText" text="選択してください">
      <formula>NOT(ISERROR(SEARCH("選択してください",D503)))</formula>
    </cfRule>
  </conditionalFormatting>
  <conditionalFormatting sqref="D519:D520">
    <cfRule type="containsText" dxfId="386" priority="236" operator="containsText" text="選択してください">
      <formula>NOT(ISERROR(SEARCH("選択してください",D519)))</formula>
    </cfRule>
  </conditionalFormatting>
  <conditionalFormatting sqref="D535:D536">
    <cfRule type="containsText" dxfId="385" priority="226" operator="containsText" text="選択してください">
      <formula>NOT(ISERROR(SEARCH("選択してください",D535)))</formula>
    </cfRule>
  </conditionalFormatting>
  <conditionalFormatting sqref="D551:D552">
    <cfRule type="containsText" dxfId="384" priority="216" operator="containsText" text="選択してください">
      <formula>NOT(ISERROR(SEARCH("選択してください",D551)))</formula>
    </cfRule>
  </conditionalFormatting>
  <conditionalFormatting sqref="D567:D568">
    <cfRule type="containsText" dxfId="383" priority="206" operator="containsText" text="選択してください">
      <formula>NOT(ISERROR(SEARCH("選択してください",D567)))</formula>
    </cfRule>
  </conditionalFormatting>
  <conditionalFormatting sqref="D583:D584">
    <cfRule type="containsText" dxfId="382" priority="196" operator="containsText" text="選択してください">
      <formula>NOT(ISERROR(SEARCH("選択してください",D583)))</formula>
    </cfRule>
  </conditionalFormatting>
  <conditionalFormatting sqref="D599:D600">
    <cfRule type="containsText" dxfId="381" priority="186" operator="containsText" text="選択してください">
      <formula>NOT(ISERROR(SEARCH("選択してください",D599)))</formula>
    </cfRule>
  </conditionalFormatting>
  <conditionalFormatting sqref="D615:D616">
    <cfRule type="containsText" dxfId="380" priority="176" operator="containsText" text="選択してください">
      <formula>NOT(ISERROR(SEARCH("選択してください",D615)))</formula>
    </cfRule>
  </conditionalFormatting>
  <conditionalFormatting sqref="D631:D632">
    <cfRule type="containsText" dxfId="379" priority="166" operator="containsText" text="選択してください">
      <formula>NOT(ISERROR(SEARCH("選択してください",D631)))</formula>
    </cfRule>
  </conditionalFormatting>
  <conditionalFormatting sqref="D647:D648">
    <cfRule type="containsText" dxfId="378" priority="156" operator="containsText" text="選択してください">
      <formula>NOT(ISERROR(SEARCH("選択してください",D647)))</formula>
    </cfRule>
  </conditionalFormatting>
  <conditionalFormatting sqref="D663:D664">
    <cfRule type="containsText" dxfId="377" priority="146" operator="containsText" text="選択してください">
      <formula>NOT(ISERROR(SEARCH("選択してください",D663)))</formula>
    </cfRule>
  </conditionalFormatting>
  <conditionalFormatting sqref="D679:D680">
    <cfRule type="containsText" dxfId="376" priority="136" operator="containsText" text="選択してください">
      <formula>NOT(ISERROR(SEARCH("選択してください",D679)))</formula>
    </cfRule>
  </conditionalFormatting>
  <conditionalFormatting sqref="D695:D696">
    <cfRule type="containsText" dxfId="375" priority="126" operator="containsText" text="選択してください">
      <formula>NOT(ISERROR(SEARCH("選択してください",D695)))</formula>
    </cfRule>
  </conditionalFormatting>
  <conditionalFormatting sqref="D711:D712">
    <cfRule type="containsText" dxfId="374" priority="116" operator="containsText" text="選択してください">
      <formula>NOT(ISERROR(SEARCH("選択してください",D711)))</formula>
    </cfRule>
  </conditionalFormatting>
  <conditionalFormatting sqref="D727:D728">
    <cfRule type="containsText" dxfId="373" priority="106" operator="containsText" text="選択してください">
      <formula>NOT(ISERROR(SEARCH("選択してください",D727)))</formula>
    </cfRule>
  </conditionalFormatting>
  <conditionalFormatting sqref="D743:D744">
    <cfRule type="containsText" dxfId="372" priority="96" operator="containsText" text="選択してください">
      <formula>NOT(ISERROR(SEARCH("選択してください",D743)))</formula>
    </cfRule>
  </conditionalFormatting>
  <conditionalFormatting sqref="D759:D760">
    <cfRule type="containsText" dxfId="371" priority="86" operator="containsText" text="選択してください">
      <formula>NOT(ISERROR(SEARCH("選択してください",D759)))</formula>
    </cfRule>
  </conditionalFormatting>
  <conditionalFormatting sqref="D775:D776">
    <cfRule type="containsText" dxfId="370" priority="76" operator="containsText" text="選択してください">
      <formula>NOT(ISERROR(SEARCH("選択してください",D775)))</formula>
    </cfRule>
  </conditionalFormatting>
  <conditionalFormatting sqref="D791:D792">
    <cfRule type="containsText" dxfId="369" priority="66" operator="containsText" text="選択してください">
      <formula>NOT(ISERROR(SEARCH("選択してください",D791)))</formula>
    </cfRule>
  </conditionalFormatting>
  <conditionalFormatting sqref="E12:E16">
    <cfRule type="containsText" dxfId="368" priority="963" operator="containsText" text="合意形成対象者">
      <formula>NOT(ISERROR(SEARCH("合意形成対象者",E12)))</formula>
    </cfRule>
  </conditionalFormatting>
  <conditionalFormatting sqref="E28:E32">
    <cfRule type="containsText" dxfId="367" priority="544" operator="containsText" text="合意形成対象者">
      <formula>NOT(ISERROR(SEARCH("合意形成対象者",E28)))</formula>
    </cfRule>
  </conditionalFormatting>
  <conditionalFormatting sqref="E44:E48">
    <cfRule type="containsText" dxfId="366" priority="534" operator="containsText" text="合意形成対象者">
      <formula>NOT(ISERROR(SEARCH("合意形成対象者",E44)))</formula>
    </cfRule>
  </conditionalFormatting>
  <conditionalFormatting sqref="E60:E64">
    <cfRule type="containsText" dxfId="365" priority="524" operator="containsText" text="合意形成対象者">
      <formula>NOT(ISERROR(SEARCH("合意形成対象者",E60)))</formula>
    </cfRule>
  </conditionalFormatting>
  <conditionalFormatting sqref="E76:E80">
    <cfRule type="containsText" dxfId="364" priority="514" operator="containsText" text="合意形成対象者">
      <formula>NOT(ISERROR(SEARCH("合意形成対象者",E76)))</formula>
    </cfRule>
  </conditionalFormatting>
  <conditionalFormatting sqref="E92:E96">
    <cfRule type="containsText" dxfId="363" priority="504" operator="containsText" text="合意形成対象者">
      <formula>NOT(ISERROR(SEARCH("合意形成対象者",E92)))</formula>
    </cfRule>
  </conditionalFormatting>
  <conditionalFormatting sqref="E108:E112">
    <cfRule type="containsText" dxfId="362" priority="494" operator="containsText" text="合意形成対象者">
      <formula>NOT(ISERROR(SEARCH("合意形成対象者",E108)))</formula>
    </cfRule>
  </conditionalFormatting>
  <conditionalFormatting sqref="E124:E128">
    <cfRule type="containsText" dxfId="361" priority="484" operator="containsText" text="合意形成対象者">
      <formula>NOT(ISERROR(SEARCH("合意形成対象者",E124)))</formula>
    </cfRule>
  </conditionalFormatting>
  <conditionalFormatting sqref="E140:E144">
    <cfRule type="containsText" dxfId="360" priority="474" operator="containsText" text="合意形成対象者">
      <formula>NOT(ISERROR(SEARCH("合意形成対象者",E140)))</formula>
    </cfRule>
  </conditionalFormatting>
  <conditionalFormatting sqref="E156:E160">
    <cfRule type="containsText" dxfId="359" priority="464" operator="containsText" text="合意形成対象者">
      <formula>NOT(ISERROR(SEARCH("合意形成対象者",E156)))</formula>
    </cfRule>
  </conditionalFormatting>
  <conditionalFormatting sqref="E172:E176">
    <cfRule type="containsText" dxfId="358" priority="454" operator="containsText" text="合意形成対象者">
      <formula>NOT(ISERROR(SEARCH("合意形成対象者",E172)))</formula>
    </cfRule>
  </conditionalFormatting>
  <conditionalFormatting sqref="E188:E192">
    <cfRule type="containsText" dxfId="357" priority="444" operator="containsText" text="合意形成対象者">
      <formula>NOT(ISERROR(SEARCH("合意形成対象者",E188)))</formula>
    </cfRule>
  </conditionalFormatting>
  <conditionalFormatting sqref="E204:E208">
    <cfRule type="containsText" dxfId="356" priority="434" operator="containsText" text="合意形成対象者">
      <formula>NOT(ISERROR(SEARCH("合意形成対象者",E204)))</formula>
    </cfRule>
  </conditionalFormatting>
  <conditionalFormatting sqref="E220:E224">
    <cfRule type="containsText" dxfId="355" priority="424" operator="containsText" text="合意形成対象者">
      <formula>NOT(ISERROR(SEARCH("合意形成対象者",E220)))</formula>
    </cfRule>
  </conditionalFormatting>
  <conditionalFormatting sqref="E236:E240">
    <cfRule type="containsText" dxfId="354" priority="414" operator="containsText" text="合意形成対象者">
      <formula>NOT(ISERROR(SEARCH("合意形成対象者",E236)))</formula>
    </cfRule>
  </conditionalFormatting>
  <conditionalFormatting sqref="E252:E256">
    <cfRule type="containsText" dxfId="353" priority="404" operator="containsText" text="合意形成対象者">
      <formula>NOT(ISERROR(SEARCH("合意形成対象者",E252)))</formula>
    </cfRule>
  </conditionalFormatting>
  <conditionalFormatting sqref="E268:E272">
    <cfRule type="containsText" dxfId="352" priority="394" operator="containsText" text="合意形成対象者">
      <formula>NOT(ISERROR(SEARCH("合意形成対象者",E268)))</formula>
    </cfRule>
  </conditionalFormatting>
  <conditionalFormatting sqref="E284:E288">
    <cfRule type="containsText" dxfId="351" priority="384" operator="containsText" text="合意形成対象者">
      <formula>NOT(ISERROR(SEARCH("合意形成対象者",E284)))</formula>
    </cfRule>
  </conditionalFormatting>
  <conditionalFormatting sqref="E300:E304">
    <cfRule type="containsText" dxfId="350" priority="374" operator="containsText" text="合意形成対象者">
      <formula>NOT(ISERROR(SEARCH("合意形成対象者",E300)))</formula>
    </cfRule>
  </conditionalFormatting>
  <conditionalFormatting sqref="E316:E320">
    <cfRule type="containsText" dxfId="349" priority="364" operator="containsText" text="合意形成対象者">
      <formula>NOT(ISERROR(SEARCH("合意形成対象者",E316)))</formula>
    </cfRule>
  </conditionalFormatting>
  <conditionalFormatting sqref="E332:E336">
    <cfRule type="containsText" dxfId="348" priority="354" operator="containsText" text="合意形成対象者">
      <formula>NOT(ISERROR(SEARCH("合意形成対象者",E332)))</formula>
    </cfRule>
  </conditionalFormatting>
  <conditionalFormatting sqref="E348:E352">
    <cfRule type="containsText" dxfId="347" priority="344" operator="containsText" text="合意形成対象者">
      <formula>NOT(ISERROR(SEARCH("合意形成対象者",E348)))</formula>
    </cfRule>
  </conditionalFormatting>
  <conditionalFormatting sqref="E364:E368">
    <cfRule type="containsText" dxfId="346" priority="334" operator="containsText" text="合意形成対象者">
      <formula>NOT(ISERROR(SEARCH("合意形成対象者",E364)))</formula>
    </cfRule>
  </conditionalFormatting>
  <conditionalFormatting sqref="E380:E384">
    <cfRule type="containsText" dxfId="345" priority="324" operator="containsText" text="合意形成対象者">
      <formula>NOT(ISERROR(SEARCH("合意形成対象者",E380)))</formula>
    </cfRule>
  </conditionalFormatting>
  <conditionalFormatting sqref="E396:E400">
    <cfRule type="containsText" dxfId="344" priority="314" operator="containsText" text="合意形成対象者">
      <formula>NOT(ISERROR(SEARCH("合意形成対象者",E396)))</formula>
    </cfRule>
  </conditionalFormatting>
  <conditionalFormatting sqref="E412:E416">
    <cfRule type="containsText" dxfId="343" priority="304" operator="containsText" text="合意形成対象者">
      <formula>NOT(ISERROR(SEARCH("合意形成対象者",E412)))</formula>
    </cfRule>
  </conditionalFormatting>
  <conditionalFormatting sqref="E428:E432">
    <cfRule type="containsText" dxfId="342" priority="294" operator="containsText" text="合意形成対象者">
      <formula>NOT(ISERROR(SEARCH("合意形成対象者",E428)))</formula>
    </cfRule>
  </conditionalFormatting>
  <conditionalFormatting sqref="E444:E448">
    <cfRule type="containsText" dxfId="341" priority="284" operator="containsText" text="合意形成対象者">
      <formula>NOT(ISERROR(SEARCH("合意形成対象者",E444)))</formula>
    </cfRule>
  </conditionalFormatting>
  <conditionalFormatting sqref="E460:E464">
    <cfRule type="containsText" dxfId="340" priority="274" operator="containsText" text="合意形成対象者">
      <formula>NOT(ISERROR(SEARCH("合意形成対象者",E460)))</formula>
    </cfRule>
  </conditionalFormatting>
  <conditionalFormatting sqref="E476:E480">
    <cfRule type="containsText" dxfId="339" priority="264" operator="containsText" text="合意形成対象者">
      <formula>NOT(ISERROR(SEARCH("合意形成対象者",E476)))</formula>
    </cfRule>
  </conditionalFormatting>
  <conditionalFormatting sqref="E492:E496">
    <cfRule type="containsText" dxfId="338" priority="254" operator="containsText" text="合意形成対象者">
      <formula>NOT(ISERROR(SEARCH("合意形成対象者",E492)))</formula>
    </cfRule>
  </conditionalFormatting>
  <conditionalFormatting sqref="E508:E512">
    <cfRule type="containsText" dxfId="337" priority="244" operator="containsText" text="合意形成対象者">
      <formula>NOT(ISERROR(SEARCH("合意形成対象者",E508)))</formula>
    </cfRule>
  </conditionalFormatting>
  <conditionalFormatting sqref="E524:E528">
    <cfRule type="containsText" dxfId="336" priority="234" operator="containsText" text="合意形成対象者">
      <formula>NOT(ISERROR(SEARCH("合意形成対象者",E524)))</formula>
    </cfRule>
  </conditionalFormatting>
  <conditionalFormatting sqref="E540:E544">
    <cfRule type="containsText" dxfId="335" priority="224" operator="containsText" text="合意形成対象者">
      <formula>NOT(ISERROR(SEARCH("合意形成対象者",E540)))</formula>
    </cfRule>
  </conditionalFormatting>
  <conditionalFormatting sqref="E556:E560">
    <cfRule type="containsText" dxfId="334" priority="214" operator="containsText" text="合意形成対象者">
      <formula>NOT(ISERROR(SEARCH("合意形成対象者",E556)))</formula>
    </cfRule>
  </conditionalFormatting>
  <conditionalFormatting sqref="E572:E576">
    <cfRule type="containsText" dxfId="333" priority="204" operator="containsText" text="合意形成対象者">
      <formula>NOT(ISERROR(SEARCH("合意形成対象者",E572)))</formula>
    </cfRule>
  </conditionalFormatting>
  <conditionalFormatting sqref="E588:E592">
    <cfRule type="containsText" dxfId="332" priority="194" operator="containsText" text="合意形成対象者">
      <formula>NOT(ISERROR(SEARCH("合意形成対象者",E588)))</formula>
    </cfRule>
  </conditionalFormatting>
  <conditionalFormatting sqref="E604:E608">
    <cfRule type="containsText" dxfId="331" priority="184" operator="containsText" text="合意形成対象者">
      <formula>NOT(ISERROR(SEARCH("合意形成対象者",E604)))</formula>
    </cfRule>
  </conditionalFormatting>
  <conditionalFormatting sqref="E620:E624">
    <cfRule type="containsText" dxfId="330" priority="174" operator="containsText" text="合意形成対象者">
      <formula>NOT(ISERROR(SEARCH("合意形成対象者",E620)))</formula>
    </cfRule>
  </conditionalFormatting>
  <conditionalFormatting sqref="E636:E640">
    <cfRule type="containsText" dxfId="329" priority="164" operator="containsText" text="合意形成対象者">
      <formula>NOT(ISERROR(SEARCH("合意形成対象者",E636)))</formula>
    </cfRule>
  </conditionalFormatting>
  <conditionalFormatting sqref="E652:E656">
    <cfRule type="containsText" dxfId="328" priority="154" operator="containsText" text="合意形成対象者">
      <formula>NOT(ISERROR(SEARCH("合意形成対象者",E652)))</formula>
    </cfRule>
  </conditionalFormatting>
  <conditionalFormatting sqref="E668:E672">
    <cfRule type="containsText" dxfId="327" priority="144" operator="containsText" text="合意形成対象者">
      <formula>NOT(ISERROR(SEARCH("合意形成対象者",E668)))</formula>
    </cfRule>
  </conditionalFormatting>
  <conditionalFormatting sqref="E684:E688">
    <cfRule type="containsText" dxfId="326" priority="134" operator="containsText" text="合意形成対象者">
      <formula>NOT(ISERROR(SEARCH("合意形成対象者",E684)))</formula>
    </cfRule>
  </conditionalFormatting>
  <conditionalFormatting sqref="E700:E704">
    <cfRule type="containsText" dxfId="325" priority="124" operator="containsText" text="合意形成対象者">
      <formula>NOT(ISERROR(SEARCH("合意形成対象者",E700)))</formula>
    </cfRule>
  </conditionalFormatting>
  <conditionalFormatting sqref="E716:E720">
    <cfRule type="containsText" dxfId="324" priority="114" operator="containsText" text="合意形成対象者">
      <formula>NOT(ISERROR(SEARCH("合意形成対象者",E716)))</formula>
    </cfRule>
  </conditionalFormatting>
  <conditionalFormatting sqref="E732:E736">
    <cfRule type="containsText" dxfId="323" priority="104" operator="containsText" text="合意形成対象者">
      <formula>NOT(ISERROR(SEARCH("合意形成対象者",E732)))</formula>
    </cfRule>
  </conditionalFormatting>
  <conditionalFormatting sqref="E748:E752">
    <cfRule type="containsText" dxfId="322" priority="94" operator="containsText" text="合意形成対象者">
      <formula>NOT(ISERROR(SEARCH("合意形成対象者",E748)))</formula>
    </cfRule>
  </conditionalFormatting>
  <conditionalFormatting sqref="E764:E768">
    <cfRule type="containsText" dxfId="321" priority="84" operator="containsText" text="合意形成対象者">
      <formula>NOT(ISERROR(SEARCH("合意形成対象者",E764)))</formula>
    </cfRule>
  </conditionalFormatting>
  <conditionalFormatting sqref="E780:E784">
    <cfRule type="containsText" dxfId="320" priority="74" operator="containsText" text="合意形成対象者">
      <formula>NOT(ISERROR(SEARCH("合意形成対象者",E780)))</formula>
    </cfRule>
  </conditionalFormatting>
  <conditionalFormatting sqref="E796:E800">
    <cfRule type="containsText" dxfId="319" priority="64" operator="containsText" text="合意形成対象者">
      <formula>NOT(ISERROR(SEARCH("合意形成対象者",E796)))</formula>
    </cfRule>
  </conditionalFormatting>
  <conditionalFormatting sqref="E12:J16">
    <cfRule type="notContainsBlanks" dxfId="318" priority="964">
      <formula>LEN(TRIM(E12))&gt;0</formula>
    </cfRule>
  </conditionalFormatting>
  <conditionalFormatting sqref="E28:J32">
    <cfRule type="notContainsBlanks" dxfId="317" priority="545">
      <formula>LEN(TRIM(E28))&gt;0</formula>
    </cfRule>
  </conditionalFormatting>
  <conditionalFormatting sqref="E44:J48">
    <cfRule type="notContainsBlanks" dxfId="316" priority="535">
      <formula>LEN(TRIM(E44))&gt;0</formula>
    </cfRule>
  </conditionalFormatting>
  <conditionalFormatting sqref="E60:J64">
    <cfRule type="notContainsBlanks" dxfId="315" priority="525">
      <formula>LEN(TRIM(E60))&gt;0</formula>
    </cfRule>
  </conditionalFormatting>
  <conditionalFormatting sqref="E76:J80">
    <cfRule type="notContainsBlanks" dxfId="314" priority="515">
      <formula>LEN(TRIM(E76))&gt;0</formula>
    </cfRule>
  </conditionalFormatting>
  <conditionalFormatting sqref="E92:J96">
    <cfRule type="notContainsBlanks" dxfId="313" priority="505">
      <formula>LEN(TRIM(E92))&gt;0</formula>
    </cfRule>
  </conditionalFormatting>
  <conditionalFormatting sqref="E108:J112">
    <cfRule type="notContainsBlanks" dxfId="312" priority="495">
      <formula>LEN(TRIM(E108))&gt;0</formula>
    </cfRule>
  </conditionalFormatting>
  <conditionalFormatting sqref="E124:J128">
    <cfRule type="notContainsBlanks" dxfId="311" priority="485">
      <formula>LEN(TRIM(E124))&gt;0</formula>
    </cfRule>
  </conditionalFormatting>
  <conditionalFormatting sqref="E140:J144">
    <cfRule type="notContainsBlanks" dxfId="310" priority="475">
      <formula>LEN(TRIM(E140))&gt;0</formula>
    </cfRule>
  </conditionalFormatting>
  <conditionalFormatting sqref="E156:J160">
    <cfRule type="notContainsBlanks" dxfId="309" priority="465">
      <formula>LEN(TRIM(E156))&gt;0</formula>
    </cfRule>
  </conditionalFormatting>
  <conditionalFormatting sqref="E172:J176">
    <cfRule type="notContainsBlanks" dxfId="308" priority="455">
      <formula>LEN(TRIM(E172))&gt;0</formula>
    </cfRule>
  </conditionalFormatting>
  <conditionalFormatting sqref="E188:J192">
    <cfRule type="notContainsBlanks" dxfId="307" priority="445">
      <formula>LEN(TRIM(E188))&gt;0</formula>
    </cfRule>
  </conditionalFormatting>
  <conditionalFormatting sqref="E204:J208">
    <cfRule type="notContainsBlanks" dxfId="306" priority="435">
      <formula>LEN(TRIM(E204))&gt;0</formula>
    </cfRule>
  </conditionalFormatting>
  <conditionalFormatting sqref="E220:J224">
    <cfRule type="notContainsBlanks" dxfId="305" priority="425">
      <formula>LEN(TRIM(E220))&gt;0</formula>
    </cfRule>
  </conditionalFormatting>
  <conditionalFormatting sqref="E236:J240">
    <cfRule type="notContainsBlanks" dxfId="304" priority="415">
      <formula>LEN(TRIM(E236))&gt;0</formula>
    </cfRule>
  </conditionalFormatting>
  <conditionalFormatting sqref="E252:J256">
    <cfRule type="notContainsBlanks" dxfId="303" priority="405">
      <formula>LEN(TRIM(E252))&gt;0</formula>
    </cfRule>
  </conditionalFormatting>
  <conditionalFormatting sqref="E268:J272">
    <cfRule type="notContainsBlanks" dxfId="302" priority="395">
      <formula>LEN(TRIM(E268))&gt;0</formula>
    </cfRule>
  </conditionalFormatting>
  <conditionalFormatting sqref="E284:J288">
    <cfRule type="notContainsBlanks" dxfId="301" priority="385">
      <formula>LEN(TRIM(E284))&gt;0</formula>
    </cfRule>
  </conditionalFormatting>
  <conditionalFormatting sqref="E300:J304">
    <cfRule type="notContainsBlanks" dxfId="300" priority="375">
      <formula>LEN(TRIM(E300))&gt;0</formula>
    </cfRule>
  </conditionalFormatting>
  <conditionalFormatting sqref="E316:J320">
    <cfRule type="notContainsBlanks" dxfId="299" priority="365">
      <formula>LEN(TRIM(E316))&gt;0</formula>
    </cfRule>
  </conditionalFormatting>
  <conditionalFormatting sqref="E332:J336">
    <cfRule type="notContainsBlanks" dxfId="298" priority="355">
      <formula>LEN(TRIM(E332))&gt;0</formula>
    </cfRule>
  </conditionalFormatting>
  <conditionalFormatting sqref="E348:J352">
    <cfRule type="notContainsBlanks" dxfId="297" priority="345">
      <formula>LEN(TRIM(E348))&gt;0</formula>
    </cfRule>
  </conditionalFormatting>
  <conditionalFormatting sqref="E364:J368">
    <cfRule type="notContainsBlanks" dxfId="296" priority="335">
      <formula>LEN(TRIM(E364))&gt;0</formula>
    </cfRule>
  </conditionalFormatting>
  <conditionalFormatting sqref="E380:J384">
    <cfRule type="notContainsBlanks" dxfId="295" priority="325">
      <formula>LEN(TRIM(E380))&gt;0</formula>
    </cfRule>
  </conditionalFormatting>
  <conditionalFormatting sqref="E396:J400">
    <cfRule type="notContainsBlanks" dxfId="294" priority="315">
      <formula>LEN(TRIM(E396))&gt;0</formula>
    </cfRule>
  </conditionalFormatting>
  <conditionalFormatting sqref="E412:J416">
    <cfRule type="notContainsBlanks" dxfId="293" priority="305">
      <formula>LEN(TRIM(E412))&gt;0</formula>
    </cfRule>
  </conditionalFormatting>
  <conditionalFormatting sqref="E428:J432">
    <cfRule type="notContainsBlanks" dxfId="292" priority="295">
      <formula>LEN(TRIM(E428))&gt;0</formula>
    </cfRule>
  </conditionalFormatting>
  <conditionalFormatting sqref="E444:J448">
    <cfRule type="notContainsBlanks" dxfId="291" priority="285">
      <formula>LEN(TRIM(E444))&gt;0</formula>
    </cfRule>
  </conditionalFormatting>
  <conditionalFormatting sqref="E460:J464">
    <cfRule type="notContainsBlanks" dxfId="290" priority="275">
      <formula>LEN(TRIM(E460))&gt;0</formula>
    </cfRule>
  </conditionalFormatting>
  <conditionalFormatting sqref="E476:J480">
    <cfRule type="notContainsBlanks" dxfId="289" priority="265">
      <formula>LEN(TRIM(E476))&gt;0</formula>
    </cfRule>
  </conditionalFormatting>
  <conditionalFormatting sqref="E492:J496">
    <cfRule type="notContainsBlanks" dxfId="288" priority="255">
      <formula>LEN(TRIM(E492))&gt;0</formula>
    </cfRule>
  </conditionalFormatting>
  <conditionalFormatting sqref="E508:J512">
    <cfRule type="notContainsBlanks" dxfId="287" priority="245">
      <formula>LEN(TRIM(E508))&gt;0</formula>
    </cfRule>
  </conditionalFormatting>
  <conditionalFormatting sqref="E524:J528">
    <cfRule type="notContainsBlanks" dxfId="286" priority="235">
      <formula>LEN(TRIM(E524))&gt;0</formula>
    </cfRule>
  </conditionalFormatting>
  <conditionalFormatting sqref="E540:J544">
    <cfRule type="notContainsBlanks" dxfId="285" priority="225">
      <formula>LEN(TRIM(E540))&gt;0</formula>
    </cfRule>
  </conditionalFormatting>
  <conditionalFormatting sqref="E556:J560">
    <cfRule type="notContainsBlanks" dxfId="284" priority="215">
      <formula>LEN(TRIM(E556))&gt;0</formula>
    </cfRule>
  </conditionalFormatting>
  <conditionalFormatting sqref="E572:J576">
    <cfRule type="notContainsBlanks" dxfId="283" priority="205">
      <formula>LEN(TRIM(E572))&gt;0</formula>
    </cfRule>
  </conditionalFormatting>
  <conditionalFormatting sqref="E588:J592">
    <cfRule type="notContainsBlanks" dxfId="282" priority="195">
      <formula>LEN(TRIM(E588))&gt;0</formula>
    </cfRule>
  </conditionalFormatting>
  <conditionalFormatting sqref="E604:J608">
    <cfRule type="notContainsBlanks" dxfId="281" priority="185">
      <formula>LEN(TRIM(E604))&gt;0</formula>
    </cfRule>
  </conditionalFormatting>
  <conditionalFormatting sqref="E620:J624">
    <cfRule type="notContainsBlanks" dxfId="280" priority="175">
      <formula>LEN(TRIM(E620))&gt;0</formula>
    </cfRule>
  </conditionalFormatting>
  <conditionalFormatting sqref="E636:J640">
    <cfRule type="notContainsBlanks" dxfId="279" priority="165">
      <formula>LEN(TRIM(E636))&gt;0</formula>
    </cfRule>
  </conditionalFormatting>
  <conditionalFormatting sqref="E652:J656">
    <cfRule type="notContainsBlanks" dxfId="278" priority="155">
      <formula>LEN(TRIM(E652))&gt;0</formula>
    </cfRule>
  </conditionalFormatting>
  <conditionalFormatting sqref="E668:J672">
    <cfRule type="notContainsBlanks" dxfId="277" priority="145">
      <formula>LEN(TRIM(E668))&gt;0</formula>
    </cfRule>
  </conditionalFormatting>
  <conditionalFormatting sqref="E684:J688">
    <cfRule type="notContainsBlanks" dxfId="276" priority="135">
      <formula>LEN(TRIM(E684))&gt;0</formula>
    </cfRule>
  </conditionalFormatting>
  <conditionalFormatting sqref="E700:J704">
    <cfRule type="notContainsBlanks" dxfId="275" priority="125">
      <formula>LEN(TRIM(E700))&gt;0</formula>
    </cfRule>
  </conditionalFormatting>
  <conditionalFormatting sqref="E716:J720">
    <cfRule type="notContainsBlanks" dxfId="274" priority="115">
      <formula>LEN(TRIM(E716))&gt;0</formula>
    </cfRule>
  </conditionalFormatting>
  <conditionalFormatting sqref="E732:J736">
    <cfRule type="notContainsBlanks" dxfId="273" priority="105">
      <formula>LEN(TRIM(E732))&gt;0</formula>
    </cfRule>
  </conditionalFormatting>
  <conditionalFormatting sqref="E748:J752">
    <cfRule type="notContainsBlanks" dxfId="272" priority="95">
      <formula>LEN(TRIM(E748))&gt;0</formula>
    </cfRule>
  </conditionalFormatting>
  <conditionalFormatting sqref="E764:J768">
    <cfRule type="notContainsBlanks" dxfId="271" priority="85">
      <formula>LEN(TRIM(E764))&gt;0</formula>
    </cfRule>
  </conditionalFormatting>
  <conditionalFormatting sqref="E780:J784">
    <cfRule type="notContainsBlanks" dxfId="270" priority="75">
      <formula>LEN(TRIM(E780))&gt;0</formula>
    </cfRule>
  </conditionalFormatting>
  <conditionalFormatting sqref="E796:J800">
    <cfRule type="notContainsBlanks" dxfId="269" priority="65">
      <formula>LEN(TRIM(E796))&gt;0</formula>
    </cfRule>
  </conditionalFormatting>
  <conditionalFormatting sqref="F7:J7 F8 F9:J10 C7">
    <cfRule type="containsBlanks" dxfId="268" priority="1869">
      <formula>LEN(TRIM(C7))=0</formula>
    </cfRule>
  </conditionalFormatting>
  <conditionalFormatting sqref="F7:J7 F8 F9:J10">
    <cfRule type="expression" dxfId="267" priority="1503">
      <formula>$F7&lt;&gt;$R7</formula>
    </cfRule>
  </conditionalFormatting>
  <conditionalFormatting sqref="F18:J18">
    <cfRule type="expression" dxfId="266" priority="1870">
      <formula>$C7&lt;&gt;""</formula>
    </cfRule>
  </conditionalFormatting>
  <conditionalFormatting sqref="F18:J19">
    <cfRule type="notContainsBlanks" dxfId="265" priority="667">
      <formula>LEN(TRIM(F18))&gt;0</formula>
    </cfRule>
  </conditionalFormatting>
  <conditionalFormatting sqref="F19:J19">
    <cfRule type="expression" dxfId="264" priority="1863">
      <formula>$C7&lt;&gt;""</formula>
    </cfRule>
  </conditionalFormatting>
  <conditionalFormatting sqref="F23:J23 F24 F25:J26 C23">
    <cfRule type="containsBlanks" dxfId="263" priority="549">
      <formula>LEN(TRIM(C23))=0</formula>
    </cfRule>
  </conditionalFormatting>
  <conditionalFormatting sqref="F23:J23 F24 F25:J26">
    <cfRule type="expression" dxfId="262" priority="547">
      <formula>$F23&lt;&gt;$R23</formula>
    </cfRule>
  </conditionalFormatting>
  <conditionalFormatting sqref="F34:J34">
    <cfRule type="expression" dxfId="261" priority="550">
      <formula>$C23&lt;&gt;""</formula>
    </cfRule>
  </conditionalFormatting>
  <conditionalFormatting sqref="F34:J35">
    <cfRule type="notContainsBlanks" dxfId="260" priority="541">
      <formula>LEN(TRIM(F34))&gt;0</formula>
    </cfRule>
  </conditionalFormatting>
  <conditionalFormatting sqref="F35:J35">
    <cfRule type="expression" dxfId="259" priority="548">
      <formula>$C23&lt;&gt;""</formula>
    </cfRule>
  </conditionalFormatting>
  <conditionalFormatting sqref="F39:J39 F40 F41:J42 C39">
    <cfRule type="containsBlanks" dxfId="258" priority="539">
      <formula>LEN(TRIM(C39))=0</formula>
    </cfRule>
  </conditionalFormatting>
  <conditionalFormatting sqref="F39:J39 F40 F41:J42">
    <cfRule type="expression" dxfId="257" priority="537">
      <formula>$F39&lt;&gt;$R39</formula>
    </cfRule>
  </conditionalFormatting>
  <conditionalFormatting sqref="F50:J50">
    <cfRule type="expression" dxfId="256" priority="540">
      <formula>$C39&lt;&gt;""</formula>
    </cfRule>
  </conditionalFormatting>
  <conditionalFormatting sqref="F50:J51">
    <cfRule type="notContainsBlanks" dxfId="255" priority="531">
      <formula>LEN(TRIM(F50))&gt;0</formula>
    </cfRule>
  </conditionalFormatting>
  <conditionalFormatting sqref="F51:J51">
    <cfRule type="expression" dxfId="254" priority="538">
      <formula>$C39&lt;&gt;""</formula>
    </cfRule>
  </conditionalFormatting>
  <conditionalFormatting sqref="F55:J55 F56 F57:J58 C55">
    <cfRule type="containsBlanks" dxfId="253" priority="529">
      <formula>LEN(TRIM(C55))=0</formula>
    </cfRule>
  </conditionalFormatting>
  <conditionalFormatting sqref="F55:J55 F56 F57:J58">
    <cfRule type="expression" dxfId="252" priority="527">
      <formula>$F55&lt;&gt;$R55</formula>
    </cfRule>
  </conditionalFormatting>
  <conditionalFormatting sqref="F66:J66">
    <cfRule type="expression" dxfId="251" priority="530">
      <formula>$C55&lt;&gt;""</formula>
    </cfRule>
  </conditionalFormatting>
  <conditionalFormatting sqref="F66:J67">
    <cfRule type="notContainsBlanks" dxfId="250" priority="521">
      <formula>LEN(TRIM(F66))&gt;0</formula>
    </cfRule>
  </conditionalFormatting>
  <conditionalFormatting sqref="F67:J67">
    <cfRule type="expression" dxfId="249" priority="528">
      <formula>$C55&lt;&gt;""</formula>
    </cfRule>
  </conditionalFormatting>
  <conditionalFormatting sqref="F71:J71 F72 F73:J74 C71">
    <cfRule type="containsBlanks" dxfId="248" priority="519">
      <formula>LEN(TRIM(C71))=0</formula>
    </cfRule>
  </conditionalFormatting>
  <conditionalFormatting sqref="F71:J71 F72 F73:J74">
    <cfRule type="expression" dxfId="247" priority="517">
      <formula>$F71&lt;&gt;$R71</formula>
    </cfRule>
  </conditionalFormatting>
  <conditionalFormatting sqref="F82:J82">
    <cfRule type="expression" dxfId="246" priority="520">
      <formula>$C71&lt;&gt;""</formula>
    </cfRule>
  </conditionalFormatting>
  <conditionalFormatting sqref="F82:J83">
    <cfRule type="notContainsBlanks" dxfId="245" priority="511">
      <formula>LEN(TRIM(F82))&gt;0</formula>
    </cfRule>
  </conditionalFormatting>
  <conditionalFormatting sqref="F83:J83">
    <cfRule type="expression" dxfId="244" priority="518">
      <formula>$C71&lt;&gt;""</formula>
    </cfRule>
  </conditionalFormatting>
  <conditionalFormatting sqref="F87:J87 F88 F89:J90 C87">
    <cfRule type="containsBlanks" dxfId="243" priority="509">
      <formula>LEN(TRIM(C87))=0</formula>
    </cfRule>
  </conditionalFormatting>
  <conditionalFormatting sqref="F87:J87 F88 F89:J90">
    <cfRule type="expression" dxfId="242" priority="507">
      <formula>$F87&lt;&gt;$R87</formula>
    </cfRule>
  </conditionalFormatting>
  <conditionalFormatting sqref="F98:J98">
    <cfRule type="expression" dxfId="241" priority="510">
      <formula>$C87&lt;&gt;""</formula>
    </cfRule>
  </conditionalFormatting>
  <conditionalFormatting sqref="F98:J99">
    <cfRule type="notContainsBlanks" dxfId="240" priority="501">
      <formula>LEN(TRIM(F98))&gt;0</formula>
    </cfRule>
  </conditionalFormatting>
  <conditionalFormatting sqref="F99:J99">
    <cfRule type="expression" dxfId="239" priority="508">
      <formula>$C87&lt;&gt;""</formula>
    </cfRule>
  </conditionalFormatting>
  <conditionalFormatting sqref="F103:J103 F104 F105:J106 C103">
    <cfRule type="containsBlanks" dxfId="238" priority="499">
      <formula>LEN(TRIM(C103))=0</formula>
    </cfRule>
  </conditionalFormatting>
  <conditionalFormatting sqref="F103:J103 F104 F105:J106">
    <cfRule type="expression" dxfId="237" priority="497">
      <formula>$F103&lt;&gt;$R103</formula>
    </cfRule>
  </conditionalFormatting>
  <conditionalFormatting sqref="F114:J114">
    <cfRule type="expression" dxfId="236" priority="500">
      <formula>$C103&lt;&gt;""</formula>
    </cfRule>
  </conditionalFormatting>
  <conditionalFormatting sqref="F114:J115">
    <cfRule type="notContainsBlanks" dxfId="235" priority="491">
      <formula>LEN(TRIM(F114))&gt;0</formula>
    </cfRule>
  </conditionalFormatting>
  <conditionalFormatting sqref="F115:J115">
    <cfRule type="expression" dxfId="234" priority="498">
      <formula>$C103&lt;&gt;""</formula>
    </cfRule>
  </conditionalFormatting>
  <conditionalFormatting sqref="F119:J119 F120 F121:J122 C119">
    <cfRule type="containsBlanks" dxfId="233" priority="489">
      <formula>LEN(TRIM(C119))=0</formula>
    </cfRule>
  </conditionalFormatting>
  <conditionalFormatting sqref="F119:J119 F120 F121:J122">
    <cfRule type="expression" dxfId="232" priority="487">
      <formula>$F119&lt;&gt;$R119</formula>
    </cfRule>
  </conditionalFormatting>
  <conditionalFormatting sqref="F130:J130">
    <cfRule type="expression" dxfId="231" priority="490">
      <formula>$C119&lt;&gt;""</formula>
    </cfRule>
  </conditionalFormatting>
  <conditionalFormatting sqref="F130:J131">
    <cfRule type="notContainsBlanks" dxfId="230" priority="481">
      <formula>LEN(TRIM(F130))&gt;0</formula>
    </cfRule>
  </conditionalFormatting>
  <conditionalFormatting sqref="F131:J131">
    <cfRule type="expression" dxfId="229" priority="488">
      <formula>$C119&lt;&gt;""</formula>
    </cfRule>
  </conditionalFormatting>
  <conditionalFormatting sqref="F135:J135 F136 F137:J138 C135">
    <cfRule type="containsBlanks" dxfId="228" priority="479">
      <formula>LEN(TRIM(C135))=0</formula>
    </cfRule>
  </conditionalFormatting>
  <conditionalFormatting sqref="F135:J135 F136 F137:J138">
    <cfRule type="expression" dxfId="227" priority="477">
      <formula>$F135&lt;&gt;$R135</formula>
    </cfRule>
  </conditionalFormatting>
  <conditionalFormatting sqref="F146:J146">
    <cfRule type="expression" dxfId="226" priority="480">
      <formula>$C135&lt;&gt;""</formula>
    </cfRule>
  </conditionalFormatting>
  <conditionalFormatting sqref="F146:J147">
    <cfRule type="notContainsBlanks" dxfId="225" priority="471">
      <formula>LEN(TRIM(F146))&gt;0</formula>
    </cfRule>
  </conditionalFormatting>
  <conditionalFormatting sqref="F147:J147">
    <cfRule type="expression" dxfId="224" priority="478">
      <formula>$C135&lt;&gt;""</formula>
    </cfRule>
  </conditionalFormatting>
  <conditionalFormatting sqref="F151:J151 F152 F153:J154 C151">
    <cfRule type="containsBlanks" dxfId="223" priority="469">
      <formula>LEN(TRIM(C151))=0</formula>
    </cfRule>
  </conditionalFormatting>
  <conditionalFormatting sqref="F151:J151 F152 F153:J154">
    <cfRule type="expression" dxfId="222" priority="467">
      <formula>$F151&lt;&gt;$R151</formula>
    </cfRule>
  </conditionalFormatting>
  <conditionalFormatting sqref="F162:J162">
    <cfRule type="expression" dxfId="221" priority="470">
      <formula>$C151&lt;&gt;""</formula>
    </cfRule>
  </conditionalFormatting>
  <conditionalFormatting sqref="F162:J163">
    <cfRule type="notContainsBlanks" dxfId="220" priority="461">
      <formula>LEN(TRIM(F162))&gt;0</formula>
    </cfRule>
  </conditionalFormatting>
  <conditionalFormatting sqref="F163:J163">
    <cfRule type="expression" dxfId="219" priority="468">
      <formula>$C151&lt;&gt;""</formula>
    </cfRule>
  </conditionalFormatting>
  <conditionalFormatting sqref="F167:J167 F168 F169:J170 C167">
    <cfRule type="containsBlanks" dxfId="218" priority="459">
      <formula>LEN(TRIM(C167))=0</formula>
    </cfRule>
  </conditionalFormatting>
  <conditionalFormatting sqref="F167:J167 F168 F169:J170">
    <cfRule type="expression" dxfId="217" priority="457">
      <formula>$F167&lt;&gt;$R167</formula>
    </cfRule>
  </conditionalFormatting>
  <conditionalFormatting sqref="F178:J178">
    <cfRule type="expression" dxfId="216" priority="460">
      <formula>$C167&lt;&gt;""</formula>
    </cfRule>
  </conditionalFormatting>
  <conditionalFormatting sqref="F178:J179">
    <cfRule type="notContainsBlanks" dxfId="215" priority="451">
      <formula>LEN(TRIM(F178))&gt;0</formula>
    </cfRule>
  </conditionalFormatting>
  <conditionalFormatting sqref="F179:J179">
    <cfRule type="expression" dxfId="214" priority="458">
      <formula>$C167&lt;&gt;""</formula>
    </cfRule>
  </conditionalFormatting>
  <conditionalFormatting sqref="F183:J183 F184 F185:J186 C183">
    <cfRule type="containsBlanks" dxfId="213" priority="449">
      <formula>LEN(TRIM(C183))=0</formula>
    </cfRule>
  </conditionalFormatting>
  <conditionalFormatting sqref="F183:J183 F184 F185:J186">
    <cfRule type="expression" dxfId="212" priority="447">
      <formula>$F183&lt;&gt;$R183</formula>
    </cfRule>
  </conditionalFormatting>
  <conditionalFormatting sqref="F194:J194">
    <cfRule type="expression" dxfId="211" priority="450">
      <formula>$C183&lt;&gt;""</formula>
    </cfRule>
  </conditionalFormatting>
  <conditionalFormatting sqref="F194:J195">
    <cfRule type="notContainsBlanks" dxfId="210" priority="441">
      <formula>LEN(TRIM(F194))&gt;0</formula>
    </cfRule>
  </conditionalFormatting>
  <conditionalFormatting sqref="F195:J195">
    <cfRule type="expression" dxfId="209" priority="448">
      <formula>$C183&lt;&gt;""</formula>
    </cfRule>
  </conditionalFormatting>
  <conditionalFormatting sqref="F199:J199 F200 F201:J202 C199">
    <cfRule type="containsBlanks" dxfId="208" priority="439">
      <formula>LEN(TRIM(C199))=0</formula>
    </cfRule>
  </conditionalFormatting>
  <conditionalFormatting sqref="F199:J199 F200 F201:J202">
    <cfRule type="expression" dxfId="207" priority="437">
      <formula>$F199&lt;&gt;$R199</formula>
    </cfRule>
  </conditionalFormatting>
  <conditionalFormatting sqref="F210:J210">
    <cfRule type="expression" dxfId="206" priority="440">
      <formula>$C199&lt;&gt;""</formula>
    </cfRule>
  </conditionalFormatting>
  <conditionalFormatting sqref="F210:J211">
    <cfRule type="notContainsBlanks" dxfId="205" priority="431">
      <formula>LEN(TRIM(F210))&gt;0</formula>
    </cfRule>
  </conditionalFormatting>
  <conditionalFormatting sqref="F211:J211">
    <cfRule type="expression" dxfId="204" priority="438">
      <formula>$C199&lt;&gt;""</formula>
    </cfRule>
  </conditionalFormatting>
  <conditionalFormatting sqref="F215:J215 F216 F217:J218 C215">
    <cfRule type="containsBlanks" dxfId="203" priority="429">
      <formula>LEN(TRIM(C215))=0</formula>
    </cfRule>
  </conditionalFormatting>
  <conditionalFormatting sqref="F215:J215 F216 F217:J218">
    <cfRule type="expression" dxfId="202" priority="427">
      <formula>$F215&lt;&gt;$R215</formula>
    </cfRule>
  </conditionalFormatting>
  <conditionalFormatting sqref="F226:J226">
    <cfRule type="expression" dxfId="201" priority="430">
      <formula>$C215&lt;&gt;""</formula>
    </cfRule>
  </conditionalFormatting>
  <conditionalFormatting sqref="F226:J227">
    <cfRule type="notContainsBlanks" dxfId="200" priority="421">
      <formula>LEN(TRIM(F226))&gt;0</formula>
    </cfRule>
  </conditionalFormatting>
  <conditionalFormatting sqref="F227:J227">
    <cfRule type="expression" dxfId="199" priority="428">
      <formula>$C215&lt;&gt;""</formula>
    </cfRule>
  </conditionalFormatting>
  <conditionalFormatting sqref="F231:J231 F232 F233:J234 C231">
    <cfRule type="containsBlanks" dxfId="198" priority="419">
      <formula>LEN(TRIM(C231))=0</formula>
    </cfRule>
  </conditionalFormatting>
  <conditionalFormatting sqref="F231:J231 F232 F233:J234">
    <cfRule type="expression" dxfId="197" priority="417">
      <formula>$F231&lt;&gt;$R231</formula>
    </cfRule>
  </conditionalFormatting>
  <conditionalFormatting sqref="F242:J242">
    <cfRule type="expression" dxfId="196" priority="420">
      <formula>$C231&lt;&gt;""</formula>
    </cfRule>
  </conditionalFormatting>
  <conditionalFormatting sqref="F242:J243">
    <cfRule type="notContainsBlanks" dxfId="195" priority="411">
      <formula>LEN(TRIM(F242))&gt;0</formula>
    </cfRule>
  </conditionalFormatting>
  <conditionalFormatting sqref="F243:J243">
    <cfRule type="expression" dxfId="194" priority="418">
      <formula>$C231&lt;&gt;""</formula>
    </cfRule>
  </conditionalFormatting>
  <conditionalFormatting sqref="F247:J247 F248 F249:J250 C247">
    <cfRule type="containsBlanks" dxfId="193" priority="409">
      <formula>LEN(TRIM(C247))=0</formula>
    </cfRule>
  </conditionalFormatting>
  <conditionalFormatting sqref="F247:J247 F248 F249:J250">
    <cfRule type="expression" dxfId="192" priority="407">
      <formula>$F247&lt;&gt;$R247</formula>
    </cfRule>
  </conditionalFormatting>
  <conditionalFormatting sqref="F258:J258">
    <cfRule type="expression" dxfId="191" priority="410">
      <formula>$C247&lt;&gt;""</formula>
    </cfRule>
  </conditionalFormatting>
  <conditionalFormatting sqref="F258:J259">
    <cfRule type="notContainsBlanks" dxfId="190" priority="401">
      <formula>LEN(TRIM(F258))&gt;0</formula>
    </cfRule>
  </conditionalFormatting>
  <conditionalFormatting sqref="F259:J259">
    <cfRule type="expression" dxfId="189" priority="408">
      <formula>$C247&lt;&gt;""</formula>
    </cfRule>
  </conditionalFormatting>
  <conditionalFormatting sqref="F263:J263 F264 F265:J266 C263">
    <cfRule type="containsBlanks" dxfId="188" priority="399">
      <formula>LEN(TRIM(C263))=0</formula>
    </cfRule>
  </conditionalFormatting>
  <conditionalFormatting sqref="F263:J263 F264 F265:J266">
    <cfRule type="expression" dxfId="187" priority="397">
      <formula>$F263&lt;&gt;$R263</formula>
    </cfRule>
  </conditionalFormatting>
  <conditionalFormatting sqref="F274:J274">
    <cfRule type="expression" dxfId="186" priority="400">
      <formula>$C263&lt;&gt;""</formula>
    </cfRule>
  </conditionalFormatting>
  <conditionalFormatting sqref="F274:J275">
    <cfRule type="notContainsBlanks" dxfId="185" priority="391">
      <formula>LEN(TRIM(F274))&gt;0</formula>
    </cfRule>
  </conditionalFormatting>
  <conditionalFormatting sqref="F275:J275">
    <cfRule type="expression" dxfId="184" priority="398">
      <formula>$C263&lt;&gt;""</formula>
    </cfRule>
  </conditionalFormatting>
  <conditionalFormatting sqref="F279:J279 F280 F281:J282 C279">
    <cfRule type="containsBlanks" dxfId="183" priority="389">
      <formula>LEN(TRIM(C279))=0</formula>
    </cfRule>
  </conditionalFormatting>
  <conditionalFormatting sqref="F279:J279 F280 F281:J282">
    <cfRule type="expression" dxfId="182" priority="387">
      <formula>$F279&lt;&gt;$R279</formula>
    </cfRule>
  </conditionalFormatting>
  <conditionalFormatting sqref="F290:J290">
    <cfRule type="expression" dxfId="181" priority="390">
      <formula>$C279&lt;&gt;""</formula>
    </cfRule>
  </conditionalFormatting>
  <conditionalFormatting sqref="F290:J291">
    <cfRule type="notContainsBlanks" dxfId="180" priority="381">
      <formula>LEN(TRIM(F290))&gt;0</formula>
    </cfRule>
  </conditionalFormatting>
  <conditionalFormatting sqref="F291:J291">
    <cfRule type="expression" dxfId="179" priority="388">
      <formula>$C279&lt;&gt;""</formula>
    </cfRule>
  </conditionalFormatting>
  <conditionalFormatting sqref="F295:J295 F296 F297:J298 C295">
    <cfRule type="containsBlanks" dxfId="178" priority="379">
      <formula>LEN(TRIM(C295))=0</formula>
    </cfRule>
  </conditionalFormatting>
  <conditionalFormatting sqref="F295:J295 F296 F297:J298">
    <cfRule type="expression" dxfId="177" priority="377">
      <formula>$F295&lt;&gt;$R295</formula>
    </cfRule>
  </conditionalFormatting>
  <conditionalFormatting sqref="F306:J306">
    <cfRule type="expression" dxfId="176" priority="380">
      <formula>$C295&lt;&gt;""</formula>
    </cfRule>
  </conditionalFormatting>
  <conditionalFormatting sqref="F306:J307">
    <cfRule type="notContainsBlanks" dxfId="175" priority="371">
      <formula>LEN(TRIM(F306))&gt;0</formula>
    </cfRule>
  </conditionalFormatting>
  <conditionalFormatting sqref="F307:J307">
    <cfRule type="expression" dxfId="174" priority="378">
      <formula>$C295&lt;&gt;""</formula>
    </cfRule>
  </conditionalFormatting>
  <conditionalFormatting sqref="F311:J311 F312 F313:J314 C311">
    <cfRule type="containsBlanks" dxfId="173" priority="369">
      <formula>LEN(TRIM(C311))=0</formula>
    </cfRule>
  </conditionalFormatting>
  <conditionalFormatting sqref="F311:J311 F312 F313:J314">
    <cfRule type="expression" dxfId="172" priority="367">
      <formula>$F311&lt;&gt;$R311</formula>
    </cfRule>
  </conditionalFormatting>
  <conditionalFormatting sqref="F322:J322">
    <cfRule type="expression" dxfId="171" priority="370">
      <formula>$C311&lt;&gt;""</formula>
    </cfRule>
  </conditionalFormatting>
  <conditionalFormatting sqref="F322:J323">
    <cfRule type="notContainsBlanks" dxfId="170" priority="361">
      <formula>LEN(TRIM(F322))&gt;0</formula>
    </cfRule>
  </conditionalFormatting>
  <conditionalFormatting sqref="F323:J323">
    <cfRule type="expression" dxfId="169" priority="368">
      <formula>$C311&lt;&gt;""</formula>
    </cfRule>
  </conditionalFormatting>
  <conditionalFormatting sqref="F327:J327 F328 F329:J330 C327">
    <cfRule type="containsBlanks" dxfId="168" priority="359">
      <formula>LEN(TRIM(C327))=0</formula>
    </cfRule>
  </conditionalFormatting>
  <conditionalFormatting sqref="F327:J327 F328 F329:J330">
    <cfRule type="expression" dxfId="167" priority="357">
      <formula>$F327&lt;&gt;$R327</formula>
    </cfRule>
  </conditionalFormatting>
  <conditionalFormatting sqref="F338:J338">
    <cfRule type="expression" dxfId="166" priority="360">
      <formula>$C327&lt;&gt;""</formula>
    </cfRule>
  </conditionalFormatting>
  <conditionalFormatting sqref="F338:J339">
    <cfRule type="notContainsBlanks" dxfId="165" priority="351">
      <formula>LEN(TRIM(F338))&gt;0</formula>
    </cfRule>
  </conditionalFormatting>
  <conditionalFormatting sqref="F339:J339">
    <cfRule type="expression" dxfId="164" priority="358">
      <formula>$C327&lt;&gt;""</formula>
    </cfRule>
  </conditionalFormatting>
  <conditionalFormatting sqref="F343:J343 F344 F345:J346 C343">
    <cfRule type="containsBlanks" dxfId="163" priority="349">
      <formula>LEN(TRIM(C343))=0</formula>
    </cfRule>
  </conditionalFormatting>
  <conditionalFormatting sqref="F343:J343 F344 F345:J346">
    <cfRule type="expression" dxfId="162" priority="347">
      <formula>$F343&lt;&gt;$R343</formula>
    </cfRule>
  </conditionalFormatting>
  <conditionalFormatting sqref="F354:J354">
    <cfRule type="expression" dxfId="161" priority="350">
      <formula>$C343&lt;&gt;""</formula>
    </cfRule>
  </conditionalFormatting>
  <conditionalFormatting sqref="F354:J355">
    <cfRule type="notContainsBlanks" dxfId="160" priority="341">
      <formula>LEN(TRIM(F354))&gt;0</formula>
    </cfRule>
  </conditionalFormatting>
  <conditionalFormatting sqref="F355:J355">
    <cfRule type="expression" dxfId="159" priority="348">
      <formula>$C343&lt;&gt;""</formula>
    </cfRule>
  </conditionalFormatting>
  <conditionalFormatting sqref="F359:J359 F360 F361:J362 C359">
    <cfRule type="containsBlanks" dxfId="158" priority="339">
      <formula>LEN(TRIM(C359))=0</formula>
    </cfRule>
  </conditionalFormatting>
  <conditionalFormatting sqref="F359:J359 F360 F361:J362">
    <cfRule type="expression" dxfId="157" priority="337">
      <formula>$F359&lt;&gt;$R359</formula>
    </cfRule>
  </conditionalFormatting>
  <conditionalFormatting sqref="F370:J370">
    <cfRule type="expression" dxfId="156" priority="340">
      <formula>$C359&lt;&gt;""</formula>
    </cfRule>
  </conditionalFormatting>
  <conditionalFormatting sqref="F370:J371">
    <cfRule type="notContainsBlanks" dxfId="155" priority="331">
      <formula>LEN(TRIM(F370))&gt;0</formula>
    </cfRule>
  </conditionalFormatting>
  <conditionalFormatting sqref="F371:J371">
    <cfRule type="expression" dxfId="154" priority="338">
      <formula>$C359&lt;&gt;""</formula>
    </cfRule>
  </conditionalFormatting>
  <conditionalFormatting sqref="F375:J375 F376 F377:J378 C375">
    <cfRule type="containsBlanks" dxfId="153" priority="329">
      <formula>LEN(TRIM(C375))=0</formula>
    </cfRule>
  </conditionalFormatting>
  <conditionalFormatting sqref="F375:J375 F376 F377:J378">
    <cfRule type="expression" dxfId="152" priority="327">
      <formula>$F375&lt;&gt;$R375</formula>
    </cfRule>
  </conditionalFormatting>
  <conditionalFormatting sqref="F386:J386">
    <cfRule type="expression" dxfId="151" priority="330">
      <formula>$C375&lt;&gt;""</formula>
    </cfRule>
  </conditionalFormatting>
  <conditionalFormatting sqref="F386:J387">
    <cfRule type="notContainsBlanks" dxfId="150" priority="321">
      <formula>LEN(TRIM(F386))&gt;0</formula>
    </cfRule>
  </conditionalFormatting>
  <conditionalFormatting sqref="F387:J387">
    <cfRule type="expression" dxfId="149" priority="328">
      <formula>$C375&lt;&gt;""</formula>
    </cfRule>
  </conditionalFormatting>
  <conditionalFormatting sqref="F391:J391 F392 F393:J394 C391">
    <cfRule type="containsBlanks" dxfId="148" priority="319">
      <formula>LEN(TRIM(C391))=0</formula>
    </cfRule>
  </conditionalFormatting>
  <conditionalFormatting sqref="F391:J391 F392 F393:J394">
    <cfRule type="expression" dxfId="147" priority="317">
      <formula>$F391&lt;&gt;$R391</formula>
    </cfRule>
  </conditionalFormatting>
  <conditionalFormatting sqref="F402:J402">
    <cfRule type="expression" dxfId="146" priority="320">
      <formula>$C391&lt;&gt;""</formula>
    </cfRule>
  </conditionalFormatting>
  <conditionalFormatting sqref="F402:J403">
    <cfRule type="notContainsBlanks" dxfId="145" priority="311">
      <formula>LEN(TRIM(F402))&gt;0</formula>
    </cfRule>
  </conditionalFormatting>
  <conditionalFormatting sqref="F403:J403">
    <cfRule type="expression" dxfId="144" priority="318">
      <formula>$C391&lt;&gt;""</formula>
    </cfRule>
  </conditionalFormatting>
  <conditionalFormatting sqref="F407:J407 F408 F409:J410 C407">
    <cfRule type="containsBlanks" dxfId="143" priority="309">
      <formula>LEN(TRIM(C407))=0</formula>
    </cfRule>
  </conditionalFormatting>
  <conditionalFormatting sqref="F407:J407 F408 F409:J410">
    <cfRule type="expression" dxfId="142" priority="307">
      <formula>$F407&lt;&gt;$R407</formula>
    </cfRule>
  </conditionalFormatting>
  <conditionalFormatting sqref="F418:J418">
    <cfRule type="expression" dxfId="141" priority="310">
      <formula>$C407&lt;&gt;""</formula>
    </cfRule>
  </conditionalFormatting>
  <conditionalFormatting sqref="F418:J419">
    <cfRule type="notContainsBlanks" dxfId="140" priority="301">
      <formula>LEN(TRIM(F418))&gt;0</formula>
    </cfRule>
  </conditionalFormatting>
  <conditionalFormatting sqref="F419:J419">
    <cfRule type="expression" dxfId="139" priority="308">
      <formula>$C407&lt;&gt;""</formula>
    </cfRule>
  </conditionalFormatting>
  <conditionalFormatting sqref="F423:J423 F424 F425:J426 C423">
    <cfRule type="containsBlanks" dxfId="138" priority="299">
      <formula>LEN(TRIM(C423))=0</formula>
    </cfRule>
  </conditionalFormatting>
  <conditionalFormatting sqref="F423:J423 F424 F425:J426">
    <cfRule type="expression" dxfId="137" priority="297">
      <formula>$F423&lt;&gt;$R423</formula>
    </cfRule>
  </conditionalFormatting>
  <conditionalFormatting sqref="F434:J434">
    <cfRule type="expression" dxfId="136" priority="300">
      <formula>$C423&lt;&gt;""</formula>
    </cfRule>
  </conditionalFormatting>
  <conditionalFormatting sqref="F434:J435">
    <cfRule type="notContainsBlanks" dxfId="135" priority="291">
      <formula>LEN(TRIM(F434))&gt;0</formula>
    </cfRule>
  </conditionalFormatting>
  <conditionalFormatting sqref="F435:J435">
    <cfRule type="expression" dxfId="134" priority="298">
      <formula>$C423&lt;&gt;""</formula>
    </cfRule>
  </conditionalFormatting>
  <conditionalFormatting sqref="F439:J439 F440 F441:J442 C439">
    <cfRule type="containsBlanks" dxfId="133" priority="289">
      <formula>LEN(TRIM(C439))=0</formula>
    </cfRule>
  </conditionalFormatting>
  <conditionalFormatting sqref="F439:J439 F440 F441:J442">
    <cfRule type="expression" dxfId="132" priority="287">
      <formula>$F439&lt;&gt;$R439</formula>
    </cfRule>
  </conditionalFormatting>
  <conditionalFormatting sqref="F450:J450">
    <cfRule type="expression" dxfId="131" priority="290">
      <formula>$C439&lt;&gt;""</formula>
    </cfRule>
  </conditionalFormatting>
  <conditionalFormatting sqref="F450:J451">
    <cfRule type="notContainsBlanks" dxfId="130" priority="281">
      <formula>LEN(TRIM(F450))&gt;0</formula>
    </cfRule>
  </conditionalFormatting>
  <conditionalFormatting sqref="F451:J451">
    <cfRule type="expression" dxfId="129" priority="288">
      <formula>$C439&lt;&gt;""</formula>
    </cfRule>
  </conditionalFormatting>
  <conditionalFormatting sqref="F455:J455 F456 F457:J458 C455">
    <cfRule type="containsBlanks" dxfId="128" priority="279">
      <formula>LEN(TRIM(C455))=0</formula>
    </cfRule>
  </conditionalFormatting>
  <conditionalFormatting sqref="F455:J455 F456 F457:J458">
    <cfRule type="expression" dxfId="127" priority="277">
      <formula>$F455&lt;&gt;$R455</formula>
    </cfRule>
  </conditionalFormatting>
  <conditionalFormatting sqref="F466:J466">
    <cfRule type="expression" dxfId="126" priority="280">
      <formula>$C455&lt;&gt;""</formula>
    </cfRule>
  </conditionalFormatting>
  <conditionalFormatting sqref="F466:J467">
    <cfRule type="notContainsBlanks" dxfId="125" priority="271">
      <formula>LEN(TRIM(F466))&gt;0</formula>
    </cfRule>
  </conditionalFormatting>
  <conditionalFormatting sqref="F467:J467">
    <cfRule type="expression" dxfId="124" priority="278">
      <formula>$C455&lt;&gt;""</formula>
    </cfRule>
  </conditionalFormatting>
  <conditionalFormatting sqref="F471:J471 F472 F473:J474 C471">
    <cfRule type="containsBlanks" dxfId="123" priority="269">
      <formula>LEN(TRIM(C471))=0</formula>
    </cfRule>
  </conditionalFormatting>
  <conditionalFormatting sqref="F471:J471 F472 F473:J474">
    <cfRule type="expression" dxfId="122" priority="267">
      <formula>$F471&lt;&gt;$R471</formula>
    </cfRule>
  </conditionalFormatting>
  <conditionalFormatting sqref="F482:J482">
    <cfRule type="expression" dxfId="121" priority="270">
      <formula>$C471&lt;&gt;""</formula>
    </cfRule>
  </conditionalFormatting>
  <conditionalFormatting sqref="F482:J483">
    <cfRule type="notContainsBlanks" dxfId="120" priority="261">
      <formula>LEN(TRIM(F482))&gt;0</formula>
    </cfRule>
  </conditionalFormatting>
  <conditionalFormatting sqref="F483:J483">
    <cfRule type="expression" dxfId="119" priority="268">
      <formula>$C471&lt;&gt;""</formula>
    </cfRule>
  </conditionalFormatting>
  <conditionalFormatting sqref="F487:J487 F488 F489:J490 C487">
    <cfRule type="containsBlanks" dxfId="118" priority="259">
      <formula>LEN(TRIM(C487))=0</formula>
    </cfRule>
  </conditionalFormatting>
  <conditionalFormatting sqref="F487:J487 F488 F489:J490">
    <cfRule type="expression" dxfId="117" priority="257">
      <formula>$F487&lt;&gt;$R487</formula>
    </cfRule>
  </conditionalFormatting>
  <conditionalFormatting sqref="F498:J498">
    <cfRule type="expression" dxfId="116" priority="260">
      <formula>$C487&lt;&gt;""</formula>
    </cfRule>
  </conditionalFormatting>
  <conditionalFormatting sqref="F498:J499">
    <cfRule type="notContainsBlanks" dxfId="115" priority="251">
      <formula>LEN(TRIM(F498))&gt;0</formula>
    </cfRule>
  </conditionalFormatting>
  <conditionalFormatting sqref="F499:J499">
    <cfRule type="expression" dxfId="114" priority="258">
      <formula>$C487&lt;&gt;""</formula>
    </cfRule>
  </conditionalFormatting>
  <conditionalFormatting sqref="F503:J503 F504 F505:J506 C503">
    <cfRule type="containsBlanks" dxfId="113" priority="249">
      <formula>LEN(TRIM(C503))=0</formula>
    </cfRule>
  </conditionalFormatting>
  <conditionalFormatting sqref="F503:J503 F504 F505:J506">
    <cfRule type="expression" dxfId="112" priority="247">
      <formula>$F503&lt;&gt;$R503</formula>
    </cfRule>
  </conditionalFormatting>
  <conditionalFormatting sqref="F514:J514">
    <cfRule type="expression" dxfId="111" priority="250">
      <formula>$C503&lt;&gt;""</formula>
    </cfRule>
  </conditionalFormatting>
  <conditionalFormatting sqref="F514:J515">
    <cfRule type="notContainsBlanks" dxfId="110" priority="241">
      <formula>LEN(TRIM(F514))&gt;0</formula>
    </cfRule>
  </conditionalFormatting>
  <conditionalFormatting sqref="F515:J515">
    <cfRule type="expression" dxfId="109" priority="248">
      <formula>$C503&lt;&gt;""</formula>
    </cfRule>
  </conditionalFormatting>
  <conditionalFormatting sqref="F519:J519 F520 F521:J522 C519">
    <cfRule type="containsBlanks" dxfId="108" priority="239">
      <formula>LEN(TRIM(C519))=0</formula>
    </cfRule>
  </conditionalFormatting>
  <conditionalFormatting sqref="F519:J519 F520 F521:J522">
    <cfRule type="expression" dxfId="107" priority="237">
      <formula>$F519&lt;&gt;$R519</formula>
    </cfRule>
  </conditionalFormatting>
  <conditionalFormatting sqref="F530:J530">
    <cfRule type="expression" dxfId="106" priority="240">
      <formula>$C519&lt;&gt;""</formula>
    </cfRule>
  </conditionalFormatting>
  <conditionalFormatting sqref="F530:J531">
    <cfRule type="notContainsBlanks" dxfId="105" priority="231">
      <formula>LEN(TRIM(F530))&gt;0</formula>
    </cfRule>
  </conditionalFormatting>
  <conditionalFormatting sqref="F531:J531">
    <cfRule type="expression" dxfId="104" priority="238">
      <formula>$C519&lt;&gt;""</formula>
    </cfRule>
  </conditionalFormatting>
  <conditionalFormatting sqref="F535:J535 F536 F537:J538 C535">
    <cfRule type="containsBlanks" dxfId="103" priority="229">
      <formula>LEN(TRIM(C535))=0</formula>
    </cfRule>
  </conditionalFormatting>
  <conditionalFormatting sqref="F535:J535 F536 F537:J538">
    <cfRule type="expression" dxfId="102" priority="227">
      <formula>$F535&lt;&gt;$R535</formula>
    </cfRule>
  </conditionalFormatting>
  <conditionalFormatting sqref="F546:J546">
    <cfRule type="expression" dxfId="101" priority="230">
      <formula>$C535&lt;&gt;""</formula>
    </cfRule>
  </conditionalFormatting>
  <conditionalFormatting sqref="F546:J547">
    <cfRule type="notContainsBlanks" dxfId="100" priority="221">
      <formula>LEN(TRIM(F546))&gt;0</formula>
    </cfRule>
  </conditionalFormatting>
  <conditionalFormatting sqref="F547:J547">
    <cfRule type="expression" dxfId="99" priority="228">
      <formula>$C535&lt;&gt;""</formula>
    </cfRule>
  </conditionalFormatting>
  <conditionalFormatting sqref="F551:J551 F552 F553:J554 C551">
    <cfRule type="containsBlanks" dxfId="98" priority="219">
      <formula>LEN(TRIM(C551))=0</formula>
    </cfRule>
  </conditionalFormatting>
  <conditionalFormatting sqref="F551:J551 F552 F553:J554">
    <cfRule type="expression" dxfId="97" priority="217">
      <formula>$F551&lt;&gt;$R551</formula>
    </cfRule>
  </conditionalFormatting>
  <conditionalFormatting sqref="F562:J562">
    <cfRule type="expression" dxfId="96" priority="220">
      <formula>$C551&lt;&gt;""</formula>
    </cfRule>
  </conditionalFormatting>
  <conditionalFormatting sqref="F562:J563">
    <cfRule type="notContainsBlanks" dxfId="95" priority="211">
      <formula>LEN(TRIM(F562))&gt;0</formula>
    </cfRule>
  </conditionalFormatting>
  <conditionalFormatting sqref="F563:J563">
    <cfRule type="expression" dxfId="94" priority="218">
      <formula>$C551&lt;&gt;""</formula>
    </cfRule>
  </conditionalFormatting>
  <conditionalFormatting sqref="F567:J567 F568 F569:J570 C567">
    <cfRule type="containsBlanks" dxfId="93" priority="209">
      <formula>LEN(TRIM(C567))=0</formula>
    </cfRule>
  </conditionalFormatting>
  <conditionalFormatting sqref="F567:J567 F568 F569:J570">
    <cfRule type="expression" dxfId="92" priority="207">
      <formula>$F567&lt;&gt;$R567</formula>
    </cfRule>
  </conditionalFormatting>
  <conditionalFormatting sqref="F578:J578">
    <cfRule type="expression" dxfId="91" priority="210">
      <formula>$C567&lt;&gt;""</formula>
    </cfRule>
  </conditionalFormatting>
  <conditionalFormatting sqref="F578:J579">
    <cfRule type="notContainsBlanks" dxfId="90" priority="201">
      <formula>LEN(TRIM(F578))&gt;0</formula>
    </cfRule>
  </conditionalFormatting>
  <conditionalFormatting sqref="F579:J579">
    <cfRule type="expression" dxfId="89" priority="208">
      <formula>$C567&lt;&gt;""</formula>
    </cfRule>
  </conditionalFormatting>
  <conditionalFormatting sqref="F583:J583 F584 F585:J586 C583">
    <cfRule type="containsBlanks" dxfId="88" priority="199">
      <formula>LEN(TRIM(C583))=0</formula>
    </cfRule>
  </conditionalFormatting>
  <conditionalFormatting sqref="F583:J583 F584 F585:J586">
    <cfRule type="expression" dxfId="87" priority="197">
      <formula>$F583&lt;&gt;$R583</formula>
    </cfRule>
  </conditionalFormatting>
  <conditionalFormatting sqref="F594:J594">
    <cfRule type="expression" dxfId="86" priority="200">
      <formula>$C583&lt;&gt;""</formula>
    </cfRule>
  </conditionalFormatting>
  <conditionalFormatting sqref="F594:J595">
    <cfRule type="notContainsBlanks" dxfId="85" priority="191">
      <formula>LEN(TRIM(F594))&gt;0</formula>
    </cfRule>
  </conditionalFormatting>
  <conditionalFormatting sqref="F595:J595">
    <cfRule type="expression" dxfId="84" priority="198">
      <formula>$C583&lt;&gt;""</formula>
    </cfRule>
  </conditionalFormatting>
  <conditionalFormatting sqref="F599:J599 F600 F601:J602 C599">
    <cfRule type="containsBlanks" dxfId="83" priority="189">
      <formula>LEN(TRIM(C599))=0</formula>
    </cfRule>
  </conditionalFormatting>
  <conditionalFormatting sqref="F599:J599 F600 F601:J602">
    <cfRule type="expression" dxfId="82" priority="187">
      <formula>$F599&lt;&gt;$R599</formula>
    </cfRule>
  </conditionalFormatting>
  <conditionalFormatting sqref="F610:J610">
    <cfRule type="expression" dxfId="81" priority="190">
      <formula>$C599&lt;&gt;""</formula>
    </cfRule>
  </conditionalFormatting>
  <conditionalFormatting sqref="F610:J611">
    <cfRule type="notContainsBlanks" dxfId="80" priority="181">
      <formula>LEN(TRIM(F610))&gt;0</formula>
    </cfRule>
  </conditionalFormatting>
  <conditionalFormatting sqref="F611:J611">
    <cfRule type="expression" dxfId="79" priority="188">
      <formula>$C599&lt;&gt;""</formula>
    </cfRule>
  </conditionalFormatting>
  <conditionalFormatting sqref="F615:J615 F616 F617:J618 C615">
    <cfRule type="containsBlanks" dxfId="78" priority="179">
      <formula>LEN(TRIM(C615))=0</formula>
    </cfRule>
  </conditionalFormatting>
  <conditionalFormatting sqref="F615:J615 F616 F617:J618">
    <cfRule type="expression" dxfId="77" priority="177">
      <formula>$F615&lt;&gt;$R615</formula>
    </cfRule>
  </conditionalFormatting>
  <conditionalFormatting sqref="F626:J626">
    <cfRule type="expression" dxfId="76" priority="180">
      <formula>$C615&lt;&gt;""</formula>
    </cfRule>
  </conditionalFormatting>
  <conditionalFormatting sqref="F626:J627">
    <cfRule type="notContainsBlanks" dxfId="75" priority="171">
      <formula>LEN(TRIM(F626))&gt;0</formula>
    </cfRule>
  </conditionalFormatting>
  <conditionalFormatting sqref="F627:J627">
    <cfRule type="expression" dxfId="74" priority="178">
      <formula>$C615&lt;&gt;""</formula>
    </cfRule>
  </conditionalFormatting>
  <conditionalFormatting sqref="F631:J631 F632 F633:J634 C631">
    <cfRule type="containsBlanks" dxfId="73" priority="169">
      <formula>LEN(TRIM(C631))=0</formula>
    </cfRule>
  </conditionalFormatting>
  <conditionalFormatting sqref="F631:J631 F632 F633:J634">
    <cfRule type="expression" dxfId="72" priority="167">
      <formula>$F631&lt;&gt;$R631</formula>
    </cfRule>
  </conditionalFormatting>
  <conditionalFormatting sqref="F642:J642">
    <cfRule type="expression" dxfId="71" priority="170">
      <formula>$C631&lt;&gt;""</formula>
    </cfRule>
  </conditionalFormatting>
  <conditionalFormatting sqref="F642:J643">
    <cfRule type="notContainsBlanks" dxfId="70" priority="161">
      <formula>LEN(TRIM(F642))&gt;0</formula>
    </cfRule>
  </conditionalFormatting>
  <conditionalFormatting sqref="F643:J643">
    <cfRule type="expression" dxfId="69" priority="168">
      <formula>$C631&lt;&gt;""</formula>
    </cfRule>
  </conditionalFormatting>
  <conditionalFormatting sqref="F647:J647 F648 F649:J650 C647">
    <cfRule type="containsBlanks" dxfId="68" priority="159">
      <formula>LEN(TRIM(C647))=0</formula>
    </cfRule>
  </conditionalFormatting>
  <conditionalFormatting sqref="F647:J647 F648 F649:J650">
    <cfRule type="expression" dxfId="67" priority="157">
      <formula>$F647&lt;&gt;$R647</formula>
    </cfRule>
  </conditionalFormatting>
  <conditionalFormatting sqref="F658:J658">
    <cfRule type="expression" dxfId="66" priority="160">
      <formula>$C647&lt;&gt;""</formula>
    </cfRule>
  </conditionalFormatting>
  <conditionalFormatting sqref="F658:J659">
    <cfRule type="notContainsBlanks" dxfId="65" priority="151">
      <formula>LEN(TRIM(F658))&gt;0</formula>
    </cfRule>
  </conditionalFormatting>
  <conditionalFormatting sqref="F659:J659">
    <cfRule type="expression" dxfId="64" priority="158">
      <formula>$C647&lt;&gt;""</formula>
    </cfRule>
  </conditionalFormatting>
  <conditionalFormatting sqref="F663:J663 F664 F665:J666 C663">
    <cfRule type="containsBlanks" dxfId="63" priority="149">
      <formula>LEN(TRIM(C663))=0</formula>
    </cfRule>
  </conditionalFormatting>
  <conditionalFormatting sqref="F663:J663 F664 F665:J666">
    <cfRule type="expression" dxfId="62" priority="147">
      <formula>$F663&lt;&gt;$R663</formula>
    </cfRule>
  </conditionalFormatting>
  <conditionalFormatting sqref="F674:J674">
    <cfRule type="expression" dxfId="61" priority="150">
      <formula>$C663&lt;&gt;""</formula>
    </cfRule>
  </conditionalFormatting>
  <conditionalFormatting sqref="F674:J675">
    <cfRule type="notContainsBlanks" dxfId="60" priority="141">
      <formula>LEN(TRIM(F674))&gt;0</formula>
    </cfRule>
  </conditionalFormatting>
  <conditionalFormatting sqref="F675:J675">
    <cfRule type="expression" dxfId="59" priority="148">
      <formula>$C663&lt;&gt;""</formula>
    </cfRule>
  </conditionalFormatting>
  <conditionalFormatting sqref="F679:J679 F680 F681:J682 C679">
    <cfRule type="containsBlanks" dxfId="58" priority="139">
      <formula>LEN(TRIM(C679))=0</formula>
    </cfRule>
  </conditionalFormatting>
  <conditionalFormatting sqref="F679:J679 F680 F681:J682">
    <cfRule type="expression" dxfId="57" priority="137">
      <formula>$F679&lt;&gt;$R679</formula>
    </cfRule>
  </conditionalFormatting>
  <conditionalFormatting sqref="F690:J690">
    <cfRule type="expression" dxfId="56" priority="140">
      <formula>$C679&lt;&gt;""</formula>
    </cfRule>
  </conditionalFormatting>
  <conditionalFormatting sqref="F690:J691">
    <cfRule type="notContainsBlanks" dxfId="55" priority="131">
      <formula>LEN(TRIM(F690))&gt;0</formula>
    </cfRule>
  </conditionalFormatting>
  <conditionalFormatting sqref="F691:J691">
    <cfRule type="expression" dxfId="54" priority="138">
      <formula>$C679&lt;&gt;""</formula>
    </cfRule>
  </conditionalFormatting>
  <conditionalFormatting sqref="F695:J695 F696 F697:J698 C695">
    <cfRule type="containsBlanks" dxfId="53" priority="129">
      <formula>LEN(TRIM(C695))=0</formula>
    </cfRule>
  </conditionalFormatting>
  <conditionalFormatting sqref="F695:J695 F696 F697:J698">
    <cfRule type="expression" dxfId="52" priority="127">
      <formula>$F695&lt;&gt;$R695</formula>
    </cfRule>
  </conditionalFormatting>
  <conditionalFormatting sqref="F706:J706">
    <cfRule type="expression" dxfId="51" priority="130">
      <formula>$C695&lt;&gt;""</formula>
    </cfRule>
  </conditionalFormatting>
  <conditionalFormatting sqref="F706:J707">
    <cfRule type="notContainsBlanks" dxfId="50" priority="121">
      <formula>LEN(TRIM(F706))&gt;0</formula>
    </cfRule>
  </conditionalFormatting>
  <conditionalFormatting sqref="F707:J707">
    <cfRule type="expression" dxfId="49" priority="128">
      <formula>$C695&lt;&gt;""</formula>
    </cfRule>
  </conditionalFormatting>
  <conditionalFormatting sqref="F711:J711 F712 F713:J714 C711">
    <cfRule type="containsBlanks" dxfId="48" priority="119">
      <formula>LEN(TRIM(C711))=0</formula>
    </cfRule>
  </conditionalFormatting>
  <conditionalFormatting sqref="F711:J711 F712 F713:J714">
    <cfRule type="expression" dxfId="47" priority="117">
      <formula>$F711&lt;&gt;$R711</formula>
    </cfRule>
  </conditionalFormatting>
  <conditionalFormatting sqref="F722:J722">
    <cfRule type="expression" dxfId="46" priority="120">
      <formula>$C711&lt;&gt;""</formula>
    </cfRule>
  </conditionalFormatting>
  <conditionalFormatting sqref="F722:J723">
    <cfRule type="notContainsBlanks" dxfId="45" priority="111">
      <formula>LEN(TRIM(F722))&gt;0</formula>
    </cfRule>
  </conditionalFormatting>
  <conditionalFormatting sqref="F723:J723">
    <cfRule type="expression" dxfId="44" priority="118">
      <formula>$C711&lt;&gt;""</formula>
    </cfRule>
  </conditionalFormatting>
  <conditionalFormatting sqref="F727:J727 F728 F729:J730 C727">
    <cfRule type="containsBlanks" dxfId="43" priority="109">
      <formula>LEN(TRIM(C727))=0</formula>
    </cfRule>
  </conditionalFormatting>
  <conditionalFormatting sqref="F727:J727 F728 F729:J730">
    <cfRule type="expression" dxfId="42" priority="107">
      <formula>$F727&lt;&gt;$R727</formula>
    </cfRule>
  </conditionalFormatting>
  <conditionalFormatting sqref="F738:J738">
    <cfRule type="expression" dxfId="41" priority="110">
      <formula>$C727&lt;&gt;""</formula>
    </cfRule>
  </conditionalFormatting>
  <conditionalFormatting sqref="F738:J739">
    <cfRule type="notContainsBlanks" dxfId="40" priority="101">
      <formula>LEN(TRIM(F738))&gt;0</formula>
    </cfRule>
  </conditionalFormatting>
  <conditionalFormatting sqref="F739:J739">
    <cfRule type="expression" dxfId="39" priority="108">
      <formula>$C727&lt;&gt;""</formula>
    </cfRule>
  </conditionalFormatting>
  <conditionalFormatting sqref="F743:J743 F744 F745:J746 C743">
    <cfRule type="containsBlanks" dxfId="38" priority="99">
      <formula>LEN(TRIM(C743))=0</formula>
    </cfRule>
  </conditionalFormatting>
  <conditionalFormatting sqref="F743:J743 F744 F745:J746">
    <cfRule type="expression" dxfId="37" priority="97">
      <formula>$F743&lt;&gt;$R743</formula>
    </cfRule>
  </conditionalFormatting>
  <conditionalFormatting sqref="F754:J754">
    <cfRule type="expression" dxfId="36" priority="100">
      <formula>$C743&lt;&gt;""</formula>
    </cfRule>
  </conditionalFormatting>
  <conditionalFormatting sqref="F754:J755">
    <cfRule type="notContainsBlanks" dxfId="35" priority="91">
      <formula>LEN(TRIM(F754))&gt;0</formula>
    </cfRule>
  </conditionalFormatting>
  <conditionalFormatting sqref="F755:J755">
    <cfRule type="expression" dxfId="34" priority="98">
      <formula>$C743&lt;&gt;""</formula>
    </cfRule>
  </conditionalFormatting>
  <conditionalFormatting sqref="F759:J759 F760 F761:J762 C759">
    <cfRule type="containsBlanks" dxfId="33" priority="89">
      <formula>LEN(TRIM(C759))=0</formula>
    </cfRule>
  </conditionalFormatting>
  <conditionalFormatting sqref="F759:J759 F760 F761:J762">
    <cfRule type="expression" dxfId="32" priority="87">
      <formula>$F759&lt;&gt;$R759</formula>
    </cfRule>
  </conditionalFormatting>
  <conditionalFormatting sqref="F770:J770">
    <cfRule type="expression" dxfId="31" priority="90">
      <formula>$C759&lt;&gt;""</formula>
    </cfRule>
  </conditionalFormatting>
  <conditionalFormatting sqref="F770:J771">
    <cfRule type="notContainsBlanks" dxfId="30" priority="81">
      <formula>LEN(TRIM(F770))&gt;0</formula>
    </cfRule>
  </conditionalFormatting>
  <conditionalFormatting sqref="F771:J771">
    <cfRule type="expression" dxfId="29" priority="88">
      <formula>$C759&lt;&gt;""</formula>
    </cfRule>
  </conditionalFormatting>
  <conditionalFormatting sqref="F775:J775 F776 F777:J778 C775">
    <cfRule type="containsBlanks" dxfId="28" priority="79">
      <formula>LEN(TRIM(C775))=0</formula>
    </cfRule>
  </conditionalFormatting>
  <conditionalFormatting sqref="F775:J775 F776 F777:J778">
    <cfRule type="expression" dxfId="27" priority="77">
      <formula>$F775&lt;&gt;$R775</formula>
    </cfRule>
  </conditionalFormatting>
  <conditionalFormatting sqref="F786:J786">
    <cfRule type="expression" dxfId="26" priority="80">
      <formula>$C775&lt;&gt;""</formula>
    </cfRule>
  </conditionalFormatting>
  <conditionalFormatting sqref="F786:J787">
    <cfRule type="notContainsBlanks" dxfId="25" priority="71">
      <formula>LEN(TRIM(F786))&gt;0</formula>
    </cfRule>
  </conditionalFormatting>
  <conditionalFormatting sqref="F787:J787">
    <cfRule type="expression" dxfId="24" priority="78">
      <formula>$C775&lt;&gt;""</formula>
    </cfRule>
  </conditionalFormatting>
  <conditionalFormatting sqref="F791:J791 F792 F793:J794 C791">
    <cfRule type="containsBlanks" dxfId="23" priority="69">
      <formula>LEN(TRIM(C791))=0</formula>
    </cfRule>
  </conditionalFormatting>
  <conditionalFormatting sqref="F791:J791 F792 F793:J794">
    <cfRule type="expression" dxfId="22" priority="67">
      <formula>$F791&lt;&gt;$R791</formula>
    </cfRule>
  </conditionalFormatting>
  <conditionalFormatting sqref="F802:J802">
    <cfRule type="expression" dxfId="21" priority="70">
      <formula>$C791&lt;&gt;""</formula>
    </cfRule>
  </conditionalFormatting>
  <conditionalFormatting sqref="F802:J803">
    <cfRule type="notContainsBlanks" dxfId="20" priority="61">
      <formula>LEN(TRIM(F802))&gt;0</formula>
    </cfRule>
  </conditionalFormatting>
  <conditionalFormatting sqref="F803:J803">
    <cfRule type="expression" dxfId="19" priority="68">
      <formula>$C791&lt;&gt;""</formula>
    </cfRule>
  </conditionalFormatting>
  <dataValidations count="2">
    <dataValidation type="list" allowBlank="1" showInputMessage="1" showErrorMessage="1" sqref="F12:I15 F28:I31 F44:I47 F60:I63 F76:I79 F92:I95 F108:I111 F124:I127 F140:I143 F156:I159 F172:I175 F188:I191 F204:I207 F220:I223 F236:I239 F252:I255 F268:I271 F284:I287 F300:I303 F316:I319 F332:I335 F348:I351 F364:I367 F380:I383 F396:I399 F412:I415 F428:I431 F444:I447 F460:I463 F476:I479 F492:I495 F508:I511 F524:I527 F540:I543 F556:I559 F572:I575 F588:I591 F604:I607 F620:I623 F636:I639 F652:I655 F668:I671 F684:I687 F700:I703 F716:I719 F732:I735 F748:I751 F764:I767 F780:I783 F796:I799" xr:uid="{2472DFF8-C6F5-4928-BA04-C9BE42C53118}">
      <formula1>"未実施,実施中,実施済"</formula1>
    </dataValidation>
    <dataValidation type="list" allowBlank="1" showInputMessage="1" showErrorMessage="1" sqref="J12:J15 J28:J31 J44:J47 J60:J63 J76:J79 J92:J95 J108:J111 J124:J127 J140:J143 J156:J159 J172:J175 J188:J191 J204:J207 J220:J223 J236:J239 J252:J255 J268:J271 J284:J287 J300:J303 J316:J319 J332:J335 J348:J351 J364:J367 J380:J383 J396:J399 J412:J415 J428:J431 J444:J447 J460:J463 J476:J479 J492:J495 J508:J511 J524:J527 J540:J543 J556:J559 J572:J575 J588:J591 J604:J607 J620:J623 J636:J639 J652:J655 J668:J671 J684:J687 J700:J703 J716:J719 J732:J735 J748:J751 J764:J767 J780:J783 J796:J799" xr:uid="{553FEF1E-D8D8-4056-B88B-E6573B0CF897}">
      <formula1>"未完了,完了"</formula1>
    </dataValidation>
  </dataValidations>
  <pageMargins left="0.7" right="0.7" top="0.75" bottom="0.75" header="0.3" footer="0.3"/>
  <pageSetup paperSize="9" scale="54" fitToHeight="0" orientation="portrait" r:id="rId1"/>
  <colBreaks count="1" manualBreakCount="1">
    <brk id="19" max="1048575" man="1"/>
  </colBreaks>
  <customProperties>
    <customPr name="EpmWorksheetKeyString_GUID" r:id="rId2"/>
  </customProperties>
  <ignoredErrors>
    <ignoredError sqref="R6:R7 F9:F10 R10 R12" unlockedFormula="1"/>
  </ignoredErrors>
  <drawing r:id="rId3"/>
  <extLst>
    <ext xmlns:x14="http://schemas.microsoft.com/office/spreadsheetml/2009/9/main" uri="{CCE6A557-97BC-4b89-ADB6-D9C93CAAB3DF}">
      <x14:dataValidations xmlns:xm="http://schemas.microsoft.com/office/excel/2006/main" count="1">
        <x14:dataValidation type="list" showInputMessage="1" xr:uid="{589A2673-5FE3-4290-97C7-D24C054055D6}">
          <x14:formula1>
            <xm:f>IF('4.3民生部門電力以外の排出削減取組'!$V$2=1,OFFSET('4.3民生部門電力以外の排出削減取組'!$V$5,1,0,'4.3民生部門電力以外の排出削減取組'!$V$3,1),OFFSET('4.3民生部門電力以外の排出削減取組'!$T$5,1,0,'4.3民生部門電力以外の排出削減取組'!$T$3,1))</xm:f>
          </x14:formula1>
          <xm:sqref>D7:D8 D23:D24 D39:D40 D55:D56 D71:D72 D87:D88 D103:D104 D119:D120 D135:D136 D151:D152 D167:D168 D183:D184 D199:D200 D215:D216 D231:D232 D247:D248 D263:D264 D279:D280 D295:D296 D311:D312 D327:D328 D343:D344 D359:D360 D375:D376 D391:D392 D407:D408 D423:D424 D439:D440 D455:D456 D471:D472 D487:D488 D503:D504 D519:D520 D535:D536 D551:D552 D567:D568 D583:D584 D599:D600 D615:D616 D631:D632 D647:D648 D663:D664 D679:D680 D695:D696 D711:D712 D727:D728 D743:D744 D759:D760 D775:D776 D791:D792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52CA-C8C6-4794-B379-D41E95ECBF6B}">
  <sheetPr codeName="Sheet24">
    <tabColor theme="7" tint="0.79998168889431442"/>
    <pageSetUpPr autoPageBreaks="0"/>
  </sheetPr>
  <dimension ref="A1:Z54"/>
  <sheetViews>
    <sheetView showGridLines="0" zoomScale="55" zoomScaleNormal="55" zoomScaleSheetLayoutView="93" workbookViewId="0"/>
  </sheetViews>
  <sheetFormatPr defaultColWidth="9" defaultRowHeight="18"/>
  <cols>
    <col min="1" max="1" width="3.75" customWidth="1"/>
    <col min="2" max="2" width="3.33203125" customWidth="1"/>
    <col min="3" max="3" width="7.83203125" customWidth="1"/>
    <col min="4" max="4" width="34.58203125" customWidth="1"/>
    <col min="5" max="5" width="11.75" customWidth="1"/>
    <col min="6" max="13" width="13.5" customWidth="1"/>
    <col min="14" max="14" width="45.83203125" customWidth="1"/>
    <col min="15" max="17" width="24.83203125" customWidth="1"/>
    <col min="18" max="18" width="2.33203125" customWidth="1"/>
    <col min="19" max="19" width="7.08203125" customWidth="1"/>
    <col min="20" max="20" width="7.08203125" hidden="1" customWidth="1"/>
    <col min="21" max="26" width="14.25" hidden="1" customWidth="1"/>
  </cols>
  <sheetData>
    <row r="1" spans="1:26">
      <c r="A1" s="691" t="s">
        <v>603</v>
      </c>
      <c r="B1" s="13"/>
      <c r="C1" s="13"/>
      <c r="D1" s="13"/>
      <c r="E1" s="13"/>
      <c r="F1" s="13"/>
      <c r="G1" s="13"/>
      <c r="H1" s="13"/>
      <c r="I1" s="13"/>
      <c r="J1" s="13"/>
      <c r="Q1" s="13"/>
    </row>
    <row r="2" spans="1:26">
      <c r="A2" s="13" t="s">
        <v>478</v>
      </c>
      <c r="B2" s="13"/>
      <c r="C2" s="13"/>
      <c r="D2" s="13"/>
      <c r="E2" s="13"/>
      <c r="F2" s="13"/>
      <c r="G2" s="13"/>
      <c r="H2" s="13"/>
      <c r="I2" s="13"/>
      <c r="J2" s="13"/>
      <c r="Q2" s="13"/>
    </row>
    <row r="3" spans="1:26">
      <c r="A3" s="13" t="s">
        <v>362</v>
      </c>
      <c r="B3" s="13"/>
      <c r="C3" s="13"/>
      <c r="D3" s="13"/>
      <c r="E3" s="13"/>
      <c r="F3" s="13"/>
      <c r="G3" s="13"/>
      <c r="H3" s="13"/>
      <c r="I3" s="13"/>
      <c r="J3" s="13"/>
      <c r="Q3" s="13"/>
    </row>
    <row r="5" spans="1:26" ht="15" customHeight="1">
      <c r="A5" s="13"/>
      <c r="B5" s="14"/>
      <c r="C5" s="15"/>
      <c r="D5" s="15"/>
      <c r="E5" s="15"/>
      <c r="F5" s="15"/>
      <c r="G5" s="15"/>
      <c r="H5" s="15"/>
      <c r="I5" s="15"/>
      <c r="J5" s="15"/>
      <c r="K5" s="15"/>
      <c r="L5" s="15"/>
      <c r="M5" s="15"/>
      <c r="N5" s="15"/>
      <c r="O5" s="15"/>
      <c r="P5" s="15"/>
      <c r="Q5" s="15"/>
      <c r="R5" s="30"/>
      <c r="S5" s="13"/>
      <c r="T5" s="13"/>
    </row>
    <row r="6" spans="1:26" ht="23.25" customHeight="1">
      <c r="A6" s="28"/>
      <c r="B6" s="16"/>
      <c r="C6" s="415" t="s">
        <v>604</v>
      </c>
      <c r="D6" s="416"/>
      <c r="E6" s="183"/>
      <c r="F6" s="184"/>
      <c r="G6" s="184"/>
      <c r="H6" s="184"/>
      <c r="I6" s="184"/>
      <c r="J6" s="184"/>
      <c r="K6" s="184"/>
      <c r="L6" s="184"/>
      <c r="M6" s="184"/>
      <c r="N6" s="183"/>
      <c r="O6" s="184"/>
      <c r="P6" s="184"/>
      <c r="Q6" s="183"/>
      <c r="R6" s="19"/>
      <c r="S6" s="13"/>
      <c r="T6" s="13"/>
    </row>
    <row r="7" spans="1:26" ht="23.25" customHeight="1">
      <c r="A7" s="28"/>
      <c r="B7" s="16"/>
      <c r="C7" s="253"/>
      <c r="D7" s="390"/>
      <c r="E7" s="391"/>
      <c r="F7" s="392" t="s">
        <v>28</v>
      </c>
      <c r="G7" s="393"/>
      <c r="H7" s="393"/>
      <c r="I7" s="393"/>
      <c r="J7" s="393"/>
      <c r="K7" s="393"/>
      <c r="L7" s="393"/>
      <c r="M7" s="393"/>
      <c r="N7" s="394"/>
      <c r="O7" s="395"/>
      <c r="P7" s="395"/>
      <c r="Q7" s="253"/>
      <c r="R7" s="19"/>
      <c r="S7" s="13"/>
      <c r="T7" t="s">
        <v>314</v>
      </c>
    </row>
    <row r="8" spans="1:26" ht="23.25" customHeight="1">
      <c r="A8" s="28"/>
      <c r="B8" s="16"/>
      <c r="C8" s="396"/>
      <c r="D8" s="397"/>
      <c r="E8" s="233"/>
      <c r="F8" s="1459" t="s">
        <v>32</v>
      </c>
      <c r="G8" s="1459"/>
      <c r="H8" s="1459" t="s">
        <v>33</v>
      </c>
      <c r="I8" s="1459"/>
      <c r="J8" s="1462" t="s">
        <v>86</v>
      </c>
      <c r="K8" s="1462"/>
      <c r="L8" s="1459" t="s">
        <v>35</v>
      </c>
      <c r="M8" s="1459"/>
      <c r="N8" s="398"/>
      <c r="O8" s="913" t="s">
        <v>596</v>
      </c>
      <c r="P8" s="912" t="s">
        <v>595</v>
      </c>
      <c r="Q8" s="396" t="s">
        <v>600</v>
      </c>
      <c r="R8" s="19"/>
      <c r="S8" s="13"/>
      <c r="T8" s="13"/>
    </row>
    <row r="9" spans="1:26" ht="53.25" customHeight="1">
      <c r="A9" s="28"/>
      <c r="B9" s="16"/>
      <c r="C9" s="400"/>
      <c r="D9" s="401" t="s">
        <v>30</v>
      </c>
      <c r="E9" s="402" t="s">
        <v>31</v>
      </c>
      <c r="F9" s="403" t="s">
        <v>143</v>
      </c>
      <c r="G9" s="403" t="s">
        <v>144</v>
      </c>
      <c r="H9" s="403" t="s">
        <v>143</v>
      </c>
      <c r="I9" s="403" t="s">
        <v>144</v>
      </c>
      <c r="J9" s="403" t="s">
        <v>143</v>
      </c>
      <c r="K9" s="403" t="s">
        <v>144</v>
      </c>
      <c r="L9" s="403" t="s">
        <v>143</v>
      </c>
      <c r="M9" s="403" t="s">
        <v>144</v>
      </c>
      <c r="N9" s="404" t="s">
        <v>230</v>
      </c>
      <c r="O9" s="400" t="s">
        <v>597</v>
      </c>
      <c r="P9" s="400" t="s">
        <v>598</v>
      </c>
      <c r="Q9" s="400" t="s">
        <v>599</v>
      </c>
      <c r="R9" s="19"/>
      <c r="S9" s="13"/>
      <c r="T9" s="407" t="s">
        <v>305</v>
      </c>
      <c r="U9" s="363" t="s">
        <v>32</v>
      </c>
      <c r="V9" s="363" t="s">
        <v>33</v>
      </c>
      <c r="W9" s="363" t="s">
        <v>86</v>
      </c>
      <c r="X9" s="363" t="s">
        <v>35</v>
      </c>
      <c r="Y9" s="364" t="s">
        <v>601</v>
      </c>
      <c r="Z9" s="364" t="s">
        <v>602</v>
      </c>
    </row>
    <row r="10" spans="1:26">
      <c r="A10" s="28"/>
      <c r="B10" s="16"/>
      <c r="C10" s="419" t="s">
        <v>479</v>
      </c>
      <c r="D10" s="174"/>
      <c r="E10" s="627"/>
      <c r="F10" s="628"/>
      <c r="G10" s="628"/>
      <c r="H10" s="628"/>
      <c r="I10" s="628"/>
      <c r="J10" s="628"/>
      <c r="K10" s="628"/>
      <c r="L10" s="628"/>
      <c r="M10" s="628"/>
      <c r="N10" s="668"/>
      <c r="O10" s="669" t="str">
        <f t="shared" ref="O10" si="0">IF(SUM(F10:M10)=0,"",SUM(F10:M10))</f>
        <v/>
      </c>
      <c r="P10" s="628"/>
      <c r="Q10" s="627"/>
      <c r="R10" s="19"/>
      <c r="S10" s="13"/>
      <c r="T10" s="407">
        <f>ROW()-9</f>
        <v>1</v>
      </c>
      <c r="U10" s="408">
        <f t="shared" ref="U10" si="1">SUM(F10:G10)</f>
        <v>0</v>
      </c>
      <c r="V10" s="408">
        <f t="shared" ref="V10" si="2">SUM(H10:I10)</f>
        <v>0</v>
      </c>
      <c r="W10" s="408">
        <f t="shared" ref="W10" si="3">SUM(J10:K10)</f>
        <v>0</v>
      </c>
      <c r="X10" s="408">
        <f t="shared" ref="X10" si="4">SUM(L10:M10)</f>
        <v>0</v>
      </c>
      <c r="Y10" s="255" t="str">
        <f t="shared" ref="Y10:Y45" si="5">IF(SUM(F10:M10)=0,"",SUM(F10:M10))</f>
        <v/>
      </c>
      <c r="Z10" s="255" t="str">
        <f>IF(Q10="","",IFERROR(Q10-O10,""))</f>
        <v/>
      </c>
    </row>
    <row r="11" spans="1:26" s="11" customFormat="1" hidden="1">
      <c r="A11" s="29"/>
      <c r="B11" s="22"/>
      <c r="C11" s="67"/>
      <c r="D11" s="670"/>
      <c r="E11" s="670"/>
      <c r="F11" s="671"/>
      <c r="G11" s="671"/>
      <c r="H11" s="671"/>
      <c r="I11" s="671"/>
      <c r="J11" s="671"/>
      <c r="K11" s="671"/>
      <c r="L11" s="671"/>
      <c r="M11" s="671"/>
      <c r="N11" s="672"/>
      <c r="O11" s="679" t="str">
        <f>IF(SUM(F11:M11)=0,"",SUM(F11:M11))</f>
        <v/>
      </c>
      <c r="P11" s="679" t="str">
        <f>IF(Q11="","",IFERROR(Q11-O11,""))</f>
        <v/>
      </c>
      <c r="Q11" s="670"/>
      <c r="R11" s="24"/>
      <c r="S11" s="21"/>
      <c r="T11" s="23">
        <f t="shared" ref="T11:T48" si="6">ROW()-9</f>
        <v>2</v>
      </c>
      <c r="U11" s="213">
        <f>SUM(F11:G11)</f>
        <v>0</v>
      </c>
      <c r="V11" s="213">
        <f>SUM(H11:I11)</f>
        <v>0</v>
      </c>
      <c r="W11" s="213">
        <f>SUM(J11:K11)</f>
        <v>0</v>
      </c>
      <c r="X11" s="213">
        <f>SUM(L11:M11)</f>
        <v>0</v>
      </c>
      <c r="Y11" s="255" t="str">
        <f t="shared" si="5"/>
        <v/>
      </c>
      <c r="Z11" s="255" t="str">
        <f>IF(Q11="","",IFERROR(Q11-O11,""))</f>
        <v/>
      </c>
    </row>
    <row r="12" spans="1:26" s="11" customFormat="1">
      <c r="A12" s="29"/>
      <c r="B12" s="22"/>
      <c r="C12" s="67"/>
      <c r="D12" s="673"/>
      <c r="E12" s="673"/>
      <c r="F12" s="674"/>
      <c r="G12" s="674"/>
      <c r="H12" s="674"/>
      <c r="I12" s="674"/>
      <c r="J12" s="674"/>
      <c r="K12" s="674"/>
      <c r="L12" s="674"/>
      <c r="M12" s="674"/>
      <c r="N12" s="675"/>
      <c r="O12" s="641" t="str">
        <f t="shared" ref="O12" si="7">IF(SUM(F12:M12)=0,"",SUM(F12:M12))</f>
        <v/>
      </c>
      <c r="P12" s="641" t="str">
        <f t="shared" ref="P12:P46" si="8">IF(Q12="","",IFERROR(Q12-O12,""))</f>
        <v/>
      </c>
      <c r="Q12" s="673"/>
      <c r="R12" s="24"/>
      <c r="S12" s="21"/>
      <c r="T12" s="23">
        <f t="shared" si="6"/>
        <v>3</v>
      </c>
      <c r="U12" s="213">
        <f t="shared" ref="U12" si="9">SUM(F12:G12)</f>
        <v>0</v>
      </c>
      <c r="V12" s="213">
        <f t="shared" ref="V12" si="10">SUM(H12:I12)</f>
        <v>0</v>
      </c>
      <c r="W12" s="213">
        <f t="shared" ref="W12" si="11">SUM(J12:K12)</f>
        <v>0</v>
      </c>
      <c r="X12" s="213">
        <f t="shared" ref="X12" si="12">SUM(L12:M12)</f>
        <v>0</v>
      </c>
      <c r="Y12" s="255" t="str">
        <f t="shared" ref="Y12" si="13">IF(SUM(F12:M12)=0,"",SUM(F12:M12))</f>
        <v/>
      </c>
      <c r="Z12" s="255" t="str">
        <f t="shared" ref="Z12:Z44" si="14">IF(Q12="","",IFERROR(Q12-O12,""))</f>
        <v/>
      </c>
    </row>
    <row r="13" spans="1:26" s="11" customFormat="1">
      <c r="A13" s="29"/>
      <c r="B13" s="22"/>
      <c r="C13" s="67"/>
      <c r="D13" s="676"/>
      <c r="E13" s="676"/>
      <c r="F13" s="677"/>
      <c r="G13" s="677"/>
      <c r="H13" s="677"/>
      <c r="I13" s="677"/>
      <c r="J13" s="677"/>
      <c r="K13" s="677"/>
      <c r="L13" s="677"/>
      <c r="M13" s="677"/>
      <c r="N13" s="678"/>
      <c r="O13" s="640" t="str">
        <f t="shared" ref="O13" si="15">IF(SUM(F13:M13)=0,"",SUM(F13:M13))</f>
        <v/>
      </c>
      <c r="P13" s="640" t="str">
        <f t="shared" si="8"/>
        <v/>
      </c>
      <c r="Q13" s="676"/>
      <c r="R13" s="24"/>
      <c r="S13" s="21"/>
      <c r="T13" s="23">
        <f t="shared" si="6"/>
        <v>4</v>
      </c>
      <c r="U13" s="213">
        <f t="shared" ref="U13" si="16">SUM(F13:G13)</f>
        <v>0</v>
      </c>
      <c r="V13" s="213">
        <f t="shared" ref="V13" si="17">SUM(H13:I13)</f>
        <v>0</v>
      </c>
      <c r="W13" s="213">
        <f t="shared" ref="W13" si="18">SUM(J13:K13)</f>
        <v>0</v>
      </c>
      <c r="X13" s="213">
        <f t="shared" ref="X13" si="19">SUM(L13:M13)</f>
        <v>0</v>
      </c>
      <c r="Y13" s="255" t="str">
        <f>IF(SUM(F13:M13)=0,"",SUM(F13:M13))</f>
        <v/>
      </c>
      <c r="Z13" s="255" t="str">
        <f t="shared" si="14"/>
        <v/>
      </c>
    </row>
    <row r="14" spans="1:26" s="11" customFormat="1">
      <c r="A14" s="29"/>
      <c r="B14" s="22"/>
      <c r="C14" s="67"/>
      <c r="D14" s="676"/>
      <c r="E14" s="676"/>
      <c r="F14" s="677"/>
      <c r="G14" s="677"/>
      <c r="H14" s="677"/>
      <c r="I14" s="677"/>
      <c r="J14" s="677"/>
      <c r="K14" s="677"/>
      <c r="L14" s="677"/>
      <c r="M14" s="677"/>
      <c r="N14" s="678"/>
      <c r="O14" s="640" t="str">
        <f t="shared" ref="O14:O45" si="20">IF(SUM(F14:M14)=0,"",SUM(F14:M14))</f>
        <v/>
      </c>
      <c r="P14" s="640" t="str">
        <f t="shared" si="8"/>
        <v/>
      </c>
      <c r="Q14" s="676"/>
      <c r="R14" s="24"/>
      <c r="S14" s="21"/>
      <c r="T14" s="23">
        <f t="shared" si="6"/>
        <v>5</v>
      </c>
      <c r="U14" s="213">
        <f t="shared" ref="U14:U15" si="21">SUM(F14:G14)</f>
        <v>0</v>
      </c>
      <c r="V14" s="213">
        <f t="shared" ref="V14:V15" si="22">SUM(H14:I14)</f>
        <v>0</v>
      </c>
      <c r="W14" s="213">
        <f t="shared" ref="W14:W15" si="23">SUM(J14:K14)</f>
        <v>0</v>
      </c>
      <c r="X14" s="213">
        <f t="shared" ref="X14:X15" si="24">SUM(L14:M14)</f>
        <v>0</v>
      </c>
      <c r="Y14" s="255" t="str">
        <f>IF(SUM(F14:M14)=0,"",SUM(F14:M14))</f>
        <v/>
      </c>
      <c r="Z14" s="255" t="str">
        <f t="shared" si="14"/>
        <v/>
      </c>
    </row>
    <row r="15" spans="1:26" s="11" customFormat="1">
      <c r="A15" s="29"/>
      <c r="B15" s="22"/>
      <c r="C15" s="67"/>
      <c r="D15" s="676"/>
      <c r="E15" s="676"/>
      <c r="F15" s="677"/>
      <c r="G15" s="677"/>
      <c r="H15" s="677"/>
      <c r="I15" s="677"/>
      <c r="J15" s="677"/>
      <c r="K15" s="677"/>
      <c r="L15" s="677"/>
      <c r="M15" s="677"/>
      <c r="N15" s="678"/>
      <c r="O15" s="640" t="str">
        <f t="shared" si="20"/>
        <v/>
      </c>
      <c r="P15" s="640" t="str">
        <f t="shared" si="8"/>
        <v/>
      </c>
      <c r="Q15" s="676"/>
      <c r="R15" s="24"/>
      <c r="S15" s="21"/>
      <c r="T15" s="23">
        <f t="shared" si="6"/>
        <v>6</v>
      </c>
      <c r="U15" s="213">
        <f t="shared" si="21"/>
        <v>0</v>
      </c>
      <c r="V15" s="213">
        <f t="shared" si="22"/>
        <v>0</v>
      </c>
      <c r="W15" s="213">
        <f t="shared" si="23"/>
        <v>0</v>
      </c>
      <c r="X15" s="213">
        <f t="shared" si="24"/>
        <v>0</v>
      </c>
      <c r="Y15" s="255" t="str">
        <f>IF(SUM(F15:M15)=0,"",SUM(F15:M15))</f>
        <v/>
      </c>
      <c r="Z15" s="255" t="str">
        <f t="shared" si="14"/>
        <v/>
      </c>
    </row>
    <row r="16" spans="1:26" s="11" customFormat="1">
      <c r="A16" s="29"/>
      <c r="B16" s="22"/>
      <c r="C16" s="67"/>
      <c r="D16" s="673"/>
      <c r="E16" s="673"/>
      <c r="F16" s="674"/>
      <c r="G16" s="674"/>
      <c r="H16" s="674"/>
      <c r="I16" s="674"/>
      <c r="J16" s="674"/>
      <c r="K16" s="674"/>
      <c r="L16" s="674"/>
      <c r="M16" s="674"/>
      <c r="N16" s="675"/>
      <c r="O16" s="641" t="str">
        <f t="shared" ref="O16:O23" si="25">IF(SUM(F16:M16)=0,"",SUM(F16:M16))</f>
        <v/>
      </c>
      <c r="P16" s="641" t="str">
        <f t="shared" si="8"/>
        <v/>
      </c>
      <c r="Q16" s="673"/>
      <c r="R16" s="24"/>
      <c r="S16" s="21"/>
      <c r="T16" s="23">
        <f t="shared" si="6"/>
        <v>7</v>
      </c>
      <c r="U16" s="213">
        <f t="shared" ref="U16:U23" si="26">SUM(F16:G16)</f>
        <v>0</v>
      </c>
      <c r="V16" s="213">
        <f t="shared" ref="V16:V23" si="27">SUM(H16:I16)</f>
        <v>0</v>
      </c>
      <c r="W16" s="213">
        <f t="shared" ref="W16:W23" si="28">SUM(J16:K16)</f>
        <v>0</v>
      </c>
      <c r="X16" s="213">
        <f t="shared" ref="X16:X23" si="29">SUM(L16:M16)</f>
        <v>0</v>
      </c>
      <c r="Y16" s="255" t="str">
        <f t="shared" ref="Y16:Y23" si="30">IF(SUM(F16:M16)=0,"",SUM(F16:M16))</f>
        <v/>
      </c>
      <c r="Z16" s="255" t="str">
        <f t="shared" si="14"/>
        <v/>
      </c>
    </row>
    <row r="17" spans="1:26" s="11" customFormat="1">
      <c r="A17" s="29"/>
      <c r="B17" s="22"/>
      <c r="C17" s="67"/>
      <c r="D17" s="676"/>
      <c r="E17" s="676"/>
      <c r="F17" s="677"/>
      <c r="G17" s="677"/>
      <c r="H17" s="677"/>
      <c r="I17" s="677"/>
      <c r="J17" s="677"/>
      <c r="K17" s="677"/>
      <c r="L17" s="677"/>
      <c r="M17" s="677"/>
      <c r="N17" s="678"/>
      <c r="O17" s="640" t="str">
        <f t="shared" si="25"/>
        <v/>
      </c>
      <c r="P17" s="640" t="str">
        <f t="shared" si="8"/>
        <v/>
      </c>
      <c r="Q17" s="676"/>
      <c r="R17" s="24"/>
      <c r="S17" s="21"/>
      <c r="T17" s="23">
        <f t="shared" si="6"/>
        <v>8</v>
      </c>
      <c r="U17" s="213">
        <f t="shared" si="26"/>
        <v>0</v>
      </c>
      <c r="V17" s="213">
        <f t="shared" si="27"/>
        <v>0</v>
      </c>
      <c r="W17" s="213">
        <f t="shared" si="28"/>
        <v>0</v>
      </c>
      <c r="X17" s="213">
        <f t="shared" si="29"/>
        <v>0</v>
      </c>
      <c r="Y17" s="255" t="str">
        <f>IF(SUM(F17:M17)=0,"",SUM(F17:M17))</f>
        <v/>
      </c>
      <c r="Z17" s="255" t="str">
        <f t="shared" si="14"/>
        <v/>
      </c>
    </row>
    <row r="18" spans="1:26" s="11" customFormat="1">
      <c r="A18" s="29"/>
      <c r="B18" s="22"/>
      <c r="C18" s="67"/>
      <c r="D18" s="676"/>
      <c r="E18" s="676"/>
      <c r="F18" s="677"/>
      <c r="G18" s="677"/>
      <c r="H18" s="677"/>
      <c r="I18" s="677"/>
      <c r="J18" s="677"/>
      <c r="K18" s="677"/>
      <c r="L18" s="677"/>
      <c r="M18" s="677"/>
      <c r="N18" s="678"/>
      <c r="O18" s="640" t="str">
        <f t="shared" si="25"/>
        <v/>
      </c>
      <c r="P18" s="640" t="str">
        <f t="shared" si="8"/>
        <v/>
      </c>
      <c r="Q18" s="676"/>
      <c r="R18" s="24"/>
      <c r="S18" s="21"/>
      <c r="T18" s="23">
        <f t="shared" si="6"/>
        <v>9</v>
      </c>
      <c r="U18" s="213">
        <f t="shared" si="26"/>
        <v>0</v>
      </c>
      <c r="V18" s="213">
        <f t="shared" si="27"/>
        <v>0</v>
      </c>
      <c r="W18" s="213">
        <f t="shared" si="28"/>
        <v>0</v>
      </c>
      <c r="X18" s="213">
        <f t="shared" si="29"/>
        <v>0</v>
      </c>
      <c r="Y18" s="255" t="str">
        <f>IF(SUM(F18:M18)=0,"",SUM(F18:M18))</f>
        <v/>
      </c>
      <c r="Z18" s="255" t="str">
        <f t="shared" si="14"/>
        <v/>
      </c>
    </row>
    <row r="19" spans="1:26" s="11" customFormat="1">
      <c r="A19" s="29"/>
      <c r="B19" s="22"/>
      <c r="C19" s="67"/>
      <c r="D19" s="673"/>
      <c r="E19" s="673"/>
      <c r="F19" s="674"/>
      <c r="G19" s="674"/>
      <c r="H19" s="674"/>
      <c r="I19" s="674"/>
      <c r="J19" s="674"/>
      <c r="K19" s="674"/>
      <c r="L19" s="674"/>
      <c r="M19" s="674"/>
      <c r="N19" s="675"/>
      <c r="O19" s="641" t="str">
        <f t="shared" si="25"/>
        <v/>
      </c>
      <c r="P19" s="641" t="str">
        <f t="shared" si="8"/>
        <v/>
      </c>
      <c r="Q19" s="673"/>
      <c r="R19" s="24"/>
      <c r="S19" s="21"/>
      <c r="T19" s="23">
        <f t="shared" si="6"/>
        <v>10</v>
      </c>
      <c r="U19" s="213">
        <f t="shared" si="26"/>
        <v>0</v>
      </c>
      <c r="V19" s="213">
        <f t="shared" si="27"/>
        <v>0</v>
      </c>
      <c r="W19" s="213">
        <f t="shared" si="28"/>
        <v>0</v>
      </c>
      <c r="X19" s="213">
        <f t="shared" si="29"/>
        <v>0</v>
      </c>
      <c r="Y19" s="255" t="str">
        <f>IF(SUM(F19:M19)=0,"",SUM(F19:M19))</f>
        <v/>
      </c>
      <c r="Z19" s="255" t="str">
        <f t="shared" si="14"/>
        <v/>
      </c>
    </row>
    <row r="20" spans="1:26" s="11" customFormat="1">
      <c r="A20" s="29"/>
      <c r="B20" s="22"/>
      <c r="C20" s="67"/>
      <c r="D20" s="676"/>
      <c r="E20" s="676"/>
      <c r="F20" s="677"/>
      <c r="G20" s="677"/>
      <c r="H20" s="677"/>
      <c r="I20" s="677"/>
      <c r="J20" s="677"/>
      <c r="K20" s="677"/>
      <c r="L20" s="677"/>
      <c r="M20" s="677"/>
      <c r="N20" s="678"/>
      <c r="O20" s="640" t="str">
        <f t="shared" si="25"/>
        <v/>
      </c>
      <c r="P20" s="640" t="str">
        <f t="shared" si="8"/>
        <v/>
      </c>
      <c r="Q20" s="676"/>
      <c r="R20" s="24"/>
      <c r="S20" s="21"/>
      <c r="T20" s="23">
        <f t="shared" si="6"/>
        <v>11</v>
      </c>
      <c r="U20" s="213">
        <f t="shared" si="26"/>
        <v>0</v>
      </c>
      <c r="V20" s="213">
        <f t="shared" si="27"/>
        <v>0</v>
      </c>
      <c r="W20" s="213">
        <f t="shared" si="28"/>
        <v>0</v>
      </c>
      <c r="X20" s="213">
        <f t="shared" si="29"/>
        <v>0</v>
      </c>
      <c r="Y20" s="255" t="str">
        <f>IF(SUM(F20:M20)=0,"",SUM(F20:M20))</f>
        <v/>
      </c>
      <c r="Z20" s="255" t="str">
        <f t="shared" si="14"/>
        <v/>
      </c>
    </row>
    <row r="21" spans="1:26" s="11" customFormat="1">
      <c r="A21" s="29"/>
      <c r="B21" s="22"/>
      <c r="C21" s="67"/>
      <c r="D21" s="676"/>
      <c r="E21" s="676"/>
      <c r="F21" s="677"/>
      <c r="G21" s="677"/>
      <c r="H21" s="677"/>
      <c r="I21" s="677"/>
      <c r="J21" s="677"/>
      <c r="K21" s="677"/>
      <c r="L21" s="677"/>
      <c r="M21" s="677"/>
      <c r="N21" s="678"/>
      <c r="O21" s="640" t="str">
        <f t="shared" si="25"/>
        <v/>
      </c>
      <c r="P21" s="640" t="str">
        <f t="shared" si="8"/>
        <v/>
      </c>
      <c r="Q21" s="676"/>
      <c r="R21" s="24"/>
      <c r="S21" s="21"/>
      <c r="T21" s="23">
        <f t="shared" si="6"/>
        <v>12</v>
      </c>
      <c r="U21" s="213">
        <f t="shared" si="26"/>
        <v>0</v>
      </c>
      <c r="V21" s="213">
        <f t="shared" si="27"/>
        <v>0</v>
      </c>
      <c r="W21" s="213">
        <f t="shared" si="28"/>
        <v>0</v>
      </c>
      <c r="X21" s="213">
        <f t="shared" si="29"/>
        <v>0</v>
      </c>
      <c r="Y21" s="255" t="str">
        <f>IF(SUM(F21:M21)=0,"",SUM(F21:M21))</f>
        <v/>
      </c>
      <c r="Z21" s="255" t="str">
        <f t="shared" si="14"/>
        <v/>
      </c>
    </row>
    <row r="22" spans="1:26" s="11" customFormat="1">
      <c r="A22" s="29"/>
      <c r="B22" s="22"/>
      <c r="C22" s="67"/>
      <c r="D22" s="673"/>
      <c r="E22" s="673"/>
      <c r="F22" s="674"/>
      <c r="G22" s="674"/>
      <c r="H22" s="674"/>
      <c r="I22" s="674"/>
      <c r="J22" s="674"/>
      <c r="K22" s="674"/>
      <c r="L22" s="674"/>
      <c r="M22" s="674"/>
      <c r="N22" s="675"/>
      <c r="O22" s="641" t="str">
        <f t="shared" si="25"/>
        <v/>
      </c>
      <c r="P22" s="641" t="str">
        <f t="shared" si="8"/>
        <v/>
      </c>
      <c r="Q22" s="673"/>
      <c r="R22" s="24"/>
      <c r="S22" s="21"/>
      <c r="T22" s="23">
        <f t="shared" si="6"/>
        <v>13</v>
      </c>
      <c r="U22" s="213">
        <f t="shared" si="26"/>
        <v>0</v>
      </c>
      <c r="V22" s="213">
        <f t="shared" si="27"/>
        <v>0</v>
      </c>
      <c r="W22" s="213">
        <f t="shared" si="28"/>
        <v>0</v>
      </c>
      <c r="X22" s="213">
        <f t="shared" si="29"/>
        <v>0</v>
      </c>
      <c r="Y22" s="255" t="str">
        <f t="shared" si="30"/>
        <v/>
      </c>
      <c r="Z22" s="255" t="str">
        <f t="shared" si="14"/>
        <v/>
      </c>
    </row>
    <row r="23" spans="1:26" s="11" customFormat="1">
      <c r="A23" s="29"/>
      <c r="B23" s="22"/>
      <c r="C23" s="67"/>
      <c r="D23" s="676"/>
      <c r="E23" s="676"/>
      <c r="F23" s="677"/>
      <c r="G23" s="677"/>
      <c r="H23" s="677"/>
      <c r="I23" s="677"/>
      <c r="J23" s="677"/>
      <c r="K23" s="677"/>
      <c r="L23" s="677"/>
      <c r="M23" s="677"/>
      <c r="N23" s="678"/>
      <c r="O23" s="640" t="str">
        <f t="shared" si="25"/>
        <v/>
      </c>
      <c r="P23" s="640" t="str">
        <f t="shared" si="8"/>
        <v/>
      </c>
      <c r="Q23" s="676"/>
      <c r="R23" s="24"/>
      <c r="S23" s="21"/>
      <c r="T23" s="23">
        <f t="shared" si="6"/>
        <v>14</v>
      </c>
      <c r="U23" s="213">
        <f t="shared" si="26"/>
        <v>0</v>
      </c>
      <c r="V23" s="213">
        <f t="shared" si="27"/>
        <v>0</v>
      </c>
      <c r="W23" s="213">
        <f t="shared" si="28"/>
        <v>0</v>
      </c>
      <c r="X23" s="213">
        <f t="shared" si="29"/>
        <v>0</v>
      </c>
      <c r="Y23" s="255" t="str">
        <f t="shared" si="30"/>
        <v/>
      </c>
      <c r="Z23" s="255" t="str">
        <f t="shared" si="14"/>
        <v/>
      </c>
    </row>
    <row r="24" spans="1:26" s="11" customFormat="1">
      <c r="A24" s="29"/>
      <c r="B24" s="22"/>
      <c r="C24" s="67"/>
      <c r="D24" s="676"/>
      <c r="E24" s="676"/>
      <c r="F24" s="677"/>
      <c r="G24" s="677"/>
      <c r="H24" s="677"/>
      <c r="I24" s="677"/>
      <c r="J24" s="677"/>
      <c r="K24" s="677"/>
      <c r="L24" s="677"/>
      <c r="M24" s="677"/>
      <c r="N24" s="678"/>
      <c r="O24" s="640" t="str">
        <f t="shared" ref="O24:O29" si="31">IF(SUM(F24:M24)=0,"",SUM(F24:M24))</f>
        <v/>
      </c>
      <c r="P24" s="640" t="str">
        <f t="shared" si="8"/>
        <v/>
      </c>
      <c r="Q24" s="676"/>
      <c r="R24" s="24"/>
      <c r="S24" s="21"/>
      <c r="T24" s="23">
        <f t="shared" si="6"/>
        <v>15</v>
      </c>
      <c r="U24" s="213">
        <f t="shared" ref="U24:U29" si="32">SUM(F24:G24)</f>
        <v>0</v>
      </c>
      <c r="V24" s="213">
        <f t="shared" ref="V24:V29" si="33">SUM(H24:I24)</f>
        <v>0</v>
      </c>
      <c r="W24" s="213">
        <f t="shared" ref="W24:W29" si="34">SUM(J24:K24)</f>
        <v>0</v>
      </c>
      <c r="X24" s="213">
        <f t="shared" ref="X24:X29" si="35">SUM(L24:M24)</f>
        <v>0</v>
      </c>
      <c r="Y24" s="255" t="str">
        <f t="shared" ref="Y24:Y29" si="36">IF(SUM(F24:M24)=0,"",SUM(F24:M24))</f>
        <v/>
      </c>
      <c r="Z24" s="255" t="str">
        <f t="shared" si="14"/>
        <v/>
      </c>
    </row>
    <row r="25" spans="1:26" s="11" customFormat="1">
      <c r="A25" s="29"/>
      <c r="B25" s="22"/>
      <c r="C25" s="67"/>
      <c r="D25" s="676"/>
      <c r="E25" s="676"/>
      <c r="F25" s="677"/>
      <c r="G25" s="677"/>
      <c r="H25" s="677"/>
      <c r="I25" s="677"/>
      <c r="J25" s="677"/>
      <c r="K25" s="677"/>
      <c r="L25" s="677"/>
      <c r="M25" s="677"/>
      <c r="N25" s="678"/>
      <c r="O25" s="640" t="str">
        <f t="shared" si="31"/>
        <v/>
      </c>
      <c r="P25" s="640" t="str">
        <f t="shared" si="8"/>
        <v/>
      </c>
      <c r="Q25" s="676"/>
      <c r="R25" s="24"/>
      <c r="S25" s="21"/>
      <c r="T25" s="23">
        <f t="shared" si="6"/>
        <v>16</v>
      </c>
      <c r="U25" s="213">
        <f t="shared" si="32"/>
        <v>0</v>
      </c>
      <c r="V25" s="213">
        <f t="shared" si="33"/>
        <v>0</v>
      </c>
      <c r="W25" s="213">
        <f t="shared" si="34"/>
        <v>0</v>
      </c>
      <c r="X25" s="213">
        <f t="shared" si="35"/>
        <v>0</v>
      </c>
      <c r="Y25" s="255" t="str">
        <f t="shared" si="36"/>
        <v/>
      </c>
      <c r="Z25" s="255" t="str">
        <f t="shared" si="14"/>
        <v/>
      </c>
    </row>
    <row r="26" spans="1:26" s="11" customFormat="1">
      <c r="A26" s="29"/>
      <c r="B26" s="22"/>
      <c r="C26" s="67"/>
      <c r="D26" s="676"/>
      <c r="E26" s="676"/>
      <c r="F26" s="677"/>
      <c r="G26" s="677"/>
      <c r="H26" s="677"/>
      <c r="I26" s="677"/>
      <c r="J26" s="677"/>
      <c r="K26" s="677"/>
      <c r="L26" s="677"/>
      <c r="M26" s="677"/>
      <c r="N26" s="678"/>
      <c r="O26" s="640" t="str">
        <f t="shared" si="31"/>
        <v/>
      </c>
      <c r="P26" s="640" t="str">
        <f t="shared" si="8"/>
        <v/>
      </c>
      <c r="Q26" s="676"/>
      <c r="R26" s="24"/>
      <c r="S26" s="21"/>
      <c r="T26" s="23">
        <f t="shared" si="6"/>
        <v>17</v>
      </c>
      <c r="U26" s="213">
        <f t="shared" si="32"/>
        <v>0</v>
      </c>
      <c r="V26" s="213">
        <f t="shared" si="33"/>
        <v>0</v>
      </c>
      <c r="W26" s="213">
        <f t="shared" si="34"/>
        <v>0</v>
      </c>
      <c r="X26" s="213">
        <f t="shared" si="35"/>
        <v>0</v>
      </c>
      <c r="Y26" s="255" t="str">
        <f t="shared" si="36"/>
        <v/>
      </c>
      <c r="Z26" s="255" t="str">
        <f t="shared" si="14"/>
        <v/>
      </c>
    </row>
    <row r="27" spans="1:26" s="11" customFormat="1">
      <c r="A27" s="29"/>
      <c r="B27" s="22"/>
      <c r="C27" s="67"/>
      <c r="D27" s="673"/>
      <c r="E27" s="673"/>
      <c r="F27" s="674"/>
      <c r="G27" s="674"/>
      <c r="H27" s="674"/>
      <c r="I27" s="674"/>
      <c r="J27" s="674"/>
      <c r="K27" s="674"/>
      <c r="L27" s="674"/>
      <c r="M27" s="674"/>
      <c r="N27" s="675"/>
      <c r="O27" s="641" t="str">
        <f t="shared" si="31"/>
        <v/>
      </c>
      <c r="P27" s="641" t="str">
        <f t="shared" si="8"/>
        <v/>
      </c>
      <c r="Q27" s="673"/>
      <c r="R27" s="24"/>
      <c r="S27" s="21"/>
      <c r="T27" s="23">
        <f t="shared" si="6"/>
        <v>18</v>
      </c>
      <c r="U27" s="213">
        <f t="shared" si="32"/>
        <v>0</v>
      </c>
      <c r="V27" s="213">
        <f t="shared" si="33"/>
        <v>0</v>
      </c>
      <c r="W27" s="213">
        <f t="shared" si="34"/>
        <v>0</v>
      </c>
      <c r="X27" s="213">
        <f t="shared" si="35"/>
        <v>0</v>
      </c>
      <c r="Y27" s="255" t="str">
        <f t="shared" si="36"/>
        <v/>
      </c>
      <c r="Z27" s="255" t="str">
        <f t="shared" si="14"/>
        <v/>
      </c>
    </row>
    <row r="28" spans="1:26" s="11" customFormat="1">
      <c r="A28" s="29"/>
      <c r="B28" s="22"/>
      <c r="C28" s="67"/>
      <c r="D28" s="676"/>
      <c r="E28" s="676"/>
      <c r="F28" s="677"/>
      <c r="G28" s="677"/>
      <c r="H28" s="677"/>
      <c r="I28" s="677"/>
      <c r="J28" s="677"/>
      <c r="K28" s="677"/>
      <c r="L28" s="677"/>
      <c r="M28" s="677"/>
      <c r="N28" s="678"/>
      <c r="O28" s="640" t="str">
        <f t="shared" si="31"/>
        <v/>
      </c>
      <c r="P28" s="640" t="str">
        <f t="shared" si="8"/>
        <v/>
      </c>
      <c r="Q28" s="676"/>
      <c r="R28" s="24"/>
      <c r="S28" s="21"/>
      <c r="T28" s="23">
        <f t="shared" si="6"/>
        <v>19</v>
      </c>
      <c r="U28" s="213">
        <f t="shared" si="32"/>
        <v>0</v>
      </c>
      <c r="V28" s="213">
        <f t="shared" si="33"/>
        <v>0</v>
      </c>
      <c r="W28" s="213">
        <f t="shared" si="34"/>
        <v>0</v>
      </c>
      <c r="X28" s="213">
        <f t="shared" si="35"/>
        <v>0</v>
      </c>
      <c r="Y28" s="255" t="str">
        <f t="shared" si="36"/>
        <v/>
      </c>
      <c r="Z28" s="255" t="str">
        <f t="shared" si="14"/>
        <v/>
      </c>
    </row>
    <row r="29" spans="1:26" s="11" customFormat="1">
      <c r="A29" s="29"/>
      <c r="B29" s="22"/>
      <c r="C29" s="67"/>
      <c r="D29" s="676"/>
      <c r="E29" s="676"/>
      <c r="F29" s="677"/>
      <c r="G29" s="677"/>
      <c r="H29" s="677"/>
      <c r="I29" s="677"/>
      <c r="J29" s="677"/>
      <c r="K29" s="677"/>
      <c r="L29" s="677"/>
      <c r="M29" s="677"/>
      <c r="N29" s="678"/>
      <c r="O29" s="640" t="str">
        <f t="shared" si="31"/>
        <v/>
      </c>
      <c r="P29" s="640" t="str">
        <f t="shared" si="8"/>
        <v/>
      </c>
      <c r="Q29" s="676"/>
      <c r="R29" s="24"/>
      <c r="S29" s="21"/>
      <c r="T29" s="23">
        <f t="shared" si="6"/>
        <v>20</v>
      </c>
      <c r="U29" s="213">
        <f t="shared" si="32"/>
        <v>0</v>
      </c>
      <c r="V29" s="213">
        <f t="shared" si="33"/>
        <v>0</v>
      </c>
      <c r="W29" s="213">
        <f t="shared" si="34"/>
        <v>0</v>
      </c>
      <c r="X29" s="213">
        <f t="shared" si="35"/>
        <v>0</v>
      </c>
      <c r="Y29" s="255" t="str">
        <f t="shared" si="36"/>
        <v/>
      </c>
      <c r="Z29" s="255" t="str">
        <f t="shared" si="14"/>
        <v/>
      </c>
    </row>
    <row r="30" spans="1:26" s="11" customFormat="1">
      <c r="A30" s="29"/>
      <c r="B30" s="22"/>
      <c r="C30" s="67"/>
      <c r="D30" s="676"/>
      <c r="E30" s="676"/>
      <c r="F30" s="677"/>
      <c r="G30" s="677"/>
      <c r="H30" s="677"/>
      <c r="I30" s="677"/>
      <c r="J30" s="677"/>
      <c r="K30" s="677"/>
      <c r="L30" s="677"/>
      <c r="M30" s="677"/>
      <c r="N30" s="678"/>
      <c r="O30" s="640" t="str">
        <f t="shared" si="20"/>
        <v/>
      </c>
      <c r="P30" s="640" t="str">
        <f t="shared" si="8"/>
        <v/>
      </c>
      <c r="Q30" s="676"/>
      <c r="R30" s="24"/>
      <c r="S30" s="21"/>
      <c r="T30" s="23">
        <f t="shared" si="6"/>
        <v>21</v>
      </c>
      <c r="U30" s="213">
        <f t="shared" ref="U30:U45" si="37">SUM(F30:G30)</f>
        <v>0</v>
      </c>
      <c r="V30" s="213">
        <f t="shared" ref="V30:V45" si="38">SUM(H30:I30)</f>
        <v>0</v>
      </c>
      <c r="W30" s="213">
        <f t="shared" ref="W30:W45" si="39">SUM(J30:K30)</f>
        <v>0</v>
      </c>
      <c r="X30" s="213">
        <f t="shared" ref="X30:X45" si="40">SUM(L30:M30)</f>
        <v>0</v>
      </c>
      <c r="Y30" s="255" t="str">
        <f t="shared" si="5"/>
        <v/>
      </c>
      <c r="Z30" s="255" t="str">
        <f t="shared" si="14"/>
        <v/>
      </c>
    </row>
    <row r="31" spans="1:26" s="11" customFormat="1">
      <c r="A31" s="29"/>
      <c r="B31" s="22"/>
      <c r="C31" s="67"/>
      <c r="D31" s="676"/>
      <c r="E31" s="676"/>
      <c r="F31" s="677"/>
      <c r="G31" s="677"/>
      <c r="H31" s="677"/>
      <c r="I31" s="677"/>
      <c r="J31" s="677"/>
      <c r="K31" s="677"/>
      <c r="L31" s="677"/>
      <c r="M31" s="677"/>
      <c r="N31" s="678"/>
      <c r="O31" s="640" t="str">
        <f t="shared" si="20"/>
        <v/>
      </c>
      <c r="P31" s="640" t="str">
        <f t="shared" si="8"/>
        <v/>
      </c>
      <c r="Q31" s="676"/>
      <c r="R31" s="24"/>
      <c r="S31" s="21"/>
      <c r="T31" s="23">
        <f t="shared" si="6"/>
        <v>22</v>
      </c>
      <c r="U31" s="213">
        <f t="shared" si="37"/>
        <v>0</v>
      </c>
      <c r="V31" s="213">
        <f t="shared" si="38"/>
        <v>0</v>
      </c>
      <c r="W31" s="213">
        <f t="shared" si="39"/>
        <v>0</v>
      </c>
      <c r="X31" s="213">
        <f t="shared" si="40"/>
        <v>0</v>
      </c>
      <c r="Y31" s="255" t="str">
        <f t="shared" si="5"/>
        <v/>
      </c>
      <c r="Z31" s="255" t="str">
        <f t="shared" si="14"/>
        <v/>
      </c>
    </row>
    <row r="32" spans="1:26" s="11" customFormat="1">
      <c r="A32" s="29"/>
      <c r="B32" s="22"/>
      <c r="C32" s="67"/>
      <c r="D32" s="676"/>
      <c r="E32" s="676"/>
      <c r="F32" s="677"/>
      <c r="G32" s="677"/>
      <c r="H32" s="677"/>
      <c r="I32" s="677"/>
      <c r="J32" s="677"/>
      <c r="K32" s="677"/>
      <c r="L32" s="677"/>
      <c r="M32" s="677"/>
      <c r="N32" s="678"/>
      <c r="O32" s="640" t="str">
        <f t="shared" si="20"/>
        <v/>
      </c>
      <c r="P32" s="640" t="str">
        <f t="shared" si="8"/>
        <v/>
      </c>
      <c r="Q32" s="676"/>
      <c r="R32" s="24"/>
      <c r="S32" s="21"/>
      <c r="T32" s="23">
        <f t="shared" si="6"/>
        <v>23</v>
      </c>
      <c r="U32" s="213">
        <f t="shared" si="37"/>
        <v>0</v>
      </c>
      <c r="V32" s="213">
        <f t="shared" si="38"/>
        <v>0</v>
      </c>
      <c r="W32" s="213">
        <f t="shared" si="39"/>
        <v>0</v>
      </c>
      <c r="X32" s="213">
        <f t="shared" si="40"/>
        <v>0</v>
      </c>
      <c r="Y32" s="255" t="str">
        <f t="shared" si="5"/>
        <v/>
      </c>
      <c r="Z32" s="255" t="str">
        <f t="shared" si="14"/>
        <v/>
      </c>
    </row>
    <row r="33" spans="1:26" s="11" customFormat="1">
      <c r="A33" s="29"/>
      <c r="B33" s="22"/>
      <c r="C33" s="67"/>
      <c r="D33" s="673"/>
      <c r="E33" s="673"/>
      <c r="F33" s="674"/>
      <c r="G33" s="674"/>
      <c r="H33" s="674"/>
      <c r="I33" s="674"/>
      <c r="J33" s="674"/>
      <c r="K33" s="674"/>
      <c r="L33" s="674"/>
      <c r="M33" s="674"/>
      <c r="N33" s="675"/>
      <c r="O33" s="641" t="str">
        <f t="shared" si="20"/>
        <v/>
      </c>
      <c r="P33" s="641" t="str">
        <f t="shared" si="8"/>
        <v/>
      </c>
      <c r="Q33" s="673"/>
      <c r="R33" s="24"/>
      <c r="S33" s="21"/>
      <c r="T33" s="23">
        <f t="shared" si="6"/>
        <v>24</v>
      </c>
      <c r="U33" s="213">
        <f t="shared" si="37"/>
        <v>0</v>
      </c>
      <c r="V33" s="213">
        <f t="shared" si="38"/>
        <v>0</v>
      </c>
      <c r="W33" s="213">
        <f t="shared" si="39"/>
        <v>0</v>
      </c>
      <c r="X33" s="213">
        <f t="shared" si="40"/>
        <v>0</v>
      </c>
      <c r="Y33" s="255" t="str">
        <f t="shared" si="5"/>
        <v/>
      </c>
      <c r="Z33" s="255" t="str">
        <f t="shared" si="14"/>
        <v/>
      </c>
    </row>
    <row r="34" spans="1:26" s="11" customFormat="1">
      <c r="A34" s="29"/>
      <c r="B34" s="22"/>
      <c r="C34" s="67"/>
      <c r="D34" s="676"/>
      <c r="E34" s="676"/>
      <c r="F34" s="677"/>
      <c r="G34" s="677"/>
      <c r="H34" s="677"/>
      <c r="I34" s="677"/>
      <c r="J34" s="677"/>
      <c r="K34" s="677"/>
      <c r="L34" s="677"/>
      <c r="M34" s="677"/>
      <c r="N34" s="678"/>
      <c r="O34" s="640" t="str">
        <f t="shared" si="20"/>
        <v/>
      </c>
      <c r="P34" s="640" t="str">
        <f t="shared" si="8"/>
        <v/>
      </c>
      <c r="Q34" s="676"/>
      <c r="R34" s="24"/>
      <c r="S34" s="21"/>
      <c r="T34" s="23">
        <f t="shared" si="6"/>
        <v>25</v>
      </c>
      <c r="U34" s="213">
        <f t="shared" ref="U34:U36" si="41">SUM(F34:G34)</f>
        <v>0</v>
      </c>
      <c r="V34" s="213">
        <f t="shared" ref="V34:V36" si="42">SUM(H34:I34)</f>
        <v>0</v>
      </c>
      <c r="W34" s="213">
        <f t="shared" ref="W34:W36" si="43">SUM(J34:K34)</f>
        <v>0</v>
      </c>
      <c r="X34" s="213">
        <f t="shared" ref="X34:X36" si="44">SUM(L34:M34)</f>
        <v>0</v>
      </c>
      <c r="Y34" s="255" t="str">
        <f t="shared" si="5"/>
        <v/>
      </c>
      <c r="Z34" s="255" t="str">
        <f t="shared" si="14"/>
        <v/>
      </c>
    </row>
    <row r="35" spans="1:26" s="11" customFormat="1">
      <c r="A35" s="29"/>
      <c r="B35" s="22"/>
      <c r="C35" s="67"/>
      <c r="D35" s="676"/>
      <c r="E35" s="676"/>
      <c r="F35" s="677"/>
      <c r="G35" s="677"/>
      <c r="H35" s="677"/>
      <c r="I35" s="677"/>
      <c r="J35" s="677"/>
      <c r="K35" s="677"/>
      <c r="L35" s="677"/>
      <c r="M35" s="677"/>
      <c r="N35" s="678"/>
      <c r="O35" s="640" t="str">
        <f t="shared" si="20"/>
        <v/>
      </c>
      <c r="P35" s="640" t="str">
        <f t="shared" si="8"/>
        <v/>
      </c>
      <c r="Q35" s="676"/>
      <c r="R35" s="24"/>
      <c r="S35" s="21"/>
      <c r="T35" s="23">
        <f t="shared" si="6"/>
        <v>26</v>
      </c>
      <c r="U35" s="213">
        <f t="shared" si="41"/>
        <v>0</v>
      </c>
      <c r="V35" s="213">
        <f t="shared" si="42"/>
        <v>0</v>
      </c>
      <c r="W35" s="213">
        <f t="shared" si="43"/>
        <v>0</v>
      </c>
      <c r="X35" s="213">
        <f t="shared" si="44"/>
        <v>0</v>
      </c>
      <c r="Y35" s="255" t="str">
        <f t="shared" si="5"/>
        <v/>
      </c>
      <c r="Z35" s="255" t="str">
        <f t="shared" si="14"/>
        <v/>
      </c>
    </row>
    <row r="36" spans="1:26" s="11" customFormat="1">
      <c r="A36" s="29"/>
      <c r="B36" s="22"/>
      <c r="C36" s="67"/>
      <c r="D36" s="673"/>
      <c r="E36" s="673"/>
      <c r="F36" s="674"/>
      <c r="G36" s="674"/>
      <c r="H36" s="674"/>
      <c r="I36" s="674"/>
      <c r="J36" s="674"/>
      <c r="K36" s="674"/>
      <c r="L36" s="674"/>
      <c r="M36" s="674"/>
      <c r="N36" s="675"/>
      <c r="O36" s="641" t="str">
        <f t="shared" si="20"/>
        <v/>
      </c>
      <c r="P36" s="641" t="str">
        <f t="shared" si="8"/>
        <v/>
      </c>
      <c r="Q36" s="673"/>
      <c r="R36" s="24"/>
      <c r="S36" s="21"/>
      <c r="T36" s="23">
        <f t="shared" si="6"/>
        <v>27</v>
      </c>
      <c r="U36" s="213">
        <f t="shared" si="41"/>
        <v>0</v>
      </c>
      <c r="V36" s="213">
        <f t="shared" si="42"/>
        <v>0</v>
      </c>
      <c r="W36" s="213">
        <f t="shared" si="43"/>
        <v>0</v>
      </c>
      <c r="X36" s="213">
        <f t="shared" si="44"/>
        <v>0</v>
      </c>
      <c r="Y36" s="255" t="str">
        <f t="shared" si="5"/>
        <v/>
      </c>
      <c r="Z36" s="255" t="str">
        <f t="shared" si="14"/>
        <v/>
      </c>
    </row>
    <row r="37" spans="1:26" s="11" customFormat="1">
      <c r="A37" s="29"/>
      <c r="B37" s="22"/>
      <c r="C37" s="67"/>
      <c r="D37" s="676"/>
      <c r="E37" s="676"/>
      <c r="F37" s="677"/>
      <c r="G37" s="677"/>
      <c r="H37" s="677"/>
      <c r="I37" s="677"/>
      <c r="J37" s="677"/>
      <c r="K37" s="677"/>
      <c r="L37" s="677"/>
      <c r="M37" s="677"/>
      <c r="N37" s="678"/>
      <c r="O37" s="640" t="str">
        <f t="shared" si="20"/>
        <v/>
      </c>
      <c r="P37" s="640" t="str">
        <f t="shared" si="8"/>
        <v/>
      </c>
      <c r="Q37" s="676"/>
      <c r="R37" s="24"/>
      <c r="S37" s="21"/>
      <c r="T37" s="23">
        <f t="shared" si="6"/>
        <v>28</v>
      </c>
      <c r="U37" s="213">
        <f t="shared" si="37"/>
        <v>0</v>
      </c>
      <c r="V37" s="213">
        <f t="shared" si="38"/>
        <v>0</v>
      </c>
      <c r="W37" s="213">
        <f t="shared" si="39"/>
        <v>0</v>
      </c>
      <c r="X37" s="213">
        <f t="shared" si="40"/>
        <v>0</v>
      </c>
      <c r="Y37" s="255" t="str">
        <f t="shared" si="5"/>
        <v/>
      </c>
      <c r="Z37" s="255" t="str">
        <f t="shared" si="14"/>
        <v/>
      </c>
    </row>
    <row r="38" spans="1:26" s="11" customFormat="1">
      <c r="A38" s="29"/>
      <c r="B38" s="22"/>
      <c r="C38" s="67"/>
      <c r="D38" s="676"/>
      <c r="E38" s="676"/>
      <c r="F38" s="677"/>
      <c r="G38" s="677"/>
      <c r="H38" s="677"/>
      <c r="I38" s="677"/>
      <c r="J38" s="677"/>
      <c r="K38" s="677"/>
      <c r="L38" s="677"/>
      <c r="M38" s="677"/>
      <c r="N38" s="678"/>
      <c r="O38" s="640" t="str">
        <f t="shared" si="20"/>
        <v/>
      </c>
      <c r="P38" s="640" t="str">
        <f t="shared" si="8"/>
        <v/>
      </c>
      <c r="Q38" s="676"/>
      <c r="R38" s="24"/>
      <c r="S38" s="21"/>
      <c r="T38" s="23">
        <f t="shared" si="6"/>
        <v>29</v>
      </c>
      <c r="U38" s="213">
        <f t="shared" si="37"/>
        <v>0</v>
      </c>
      <c r="V38" s="213">
        <f t="shared" si="38"/>
        <v>0</v>
      </c>
      <c r="W38" s="213">
        <f t="shared" si="39"/>
        <v>0</v>
      </c>
      <c r="X38" s="213">
        <f t="shared" si="40"/>
        <v>0</v>
      </c>
      <c r="Y38" s="255" t="str">
        <f t="shared" si="5"/>
        <v/>
      </c>
      <c r="Z38" s="255" t="str">
        <f t="shared" si="14"/>
        <v/>
      </c>
    </row>
    <row r="39" spans="1:26" s="11" customFormat="1">
      <c r="A39" s="29"/>
      <c r="B39" s="22"/>
      <c r="C39" s="67"/>
      <c r="D39" s="673"/>
      <c r="E39" s="673"/>
      <c r="F39" s="674"/>
      <c r="G39" s="674"/>
      <c r="H39" s="674"/>
      <c r="I39" s="674"/>
      <c r="J39" s="674"/>
      <c r="K39" s="674"/>
      <c r="L39" s="674"/>
      <c r="M39" s="674"/>
      <c r="N39" s="675"/>
      <c r="O39" s="641" t="str">
        <f t="shared" si="20"/>
        <v/>
      </c>
      <c r="P39" s="641" t="str">
        <f t="shared" si="8"/>
        <v/>
      </c>
      <c r="Q39" s="673"/>
      <c r="R39" s="24"/>
      <c r="S39" s="21"/>
      <c r="T39" s="23">
        <f t="shared" si="6"/>
        <v>30</v>
      </c>
      <c r="U39" s="213">
        <f t="shared" si="37"/>
        <v>0</v>
      </c>
      <c r="V39" s="213">
        <f t="shared" si="38"/>
        <v>0</v>
      </c>
      <c r="W39" s="213">
        <f t="shared" si="39"/>
        <v>0</v>
      </c>
      <c r="X39" s="213">
        <f t="shared" si="40"/>
        <v>0</v>
      </c>
      <c r="Y39" s="255" t="str">
        <f t="shared" si="5"/>
        <v/>
      </c>
      <c r="Z39" s="255" t="str">
        <f t="shared" si="14"/>
        <v/>
      </c>
    </row>
    <row r="40" spans="1:26" s="11" customFormat="1">
      <c r="A40" s="29"/>
      <c r="B40" s="22"/>
      <c r="C40" s="67"/>
      <c r="D40" s="676"/>
      <c r="E40" s="676"/>
      <c r="F40" s="677"/>
      <c r="G40" s="677"/>
      <c r="H40" s="677"/>
      <c r="I40" s="677"/>
      <c r="J40" s="677"/>
      <c r="K40" s="677"/>
      <c r="L40" s="677"/>
      <c r="M40" s="677"/>
      <c r="N40" s="678"/>
      <c r="O40" s="640" t="str">
        <f t="shared" si="20"/>
        <v/>
      </c>
      <c r="P40" s="640" t="str">
        <f t="shared" si="8"/>
        <v/>
      </c>
      <c r="Q40" s="676"/>
      <c r="R40" s="24"/>
      <c r="S40" s="21"/>
      <c r="T40" s="23">
        <f t="shared" si="6"/>
        <v>31</v>
      </c>
      <c r="U40" s="213">
        <f t="shared" ref="U40:U42" si="45">SUM(F40:G40)</f>
        <v>0</v>
      </c>
      <c r="V40" s="213">
        <f t="shared" ref="V40:V42" si="46">SUM(H40:I40)</f>
        <v>0</v>
      </c>
      <c r="W40" s="213">
        <f t="shared" ref="W40:W42" si="47">SUM(J40:K40)</f>
        <v>0</v>
      </c>
      <c r="X40" s="213">
        <f t="shared" ref="X40:X42" si="48">SUM(L40:M40)</f>
        <v>0</v>
      </c>
      <c r="Y40" s="255" t="str">
        <f t="shared" si="5"/>
        <v/>
      </c>
      <c r="Z40" s="255" t="str">
        <f t="shared" si="14"/>
        <v/>
      </c>
    </row>
    <row r="41" spans="1:26" s="11" customFormat="1">
      <c r="A41" s="29"/>
      <c r="B41" s="22"/>
      <c r="C41" s="67"/>
      <c r="D41" s="676"/>
      <c r="E41" s="676"/>
      <c r="F41" s="677"/>
      <c r="G41" s="677"/>
      <c r="H41" s="677"/>
      <c r="I41" s="677"/>
      <c r="J41" s="677"/>
      <c r="K41" s="677"/>
      <c r="L41" s="677"/>
      <c r="M41" s="677"/>
      <c r="N41" s="678"/>
      <c r="O41" s="640" t="str">
        <f t="shared" si="20"/>
        <v/>
      </c>
      <c r="P41" s="640" t="str">
        <f t="shared" si="8"/>
        <v/>
      </c>
      <c r="Q41" s="676"/>
      <c r="R41" s="24"/>
      <c r="S41" s="21"/>
      <c r="T41" s="23">
        <f t="shared" si="6"/>
        <v>32</v>
      </c>
      <c r="U41" s="213">
        <f t="shared" si="45"/>
        <v>0</v>
      </c>
      <c r="V41" s="213">
        <f t="shared" si="46"/>
        <v>0</v>
      </c>
      <c r="W41" s="213">
        <f t="shared" si="47"/>
        <v>0</v>
      </c>
      <c r="X41" s="213">
        <f t="shared" si="48"/>
        <v>0</v>
      </c>
      <c r="Y41" s="255" t="str">
        <f t="shared" si="5"/>
        <v/>
      </c>
      <c r="Z41" s="255" t="str">
        <f t="shared" si="14"/>
        <v/>
      </c>
    </row>
    <row r="42" spans="1:26" s="11" customFormat="1">
      <c r="A42" s="29"/>
      <c r="B42" s="22"/>
      <c r="C42" s="67"/>
      <c r="D42" s="673"/>
      <c r="E42" s="673"/>
      <c r="F42" s="674"/>
      <c r="G42" s="674"/>
      <c r="H42" s="674"/>
      <c r="I42" s="674"/>
      <c r="J42" s="674"/>
      <c r="K42" s="674"/>
      <c r="L42" s="674"/>
      <c r="M42" s="674"/>
      <c r="N42" s="675"/>
      <c r="O42" s="641" t="str">
        <f t="shared" si="20"/>
        <v/>
      </c>
      <c r="P42" s="641" t="str">
        <f t="shared" si="8"/>
        <v/>
      </c>
      <c r="Q42" s="673"/>
      <c r="R42" s="24"/>
      <c r="S42" s="21"/>
      <c r="T42" s="23">
        <f t="shared" si="6"/>
        <v>33</v>
      </c>
      <c r="U42" s="213">
        <f t="shared" si="45"/>
        <v>0</v>
      </c>
      <c r="V42" s="213">
        <f t="shared" si="46"/>
        <v>0</v>
      </c>
      <c r="W42" s="213">
        <f t="shared" si="47"/>
        <v>0</v>
      </c>
      <c r="X42" s="213">
        <f t="shared" si="48"/>
        <v>0</v>
      </c>
      <c r="Y42" s="255" t="str">
        <f t="shared" si="5"/>
        <v/>
      </c>
      <c r="Z42" s="255" t="str">
        <f t="shared" si="14"/>
        <v/>
      </c>
    </row>
    <row r="43" spans="1:26" s="11" customFormat="1">
      <c r="A43" s="29"/>
      <c r="B43" s="22"/>
      <c r="C43" s="67"/>
      <c r="D43" s="676"/>
      <c r="E43" s="676"/>
      <c r="F43" s="677"/>
      <c r="G43" s="677"/>
      <c r="H43" s="677"/>
      <c r="I43" s="677"/>
      <c r="J43" s="677"/>
      <c r="K43" s="677"/>
      <c r="L43" s="677"/>
      <c r="M43" s="677"/>
      <c r="N43" s="678"/>
      <c r="O43" s="640" t="str">
        <f t="shared" si="20"/>
        <v/>
      </c>
      <c r="P43" s="640" t="str">
        <f t="shared" si="8"/>
        <v/>
      </c>
      <c r="Q43" s="676"/>
      <c r="R43" s="24"/>
      <c r="S43" s="21"/>
      <c r="T43" s="23">
        <f t="shared" si="6"/>
        <v>34</v>
      </c>
      <c r="U43" s="213">
        <f t="shared" si="37"/>
        <v>0</v>
      </c>
      <c r="V43" s="213">
        <f t="shared" si="38"/>
        <v>0</v>
      </c>
      <c r="W43" s="213">
        <f t="shared" si="39"/>
        <v>0</v>
      </c>
      <c r="X43" s="213">
        <f t="shared" si="40"/>
        <v>0</v>
      </c>
      <c r="Y43" s="255" t="str">
        <f t="shared" si="5"/>
        <v/>
      </c>
      <c r="Z43" s="255" t="str">
        <f t="shared" si="14"/>
        <v/>
      </c>
    </row>
    <row r="44" spans="1:26" s="11" customFormat="1">
      <c r="A44" s="29"/>
      <c r="B44" s="22"/>
      <c r="C44" s="67"/>
      <c r="D44" s="676"/>
      <c r="E44" s="676"/>
      <c r="F44" s="677"/>
      <c r="G44" s="677"/>
      <c r="H44" s="677"/>
      <c r="I44" s="677"/>
      <c r="J44" s="677"/>
      <c r="K44" s="677"/>
      <c r="L44" s="677"/>
      <c r="M44" s="677"/>
      <c r="N44" s="678"/>
      <c r="O44" s="640" t="str">
        <f t="shared" si="20"/>
        <v/>
      </c>
      <c r="P44" s="640" t="str">
        <f t="shared" si="8"/>
        <v/>
      </c>
      <c r="Q44" s="676"/>
      <c r="R44" s="24"/>
      <c r="S44" s="21"/>
      <c r="T44" s="23">
        <f t="shared" si="6"/>
        <v>35</v>
      </c>
      <c r="U44" s="213">
        <f t="shared" si="37"/>
        <v>0</v>
      </c>
      <c r="V44" s="213">
        <f t="shared" si="38"/>
        <v>0</v>
      </c>
      <c r="W44" s="213">
        <f t="shared" si="39"/>
        <v>0</v>
      </c>
      <c r="X44" s="213">
        <f t="shared" si="40"/>
        <v>0</v>
      </c>
      <c r="Y44" s="255" t="str">
        <f t="shared" si="5"/>
        <v/>
      </c>
      <c r="Z44" s="255" t="str">
        <f t="shared" si="14"/>
        <v/>
      </c>
    </row>
    <row r="45" spans="1:26" s="11" customFormat="1">
      <c r="A45" s="29"/>
      <c r="B45" s="22"/>
      <c r="C45" s="67"/>
      <c r="D45" s="673"/>
      <c r="E45" s="673"/>
      <c r="F45" s="674"/>
      <c r="G45" s="674"/>
      <c r="H45" s="674"/>
      <c r="I45" s="674"/>
      <c r="J45" s="674"/>
      <c r="K45" s="674"/>
      <c r="L45" s="674"/>
      <c r="M45" s="674"/>
      <c r="N45" s="675"/>
      <c r="O45" s="641" t="str">
        <f t="shared" si="20"/>
        <v/>
      </c>
      <c r="P45" s="641" t="str">
        <f t="shared" si="8"/>
        <v/>
      </c>
      <c r="Q45" s="673"/>
      <c r="R45" s="24"/>
      <c r="S45" s="21"/>
      <c r="T45" s="23">
        <f t="shared" si="6"/>
        <v>36</v>
      </c>
      <c r="U45" s="213">
        <f t="shared" si="37"/>
        <v>0</v>
      </c>
      <c r="V45" s="213">
        <f t="shared" si="38"/>
        <v>0</v>
      </c>
      <c r="W45" s="213">
        <f t="shared" si="39"/>
        <v>0</v>
      </c>
      <c r="X45" s="213">
        <f t="shared" si="40"/>
        <v>0</v>
      </c>
      <c r="Y45" s="255" t="str">
        <f t="shared" si="5"/>
        <v/>
      </c>
      <c r="Z45" s="255" t="str">
        <f>IF(Q45="","",IFERROR(Q45-O45,""))</f>
        <v/>
      </c>
    </row>
    <row r="46" spans="1:26" s="11" customFormat="1">
      <c r="A46" s="29"/>
      <c r="B46" s="22"/>
      <c r="C46" s="67"/>
      <c r="D46" s="673"/>
      <c r="E46" s="673"/>
      <c r="F46" s="674"/>
      <c r="G46" s="674"/>
      <c r="H46" s="674"/>
      <c r="I46" s="674"/>
      <c r="J46" s="674"/>
      <c r="K46" s="674"/>
      <c r="L46" s="674"/>
      <c r="M46" s="674"/>
      <c r="N46" s="675"/>
      <c r="O46" s="641" t="str">
        <f t="shared" ref="O46" si="49">IF(SUM(F46:M46)=0,"",SUM(F46:M46))</f>
        <v/>
      </c>
      <c r="P46" s="641" t="str">
        <f t="shared" si="8"/>
        <v/>
      </c>
      <c r="Q46" s="673"/>
      <c r="R46" s="24"/>
      <c r="S46" s="21"/>
      <c r="T46" s="23">
        <f t="shared" si="6"/>
        <v>37</v>
      </c>
      <c r="U46" s="213">
        <f t="shared" ref="U46" si="50">SUM(F46:G46)</f>
        <v>0</v>
      </c>
      <c r="V46" s="213">
        <f t="shared" ref="V46" si="51">SUM(H46:I46)</f>
        <v>0</v>
      </c>
      <c r="W46" s="213">
        <f t="shared" ref="W46" si="52">SUM(J46:K46)</f>
        <v>0</v>
      </c>
      <c r="X46" s="213">
        <f t="shared" ref="X46" si="53">SUM(L46:M46)</f>
        <v>0</v>
      </c>
      <c r="Y46" s="255" t="str">
        <f t="shared" ref="Y46" si="54">IF(SUM(F46:M46)=0,"",SUM(F46:M46))</f>
        <v/>
      </c>
      <c r="Z46" s="255" t="str">
        <f>IF(Q46="","",IFERROR(Q46-O46,""))</f>
        <v/>
      </c>
    </row>
    <row r="47" spans="1:26">
      <c r="A47" s="28"/>
      <c r="B47" s="16"/>
      <c r="C47" s="1460" t="s">
        <v>605</v>
      </c>
      <c r="D47" s="1461"/>
      <c r="E47" s="405"/>
      <c r="F47" s="642">
        <f ca="1">SUM(OFFSET(F$10,0,0,ROW()-ROW(F$10),1))</f>
        <v>0</v>
      </c>
      <c r="G47" s="642">
        <f t="shared" ref="G47:M47" ca="1" si="55">SUM(OFFSET(G$10,0,0,ROW()-ROW(G$10),1))</f>
        <v>0</v>
      </c>
      <c r="H47" s="642">
        <f t="shared" ca="1" si="55"/>
        <v>0</v>
      </c>
      <c r="I47" s="642">
        <f t="shared" ca="1" si="55"/>
        <v>0</v>
      </c>
      <c r="J47" s="642">
        <f t="shared" ca="1" si="55"/>
        <v>0</v>
      </c>
      <c r="K47" s="642">
        <f t="shared" ca="1" si="55"/>
        <v>0</v>
      </c>
      <c r="L47" s="642">
        <f t="shared" ca="1" si="55"/>
        <v>0</v>
      </c>
      <c r="M47" s="642">
        <f t="shared" ca="1" si="55"/>
        <v>0</v>
      </c>
      <c r="N47" s="406"/>
      <c r="O47" s="642">
        <f ca="1">SUM(OFFSET(O$9,0,0,ROW()-ROW(O$9),1))</f>
        <v>0</v>
      </c>
      <c r="P47" s="642">
        <f ca="1">SUM(OFFSET(P$10,0,0,ROW()-ROW(P$10),1))</f>
        <v>0</v>
      </c>
      <c r="Q47" s="642">
        <f ca="1">SUM(OFFSET(Q$10,0,0,ROW()-ROW(Q$10),1))</f>
        <v>0</v>
      </c>
      <c r="R47" s="19"/>
      <c r="S47" s="13"/>
      <c r="T47" s="407">
        <f t="shared" si="6"/>
        <v>38</v>
      </c>
      <c r="U47" s="413"/>
      <c r="V47" s="413"/>
      <c r="W47" s="413"/>
      <c r="X47" s="413"/>
      <c r="Y47" s="175">
        <f ca="1">SUM(OFFSET(O$9,0,0,ROW()-ROW(O$9),1))</f>
        <v>0</v>
      </c>
      <c r="Z47" s="175">
        <f ca="1">SUM(OFFSET(P$10,0,0,ROW()-ROW(P$10),1))</f>
        <v>0</v>
      </c>
    </row>
    <row r="48" spans="1:26" ht="41.25" customHeight="1">
      <c r="A48" s="28"/>
      <c r="B48" s="16"/>
      <c r="C48" s="1460" t="s">
        <v>151</v>
      </c>
      <c r="D48" s="1461"/>
      <c r="E48" s="405"/>
      <c r="F48" s="643">
        <f t="shared" ref="F48:M48" ca="1" si="56">IFERROR(F47/$O$47,0)</f>
        <v>0</v>
      </c>
      <c r="G48" s="643">
        <f t="shared" ca="1" si="56"/>
        <v>0</v>
      </c>
      <c r="H48" s="643">
        <f t="shared" ca="1" si="56"/>
        <v>0</v>
      </c>
      <c r="I48" s="643">
        <f t="shared" ca="1" si="56"/>
        <v>0</v>
      </c>
      <c r="J48" s="643">
        <f t="shared" ca="1" si="56"/>
        <v>0</v>
      </c>
      <c r="K48" s="643">
        <f t="shared" ca="1" si="56"/>
        <v>0</v>
      </c>
      <c r="L48" s="643">
        <f t="shared" ca="1" si="56"/>
        <v>0</v>
      </c>
      <c r="M48" s="643">
        <f t="shared" ca="1" si="56"/>
        <v>0</v>
      </c>
      <c r="N48" s="406"/>
      <c r="O48" s="643">
        <f ca="1">IFERROR(O47/$O$47,0)</f>
        <v>0</v>
      </c>
      <c r="P48" s="405"/>
      <c r="Q48" s="405"/>
      <c r="R48" s="19"/>
      <c r="S48" s="13"/>
      <c r="T48" s="407">
        <f t="shared" si="6"/>
        <v>39</v>
      </c>
      <c r="U48" s="413"/>
      <c r="V48" s="413"/>
      <c r="W48" s="413"/>
      <c r="X48" s="413"/>
      <c r="Y48" s="414">
        <f ca="1">IFERROR(O47/$O$47,0)</f>
        <v>0</v>
      </c>
      <c r="Z48" s="414">
        <f ca="1">IFERROR(P47/$O$47,0)</f>
        <v>0</v>
      </c>
    </row>
    <row r="49" spans="1:21">
      <c r="A49" s="28"/>
      <c r="B49" s="46"/>
      <c r="C49" s="417"/>
      <c r="D49" s="417"/>
      <c r="E49" s="417"/>
      <c r="F49" s="182"/>
      <c r="G49" s="182"/>
      <c r="H49" s="182"/>
      <c r="I49" s="182"/>
      <c r="J49" s="182"/>
      <c r="K49" s="182"/>
      <c r="L49" s="182"/>
      <c r="M49" s="182"/>
      <c r="N49" s="418"/>
      <c r="O49" s="182"/>
      <c r="P49" s="182"/>
      <c r="Q49" s="417"/>
      <c r="R49" s="27"/>
      <c r="S49" s="13"/>
      <c r="T49" s="13"/>
    </row>
    <row r="50" spans="1:21">
      <c r="A50" s="13"/>
      <c r="B50" s="13"/>
      <c r="C50" s="13"/>
      <c r="D50" s="13"/>
      <c r="E50" s="13"/>
      <c r="F50" s="13"/>
      <c r="G50" s="13"/>
      <c r="H50" s="13"/>
      <c r="I50" s="13"/>
      <c r="J50" s="13"/>
      <c r="K50" s="13"/>
      <c r="L50" s="13"/>
      <c r="M50" s="13"/>
      <c r="N50" s="13"/>
      <c r="O50" s="13"/>
      <c r="P50" s="13"/>
      <c r="Q50" s="13"/>
      <c r="R50" s="13"/>
      <c r="S50" s="13"/>
      <c r="T50" s="13"/>
    </row>
    <row r="51" spans="1:21">
      <c r="A51" s="13"/>
      <c r="B51" s="13"/>
      <c r="C51" s="13"/>
      <c r="D51" s="13"/>
      <c r="E51" s="13"/>
      <c r="F51" s="13"/>
      <c r="G51" s="13"/>
      <c r="H51" s="13"/>
      <c r="I51" s="13"/>
      <c r="J51" s="13"/>
      <c r="K51" s="13"/>
      <c r="L51" s="13"/>
      <c r="M51" s="13"/>
      <c r="N51" s="13"/>
      <c r="O51" s="13"/>
      <c r="P51" s="13"/>
      <c r="Q51" s="13"/>
      <c r="R51" s="13"/>
      <c r="S51" s="13"/>
      <c r="T51" s="407" t="s">
        <v>452</v>
      </c>
      <c r="U51" s="175" cm="1">
        <f t="array" aca="1" ref="U51" ca="1">IF(SUMPRODUCT(N(O10:O48&lt;&gt;Y10:Y48))=0,1,0)</f>
        <v>1</v>
      </c>
    </row>
    <row r="52" spans="1:21">
      <c r="A52" s="13"/>
      <c r="B52" s="13"/>
      <c r="D52" s="13" t="s">
        <v>552</v>
      </c>
      <c r="E52" s="13"/>
      <c r="F52" s="50"/>
      <c r="G52" s="50"/>
      <c r="H52" s="47"/>
      <c r="I52" s="13"/>
      <c r="J52" s="13"/>
      <c r="K52" s="13"/>
      <c r="L52" s="13"/>
      <c r="M52" s="13"/>
      <c r="N52" s="13"/>
      <c r="O52" s="13"/>
      <c r="P52" s="13"/>
      <c r="Q52" s="13"/>
      <c r="R52" s="13"/>
      <c r="S52" s="13"/>
      <c r="T52" s="13"/>
    </row>
    <row r="53" spans="1:21" ht="19">
      <c r="A53" s="13"/>
      <c r="B53" s="13"/>
      <c r="D53" s="411">
        <f ca="1">G47+I47+K47+M47</f>
        <v>0</v>
      </c>
      <c r="E53" s="13"/>
      <c r="F53" s="50"/>
      <c r="G53" s="50"/>
      <c r="H53" s="47"/>
      <c r="I53" s="13"/>
      <c r="J53" s="13"/>
      <c r="K53" s="13"/>
      <c r="L53" s="13"/>
      <c r="M53" s="13"/>
      <c r="N53" s="13"/>
      <c r="O53" s="13"/>
      <c r="P53" s="13"/>
      <c r="Q53" s="13"/>
      <c r="R53" s="13"/>
      <c r="S53" s="13"/>
      <c r="T53" s="13"/>
    </row>
    <row r="54" spans="1:21">
      <c r="A54" s="13"/>
      <c r="B54" s="13"/>
      <c r="D54" s="51"/>
      <c r="E54" s="13"/>
      <c r="F54" s="50"/>
      <c r="G54" s="50"/>
      <c r="H54" s="47"/>
      <c r="I54" s="13"/>
      <c r="J54" s="13"/>
      <c r="K54" s="13"/>
      <c r="L54" s="13"/>
      <c r="M54" s="13"/>
      <c r="N54" s="13"/>
      <c r="O54" s="13"/>
      <c r="P54" s="13"/>
      <c r="Q54" s="13"/>
      <c r="R54" s="13"/>
      <c r="S54" s="13"/>
      <c r="T54" s="13"/>
    </row>
  </sheetData>
  <sheetProtection algorithmName="SHA-512" hashValue="fwH0CVslSfFz3fF40ZpmoEZAbp2U9o4+vC4PiGKIFDzBazLhwUhS06Azk/o7qACL8VRsVffCqR6Gq7Djznc1Dg==" saltValue="v0JqaEWjk3Rn5AOHHbBqjA==" spinCount="100000" sheet="1" formatCells="0" insertRows="0" deleteRows="0"/>
  <mergeCells count="6">
    <mergeCell ref="L8:M8"/>
    <mergeCell ref="C48:D48"/>
    <mergeCell ref="C47:D47"/>
    <mergeCell ref="F8:G8"/>
    <mergeCell ref="H8:I8"/>
    <mergeCell ref="J8:K8"/>
  </mergeCells>
  <phoneticPr fontId="1"/>
  <conditionalFormatting sqref="C9">
    <cfRule type="expression" dxfId="18" priority="253">
      <formula>$C$11=""</formula>
    </cfRule>
  </conditionalFormatting>
  <conditionalFormatting sqref="C49 E49:Q49">
    <cfRule type="expression" dxfId="17" priority="256">
      <formula>$C49="合計"</formula>
    </cfRule>
  </conditionalFormatting>
  <conditionalFormatting sqref="C49">
    <cfRule type="expression" dxfId="16" priority="288">
      <formula>COUNTIF($C$11:$C$98,$C49)&gt;1</formula>
    </cfRule>
  </conditionalFormatting>
  <conditionalFormatting sqref="C10:Q46">
    <cfRule type="expression" dxfId="15" priority="5">
      <formula>$T10=""</formula>
    </cfRule>
  </conditionalFormatting>
  <conditionalFormatting sqref="D6">
    <cfRule type="expression" dxfId="14" priority="281">
      <formula>$C6=""</formula>
    </cfRule>
    <cfRule type="expression" dxfId="13" priority="282">
      <formula>$C6="*"</formula>
    </cfRule>
  </conditionalFormatting>
  <conditionalFormatting sqref="D53">
    <cfRule type="expression" dxfId="12" priority="252">
      <formula>$O$47=0</formula>
    </cfRule>
  </conditionalFormatting>
  <conditionalFormatting sqref="D11:N46 Q11:Q46">
    <cfRule type="notContainsBlanks" dxfId="11" priority="9">
      <formula>LEN(TRIM(D11))&gt;0</formula>
    </cfRule>
  </conditionalFormatting>
  <conditionalFormatting sqref="F49:M49">
    <cfRule type="expression" dxfId="10" priority="4345">
      <formula>COUNTA(OFFSET(F$11,0,0,ROW(Q$98)-ROW(F$11),1))&gt;0</formula>
    </cfRule>
  </conditionalFormatting>
  <conditionalFormatting sqref="G49:I49">
    <cfRule type="expression" dxfId="9" priority="4346">
      <formula>COUNTA(OFFSET(G$11,0,0,ROW(Q$98)-ROW(G$11),1))&gt;0</formula>
    </cfRule>
  </conditionalFormatting>
  <conditionalFormatting sqref="J49:L49">
    <cfRule type="expression" dxfId="8" priority="290">
      <formula>COUNTA(OFFSET(J$11,0,0,ROW(G$98)-ROW(J$11),1))&gt;0</formula>
    </cfRule>
  </conditionalFormatting>
  <conditionalFormatting sqref="K49:L49">
    <cfRule type="expression" dxfId="7" priority="289">
      <formula>COUNTA(OFFSET(K$11,0,0,ROW(I$98)-ROW(K$11),1))&gt;0</formula>
    </cfRule>
  </conditionalFormatting>
  <conditionalFormatting sqref="O10:O46">
    <cfRule type="notContainsBlanks" dxfId="6" priority="8">
      <formula>LEN(TRIM(O10))&gt;0</formula>
    </cfRule>
  </conditionalFormatting>
  <conditionalFormatting sqref="O10:O48">
    <cfRule type="expression" dxfId="5" priority="6">
      <formula>$O10&lt;&gt;$Y10</formula>
    </cfRule>
  </conditionalFormatting>
  <conditionalFormatting sqref="O47:Q47 O48 F47:M48">
    <cfRule type="cellIs" dxfId="4" priority="7" operator="notEqual">
      <formula>0</formula>
    </cfRule>
  </conditionalFormatting>
  <conditionalFormatting sqref="P11:P47">
    <cfRule type="cellIs" dxfId="3" priority="1" operator="lessThan">
      <formula>0</formula>
    </cfRule>
    <cfRule type="expression" dxfId="2" priority="2">
      <formula>$P11&lt;&gt;$Z11</formula>
    </cfRule>
  </conditionalFormatting>
  <conditionalFormatting sqref="P11:Q46">
    <cfRule type="notContainsBlanks" dxfId="1" priority="3">
      <formula>LEN(TRIM(P11))&gt;0</formula>
    </cfRule>
  </conditionalFormatting>
  <conditionalFormatting sqref="Q47">
    <cfRule type="cellIs" dxfId="0" priority="4" operator="notEqual">
      <formula>0</formula>
    </cfRule>
  </conditionalFormatting>
  <dataValidations count="6">
    <dataValidation operator="lessThan" allowBlank="1" showInputMessage="1" showErrorMessage="1" sqref="C6" xr:uid="{856B4DDF-F12D-4DB2-95EF-3F8CB0D5548C}"/>
    <dataValidation type="textLength" operator="lessThan" allowBlank="1" showInputMessage="1" showErrorMessage="1" sqref="C31:C46 C11:C29" xr:uid="{093E2B4A-8B33-457F-A02F-3A6CB0765A70}">
      <formula1>1</formula1>
    </dataValidation>
    <dataValidation type="decimal" operator="greaterThanOrEqual" allowBlank="1" showInputMessage="1" showErrorMessage="1" error="数値で入力してください" sqref="F6:M6 F10:M46 Q10:Q46 P10" xr:uid="{F8F4AAC5-FF64-4EBC-9D31-F687E2F29985}">
      <formula1>0</formula1>
    </dataValidation>
    <dataValidation operator="greaterThanOrEqual" allowBlank="1" showInputMessage="1" showErrorMessage="1" error="数値で入力してください" sqref="F48:M48 O48" xr:uid="{716E11DF-A029-42D2-88E4-B55D834B6947}"/>
    <dataValidation type="textLength" operator="lessThan" allowBlank="1" showInputMessage="1" sqref="C30 C10" xr:uid="{6F54D403-AB51-433C-BE7B-710A6953F6B9}">
      <formula1>1</formula1>
    </dataValidation>
    <dataValidation type="decimal" operator="greaterThanOrEqual" allowBlank="1" showInputMessage="1" error="数値で入力してください" sqref="P11:P47" xr:uid="{41FC6BFB-A273-4481-925D-06891756BA3E}">
      <formula1>0</formula1>
    </dataValidation>
  </dataValidations>
  <pageMargins left="0.7" right="0.7" top="0.75" bottom="0.75" header="0.3" footer="0.3"/>
  <pageSetup scale="34"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4CE5-83CD-4717-89A3-293A2747C0F0}">
  <sheetPr codeName="Sheet38">
    <tabColor theme="7" tint="0.79998168889431442"/>
    <pageSetUpPr autoPageBreaks="0"/>
  </sheetPr>
  <dimension ref="A1:J26"/>
  <sheetViews>
    <sheetView showGridLines="0" zoomScaleNormal="100" zoomScaleSheetLayoutView="90" workbookViewId="0"/>
  </sheetViews>
  <sheetFormatPr defaultRowHeight="18"/>
  <cols>
    <col min="1" max="1" width="2.5" customWidth="1"/>
    <col min="5" max="10" width="10.58203125" style="3" customWidth="1"/>
  </cols>
  <sheetData>
    <row r="1" spans="1:10">
      <c r="A1" s="44" t="s">
        <v>365</v>
      </c>
      <c r="B1" s="13"/>
      <c r="C1" s="13"/>
      <c r="D1" s="13"/>
      <c r="E1" s="17"/>
      <c r="F1" s="17"/>
      <c r="G1" s="17"/>
      <c r="H1" s="17"/>
      <c r="I1" s="17"/>
      <c r="J1" s="17"/>
    </row>
    <row r="2" spans="1:10" ht="37" customHeight="1">
      <c r="A2" s="44"/>
      <c r="B2" s="1351" t="s">
        <v>240</v>
      </c>
      <c r="C2" s="1351"/>
      <c r="D2" s="1351"/>
      <c r="E2" s="1351"/>
      <c r="F2" s="1351"/>
      <c r="G2" s="1351"/>
      <c r="H2" s="1351"/>
      <c r="I2" s="1351"/>
      <c r="J2" s="1351"/>
    </row>
    <row r="3" spans="1:10">
      <c r="A3" s="1"/>
    </row>
    <row r="4" spans="1:10">
      <c r="B4" s="11" t="s">
        <v>128</v>
      </c>
    </row>
    <row r="5" spans="1:10" ht="99.75" customHeight="1">
      <c r="B5" s="1471" t="s">
        <v>236</v>
      </c>
      <c r="C5" s="1472"/>
      <c r="D5" s="1472"/>
      <c r="E5" s="1473"/>
      <c r="F5" s="1473"/>
      <c r="G5" s="1473"/>
      <c r="H5" s="1473"/>
      <c r="I5" s="1473"/>
      <c r="J5" s="1473"/>
    </row>
    <row r="6" spans="1:10" ht="99.75" customHeight="1">
      <c r="B6" s="1471" t="s">
        <v>239</v>
      </c>
      <c r="C6" s="1472"/>
      <c r="D6" s="1472"/>
      <c r="E6" s="1473"/>
      <c r="F6" s="1473"/>
      <c r="G6" s="1473"/>
      <c r="H6" s="1473"/>
      <c r="I6" s="1473"/>
      <c r="J6" s="1473"/>
    </row>
    <row r="8" spans="1:10">
      <c r="B8" s="11" t="s">
        <v>127</v>
      </c>
    </row>
    <row r="9" spans="1:10" ht="99.75" customHeight="1">
      <c r="B9" s="1471" t="s">
        <v>236</v>
      </c>
      <c r="C9" s="1472"/>
      <c r="D9" s="1472"/>
      <c r="E9" s="1473"/>
      <c r="F9" s="1473"/>
      <c r="G9" s="1473"/>
      <c r="H9" s="1473"/>
      <c r="I9" s="1473"/>
      <c r="J9" s="1473"/>
    </row>
    <row r="10" spans="1:10" ht="99.75" customHeight="1">
      <c r="B10" s="1471" t="s">
        <v>239</v>
      </c>
      <c r="C10" s="1472"/>
      <c r="D10" s="1472"/>
      <c r="E10" s="1473"/>
      <c r="F10" s="1473"/>
      <c r="G10" s="1473"/>
      <c r="H10" s="1473"/>
      <c r="I10" s="1473"/>
      <c r="J10" s="1473"/>
    </row>
    <row r="12" spans="1:10">
      <c r="B12" s="11" t="s">
        <v>126</v>
      </c>
    </row>
    <row r="13" spans="1:10" ht="99.75" customHeight="1">
      <c r="B13" s="1471" t="s">
        <v>236</v>
      </c>
      <c r="C13" s="1472"/>
      <c r="D13" s="1472"/>
      <c r="E13" s="1473"/>
      <c r="F13" s="1473"/>
      <c r="G13" s="1473"/>
      <c r="H13" s="1473"/>
      <c r="I13" s="1473"/>
      <c r="J13" s="1473"/>
    </row>
    <row r="14" spans="1:10" ht="99.75" customHeight="1">
      <c r="B14" s="1471" t="s">
        <v>239</v>
      </c>
      <c r="C14" s="1472"/>
      <c r="D14" s="1472"/>
      <c r="E14" s="1473"/>
      <c r="F14" s="1473"/>
      <c r="G14" s="1473"/>
      <c r="H14" s="1473"/>
      <c r="I14" s="1473"/>
      <c r="J14" s="1473"/>
    </row>
    <row r="16" spans="1:10">
      <c r="B16" s="11" t="s">
        <v>125</v>
      </c>
    </row>
    <row r="17" spans="2:10" ht="99.75" customHeight="1">
      <c r="B17" s="1471" t="s">
        <v>236</v>
      </c>
      <c r="C17" s="1472"/>
      <c r="D17" s="1472"/>
      <c r="E17" s="1473"/>
      <c r="F17" s="1473"/>
      <c r="G17" s="1473"/>
      <c r="H17" s="1473"/>
      <c r="I17" s="1473"/>
      <c r="J17" s="1473"/>
    </row>
    <row r="18" spans="2:10" ht="99.75" customHeight="1">
      <c r="B18" s="1471" t="s">
        <v>239</v>
      </c>
      <c r="C18" s="1472"/>
      <c r="D18" s="1472"/>
      <c r="E18" s="1473"/>
      <c r="F18" s="1473"/>
      <c r="G18" s="1473"/>
      <c r="H18" s="1473"/>
      <c r="I18" s="1473"/>
      <c r="J18" s="1473"/>
    </row>
    <row r="20" spans="2:10">
      <c r="B20" s="11" t="s">
        <v>124</v>
      </c>
    </row>
    <row r="21" spans="2:10" ht="99.75" customHeight="1">
      <c r="B21" s="1471" t="s">
        <v>236</v>
      </c>
      <c r="C21" s="1472"/>
      <c r="D21" s="1472"/>
      <c r="E21" s="1473"/>
      <c r="F21" s="1473"/>
      <c r="G21" s="1473"/>
      <c r="H21" s="1473"/>
      <c r="I21" s="1473"/>
      <c r="J21" s="1473"/>
    </row>
    <row r="22" spans="2:10" ht="99.75" customHeight="1">
      <c r="B22" s="1471" t="s">
        <v>239</v>
      </c>
      <c r="C22" s="1472"/>
      <c r="D22" s="1472"/>
      <c r="E22" s="1473"/>
      <c r="F22" s="1473"/>
      <c r="G22" s="1473"/>
      <c r="H22" s="1473"/>
      <c r="I22" s="1473"/>
      <c r="J22" s="1473"/>
    </row>
    <row r="24" spans="2:10">
      <c r="B24" s="11" t="s">
        <v>123</v>
      </c>
    </row>
    <row r="25" spans="2:10" ht="99.75" customHeight="1">
      <c r="B25" s="1471" t="s">
        <v>236</v>
      </c>
      <c r="C25" s="1472"/>
      <c r="D25" s="1472"/>
      <c r="E25" s="1473"/>
      <c r="F25" s="1473"/>
      <c r="G25" s="1473"/>
      <c r="H25" s="1473"/>
      <c r="I25" s="1473"/>
      <c r="J25" s="1473"/>
    </row>
    <row r="26" spans="2:10" ht="99.75" customHeight="1">
      <c r="B26" s="1471" t="s">
        <v>239</v>
      </c>
      <c r="C26" s="1472"/>
      <c r="D26" s="1472"/>
      <c r="E26" s="1473"/>
      <c r="F26" s="1473"/>
      <c r="G26" s="1473"/>
      <c r="H26" s="1473"/>
      <c r="I26" s="1473"/>
      <c r="J26" s="1473"/>
    </row>
  </sheetData>
  <sheetProtection formatCells="0" formatRows="0" insertRows="0" deleteRows="0"/>
  <mergeCells count="25">
    <mergeCell ref="B2:J2"/>
    <mergeCell ref="B5:D5"/>
    <mergeCell ref="E5:J5"/>
    <mergeCell ref="B6:D6"/>
    <mergeCell ref="E6:J6"/>
    <mergeCell ref="B9:D9"/>
    <mergeCell ref="E9:J9"/>
    <mergeCell ref="B10:D10"/>
    <mergeCell ref="E10:J10"/>
    <mergeCell ref="B13:D13"/>
    <mergeCell ref="E13:J13"/>
    <mergeCell ref="B14:D14"/>
    <mergeCell ref="E14:J14"/>
    <mergeCell ref="B17:D17"/>
    <mergeCell ref="E17:J17"/>
    <mergeCell ref="B18:D18"/>
    <mergeCell ref="E18:J18"/>
    <mergeCell ref="B26:D26"/>
    <mergeCell ref="E26:J26"/>
    <mergeCell ref="B21:D21"/>
    <mergeCell ref="E21:J21"/>
    <mergeCell ref="B22:D22"/>
    <mergeCell ref="E22:J22"/>
    <mergeCell ref="B25:D25"/>
    <mergeCell ref="E25:J25"/>
  </mergeCells>
  <phoneticPr fontId="1"/>
  <pageMargins left="0.7" right="0.7" top="0.75" bottom="0.75" header="0.3" footer="0.3"/>
  <pageSetup scale="81" orientation="portrait" r:id="rId1"/>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F24A-EB1A-4CA2-B2CB-EFC0F2F52A13}">
  <sheetPr codeName="Sheet19">
    <tabColor theme="0" tint="-0.14999847407452621"/>
  </sheetPr>
  <dimension ref="A1:G10"/>
  <sheetViews>
    <sheetView showGridLines="0" topLeftCell="H1" zoomScaleNormal="100" zoomScaleSheetLayoutView="100" workbookViewId="0">
      <selection activeCell="H1" sqref="H1"/>
    </sheetView>
  </sheetViews>
  <sheetFormatPr defaultRowHeight="18"/>
  <cols>
    <col min="1" max="1" width="4.33203125" hidden="1" customWidth="1"/>
    <col min="2" max="2" width="31.08203125" hidden="1" customWidth="1"/>
    <col min="3" max="3" width="17.25" hidden="1" customWidth="1"/>
    <col min="4" max="4" width="11" hidden="1" customWidth="1"/>
    <col min="5" max="6" width="9" hidden="1" customWidth="1"/>
    <col min="7" max="7" width="7.33203125" hidden="1" customWidth="1"/>
  </cols>
  <sheetData>
    <row r="1" spans="1:7">
      <c r="A1" s="176" t="s">
        <v>0</v>
      </c>
      <c r="B1" s="176" t="s">
        <v>29</v>
      </c>
      <c r="C1" s="176" t="s">
        <v>54</v>
      </c>
      <c r="D1" s="176" t="s">
        <v>242</v>
      </c>
      <c r="E1" s="176" t="s">
        <v>243</v>
      </c>
      <c r="F1" s="176" t="s">
        <v>244</v>
      </c>
      <c r="G1" s="176" t="s">
        <v>245</v>
      </c>
    </row>
    <row r="2" spans="1:7">
      <c r="A2" s="175">
        <v>1</v>
      </c>
      <c r="B2" s="175" t="s">
        <v>37</v>
      </c>
      <c r="C2" s="175" t="s">
        <v>59</v>
      </c>
      <c r="D2" s="175" t="s">
        <v>221</v>
      </c>
      <c r="E2" s="175" t="s">
        <v>246</v>
      </c>
      <c r="F2" s="175" t="s">
        <v>247</v>
      </c>
      <c r="G2" s="175"/>
    </row>
    <row r="3" spans="1:7">
      <c r="A3" s="175">
        <v>2</v>
      </c>
      <c r="B3" s="175" t="s">
        <v>38</v>
      </c>
      <c r="C3" s="175" t="s">
        <v>59</v>
      </c>
      <c r="D3" s="175" t="s">
        <v>221</v>
      </c>
      <c r="E3" s="175" t="s">
        <v>246</v>
      </c>
      <c r="F3" s="175" t="s">
        <v>247</v>
      </c>
      <c r="G3" s="175"/>
    </row>
    <row r="4" spans="1:7">
      <c r="A4" s="175">
        <v>3</v>
      </c>
      <c r="B4" s="175" t="s">
        <v>39</v>
      </c>
      <c r="C4" s="175" t="s">
        <v>61</v>
      </c>
      <c r="D4" s="175" t="s">
        <v>248</v>
      </c>
      <c r="E4" s="175" t="s">
        <v>249</v>
      </c>
      <c r="F4" s="175" t="s">
        <v>250</v>
      </c>
      <c r="G4" s="175" t="s">
        <v>251</v>
      </c>
    </row>
    <row r="5" spans="1:7">
      <c r="A5" s="175">
        <v>4</v>
      </c>
      <c r="B5" s="175" t="s">
        <v>40</v>
      </c>
      <c r="C5" s="175" t="s">
        <v>61</v>
      </c>
      <c r="D5" s="175" t="s">
        <v>248</v>
      </c>
      <c r="E5" s="175" t="s">
        <v>249</v>
      </c>
      <c r="F5" s="175" t="s">
        <v>250</v>
      </c>
      <c r="G5" s="175" t="s">
        <v>251</v>
      </c>
    </row>
    <row r="6" spans="1:7">
      <c r="A6" s="175">
        <v>5</v>
      </c>
      <c r="B6" s="175" t="s">
        <v>41</v>
      </c>
      <c r="C6" s="175" t="s">
        <v>61</v>
      </c>
      <c r="D6" s="175" t="s">
        <v>248</v>
      </c>
      <c r="E6" s="175" t="s">
        <v>249</v>
      </c>
      <c r="F6" s="175" t="s">
        <v>250</v>
      </c>
      <c r="G6" s="175" t="s">
        <v>251</v>
      </c>
    </row>
    <row r="7" spans="1:7">
      <c r="A7" s="175">
        <v>6</v>
      </c>
      <c r="B7" s="175" t="s">
        <v>42</v>
      </c>
      <c r="C7" s="175" t="s">
        <v>61</v>
      </c>
      <c r="D7" s="175" t="s">
        <v>248</v>
      </c>
      <c r="E7" s="175" t="s">
        <v>249</v>
      </c>
      <c r="F7" s="175" t="s">
        <v>250</v>
      </c>
      <c r="G7" s="175" t="s">
        <v>251</v>
      </c>
    </row>
    <row r="8" spans="1:7">
      <c r="A8" s="175">
        <v>7</v>
      </c>
      <c r="B8" s="175" t="s">
        <v>43</v>
      </c>
      <c r="C8" s="175" t="s">
        <v>63</v>
      </c>
      <c r="D8" s="175" t="s">
        <v>252</v>
      </c>
      <c r="E8" s="175" t="s">
        <v>249</v>
      </c>
      <c r="F8" s="175" t="s">
        <v>250</v>
      </c>
      <c r="G8" s="175" t="s">
        <v>251</v>
      </c>
    </row>
    <row r="9" spans="1:7">
      <c r="A9" s="175">
        <v>8</v>
      </c>
      <c r="B9" s="175" t="s">
        <v>21</v>
      </c>
      <c r="C9" s="175" t="s">
        <v>63</v>
      </c>
      <c r="D9" s="175" t="s">
        <v>252</v>
      </c>
      <c r="E9" s="175" t="s">
        <v>249</v>
      </c>
      <c r="F9" s="175" t="s">
        <v>250</v>
      </c>
      <c r="G9" s="175" t="s">
        <v>251</v>
      </c>
    </row>
    <row r="10" spans="1:7">
      <c r="A10" s="175"/>
      <c r="B10" s="175"/>
      <c r="C10" s="175"/>
      <c r="D10" s="175"/>
      <c r="E10" s="175"/>
      <c r="F10" s="175"/>
      <c r="G10" s="175"/>
    </row>
  </sheetData>
  <sheetProtection algorithmName="SHA-512" hashValue="nH82ko2c+hard89DhuPkpdnSTmR35tQbDxPIkHPCPusVAf6vyV/mnu8+Uwmy0OhZzohIa9ZJnqrE/xRCSftKfg==" saltValue="0/hzqa4mVf6qnrJbSjIRDQ==" spinCount="100000" sheet="1" objects="1" scenarios="1"/>
  <phoneticPr fontId="1"/>
  <pageMargins left="0.7" right="0.7" top="0.75" bottom="0.75" header="0.3" footer="0.3"/>
  <pageSetup paperSize="9" scale="69" orientation="portrait" r:id="rId1"/>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5FFE-9477-4B67-BFC5-02825A886C55}">
  <sheetPr codeName="Sheet10"/>
  <dimension ref="A2:O45"/>
  <sheetViews>
    <sheetView showGridLines="0" topLeftCell="P1" workbookViewId="0">
      <selection activeCell="P1" sqref="P1"/>
    </sheetView>
  </sheetViews>
  <sheetFormatPr defaultRowHeight="18"/>
  <cols>
    <col min="1" max="7" width="0" hidden="1" customWidth="1"/>
    <col min="8" max="8" width="47.58203125" hidden="1" customWidth="1"/>
    <col min="9" max="10" width="0" hidden="1" customWidth="1"/>
    <col min="11" max="11" width="58.75" hidden="1" customWidth="1"/>
    <col min="12" max="13" width="0" hidden="1" customWidth="1"/>
    <col min="14" max="14" width="13.25" hidden="1" customWidth="1"/>
    <col min="15" max="15" width="0" hidden="1" customWidth="1"/>
  </cols>
  <sheetData>
    <row r="2" spans="1:15">
      <c r="A2" s="1" t="s">
        <v>391</v>
      </c>
      <c r="C2" s="2"/>
    </row>
    <row r="3" spans="1:15">
      <c r="B3" s="1" t="s">
        <v>366</v>
      </c>
      <c r="C3" s="1"/>
      <c r="D3" s="1"/>
      <c r="E3" s="1" t="s">
        <v>367</v>
      </c>
      <c r="F3" s="1"/>
      <c r="G3" s="1"/>
      <c r="H3" s="1" t="s">
        <v>368</v>
      </c>
      <c r="J3" s="1"/>
      <c r="K3" s="1" t="s">
        <v>369</v>
      </c>
      <c r="N3" s="1" t="s">
        <v>370</v>
      </c>
    </row>
    <row r="4" spans="1:15">
      <c r="B4" s="176" t="s">
        <v>371</v>
      </c>
      <c r="C4" s="176" t="s">
        <v>372</v>
      </c>
      <c r="E4" s="176" t="s">
        <v>373</v>
      </c>
      <c r="F4" s="176" t="s">
        <v>372</v>
      </c>
      <c r="G4" s="1"/>
      <c r="H4" s="176" t="s">
        <v>545</v>
      </c>
      <c r="I4" s="176" t="s">
        <v>372</v>
      </c>
      <c r="K4" s="176" t="s">
        <v>374</v>
      </c>
      <c r="L4" s="176" t="s">
        <v>372</v>
      </c>
      <c r="N4" s="176" t="s">
        <v>375</v>
      </c>
      <c r="O4" s="176" t="s">
        <v>372</v>
      </c>
    </row>
    <row r="5" spans="1:15">
      <c r="B5" s="175" t="s">
        <v>376</v>
      </c>
      <c r="C5" s="175">
        <v>1</v>
      </c>
      <c r="E5" s="175" t="s">
        <v>376</v>
      </c>
      <c r="F5" s="471">
        <v>1</v>
      </c>
      <c r="G5" s="1"/>
      <c r="H5" s="220" t="s">
        <v>539</v>
      </c>
      <c r="I5" s="220">
        <v>4</v>
      </c>
      <c r="K5" s="175" t="s">
        <v>377</v>
      </c>
      <c r="L5" s="175">
        <v>1</v>
      </c>
      <c r="N5" s="175">
        <v>1</v>
      </c>
      <c r="O5" s="215" t="s">
        <v>277</v>
      </c>
    </row>
    <row r="6" spans="1:15">
      <c r="B6" s="175" t="s">
        <v>378</v>
      </c>
      <c r="C6" s="175">
        <v>2</v>
      </c>
      <c r="E6" s="175" t="s">
        <v>378</v>
      </c>
      <c r="F6" s="175">
        <v>2</v>
      </c>
      <c r="G6" s="1"/>
      <c r="H6" s="175" t="s">
        <v>541</v>
      </c>
      <c r="I6" s="175">
        <v>1</v>
      </c>
      <c r="K6" s="175" t="s">
        <v>379</v>
      </c>
      <c r="L6" s="175">
        <v>1</v>
      </c>
      <c r="N6" s="175">
        <v>2</v>
      </c>
      <c r="O6" s="215" t="s">
        <v>276</v>
      </c>
    </row>
    <row r="7" spans="1:15">
      <c r="B7" s="175" t="s">
        <v>380</v>
      </c>
      <c r="C7" s="175">
        <v>4</v>
      </c>
      <c r="E7" s="175" t="s">
        <v>381</v>
      </c>
      <c r="F7" s="175">
        <v>4</v>
      </c>
      <c r="G7" s="1"/>
      <c r="H7" s="175" t="s">
        <v>527</v>
      </c>
      <c r="I7" s="175">
        <v>3</v>
      </c>
      <c r="K7" s="175" t="s">
        <v>382</v>
      </c>
      <c r="L7" s="175">
        <v>2</v>
      </c>
      <c r="N7" s="175">
        <v>3</v>
      </c>
      <c r="O7" s="215" t="s">
        <v>267</v>
      </c>
    </row>
    <row r="8" spans="1:15">
      <c r="G8" s="1"/>
      <c r="H8" s="175" t="s">
        <v>526</v>
      </c>
      <c r="I8" s="175">
        <v>4</v>
      </c>
      <c r="K8" s="175" t="s">
        <v>383</v>
      </c>
      <c r="L8" s="175">
        <v>3</v>
      </c>
      <c r="N8" s="175">
        <v>4</v>
      </c>
      <c r="O8" s="215" t="s">
        <v>275</v>
      </c>
    </row>
    <row r="9" spans="1:15">
      <c r="H9" s="175" t="s">
        <v>406</v>
      </c>
      <c r="I9" s="175">
        <v>4</v>
      </c>
      <c r="K9" s="175" t="s">
        <v>385</v>
      </c>
      <c r="L9" s="175">
        <v>3</v>
      </c>
    </row>
    <row r="10" spans="1:15">
      <c r="K10" s="175" t="s">
        <v>386</v>
      </c>
      <c r="L10" s="175">
        <v>4</v>
      </c>
    </row>
    <row r="13" spans="1:15">
      <c r="H13" s="176" t="s">
        <v>546</v>
      </c>
      <c r="I13" s="176" t="s">
        <v>372</v>
      </c>
    </row>
    <row r="14" spans="1:15">
      <c r="H14" s="220" t="s">
        <v>539</v>
      </c>
      <c r="I14" s="220">
        <v>4</v>
      </c>
    </row>
    <row r="15" spans="1:15">
      <c r="H15" s="175" t="s">
        <v>541</v>
      </c>
      <c r="I15" s="175">
        <v>1</v>
      </c>
    </row>
    <row r="16" spans="1:15">
      <c r="H16" s="175" t="s">
        <v>540</v>
      </c>
      <c r="I16" s="175">
        <v>1</v>
      </c>
    </row>
    <row r="17" spans="3:9">
      <c r="H17" s="175" t="s">
        <v>528</v>
      </c>
      <c r="I17" s="175">
        <v>1</v>
      </c>
    </row>
    <row r="18" spans="3:9">
      <c r="H18" s="175" t="s">
        <v>384</v>
      </c>
      <c r="I18" s="175">
        <v>2</v>
      </c>
    </row>
    <row r="19" spans="3:9">
      <c r="H19" s="175" t="s">
        <v>529</v>
      </c>
      <c r="I19" s="175">
        <v>3</v>
      </c>
    </row>
    <row r="20" spans="3:9">
      <c r="H20" s="175" t="s">
        <v>286</v>
      </c>
      <c r="I20" s="175">
        <v>3</v>
      </c>
    </row>
    <row r="21" spans="3:9">
      <c r="H21" s="262" t="s">
        <v>387</v>
      </c>
      <c r="I21" s="175">
        <v>4</v>
      </c>
    </row>
    <row r="22" spans="3:9">
      <c r="H22" s="175" t="s">
        <v>530</v>
      </c>
      <c r="I22" s="175">
        <v>4</v>
      </c>
    </row>
    <row r="23" spans="3:9">
      <c r="H23" s="175" t="s">
        <v>388</v>
      </c>
      <c r="I23" s="175">
        <v>4</v>
      </c>
    </row>
    <row r="24" spans="3:9">
      <c r="H24" s="175" t="s">
        <v>288</v>
      </c>
      <c r="I24" s="175">
        <v>4</v>
      </c>
    </row>
    <row r="25" spans="3:9">
      <c r="H25" s="175" t="s">
        <v>389</v>
      </c>
      <c r="I25" s="175">
        <v>4</v>
      </c>
    </row>
    <row r="26" spans="3:9">
      <c r="H26" s="175" t="s">
        <v>390</v>
      </c>
      <c r="I26" s="175">
        <v>4</v>
      </c>
    </row>
    <row r="27" spans="3:9">
      <c r="H27" s="175" t="s">
        <v>535</v>
      </c>
      <c r="I27" s="175">
        <v>4</v>
      </c>
    </row>
    <row r="28" spans="3:9">
      <c r="H28" s="175" t="s">
        <v>536</v>
      </c>
      <c r="I28" s="175">
        <v>4</v>
      </c>
    </row>
    <row r="29" spans="3:9">
      <c r="C29" s="2"/>
      <c r="H29" s="175" t="s">
        <v>537</v>
      </c>
      <c r="I29" s="175">
        <v>4</v>
      </c>
    </row>
    <row r="30" spans="3:9">
      <c r="C30" s="2"/>
      <c r="H30" s="175" t="s">
        <v>531</v>
      </c>
      <c r="I30" s="175">
        <v>4</v>
      </c>
    </row>
    <row r="31" spans="3:9">
      <c r="C31" s="2"/>
      <c r="H31" s="175" t="s">
        <v>538</v>
      </c>
      <c r="I31" s="175">
        <v>4</v>
      </c>
    </row>
    <row r="32" spans="3:9">
      <c r="C32" s="2"/>
      <c r="H32" s="175" t="s">
        <v>532</v>
      </c>
      <c r="I32" s="175">
        <v>4</v>
      </c>
    </row>
    <row r="33" spans="1:15">
      <c r="C33" s="2"/>
      <c r="H33" s="175" t="s">
        <v>533</v>
      </c>
      <c r="I33" s="175">
        <v>4</v>
      </c>
    </row>
    <row r="34" spans="1:15">
      <c r="C34" s="2"/>
      <c r="H34" s="175" t="s">
        <v>534</v>
      </c>
      <c r="I34" s="175">
        <v>4</v>
      </c>
    </row>
    <row r="35" spans="1:15">
      <c r="C35" s="2"/>
    </row>
    <row r="36" spans="1:15">
      <c r="C36" s="2"/>
    </row>
    <row r="37" spans="1:15">
      <c r="A37" s="219" t="s">
        <v>394</v>
      </c>
      <c r="B37" s="5"/>
      <c r="C37" s="217"/>
      <c r="D37" s="5"/>
      <c r="E37" s="5"/>
      <c r="F37" s="5"/>
      <c r="G37" s="5"/>
      <c r="H37" s="5"/>
      <c r="I37" s="5"/>
      <c r="J37" s="5"/>
      <c r="K37" s="5"/>
      <c r="L37" s="5"/>
      <c r="M37" s="5"/>
      <c r="N37" s="5"/>
    </row>
    <row r="38" spans="1:15">
      <c r="B38" s="195" t="s">
        <v>366</v>
      </c>
      <c r="C38" s="195"/>
      <c r="D38" s="195"/>
      <c r="E38" s="195" t="s">
        <v>367</v>
      </c>
      <c r="F38" s="195"/>
      <c r="G38" s="1"/>
      <c r="K38" s="1" t="s">
        <v>392</v>
      </c>
      <c r="N38" s="1" t="s">
        <v>370</v>
      </c>
    </row>
    <row r="39" spans="1:15">
      <c r="B39" s="221" t="s">
        <v>371</v>
      </c>
      <c r="C39" s="221" t="s">
        <v>372</v>
      </c>
      <c r="D39" s="121"/>
      <c r="E39" s="221" t="s">
        <v>373</v>
      </c>
      <c r="F39" s="221" t="s">
        <v>372</v>
      </c>
      <c r="G39" s="1"/>
      <c r="K39" s="176" t="s">
        <v>374</v>
      </c>
      <c r="L39" s="176" t="s">
        <v>372</v>
      </c>
      <c r="N39" s="176" t="s">
        <v>393</v>
      </c>
      <c r="O39" s="176" t="s">
        <v>372</v>
      </c>
    </row>
    <row r="40" spans="1:15">
      <c r="B40" s="222" t="s">
        <v>376</v>
      </c>
      <c r="C40" s="222">
        <v>1</v>
      </c>
      <c r="D40" s="121"/>
      <c r="E40" s="222" t="s">
        <v>376</v>
      </c>
      <c r="F40" s="222">
        <v>1</v>
      </c>
      <c r="G40" s="1"/>
      <c r="K40" s="175" t="s">
        <v>377</v>
      </c>
      <c r="L40" s="175">
        <v>1</v>
      </c>
      <c r="N40" s="175">
        <v>1</v>
      </c>
      <c r="O40" s="215" t="s">
        <v>277</v>
      </c>
    </row>
    <row r="41" spans="1:15">
      <c r="B41" s="222" t="s">
        <v>378</v>
      </c>
      <c r="C41" s="222">
        <v>2</v>
      </c>
      <c r="D41" s="121"/>
      <c r="E41" s="222" t="s">
        <v>378</v>
      </c>
      <c r="F41" s="222">
        <v>2</v>
      </c>
      <c r="G41" s="1"/>
      <c r="K41" s="175" t="s">
        <v>379</v>
      </c>
      <c r="L41" s="175">
        <v>1</v>
      </c>
      <c r="N41" s="175">
        <v>2</v>
      </c>
      <c r="O41" s="215" t="s">
        <v>276</v>
      </c>
    </row>
    <row r="42" spans="1:15">
      <c r="B42" s="222" t="s">
        <v>380</v>
      </c>
      <c r="C42" s="222">
        <v>4</v>
      </c>
      <c r="D42" s="121"/>
      <c r="E42" s="222" t="s">
        <v>381</v>
      </c>
      <c r="F42" s="222">
        <v>4</v>
      </c>
      <c r="G42" s="1"/>
      <c r="K42" s="175" t="s">
        <v>382</v>
      </c>
      <c r="L42" s="175">
        <v>2</v>
      </c>
      <c r="N42" s="175">
        <v>3</v>
      </c>
      <c r="O42" s="215" t="s">
        <v>267</v>
      </c>
    </row>
    <row r="43" spans="1:15">
      <c r="B43" s="121"/>
      <c r="C43" s="121"/>
      <c r="D43" s="121"/>
      <c r="E43" s="121"/>
      <c r="F43" s="121"/>
      <c r="G43" s="1"/>
      <c r="K43" s="175" t="s">
        <v>383</v>
      </c>
      <c r="L43" s="175">
        <v>3</v>
      </c>
      <c r="N43" s="175">
        <v>4</v>
      </c>
      <c r="O43" s="215" t="s">
        <v>275</v>
      </c>
    </row>
    <row r="44" spans="1:15">
      <c r="K44" s="175" t="s">
        <v>385</v>
      </c>
      <c r="L44" s="175">
        <v>3</v>
      </c>
    </row>
    <row r="45" spans="1:15">
      <c r="K45" s="175" t="s">
        <v>386</v>
      </c>
      <c r="L45" s="175">
        <v>4</v>
      </c>
    </row>
  </sheetData>
  <phoneticPr fontId="1"/>
  <pageMargins left="0.7" right="0.7" top="0.75" bottom="0.75" header="0.3" footer="0.3"/>
  <pageSetup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5F30-0B4E-44B0-99A5-467770C64B24}">
  <sheetPr codeName="Sheet23">
    <tabColor theme="7" tint="0.79998168889431442"/>
  </sheetPr>
  <dimension ref="A1:N49"/>
  <sheetViews>
    <sheetView showGridLines="0" zoomScale="70" zoomScaleNormal="70" workbookViewId="0">
      <selection activeCell="G3" sqref="G3"/>
    </sheetView>
  </sheetViews>
  <sheetFormatPr defaultRowHeight="18"/>
  <cols>
    <col min="1" max="1" width="3.58203125" customWidth="1"/>
    <col min="2" max="2" width="1.83203125" customWidth="1"/>
    <col min="3" max="3" width="11.58203125" customWidth="1"/>
    <col min="5" max="5" width="20.25" customWidth="1"/>
    <col min="6" max="6" width="20.25" style="11" hidden="1" customWidth="1"/>
    <col min="7" max="8" width="19.08203125" style="11" customWidth="1"/>
    <col min="9" max="9" width="19.08203125" style="11" hidden="1" customWidth="1"/>
    <col min="10" max="10" width="19.08203125" customWidth="1"/>
    <col min="11" max="11" width="2.33203125" customWidth="1"/>
    <col min="14" max="14" width="9" hidden="1" customWidth="1"/>
  </cols>
  <sheetData>
    <row r="1" spans="1:14">
      <c r="A1" s="156" t="s">
        <v>307</v>
      </c>
    </row>
    <row r="2" spans="1:14">
      <c r="A2" t="s">
        <v>306</v>
      </c>
    </row>
    <row r="3" spans="1:14">
      <c r="B3" s="13"/>
      <c r="C3" s="13"/>
      <c r="D3" s="13"/>
      <c r="E3" s="13"/>
      <c r="F3" s="21"/>
      <c r="G3" s="21"/>
      <c r="H3" s="21"/>
      <c r="I3" s="21"/>
      <c r="J3" s="13"/>
    </row>
    <row r="7" spans="1:14">
      <c r="C7" s="181"/>
    </row>
    <row r="8" spans="1:14">
      <c r="B8" s="10"/>
      <c r="C8" s="5"/>
      <c r="D8" s="5"/>
      <c r="E8" s="5"/>
      <c r="F8" s="428"/>
      <c r="G8" s="428"/>
      <c r="H8" s="428"/>
      <c r="I8" s="428"/>
      <c r="J8" s="5"/>
      <c r="K8" s="6"/>
      <c r="N8" t="s">
        <v>314</v>
      </c>
    </row>
    <row r="9" spans="1:14">
      <c r="B9" s="7"/>
      <c r="C9" s="1269" t="s">
        <v>253</v>
      </c>
      <c r="D9" s="1270"/>
      <c r="E9" s="1271"/>
      <c r="F9" s="692"/>
      <c r="G9" s="852" t="s">
        <v>518</v>
      </c>
      <c r="H9" s="852" t="s">
        <v>254</v>
      </c>
      <c r="I9" s="692"/>
      <c r="J9" s="177" t="s">
        <v>255</v>
      </c>
      <c r="K9" s="8"/>
    </row>
    <row r="10" spans="1:14">
      <c r="B10" s="7"/>
      <c r="C10" s="1259" t="s">
        <v>256</v>
      </c>
      <c r="D10" s="1272"/>
      <c r="E10" s="1260"/>
      <c r="F10" s="693"/>
      <c r="G10" s="716"/>
      <c r="H10" s="716"/>
      <c r="I10" s="717"/>
      <c r="J10" s="718"/>
      <c r="K10" s="8"/>
      <c r="N10" s="175"/>
    </row>
    <row r="11" spans="1:14">
      <c r="B11" s="95"/>
      <c r="C11" s="1264" t="s">
        <v>496</v>
      </c>
      <c r="D11" s="1261" t="s">
        <v>257</v>
      </c>
      <c r="E11" s="1263"/>
      <c r="F11" s="695"/>
      <c r="G11" s="719"/>
      <c r="H11" s="714"/>
      <c r="I11" s="715"/>
      <c r="J11" s="853">
        <f ca="1">SUM(OFFSET($F11,0,0,1,COLUMN()-COLUMN($F11)))</f>
        <v>0</v>
      </c>
      <c r="K11" s="8"/>
      <c r="N11" s="175">
        <f ca="1">SUM(OFFSET($F11,0,0,1,COLUMN(J1)-COLUMN($F11)))</f>
        <v>0</v>
      </c>
    </row>
    <row r="12" spans="1:14">
      <c r="B12" s="95"/>
      <c r="C12" s="1265"/>
      <c r="D12" s="1261" t="s">
        <v>258</v>
      </c>
      <c r="E12" s="1263"/>
      <c r="F12" s="695"/>
      <c r="G12" s="719"/>
      <c r="H12" s="714"/>
      <c r="I12" s="715"/>
      <c r="J12" s="853">
        <f t="shared" ref="J12:J20" ca="1" si="0">SUM(OFFSET($F12,0,0,1,COLUMN()-COLUMN($F12)))</f>
        <v>0</v>
      </c>
      <c r="K12" s="8"/>
      <c r="N12" s="175">
        <f t="shared" ref="N12:N20" ca="1" si="1">SUM(OFFSET($F12,0,0,1,COLUMN(J2)-COLUMN($F12)))</f>
        <v>0</v>
      </c>
    </row>
    <row r="13" spans="1:14">
      <c r="B13" s="95"/>
      <c r="C13" s="1266"/>
      <c r="D13" s="1261" t="s">
        <v>259</v>
      </c>
      <c r="E13" s="1263"/>
      <c r="F13" s="695"/>
      <c r="G13" s="719"/>
      <c r="H13" s="714"/>
      <c r="I13" s="715"/>
      <c r="J13" s="853">
        <f t="shared" ca="1" si="0"/>
        <v>0</v>
      </c>
      <c r="K13" s="8"/>
      <c r="N13" s="175">
        <f t="shared" ca="1" si="1"/>
        <v>0</v>
      </c>
    </row>
    <row r="14" spans="1:14">
      <c r="B14" s="95"/>
      <c r="C14" s="1264" t="s">
        <v>290</v>
      </c>
      <c r="D14" s="1267" t="s">
        <v>260</v>
      </c>
      <c r="E14" s="1268"/>
      <c r="F14" s="694"/>
      <c r="G14" s="714"/>
      <c r="H14" s="714"/>
      <c r="I14" s="715"/>
      <c r="J14" s="853">
        <f t="shared" ca="1" si="0"/>
        <v>0</v>
      </c>
      <c r="K14" s="8"/>
      <c r="N14" s="175">
        <f t="shared" ca="1" si="1"/>
        <v>0</v>
      </c>
    </row>
    <row r="15" spans="1:14" ht="35">
      <c r="B15" s="7"/>
      <c r="C15" s="1265"/>
      <c r="D15" s="1264" t="s">
        <v>261</v>
      </c>
      <c r="E15" s="178" t="s">
        <v>262</v>
      </c>
      <c r="F15" s="694"/>
      <c r="G15" s="714"/>
      <c r="H15" s="714"/>
      <c r="I15" s="715"/>
      <c r="J15" s="853">
        <f t="shared" ca="1" si="0"/>
        <v>0</v>
      </c>
      <c r="K15" s="8"/>
      <c r="N15" s="175">
        <f t="shared" ca="1" si="1"/>
        <v>0</v>
      </c>
    </row>
    <row r="16" spans="1:14" ht="35">
      <c r="B16" s="7"/>
      <c r="C16" s="1265"/>
      <c r="D16" s="1265"/>
      <c r="E16" s="473" t="s">
        <v>263</v>
      </c>
      <c r="F16" s="696"/>
      <c r="G16" s="720"/>
      <c r="H16" s="720"/>
      <c r="I16" s="721"/>
      <c r="J16" s="853">
        <f t="shared" ca="1" si="0"/>
        <v>0</v>
      </c>
      <c r="K16" s="8"/>
      <c r="N16" s="175">
        <f t="shared" ca="1" si="1"/>
        <v>0</v>
      </c>
    </row>
    <row r="17" spans="2:14" ht="50.5">
      <c r="B17" s="7"/>
      <c r="C17" s="1265"/>
      <c r="D17" s="1265"/>
      <c r="E17" s="178" t="s">
        <v>289</v>
      </c>
      <c r="F17" s="694"/>
      <c r="G17" s="714"/>
      <c r="H17" s="714"/>
      <c r="I17" s="715"/>
      <c r="J17" s="853">
        <f t="shared" ca="1" si="0"/>
        <v>0</v>
      </c>
      <c r="K17" s="8"/>
      <c r="N17" s="175">
        <f t="shared" ca="1" si="1"/>
        <v>0</v>
      </c>
    </row>
    <row r="18" spans="2:14">
      <c r="B18" s="7"/>
      <c r="C18" s="1265"/>
      <c r="D18" s="1266"/>
      <c r="E18" s="178" t="s">
        <v>264</v>
      </c>
      <c r="F18" s="722">
        <f>SUM(F15:F17)</f>
        <v>0</v>
      </c>
      <c r="G18" s="722">
        <f>SUM(G15:G17)</f>
        <v>0</v>
      </c>
      <c r="H18" s="722">
        <f>SUM(H15:H17)</f>
        <v>0</v>
      </c>
      <c r="I18" s="722">
        <f>SUM(I15:I17)</f>
        <v>0</v>
      </c>
      <c r="J18" s="853">
        <f t="shared" ca="1" si="0"/>
        <v>0</v>
      </c>
      <c r="K18" s="8"/>
      <c r="N18" s="175">
        <f t="shared" ca="1" si="1"/>
        <v>0</v>
      </c>
    </row>
    <row r="19" spans="2:14">
      <c r="B19" s="7"/>
      <c r="C19" s="1266"/>
      <c r="D19" s="1259" t="s">
        <v>265</v>
      </c>
      <c r="E19" s="1260"/>
      <c r="F19" s="693"/>
      <c r="G19" s="714"/>
      <c r="H19" s="714"/>
      <c r="I19" s="715"/>
      <c r="J19" s="853">
        <f t="shared" ca="1" si="0"/>
        <v>0</v>
      </c>
      <c r="K19" s="8"/>
      <c r="N19" s="175">
        <f t="shared" ca="1" si="1"/>
        <v>0</v>
      </c>
    </row>
    <row r="20" spans="2:14" ht="51.75" customHeight="1">
      <c r="B20" s="7"/>
      <c r="C20" s="1261" t="s">
        <v>266</v>
      </c>
      <c r="D20" s="1262"/>
      <c r="E20" s="1263"/>
      <c r="F20" s="695"/>
      <c r="G20" s="714"/>
      <c r="H20" s="714"/>
      <c r="I20" s="715"/>
      <c r="J20" s="853">
        <f t="shared" ca="1" si="0"/>
        <v>0</v>
      </c>
      <c r="K20" s="8"/>
      <c r="N20" s="175">
        <f t="shared" ca="1" si="1"/>
        <v>0</v>
      </c>
    </row>
    <row r="21" spans="2:14">
      <c r="B21" s="65"/>
      <c r="C21" s="185"/>
      <c r="D21" s="185"/>
      <c r="E21" s="185"/>
      <c r="F21" s="697"/>
      <c r="G21" s="698"/>
      <c r="H21" s="698"/>
      <c r="I21" s="698"/>
      <c r="J21" s="186"/>
      <c r="K21" s="9"/>
      <c r="N21" cm="1">
        <f t="array" aca="1" ref="N21" ca="1">IF(SUMPRODUCT(N(J11:J20&lt;&gt;N11:N20))=0,1,0)</f>
        <v>1</v>
      </c>
    </row>
    <row r="22" spans="2:14">
      <c r="C22" s="179"/>
      <c r="D22" s="179"/>
      <c r="E22" s="179"/>
      <c r="F22" s="699"/>
      <c r="G22" s="700"/>
      <c r="H22" s="700"/>
      <c r="I22" s="700"/>
      <c r="J22" s="180"/>
    </row>
    <row r="30" spans="2:14" hidden="1">
      <c r="F30" s="11">
        <v>1</v>
      </c>
      <c r="G30" s="11">
        <v>1</v>
      </c>
      <c r="H30" s="11">
        <v>1</v>
      </c>
      <c r="I30" s="11">
        <v>1</v>
      </c>
    </row>
    <row r="31" spans="2:14" hidden="1">
      <c r="F31" s="11">
        <f>SUM(F15:F17)</f>
        <v>0</v>
      </c>
      <c r="G31" s="11">
        <f t="shared" ref="G31:I31" si="2">SUM(G15:G17)</f>
        <v>0</v>
      </c>
      <c r="H31" s="11">
        <f t="shared" si="2"/>
        <v>0</v>
      </c>
      <c r="I31" s="11">
        <f t="shared" si="2"/>
        <v>0</v>
      </c>
    </row>
    <row r="42" spans="2:10">
      <c r="B42" s="11"/>
      <c r="C42" s="11"/>
      <c r="D42" s="11"/>
      <c r="E42" s="11"/>
      <c r="J42" s="11"/>
    </row>
    <row r="43" spans="2:10">
      <c r="B43" s="11"/>
      <c r="C43" s="11"/>
      <c r="D43" s="11"/>
      <c r="E43" s="11"/>
      <c r="J43" s="11"/>
    </row>
    <row r="44" spans="2:10">
      <c r="B44" s="11"/>
      <c r="C44" s="11"/>
      <c r="D44" s="11"/>
      <c r="E44" s="11"/>
      <c r="J44" s="11"/>
    </row>
    <row r="45" spans="2:10">
      <c r="B45" s="11"/>
      <c r="C45" s="11"/>
      <c r="D45" s="11"/>
      <c r="E45" s="11"/>
      <c r="J45" s="11"/>
    </row>
    <row r="46" spans="2:10">
      <c r="B46" s="11"/>
      <c r="C46" s="11"/>
      <c r="D46" s="11"/>
      <c r="E46" s="11"/>
      <c r="J46" s="11"/>
    </row>
    <row r="47" spans="2:10">
      <c r="B47" s="11"/>
      <c r="C47" s="11"/>
      <c r="D47" s="11"/>
      <c r="E47" s="11"/>
      <c r="J47" s="11"/>
    </row>
    <row r="48" spans="2:10">
      <c r="B48" s="11"/>
      <c r="C48" s="11"/>
      <c r="D48" s="11"/>
      <c r="E48" s="11"/>
      <c r="J48" s="11"/>
    </row>
    <row r="49" spans="2:10">
      <c r="B49" s="11"/>
      <c r="C49" s="11"/>
      <c r="D49" s="11"/>
      <c r="E49" s="11"/>
      <c r="J49" s="11"/>
    </row>
  </sheetData>
  <sheetProtection algorithmName="SHA-512" hashValue="hwGIKmNuBsCvIw2rtz69JK8ITQY7oVEK6j87AcUcG70npAJFVW8E+U5ljwtkUBCUywWNMBKMW2EtfZ1hKyMOaA==" saltValue="M4JAnKvoFnqOTxO7izTyUg==" spinCount="100000" sheet="1" formatCells="0" insertColumns="0" deleteColumns="0"/>
  <mergeCells count="11">
    <mergeCell ref="C9:E9"/>
    <mergeCell ref="C10:E10"/>
    <mergeCell ref="C11:C13"/>
    <mergeCell ref="D11:E11"/>
    <mergeCell ref="D12:E12"/>
    <mergeCell ref="D13:E13"/>
    <mergeCell ref="D19:E19"/>
    <mergeCell ref="C20:E20"/>
    <mergeCell ref="C14:C19"/>
    <mergeCell ref="D14:E14"/>
    <mergeCell ref="D15:D18"/>
  </mergeCells>
  <phoneticPr fontId="1"/>
  <conditionalFormatting sqref="F19:H20">
    <cfRule type="notContainsBlanks" dxfId="2708" priority="10">
      <formula>LEN(TRIM(F19))&gt;0</formula>
    </cfRule>
  </conditionalFormatting>
  <conditionalFormatting sqref="F9:I20">
    <cfRule type="expression" dxfId="2707" priority="7">
      <formula>F$30=""</formula>
    </cfRule>
  </conditionalFormatting>
  <conditionalFormatting sqref="F10:I17">
    <cfRule type="notContainsBlanks" dxfId="2706" priority="3">
      <formula>LEN(TRIM(F10))&gt;0</formula>
    </cfRule>
  </conditionalFormatting>
  <conditionalFormatting sqref="F18:I18">
    <cfRule type="expression" dxfId="2705" priority="1">
      <formula>F$18&lt;&gt;F$31</formula>
    </cfRule>
    <cfRule type="cellIs" dxfId="2704" priority="6" operator="greaterThan">
      <formula>0</formula>
    </cfRule>
  </conditionalFormatting>
  <conditionalFormatting sqref="G9:H9">
    <cfRule type="cellIs" dxfId="2703" priority="8" operator="notEqual">
      <formula>"○○エリア"</formula>
    </cfRule>
  </conditionalFormatting>
  <conditionalFormatting sqref="J11:J20">
    <cfRule type="expression" dxfId="2702" priority="2">
      <formula>$J11&lt;&gt;$N11</formula>
    </cfRule>
    <cfRule type="cellIs" dxfId="2701" priority="9" operator="greaterThan">
      <formula>0</formula>
    </cfRule>
  </conditionalFormatting>
  <dataValidations count="1">
    <dataValidation type="decimal" operator="greaterThanOrEqual" allowBlank="1" showInputMessage="1" showErrorMessage="1" error="数値で入力してください" sqref="F11:I20" xr:uid="{8B3842E6-229C-45BD-B76B-F85762098640}">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9457-498D-49CA-B971-FF01DE71B451}">
  <sheetPr codeName="Sheet9">
    <tabColor theme="7" tint="0.79998168889431442"/>
  </sheetPr>
  <dimension ref="A1:W183"/>
  <sheetViews>
    <sheetView showGridLines="0" zoomScale="70" zoomScaleNormal="70" zoomScaleSheetLayoutView="100" workbookViewId="0"/>
  </sheetViews>
  <sheetFormatPr defaultColWidth="9" defaultRowHeight="18"/>
  <cols>
    <col min="1" max="2" width="2.33203125" customWidth="1"/>
    <col min="3" max="3" width="0.83203125" style="13" customWidth="1"/>
    <col min="4" max="4" width="23.5" style="13" customWidth="1"/>
    <col min="5" max="5" width="16.08203125" style="13" customWidth="1"/>
    <col min="6" max="12" width="17.83203125" style="229" customWidth="1"/>
    <col min="13" max="13" width="27.08203125" style="13" customWidth="1"/>
    <col min="14" max="14" width="5.75" customWidth="1"/>
    <col min="15" max="15" width="10.83203125" style="13" customWidth="1"/>
    <col min="16" max="16" width="5.75" customWidth="1"/>
    <col min="17" max="17" width="24.33203125" customWidth="1"/>
    <col min="18" max="18" width="19.33203125" customWidth="1"/>
    <col min="19" max="19" width="11.58203125" customWidth="1"/>
    <col min="20" max="20" width="18.33203125" customWidth="1"/>
    <col min="21" max="22" width="15.83203125" customWidth="1"/>
  </cols>
  <sheetData>
    <row r="1" spans="1:22" ht="18.75" customHeight="1">
      <c r="A1" s="44" t="s">
        <v>6298</v>
      </c>
      <c r="D1" s="49"/>
      <c r="E1" s="49"/>
      <c r="F1" s="346"/>
      <c r="G1" s="346"/>
      <c r="H1" s="346"/>
      <c r="I1" s="346"/>
      <c r="J1" s="346"/>
      <c r="K1" s="346"/>
      <c r="L1" s="346"/>
    </row>
    <row r="2" spans="1:22">
      <c r="A2" s="13" t="s">
        <v>6269</v>
      </c>
    </row>
    <row r="3" spans="1:22" s="13" customFormat="1">
      <c r="A3" s="13" t="s">
        <v>6270</v>
      </c>
      <c r="B3"/>
      <c r="F3" s="229"/>
      <c r="G3" s="229"/>
      <c r="H3" s="229"/>
      <c r="I3" s="229"/>
      <c r="J3" s="229"/>
      <c r="K3" s="229"/>
      <c r="L3" s="229"/>
      <c r="N3"/>
      <c r="P3"/>
      <c r="Q3"/>
      <c r="R3"/>
      <c r="S3"/>
      <c r="T3"/>
      <c r="U3"/>
      <c r="V3"/>
    </row>
    <row r="4" spans="1:22" s="1076" customFormat="1" ht="103.5" customHeight="1">
      <c r="F4" s="1078"/>
      <c r="G4" s="1078"/>
      <c r="H4" s="1078"/>
      <c r="I4" s="1078"/>
      <c r="J4" s="1078"/>
      <c r="K4" s="1078"/>
      <c r="L4" s="1078"/>
      <c r="N4" s="1077"/>
      <c r="P4" s="1077"/>
      <c r="Q4" s="1077"/>
      <c r="R4" s="1077"/>
      <c r="S4" s="1077"/>
      <c r="T4" s="1077"/>
      <c r="U4" s="1077"/>
      <c r="V4" s="1077"/>
    </row>
    <row r="5" spans="1:22" s="1076" customFormat="1">
      <c r="B5" s="1077"/>
      <c r="F5" s="1078"/>
      <c r="G5" s="1078"/>
      <c r="H5" s="1078"/>
      <c r="I5" s="1078"/>
      <c r="J5" s="1078"/>
      <c r="K5" s="1078"/>
      <c r="L5" s="1078"/>
      <c r="N5" s="1077"/>
      <c r="P5" s="1077"/>
      <c r="Q5" s="1077"/>
      <c r="R5" s="1077"/>
      <c r="S5" s="1077"/>
      <c r="T5" s="1077"/>
      <c r="U5" s="1077"/>
      <c r="V5" s="1077"/>
    </row>
    <row r="6" spans="1:22" ht="35.25" customHeight="1">
      <c r="B6" s="1184" t="s">
        <v>6304</v>
      </c>
      <c r="C6" s="1185"/>
      <c r="D6" s="1186"/>
      <c r="E6" s="278"/>
      <c r="F6" s="278"/>
      <c r="G6" s="278"/>
      <c r="H6" s="278"/>
      <c r="I6" s="278"/>
      <c r="J6" s="278"/>
      <c r="K6" s="278"/>
      <c r="L6" s="1187"/>
      <c r="M6" s="1161"/>
      <c r="O6" s="1161"/>
    </row>
    <row r="7" spans="1:22" ht="10.5" customHeight="1">
      <c r="B7" s="1188"/>
      <c r="C7" s="44"/>
      <c r="D7" s="35"/>
      <c r="E7" s="232"/>
      <c r="F7" s="232"/>
      <c r="G7" s="232"/>
      <c r="H7" s="232"/>
      <c r="I7" s="232"/>
      <c r="J7" s="232"/>
      <c r="K7" s="232"/>
      <c r="L7" s="1189"/>
      <c r="M7" s="1161"/>
      <c r="O7" s="1161"/>
    </row>
    <row r="8" spans="1:22" ht="32.25" customHeight="1">
      <c r="B8" s="7"/>
      <c r="D8" s="1277" t="s">
        <v>6293</v>
      </c>
      <c r="E8" s="1277"/>
      <c r="F8" s="232"/>
      <c r="G8" s="1273" t="s">
        <v>6299</v>
      </c>
      <c r="H8" s="1274"/>
      <c r="I8" s="232"/>
      <c r="J8" s="1277" t="s">
        <v>6305</v>
      </c>
      <c r="K8" s="1277"/>
      <c r="L8" s="1189"/>
      <c r="M8" s="1161"/>
      <c r="O8" s="1161"/>
    </row>
    <row r="9" spans="1:22" ht="50.25" customHeight="1">
      <c r="B9" s="7"/>
      <c r="D9" s="1278">
        <f ca="1">G9+J9</f>
        <v>0</v>
      </c>
      <c r="E9" s="1278"/>
      <c r="F9" s="138" t="s">
        <v>65</v>
      </c>
      <c r="G9" s="1275">
        <f ca="1">D15</f>
        <v>0</v>
      </c>
      <c r="H9" s="1276"/>
      <c r="I9" s="138" t="s">
        <v>66</v>
      </c>
      <c r="J9" s="1278">
        <f ca="1">D21</f>
        <v>0</v>
      </c>
      <c r="K9" s="1278"/>
      <c r="L9" s="1189"/>
      <c r="M9" s="1161"/>
      <c r="O9" s="1161"/>
    </row>
    <row r="10" spans="1:22" ht="15" customHeight="1">
      <c r="B10" s="7"/>
      <c r="D10" s="35"/>
      <c r="E10" s="232"/>
      <c r="F10" s="232"/>
      <c r="G10" s="232"/>
      <c r="H10" s="232"/>
      <c r="I10" s="232"/>
      <c r="J10" s="232"/>
      <c r="K10" s="232"/>
      <c r="L10" s="1189"/>
      <c r="M10" s="1161"/>
      <c r="O10" s="1161"/>
    </row>
    <row r="11" spans="1:22" ht="15" customHeight="1">
      <c r="B11" s="7"/>
      <c r="D11" s="35"/>
      <c r="E11" s="232"/>
      <c r="F11" s="232"/>
      <c r="G11" s="232"/>
      <c r="H11" s="232"/>
      <c r="I11" s="232"/>
      <c r="J11" s="232"/>
      <c r="K11" s="232"/>
      <c r="L11" s="1189"/>
      <c r="M11" s="1161"/>
      <c r="O11" s="1161"/>
    </row>
    <row r="12" spans="1:22" ht="19">
      <c r="B12" s="7"/>
      <c r="D12" s="1162" t="s">
        <v>6301</v>
      </c>
      <c r="L12" s="1190"/>
    </row>
    <row r="13" spans="1:22" ht="8.25" customHeight="1">
      <c r="B13" s="7"/>
      <c r="D13" s="35"/>
      <c r="E13" s="232"/>
      <c r="F13" s="232"/>
      <c r="G13" s="232"/>
      <c r="H13" s="232"/>
      <c r="I13" s="232"/>
      <c r="J13" s="232"/>
      <c r="K13" s="232"/>
      <c r="L13" s="1189"/>
      <c r="M13" s="1161"/>
    </row>
    <row r="14" spans="1:22" ht="31.5" customHeight="1">
      <c r="B14" s="7"/>
      <c r="D14" s="1277" t="s">
        <v>6299</v>
      </c>
      <c r="E14" s="1277"/>
      <c r="F14" s="232"/>
      <c r="G14" s="1277" t="s">
        <v>6294</v>
      </c>
      <c r="H14" s="1277"/>
      <c r="I14" s="232"/>
      <c r="J14" s="1277" t="s">
        <v>6295</v>
      </c>
      <c r="K14" s="1277"/>
      <c r="L14" s="1189"/>
      <c r="M14" s="1161"/>
    </row>
    <row r="15" spans="1:22" ht="45" customHeight="1">
      <c r="B15" s="7"/>
      <c r="D15" s="1278">
        <f ca="1">G15*J15</f>
        <v>0</v>
      </c>
      <c r="E15" s="1278"/>
      <c r="F15" s="138" t="s">
        <v>65</v>
      </c>
      <c r="G15" s="1275">
        <f ca="1">G46</f>
        <v>0</v>
      </c>
      <c r="H15" s="1281"/>
      <c r="I15" s="138" t="s">
        <v>6256</v>
      </c>
      <c r="J15" s="1279">
        <f>J46</f>
        <v>0</v>
      </c>
      <c r="K15" s="1280"/>
      <c r="L15" s="1189"/>
      <c r="M15" s="1161"/>
    </row>
    <row r="16" spans="1:22" ht="15" customHeight="1">
      <c r="B16" s="7"/>
      <c r="D16" s="35"/>
      <c r="E16" s="232"/>
      <c r="F16" s="232"/>
      <c r="G16" s="232"/>
      <c r="H16" s="232"/>
      <c r="I16" s="232"/>
      <c r="J16" s="232"/>
      <c r="K16" s="232"/>
      <c r="L16" s="1189"/>
      <c r="M16" s="1161"/>
      <c r="O16" s="1161"/>
    </row>
    <row r="17" spans="2:15" ht="15" customHeight="1">
      <c r="B17" s="7"/>
      <c r="D17" s="35"/>
      <c r="E17" s="232"/>
      <c r="F17" s="232"/>
      <c r="G17" s="232"/>
      <c r="H17" s="232"/>
      <c r="I17" s="232"/>
      <c r="J17" s="232"/>
      <c r="K17" s="232"/>
      <c r="L17" s="1189"/>
      <c r="M17" s="1161"/>
      <c r="O17" s="1161"/>
    </row>
    <row r="18" spans="2:15" ht="19">
      <c r="B18" s="7"/>
      <c r="D18" s="1074" t="s">
        <v>6302</v>
      </c>
      <c r="E18" s="229"/>
      <c r="L18" s="1190"/>
      <c r="O18" s="869"/>
    </row>
    <row r="19" spans="2:15" ht="8.25" customHeight="1">
      <c r="B19" s="7"/>
      <c r="D19" s="35"/>
      <c r="E19" s="232"/>
      <c r="F19" s="232"/>
      <c r="G19" s="232"/>
      <c r="H19" s="232"/>
      <c r="I19" s="232"/>
      <c r="J19" s="232"/>
      <c r="K19" s="232"/>
      <c r="L19" s="1189"/>
      <c r="M19" s="1161"/>
      <c r="O19" s="869"/>
    </row>
    <row r="20" spans="2:15" ht="31.5" customHeight="1">
      <c r="B20" s="7"/>
      <c r="D20" s="1277" t="s">
        <v>6305</v>
      </c>
      <c r="E20" s="1277"/>
      <c r="F20" s="232"/>
      <c r="G20" s="1277" t="s">
        <v>6306</v>
      </c>
      <c r="H20" s="1277"/>
      <c r="I20" s="232"/>
      <c r="J20" s="1277" t="s">
        <v>6297</v>
      </c>
      <c r="K20" s="1277"/>
      <c r="L20" s="1189"/>
      <c r="M20" s="1161"/>
      <c r="O20" s="869"/>
    </row>
    <row r="21" spans="2:15" ht="45" customHeight="1">
      <c r="B21" s="7"/>
      <c r="D21" s="1278">
        <f ca="1">G21*J21</f>
        <v>0</v>
      </c>
      <c r="E21" s="1278"/>
      <c r="F21" s="138" t="s">
        <v>65</v>
      </c>
      <c r="G21" s="1275">
        <f ca="1">G80</f>
        <v>0</v>
      </c>
      <c r="H21" s="1276"/>
      <c r="I21" s="138" t="s">
        <v>6256</v>
      </c>
      <c r="J21" s="1279">
        <f>J80</f>
        <v>0</v>
      </c>
      <c r="K21" s="1280"/>
      <c r="L21" s="1189"/>
      <c r="M21" s="1161"/>
      <c r="O21" s="869"/>
    </row>
    <row r="22" spans="2:15" ht="15" customHeight="1">
      <c r="B22" s="65"/>
      <c r="C22" s="26"/>
      <c r="D22" s="48"/>
      <c r="E22" s="1191"/>
      <c r="F22" s="1191"/>
      <c r="G22" s="1191"/>
      <c r="H22" s="1191"/>
      <c r="I22" s="1191"/>
      <c r="J22" s="1191"/>
      <c r="K22" s="1191"/>
      <c r="L22" s="1192"/>
      <c r="M22" s="1161"/>
      <c r="O22" s="1161"/>
    </row>
    <row r="23" spans="2:15" ht="15" customHeight="1">
      <c r="D23" s="35"/>
      <c r="E23" s="232"/>
      <c r="F23" s="232"/>
      <c r="G23" s="232"/>
      <c r="H23" s="232"/>
      <c r="I23" s="232"/>
      <c r="J23" s="232"/>
      <c r="K23" s="232"/>
      <c r="L23" s="232"/>
      <c r="M23" s="1161"/>
      <c r="O23" s="1161"/>
    </row>
    <row r="24" spans="2:15" ht="15" customHeight="1">
      <c r="D24" s="35"/>
      <c r="E24" s="232"/>
      <c r="F24" s="232"/>
      <c r="G24" s="232"/>
      <c r="H24" s="232"/>
      <c r="I24" s="232"/>
      <c r="J24" s="232"/>
      <c r="K24" s="232"/>
      <c r="L24" s="232"/>
      <c r="M24" s="1161"/>
      <c r="O24" s="1161"/>
    </row>
    <row r="25" spans="2:15" ht="15" customHeight="1">
      <c r="D25" s="35"/>
      <c r="E25" s="232"/>
      <c r="F25" s="232"/>
      <c r="G25" s="232"/>
      <c r="H25" s="232"/>
      <c r="I25" s="232"/>
      <c r="J25" s="232"/>
      <c r="K25" s="232"/>
      <c r="L25" s="232"/>
      <c r="M25" s="1161"/>
      <c r="O25" s="1161"/>
    </row>
    <row r="26" spans="2:15" ht="15" customHeight="1">
      <c r="D26" s="35"/>
      <c r="E26" s="232"/>
      <c r="F26" s="232"/>
      <c r="G26" s="232"/>
      <c r="H26" s="232"/>
      <c r="I26" s="232"/>
      <c r="J26" s="232"/>
      <c r="K26" s="232"/>
      <c r="L26" s="232"/>
      <c r="M26" s="1161"/>
      <c r="O26" s="1161"/>
    </row>
    <row r="27" spans="2:15" ht="15" customHeight="1">
      <c r="D27" s="35"/>
      <c r="E27" s="232"/>
      <c r="F27" s="232"/>
      <c r="G27" s="232"/>
      <c r="H27" s="232"/>
      <c r="I27" s="232"/>
      <c r="J27" s="232"/>
      <c r="K27" s="232"/>
      <c r="L27" s="232"/>
      <c r="M27" s="1161"/>
      <c r="O27" s="1161"/>
    </row>
    <row r="28" spans="2:15" ht="15" hidden="1" customHeight="1">
      <c r="D28" s="35"/>
      <c r="E28" s="232"/>
      <c r="F28" s="232"/>
      <c r="G28" s="232"/>
      <c r="H28" s="232"/>
      <c r="I28" s="232"/>
      <c r="J28" s="232"/>
      <c r="K28" s="232"/>
      <c r="L28" s="232"/>
      <c r="M28" s="1161"/>
      <c r="O28" s="1161"/>
    </row>
    <row r="29" spans="2:15" ht="15" hidden="1" customHeight="1">
      <c r="D29" s="35"/>
      <c r="E29" s="232"/>
      <c r="F29" s="232"/>
      <c r="G29" s="232"/>
      <c r="H29" s="232"/>
      <c r="I29" s="232"/>
      <c r="J29" s="232"/>
      <c r="K29" s="232"/>
      <c r="L29" s="232"/>
      <c r="M29" s="1161"/>
      <c r="O29" s="1161"/>
    </row>
    <row r="30" spans="2:15" ht="15" hidden="1" customHeight="1">
      <c r="D30" s="35"/>
      <c r="E30" s="232"/>
      <c r="F30" s="232"/>
      <c r="G30" s="232"/>
      <c r="H30" s="232"/>
      <c r="I30" s="232"/>
      <c r="J30" s="232"/>
      <c r="K30" s="232"/>
      <c r="L30" s="232"/>
      <c r="M30" s="1161"/>
      <c r="O30" s="1161"/>
    </row>
    <row r="31" spans="2:15" ht="15" hidden="1" customHeight="1">
      <c r="D31" s="35"/>
      <c r="E31" s="232"/>
      <c r="F31" s="232"/>
      <c r="G31" s="232"/>
      <c r="H31" s="232"/>
      <c r="I31" s="232"/>
      <c r="J31" s="232"/>
      <c r="K31" s="232"/>
      <c r="L31" s="232"/>
      <c r="M31" s="1161"/>
      <c r="O31" s="1161"/>
    </row>
    <row r="32" spans="2:15" ht="15" hidden="1" customHeight="1">
      <c r="D32" s="35"/>
      <c r="E32" s="232"/>
      <c r="F32" s="232"/>
      <c r="G32" s="232"/>
      <c r="H32" s="232"/>
      <c r="I32" s="232"/>
      <c r="J32" s="232"/>
      <c r="K32" s="232"/>
      <c r="L32" s="232"/>
      <c r="M32" s="1161"/>
      <c r="O32" s="1161"/>
    </row>
    <row r="33" spans="1:16" ht="15" hidden="1" customHeight="1">
      <c r="D33" s="35"/>
      <c r="E33" s="232"/>
      <c r="F33" s="232"/>
      <c r="G33" s="232"/>
      <c r="H33" s="232"/>
      <c r="I33" s="232"/>
      <c r="J33" s="232"/>
      <c r="K33" s="232"/>
      <c r="L33" s="232"/>
      <c r="M33" s="1161"/>
      <c r="O33" s="1161"/>
    </row>
    <row r="34" spans="1:16" ht="15" hidden="1" customHeight="1">
      <c r="D34" s="35"/>
      <c r="E34" s="232"/>
      <c r="F34" s="232"/>
      <c r="G34" s="232"/>
      <c r="H34" s="232"/>
      <c r="I34" s="232"/>
      <c r="J34" s="232"/>
      <c r="K34" s="232"/>
      <c r="L34" s="232"/>
      <c r="M34" s="1161"/>
      <c r="O34" s="1161"/>
    </row>
    <row r="35" spans="1:16" ht="15" hidden="1" customHeight="1">
      <c r="D35" s="35"/>
      <c r="E35" s="232"/>
      <c r="F35" s="232"/>
      <c r="G35" s="232"/>
      <c r="H35" s="232"/>
      <c r="I35" s="232"/>
      <c r="J35" s="232"/>
      <c r="K35" s="232"/>
      <c r="L35" s="232"/>
      <c r="M35" s="1161"/>
      <c r="O35" s="1161"/>
    </row>
    <row r="36" spans="1:16" ht="15" hidden="1" customHeight="1">
      <c r="D36" s="35"/>
      <c r="E36" s="232"/>
      <c r="F36" s="232"/>
      <c r="G36" s="232"/>
      <c r="H36" s="232"/>
      <c r="I36" s="232"/>
      <c r="J36" s="232"/>
      <c r="K36" s="232"/>
      <c r="L36" s="232"/>
      <c r="M36" s="1161"/>
      <c r="O36" s="1161"/>
    </row>
    <row r="37" spans="1:16" hidden="1">
      <c r="A37" s="13"/>
    </row>
    <row r="38" spans="1:16" hidden="1">
      <c r="A38" s="13"/>
    </row>
    <row r="39" spans="1:16" ht="30.75" hidden="1" customHeight="1">
      <c r="A39" s="13"/>
    </row>
    <row r="40" spans="1:16" hidden="1">
      <c r="A40" s="13"/>
    </row>
    <row r="41" spans="1:16" hidden="1"/>
    <row r="42" spans="1:16" ht="6.75" hidden="1" customHeight="1"/>
    <row r="43" spans="1:16" ht="19" hidden="1">
      <c r="D43" s="1162" t="s">
        <v>6301</v>
      </c>
    </row>
    <row r="44" spans="1:16" ht="15" hidden="1" customHeight="1">
      <c r="D44" s="35"/>
      <c r="E44" s="232"/>
      <c r="F44" s="232"/>
      <c r="G44" s="232"/>
      <c r="H44" s="232"/>
      <c r="I44" s="232"/>
      <c r="J44" s="232"/>
      <c r="K44" s="232"/>
      <c r="L44" s="232"/>
      <c r="M44" s="1161"/>
    </row>
    <row r="45" spans="1:16" ht="31.5" hidden="1" customHeight="1">
      <c r="D45" s="1277" t="s">
        <v>6300</v>
      </c>
      <c r="E45" s="1277"/>
      <c r="F45" s="232"/>
      <c r="G45" s="1277" t="s">
        <v>6294</v>
      </c>
      <c r="H45" s="1277"/>
      <c r="I45" s="232"/>
      <c r="J45" s="1277" t="s">
        <v>6295</v>
      </c>
      <c r="K45" s="1277"/>
      <c r="L45" s="232"/>
      <c r="M45" s="1161"/>
    </row>
    <row r="46" spans="1:16" ht="45" hidden="1" customHeight="1">
      <c r="D46" s="1282">
        <f ca="1">G46*J46</f>
        <v>0</v>
      </c>
      <c r="E46" s="1282"/>
      <c r="F46" s="138" t="s">
        <v>65</v>
      </c>
      <c r="G46" s="1283">
        <f ca="1">'4.1(2)新規再エネ導入予定（設備情報）'!J178</f>
        <v>0</v>
      </c>
      <c r="H46" s="1284"/>
      <c r="I46" s="138" t="s">
        <v>6256</v>
      </c>
      <c r="J46" s="1285">
        <f>M74</f>
        <v>0</v>
      </c>
      <c r="K46" s="1286"/>
      <c r="L46" s="232"/>
      <c r="M46" s="1161"/>
    </row>
    <row r="47" spans="1:16" ht="15" hidden="1" customHeight="1">
      <c r="D47" s="35"/>
      <c r="E47" s="232"/>
      <c r="F47" s="232"/>
      <c r="G47" s="232"/>
      <c r="H47" s="232"/>
      <c r="I47" s="232"/>
      <c r="J47" s="232"/>
      <c r="K47" s="232"/>
      <c r="L47" s="232"/>
      <c r="M47" s="1161"/>
    </row>
    <row r="48" spans="1:16" ht="21.75" hidden="1" customHeight="1">
      <c r="D48" s="1289" t="s">
        <v>54</v>
      </c>
      <c r="E48" s="1287" t="s">
        <v>238</v>
      </c>
      <c r="F48" s="1287" t="s">
        <v>186</v>
      </c>
      <c r="G48" s="1287" t="s">
        <v>6257</v>
      </c>
      <c r="H48" s="1291" t="s">
        <v>6258</v>
      </c>
      <c r="I48" s="1292"/>
      <c r="J48" s="1292"/>
      <c r="K48" s="1293"/>
      <c r="L48" s="1287" t="s">
        <v>6259</v>
      </c>
      <c r="M48" s="1287" t="s">
        <v>6260</v>
      </c>
      <c r="N48" s="13"/>
      <c r="P48" s="13"/>
    </row>
    <row r="49" spans="3:23" ht="32.25" hidden="1" customHeight="1">
      <c r="D49" s="1290"/>
      <c r="E49" s="1288"/>
      <c r="F49" s="1288"/>
      <c r="G49" s="1288"/>
      <c r="H49" s="1237" t="s">
        <v>6268</v>
      </c>
      <c r="I49" s="364" t="s">
        <v>6261</v>
      </c>
      <c r="J49" s="364" t="s">
        <v>6262</v>
      </c>
      <c r="K49" s="364" t="s">
        <v>6263</v>
      </c>
      <c r="L49" s="1288"/>
      <c r="M49" s="1288"/>
      <c r="N49" s="252"/>
      <c r="O49" s="252"/>
      <c r="P49" s="252"/>
    </row>
    <row r="50" spans="3:23" s="11" customFormat="1" ht="33" hidden="1" customHeight="1">
      <c r="C50" s="1163"/>
      <c r="D50" s="1059" t="s">
        <v>59</v>
      </c>
      <c r="E50" s="1059" t="s">
        <v>15</v>
      </c>
      <c r="F50" s="1060" t="s">
        <v>505</v>
      </c>
      <c r="G50" s="1061">
        <v>28.09</v>
      </c>
      <c r="H50" s="1075">
        <f>SUMIFS('4.2電力供給状況(民生部門)'!$G:$G,'4.2電力供給状況(民生部門)'!$U:$U,$D50&amp;"("&amp;$E50&amp;")",'4.2電力供給状況(民生部門)'!$S:$S,$F50)+SUMIFS('4.2電力供給状況(民生部門)'!$H:$H,'4.2電力供給状況(民生部門)'!$U:$U,$D50&amp;"("&amp;$E50&amp;")",'4.2電力供給状況(民生部門)'!$S:$S,$F50)</f>
        <v>0</v>
      </c>
      <c r="I50" s="1075">
        <f>SUMIFS('4.2電力供給状況(民生部門)'!$I:$I,'4.2電力供給状況(民生部門)'!$U:$U,$D50&amp;"("&amp;$E50&amp;")",'4.2電力供給状況(民生部門)'!$S:$S,$F50)</f>
        <v>0</v>
      </c>
      <c r="J50" s="1075">
        <f>SUMIFS('4.2電力供給状況(民生部門)'!$K:$K,'4.2電力供給状況(民生部門)'!$U:$U,$D50&amp;"("&amp;$E50&amp;")",'4.2電力供給状況(民生部門)'!$S:$S,$F50)</f>
        <v>0</v>
      </c>
      <c r="K50" s="1075">
        <f>SUMIFS('4.2電力供給状況(民生部門)'!$M:$M,'4.2電力供給状況(民生部門)'!$U:$U,$D50&amp;"("&amp;$E50&amp;")",'4.2電力供給状況(民生部門)'!$S:$S,$F50)</f>
        <v>0</v>
      </c>
      <c r="L50" s="1062" t="str">
        <f>IFERROR(SUM(H50:K50)/SUM($H$74:$K$74),"")</f>
        <v/>
      </c>
      <c r="M50" s="1063" t="str">
        <f>IFERROR($G50*$L50*$H50/SUM($H50:$K50)+$G50*$L50*100/110*SUM($I50:$K50)/SUM($H50:$K50),"")</f>
        <v/>
      </c>
      <c r="N50" s="869"/>
      <c r="O50" s="869"/>
      <c r="P50" s="869"/>
      <c r="Q50"/>
      <c r="R50"/>
      <c r="S50"/>
      <c r="T50"/>
      <c r="U50"/>
      <c r="V50"/>
      <c r="W50"/>
    </row>
    <row r="51" spans="3:23" s="11" customFormat="1" ht="33" hidden="1" customHeight="1">
      <c r="C51" s="1163"/>
      <c r="D51" s="1152"/>
      <c r="E51" s="1152"/>
      <c r="F51" s="1065" t="s">
        <v>6318</v>
      </c>
      <c r="G51" s="1061">
        <v>19.28</v>
      </c>
      <c r="H51" s="1075">
        <f>SUMIFS('4.2電力供給状況(民生部門)'!$G:$G,'4.2電力供給状況(民生部門)'!$U:$U,$D50&amp;"("&amp;$E50&amp;")",'4.2電力供給状況(民生部門)'!$S:$S,$F51)+SUMIFS('4.2電力供給状況(民生部門)'!$H:$H,'4.2電力供給状況(民生部門)'!$U:$U,$D50&amp;"("&amp;$E50&amp;")",'4.2電力供給状況(民生部門)'!$S:$S,$F51)</f>
        <v>0</v>
      </c>
      <c r="I51" s="1075">
        <f>SUMIFS('4.2電力供給状況(民生部門)'!$I:$I,'4.2電力供給状況(民生部門)'!$U:$U,$D50&amp;"("&amp;$E50&amp;")",'4.2電力供給状況(民生部門)'!$S:$S,$F51)</f>
        <v>0</v>
      </c>
      <c r="J51" s="1075">
        <f>SUMIFS('4.2電力供給状況(民生部門)'!$K:$K,'4.2電力供給状況(民生部門)'!$U:$U,$D50&amp;"("&amp;$E50&amp;")",'4.2電力供給状況(民生部門)'!$S:$S,$F51)</f>
        <v>0</v>
      </c>
      <c r="K51" s="1075">
        <f>SUMIFS('4.2電力供給状況(民生部門)'!$M:$M,'4.2電力供給状況(民生部門)'!$U:$U,$D50&amp;"("&amp;$E50&amp;")",'4.2電力供給状況(民生部門)'!$S:$S,$F51)</f>
        <v>0</v>
      </c>
      <c r="L51" s="1062" t="str">
        <f t="shared" ref="L51" si="0">IFERROR(SUM(H51:K51)/SUM($H$74:$K$74),"")</f>
        <v/>
      </c>
      <c r="M51" s="1063" t="str">
        <f t="shared" ref="M51:M65" si="1">IFERROR($G51*$L51*$H51/SUM($H51:$K51)+$G51*$L51*100/110*SUM($I51:$K51)/SUM($H51:$K51),"")</f>
        <v/>
      </c>
      <c r="N51" s="869"/>
      <c r="O51" s="869"/>
      <c r="P51" s="869"/>
      <c r="Q51"/>
      <c r="R51"/>
      <c r="S51"/>
      <c r="T51"/>
      <c r="U51"/>
      <c r="V51"/>
      <c r="W51"/>
    </row>
    <row r="52" spans="3:23" s="11" customFormat="1" ht="33" hidden="1" customHeight="1">
      <c r="C52" s="1163"/>
      <c r="D52" s="1152"/>
      <c r="E52" s="1065"/>
      <c r="F52" s="1065" t="s">
        <v>6319</v>
      </c>
      <c r="G52" s="1061">
        <v>19.28</v>
      </c>
      <c r="H52" s="1075">
        <f>SUMIFS('4.2電力供給状況(民生部門)'!$G:$G,'4.2電力供給状況(民生部門)'!$U:$U,$D50&amp;"("&amp;$E50&amp;")",'4.2電力供給状況(民生部門)'!$S:$S,$F52)+SUMIFS('4.2電力供給状況(民生部門)'!$H:$H,'4.2電力供給状況(民生部門)'!$U:$U,$D50&amp;"("&amp;$E50&amp;")",'4.2電力供給状況(民生部門)'!$S:$S,$F52)</f>
        <v>0</v>
      </c>
      <c r="I52" s="1075">
        <f>SUMIFS('4.2電力供給状況(民生部門)'!$I:$I,'4.2電力供給状況(民生部門)'!$U:$U,$D50&amp;"("&amp;$E50&amp;")",'4.2電力供給状況(民生部門)'!$S:$S,$F52)</f>
        <v>0</v>
      </c>
      <c r="J52" s="1075">
        <f>SUMIFS('4.2電力供給状況(民生部門)'!$K:$K,'4.2電力供給状況(民生部門)'!$U:$U,$D50&amp;"("&amp;$E50&amp;")",'4.2電力供給状況(民生部門)'!$S:$S,$F52)</f>
        <v>0</v>
      </c>
      <c r="K52" s="1075">
        <f>SUMIFS('4.2電力供給状況(民生部門)'!$M:$M,'4.2電力供給状況(民生部門)'!$U:$U,$D50&amp;"("&amp;$E50&amp;")",'4.2電力供給状況(民生部門)'!$S:$S,$F52)</f>
        <v>0</v>
      </c>
      <c r="L52" s="1062" t="str">
        <f t="shared" ref="L52:L73" si="2">IFERROR(SUM(H52:K52)/SUM($H$74:$K$74),"")</f>
        <v/>
      </c>
      <c r="M52" s="1063" t="str">
        <f t="shared" si="1"/>
        <v/>
      </c>
      <c r="N52" s="869"/>
      <c r="O52" s="869"/>
      <c r="P52" s="869"/>
      <c r="Q52"/>
      <c r="R52"/>
      <c r="S52"/>
      <c r="T52"/>
      <c r="U52"/>
      <c r="V52"/>
      <c r="W52"/>
    </row>
    <row r="53" spans="3:23" s="11" customFormat="1" ht="33" hidden="1" customHeight="1">
      <c r="C53" s="1163"/>
      <c r="D53" s="1064"/>
      <c r="E53" s="1059" t="s">
        <v>25</v>
      </c>
      <c r="F53" s="1060" t="s">
        <v>505</v>
      </c>
      <c r="G53" s="1061">
        <v>28.09</v>
      </c>
      <c r="H53" s="1075">
        <f>SUMIFS('4.2電力供給状況(民生部門)'!$G:$G,'4.2電力供給状況(民生部門)'!$U:$U,$D50&amp;"("&amp;$E53&amp;")",'4.2電力供給状況(民生部門)'!$S:$S,$F53)+SUMIFS('4.2電力供給状況(民生部門)'!$H:$H,'4.2電力供給状況(民生部門)'!$U:$U,$D50&amp;"("&amp;$E53&amp;")",'4.2電力供給状況(民生部門)'!$S:$S,$F53)</f>
        <v>0</v>
      </c>
      <c r="I53" s="1075">
        <f>SUMIFS('4.2電力供給状況(民生部門)'!$I:$I,'4.2電力供給状況(民生部門)'!$U:$U,$D50&amp;"("&amp;$E53&amp;")",'4.2電力供給状況(民生部門)'!$S:$S,$F53)</f>
        <v>0</v>
      </c>
      <c r="J53" s="1075">
        <f>SUMIFS('4.2電力供給状況(民生部門)'!$K:$K,'4.2電力供給状況(民生部門)'!$U:$U,$D50&amp;"("&amp;$E53&amp;")",'4.2電力供給状況(民生部門)'!$S:$S,$F53)</f>
        <v>0</v>
      </c>
      <c r="K53" s="1075">
        <f>SUMIFS('4.2電力供給状況(民生部門)'!$M:$M,'4.2電力供給状況(民生部門)'!$U:$U,$D50&amp;"("&amp;$E53&amp;")",'4.2電力供給状況(民生部門)'!$S:$S,$F53)</f>
        <v>0</v>
      </c>
      <c r="L53" s="1062" t="str">
        <f t="shared" si="2"/>
        <v/>
      </c>
      <c r="M53" s="1063" t="str">
        <f t="shared" si="1"/>
        <v/>
      </c>
      <c r="N53" s="869"/>
      <c r="O53" s="869"/>
      <c r="P53" s="869"/>
      <c r="Q53"/>
      <c r="R53"/>
      <c r="S53"/>
      <c r="T53"/>
      <c r="U53"/>
      <c r="V53"/>
      <c r="W53"/>
    </row>
    <row r="54" spans="3:23" s="11" customFormat="1" ht="33" hidden="1" customHeight="1">
      <c r="C54" s="1163"/>
      <c r="D54" s="1064"/>
      <c r="E54" s="1152"/>
      <c r="F54" s="1065" t="s">
        <v>6318</v>
      </c>
      <c r="G54" s="1061">
        <v>19.28</v>
      </c>
      <c r="H54" s="1075">
        <f>SUMIFS('4.2電力供給状況(民生部門)'!$G:$G,'4.2電力供給状況(民生部門)'!$U:$U,$D50&amp;"("&amp;$E53&amp;")",'4.2電力供給状況(民生部門)'!$S:$S,$F54)+SUMIFS('4.2電力供給状況(民生部門)'!$H:$H,'4.2電力供給状況(民生部門)'!$U:$U,$D50&amp;"("&amp;$E53&amp;")",'4.2電力供給状況(民生部門)'!$S:$S,$F54)</f>
        <v>0</v>
      </c>
      <c r="I54" s="1075">
        <f>SUMIFS('4.2電力供給状況(民生部門)'!$I:$I,'4.2電力供給状況(民生部門)'!$U:$U,$D50&amp;"("&amp;$E53&amp;")",'4.2電力供給状況(民生部門)'!$S:$S,$F54)</f>
        <v>0</v>
      </c>
      <c r="J54" s="1075">
        <f>SUMIFS('4.2電力供給状況(民生部門)'!$K:$K,'4.2電力供給状況(民生部門)'!$U:$U,$D50&amp;"("&amp;$E53&amp;")",'4.2電力供給状況(民生部門)'!$S:$S,$F54)</f>
        <v>0</v>
      </c>
      <c r="K54" s="1075">
        <f>SUMIFS('4.2電力供給状況(民生部門)'!$M:$M,'4.2電力供給状況(民生部門)'!$U:$U,$D50&amp;"("&amp;$E53&amp;")",'4.2電力供給状況(民生部門)'!$S:$S,$F54)</f>
        <v>0</v>
      </c>
      <c r="L54" s="1062" t="str">
        <f t="shared" si="2"/>
        <v/>
      </c>
      <c r="M54" s="1063" t="str">
        <f t="shared" si="1"/>
        <v/>
      </c>
      <c r="N54" s="869"/>
      <c r="O54" s="869"/>
      <c r="P54" s="869"/>
      <c r="Q54"/>
      <c r="R54"/>
      <c r="S54"/>
      <c r="T54"/>
      <c r="U54"/>
      <c r="V54"/>
      <c r="W54"/>
    </row>
    <row r="55" spans="3:23" s="11" customFormat="1" ht="33" hidden="1" customHeight="1">
      <c r="C55" s="1163"/>
      <c r="D55" s="1064"/>
      <c r="E55" s="1065"/>
      <c r="F55" s="1065" t="s">
        <v>6319</v>
      </c>
      <c r="G55" s="1061">
        <v>19.28</v>
      </c>
      <c r="H55" s="1075">
        <f>SUMIFS('4.2電力供給状況(民生部門)'!$G:$G,'4.2電力供給状況(民生部門)'!$U:$U,$D50&amp;"("&amp;$E53&amp;")",'4.2電力供給状況(民生部門)'!$S:$S,$F55)+SUMIFS('4.2電力供給状況(民生部門)'!$H:$H,'4.2電力供給状況(民生部門)'!$U:$U,$D50&amp;"("&amp;$E53&amp;")",'4.2電力供給状況(民生部門)'!$S:$S,$F55)</f>
        <v>0</v>
      </c>
      <c r="I55" s="1075">
        <f>SUMIFS('4.2電力供給状況(民生部門)'!$I:$I,'4.2電力供給状況(民生部門)'!$U:$U,$D50&amp;"("&amp;$E53&amp;")",'4.2電力供給状況(民生部門)'!$S:$S,$F55)</f>
        <v>0</v>
      </c>
      <c r="J55" s="1075">
        <f>SUMIFS('4.2電力供給状況(民生部門)'!$K:$K,'4.2電力供給状況(民生部門)'!$U:$U,$D50&amp;"("&amp;$E53&amp;")",'4.2電力供給状況(民生部門)'!$S:$S,$F55)</f>
        <v>0</v>
      </c>
      <c r="K55" s="1075">
        <f>SUMIFS('4.2電力供給状況(民生部門)'!$M:$M,'4.2電力供給状況(民生部門)'!$U:$U,$D50&amp;"("&amp;$E53&amp;")",'4.2電力供給状況(民生部門)'!$S:$S,$F55)</f>
        <v>0</v>
      </c>
      <c r="L55" s="1062" t="str">
        <f t="shared" si="2"/>
        <v/>
      </c>
      <c r="M55" s="1063" t="str">
        <f t="shared" si="1"/>
        <v/>
      </c>
      <c r="N55" s="869"/>
      <c r="O55" s="869"/>
      <c r="P55" s="869"/>
      <c r="Q55"/>
      <c r="R55"/>
      <c r="S55"/>
      <c r="T55"/>
      <c r="U55"/>
      <c r="V55"/>
      <c r="W55"/>
    </row>
    <row r="56" spans="3:23" s="11" customFormat="1" ht="33" hidden="1" customHeight="1">
      <c r="C56" s="1163"/>
      <c r="D56" s="1059" t="s">
        <v>61</v>
      </c>
      <c r="E56" s="1059" t="s">
        <v>17</v>
      </c>
      <c r="F56" s="1060" t="s">
        <v>505</v>
      </c>
      <c r="G56" s="1061">
        <v>28.09</v>
      </c>
      <c r="H56" s="1075">
        <f>SUMIFS('4.2電力供給状況(民生部門)'!$G:$G,'4.2電力供給状況(民生部門)'!$U:$U,$D56&amp;"("&amp;$E56&amp;")",'4.2電力供給状況(民生部門)'!$S:$S,$F56)+SUMIFS('4.2電力供給状況(民生部門)'!$H:$H,'4.2電力供給状況(民生部門)'!$U:$U,$D56&amp;"("&amp;$E56&amp;")",'4.2電力供給状況(民生部門)'!$S:$S,$F56)</f>
        <v>0</v>
      </c>
      <c r="I56" s="1075">
        <f>SUMIFS('4.2電力供給状況(民生部門)'!$I:$I,'4.2電力供給状況(民生部門)'!$U:$U,$D56&amp;"("&amp;$E56&amp;")",'4.2電力供給状況(民生部門)'!$S:$S,$F56)</f>
        <v>0</v>
      </c>
      <c r="J56" s="1075">
        <f>SUMIFS('4.2電力供給状況(民生部門)'!$K:$K,'4.2電力供給状況(民生部門)'!$U:$U,$D56&amp;"("&amp;$E56&amp;")",'4.2電力供給状況(民生部門)'!$S:$S,$F56)</f>
        <v>0</v>
      </c>
      <c r="K56" s="1075">
        <f>SUMIFS('4.2電力供給状況(民生部門)'!$M:$M,'4.2電力供給状況(民生部門)'!$U:$U,$D56&amp;"("&amp;$E56&amp;")",'4.2電力供給状況(民生部門)'!$S:$S,$F56)</f>
        <v>0</v>
      </c>
      <c r="L56" s="1062" t="str">
        <f t="shared" si="2"/>
        <v/>
      </c>
      <c r="M56" s="1063" t="str">
        <f t="shared" si="1"/>
        <v/>
      </c>
      <c r="N56" s="869"/>
      <c r="O56" s="869"/>
      <c r="P56" s="869"/>
      <c r="Q56"/>
      <c r="R56"/>
      <c r="S56"/>
      <c r="T56"/>
      <c r="U56"/>
      <c r="V56"/>
      <c r="W56"/>
    </row>
    <row r="57" spans="3:23" s="11" customFormat="1" ht="33" hidden="1" customHeight="1">
      <c r="C57" s="1163"/>
      <c r="D57" s="1152"/>
      <c r="E57" s="1152"/>
      <c r="F57" s="1065" t="s">
        <v>6318</v>
      </c>
      <c r="G57" s="1061">
        <v>19.28</v>
      </c>
      <c r="H57" s="1075">
        <f>SUMIFS('4.2電力供給状況(民生部門)'!$G:$G,'4.2電力供給状況(民生部門)'!$U:$U,$D56&amp;"("&amp;$E56&amp;")",'4.2電力供給状況(民生部門)'!$S:$S,$F57)+SUMIFS('4.2電力供給状況(民生部門)'!$H:$H,'4.2電力供給状況(民生部門)'!$U:$U,$D56&amp;"("&amp;$E56&amp;")",'4.2電力供給状況(民生部門)'!$S:$S,$F57)</f>
        <v>0</v>
      </c>
      <c r="I57" s="1075">
        <f>SUMIFS('4.2電力供給状況(民生部門)'!$I:$I,'4.2電力供給状況(民生部門)'!$U:$U,$D56&amp;"("&amp;$E56&amp;")",'4.2電力供給状況(民生部門)'!$S:$S,$F57)</f>
        <v>0</v>
      </c>
      <c r="J57" s="1075">
        <f>SUMIFS('4.2電力供給状況(民生部門)'!$K:$K,'4.2電力供給状況(民生部門)'!$U:$U,$D56&amp;"("&amp;$E56&amp;")",'4.2電力供給状況(民生部門)'!$S:$S,$F57)</f>
        <v>0</v>
      </c>
      <c r="K57" s="1075">
        <f>SUMIFS('4.2電力供給状況(民生部門)'!$M:$M,'4.2電力供給状況(民生部門)'!$U:$U,$D56&amp;"("&amp;$E56&amp;")",'4.2電力供給状況(民生部門)'!$S:$S,$F57)</f>
        <v>0</v>
      </c>
      <c r="L57" s="1062" t="str">
        <f t="shared" si="2"/>
        <v/>
      </c>
      <c r="M57" s="1063" t="str">
        <f t="shared" si="1"/>
        <v/>
      </c>
      <c r="N57" s="869"/>
      <c r="O57" s="869"/>
      <c r="P57" s="869"/>
      <c r="Q57"/>
      <c r="R57"/>
      <c r="S57"/>
      <c r="T57"/>
      <c r="U57"/>
      <c r="V57"/>
      <c r="W57"/>
    </row>
    <row r="58" spans="3:23" s="11" customFormat="1" ht="33" hidden="1" customHeight="1">
      <c r="C58" s="1163"/>
      <c r="D58" s="1152"/>
      <c r="E58" s="1065"/>
      <c r="F58" s="1065" t="s">
        <v>6319</v>
      </c>
      <c r="G58" s="1061">
        <v>19.28</v>
      </c>
      <c r="H58" s="1075">
        <f>SUMIFS('4.2電力供給状況(民生部門)'!$G:$G,'4.2電力供給状況(民生部門)'!$U:$U,$D56&amp;"("&amp;$E56&amp;")",'4.2電力供給状況(民生部門)'!$S:$S,$F58)+SUMIFS('4.2電力供給状況(民生部門)'!$H:$H,'4.2電力供給状況(民生部門)'!$U:$U,$D56&amp;"("&amp;$E56&amp;")",'4.2電力供給状況(民生部門)'!$S:$S,$F58)</f>
        <v>0</v>
      </c>
      <c r="I58" s="1075">
        <f>SUMIFS('4.2電力供給状況(民生部門)'!$I:$I,'4.2電力供給状況(民生部門)'!$U:$U,$D56&amp;"("&amp;$E56&amp;")",'4.2電力供給状況(民生部門)'!$S:$S,$F58)</f>
        <v>0</v>
      </c>
      <c r="J58" s="1075">
        <f>SUMIFS('4.2電力供給状況(民生部門)'!$K:$K,'4.2電力供給状況(民生部門)'!$U:$U,$D56&amp;"("&amp;$E56&amp;")",'4.2電力供給状況(民生部門)'!$S:$S,$F58)</f>
        <v>0</v>
      </c>
      <c r="K58" s="1075">
        <f>SUMIFS('4.2電力供給状況(民生部門)'!$M:$M,'4.2電力供給状況(民生部門)'!$U:$U,$D56&amp;"("&amp;$E56&amp;")",'4.2電力供給状況(民生部門)'!$S:$S,$F58)</f>
        <v>0</v>
      </c>
      <c r="L58" s="1062" t="str">
        <f t="shared" si="2"/>
        <v/>
      </c>
      <c r="M58" s="1063" t="str">
        <f t="shared" si="1"/>
        <v/>
      </c>
      <c r="N58" s="869"/>
      <c r="O58" s="869"/>
      <c r="P58" s="869"/>
      <c r="Q58"/>
      <c r="R58"/>
      <c r="S58"/>
      <c r="T58"/>
      <c r="U58"/>
      <c r="V58"/>
      <c r="W58"/>
    </row>
    <row r="59" spans="3:23" s="11" customFormat="1" ht="33" hidden="1" customHeight="1">
      <c r="C59" s="1163"/>
      <c r="D59" s="1064"/>
      <c r="E59" s="1059" t="s">
        <v>18</v>
      </c>
      <c r="F59" s="1060" t="s">
        <v>505</v>
      </c>
      <c r="G59" s="1061">
        <v>28.09</v>
      </c>
      <c r="H59" s="1075">
        <f>SUMIFS('4.2電力供給状況(民生部門)'!$G:$G,'4.2電力供給状況(民生部門)'!$U:$U,$D56&amp;"("&amp;$E59&amp;")",'4.2電力供給状況(民生部門)'!$S:$S,$F59)+SUMIFS('4.2電力供給状況(民生部門)'!$H:$H,'4.2電力供給状況(民生部門)'!$U:$U,$D56&amp;"("&amp;$E59&amp;")",'4.2電力供給状況(民生部門)'!$S:$S,$F59)</f>
        <v>0</v>
      </c>
      <c r="I59" s="1075">
        <f>SUMIFS('4.2電力供給状況(民生部門)'!$I:$I,'4.2電力供給状況(民生部門)'!$U:$U,$D56&amp;"("&amp;$E59&amp;")",'4.2電力供給状況(民生部門)'!$S:$S,$F59)</f>
        <v>0</v>
      </c>
      <c r="J59" s="1075">
        <f>SUMIFS('4.2電力供給状況(民生部門)'!$K:$K,'4.2電力供給状況(民生部門)'!$U:$U,$D56&amp;"("&amp;$E59&amp;")",'4.2電力供給状況(民生部門)'!$S:$S,$F59)</f>
        <v>0</v>
      </c>
      <c r="K59" s="1075">
        <f>SUMIFS('4.2電力供給状況(民生部門)'!$M:$M,'4.2電力供給状況(民生部門)'!$U:$U,$D56&amp;"("&amp;$E59&amp;")",'4.2電力供給状況(民生部門)'!$S:$S,$F59)</f>
        <v>0</v>
      </c>
      <c r="L59" s="1062" t="str">
        <f t="shared" si="2"/>
        <v/>
      </c>
      <c r="M59" s="1063" t="str">
        <f t="shared" si="1"/>
        <v/>
      </c>
      <c r="N59" s="869"/>
      <c r="O59" s="869"/>
      <c r="P59" s="869"/>
      <c r="Q59"/>
      <c r="R59"/>
      <c r="S59"/>
      <c r="T59"/>
      <c r="U59"/>
      <c r="V59"/>
      <c r="W59"/>
    </row>
    <row r="60" spans="3:23" s="11" customFormat="1" ht="33" hidden="1" customHeight="1">
      <c r="C60" s="1163"/>
      <c r="D60" s="1064"/>
      <c r="E60" s="1152"/>
      <c r="F60" s="1065" t="s">
        <v>6318</v>
      </c>
      <c r="G60" s="1061">
        <v>19.28</v>
      </c>
      <c r="H60" s="1075">
        <f>SUMIFS('4.2電力供給状況(民生部門)'!$G:$G,'4.2電力供給状況(民生部門)'!$U:$U,$D56&amp;"("&amp;$E59&amp;")",'4.2電力供給状況(民生部門)'!$S:$S,$F60)+SUMIFS('4.2電力供給状況(民生部門)'!$H:$H,'4.2電力供給状況(民生部門)'!$U:$U,$D56&amp;"("&amp;$E59&amp;")",'4.2電力供給状況(民生部門)'!$S:$S,$F60)</f>
        <v>0</v>
      </c>
      <c r="I60" s="1075">
        <f>SUMIFS('4.2電力供給状況(民生部門)'!$I:$I,'4.2電力供給状況(民生部門)'!$U:$U,$D56&amp;"("&amp;$E59&amp;")",'4.2電力供給状況(民生部門)'!$S:$S,$F60)</f>
        <v>0</v>
      </c>
      <c r="J60" s="1075">
        <f>SUMIFS('4.2電力供給状況(民生部門)'!$K:$K,'4.2電力供給状況(民生部門)'!$U:$U,$D56&amp;"("&amp;$E59&amp;")",'4.2電力供給状況(民生部門)'!$S:$S,$F60)</f>
        <v>0</v>
      </c>
      <c r="K60" s="1075">
        <f>SUMIFS('4.2電力供給状況(民生部門)'!$M:$M,'4.2電力供給状況(民生部門)'!$U:$U,$D56&amp;"("&amp;$E59&amp;")",'4.2電力供給状況(民生部門)'!$S:$S,$F60)</f>
        <v>0</v>
      </c>
      <c r="L60" s="1062" t="str">
        <f t="shared" si="2"/>
        <v/>
      </c>
      <c r="M60" s="1063" t="str">
        <f t="shared" si="1"/>
        <v/>
      </c>
      <c r="N60" s="869"/>
      <c r="O60" s="869"/>
      <c r="P60" s="869"/>
      <c r="Q60"/>
      <c r="R60"/>
      <c r="S60"/>
      <c r="T60"/>
      <c r="U60"/>
      <c r="V60"/>
      <c r="W60"/>
    </row>
    <row r="61" spans="3:23" s="11" customFormat="1" ht="33" hidden="1" customHeight="1">
      <c r="C61" s="1163"/>
      <c r="D61" s="1064"/>
      <c r="E61" s="1065"/>
      <c r="F61" s="1065" t="s">
        <v>6319</v>
      </c>
      <c r="G61" s="1061">
        <v>19.28</v>
      </c>
      <c r="H61" s="1075">
        <f>SUMIFS('4.2電力供給状況(民生部門)'!$G:$G,'4.2電力供給状況(民生部門)'!$U:$U,$D56&amp;"("&amp;$E59&amp;")",'4.2電力供給状況(民生部門)'!$S:$S,$F61)+SUMIFS('4.2電力供給状況(民生部門)'!$H:$H,'4.2電力供給状況(民生部門)'!$U:$U,$D56&amp;"("&amp;$E59&amp;")",'4.2電力供給状況(民生部門)'!$S:$S,$F61)</f>
        <v>0</v>
      </c>
      <c r="I61" s="1075">
        <f>SUMIFS('4.2電力供給状況(民生部門)'!$I:$I,'4.2電力供給状況(民生部門)'!$U:$U,$D56&amp;"("&amp;$E59&amp;")",'4.2電力供給状況(民生部門)'!$S:$S,$F61)</f>
        <v>0</v>
      </c>
      <c r="J61" s="1075">
        <f>SUMIFS('4.2電力供給状況(民生部門)'!$K:$K,'4.2電力供給状況(民生部門)'!$U:$U,$D56&amp;"("&amp;$E59&amp;")",'4.2電力供給状況(民生部門)'!$S:$S,$F61)</f>
        <v>0</v>
      </c>
      <c r="K61" s="1075">
        <f>SUMIFS('4.2電力供給状況(民生部門)'!$M:$M,'4.2電力供給状況(民生部門)'!$U:$U,$D56&amp;"("&amp;$E59&amp;")",'4.2電力供給状況(民生部門)'!$S:$S,$F61)</f>
        <v>0</v>
      </c>
      <c r="L61" s="1062" t="str">
        <f t="shared" si="2"/>
        <v/>
      </c>
      <c r="M61" s="1063" t="str">
        <f t="shared" si="1"/>
        <v/>
      </c>
      <c r="N61" s="869"/>
      <c r="O61" s="869"/>
      <c r="P61" s="869"/>
      <c r="Q61"/>
      <c r="R61"/>
      <c r="S61"/>
      <c r="T61"/>
      <c r="U61"/>
      <c r="V61"/>
      <c r="W61"/>
    </row>
    <row r="62" spans="3:23" s="11" customFormat="1" ht="33" hidden="1" customHeight="1">
      <c r="C62" s="1163"/>
      <c r="D62" s="1064"/>
      <c r="E62" s="1059" t="s">
        <v>19</v>
      </c>
      <c r="F62" s="1060" t="s">
        <v>505</v>
      </c>
      <c r="G62" s="1061">
        <v>28.09</v>
      </c>
      <c r="H62" s="1075">
        <f>SUMIFS('4.2電力供給状況(民生部門)'!$G:$G,'4.2電力供給状況(民生部門)'!$U:$U,$D56&amp;"("&amp;$E62&amp;")",'4.2電力供給状況(民生部門)'!$S:$S,$F62)+SUMIFS('4.2電力供給状況(民生部門)'!$H:$H,'4.2電力供給状況(民生部門)'!$U:$U,$D56&amp;"("&amp;$E62&amp;")",'4.2電力供給状況(民生部門)'!$S:$S,$F62)</f>
        <v>0</v>
      </c>
      <c r="I62" s="1075">
        <f>SUMIFS('4.2電力供給状況(民生部門)'!$I:$I,'4.2電力供給状況(民生部門)'!$U:$U,$D56&amp;"("&amp;$E62&amp;")",'4.2電力供給状況(民生部門)'!$S:$S,$F62)</f>
        <v>0</v>
      </c>
      <c r="J62" s="1075">
        <f>SUMIFS('4.2電力供給状況(民生部門)'!$K:$K,'4.2電力供給状況(民生部門)'!$U:$U,$D56&amp;"("&amp;$E62&amp;")",'4.2電力供給状況(民生部門)'!$S:$S,$F62)</f>
        <v>0</v>
      </c>
      <c r="K62" s="1075">
        <f>SUMIFS('4.2電力供給状況(民生部門)'!$M:$M,'4.2電力供給状況(民生部門)'!$U:$U,$D56&amp;"("&amp;$E62&amp;")",'4.2電力供給状況(民生部門)'!$S:$S,$F62)</f>
        <v>0</v>
      </c>
      <c r="L62" s="1062" t="str">
        <f t="shared" si="2"/>
        <v/>
      </c>
      <c r="M62" s="1063" t="str">
        <f t="shared" si="1"/>
        <v/>
      </c>
      <c r="N62" s="869"/>
      <c r="O62" s="869"/>
      <c r="P62" s="869"/>
      <c r="Q62"/>
      <c r="R62"/>
      <c r="S62"/>
      <c r="T62"/>
      <c r="U62"/>
      <c r="V62"/>
      <c r="W62"/>
    </row>
    <row r="63" spans="3:23" s="11" customFormat="1" ht="33" hidden="1" customHeight="1">
      <c r="C63" s="1163"/>
      <c r="D63" s="1064"/>
      <c r="E63" s="1152"/>
      <c r="F63" s="1065" t="s">
        <v>6318</v>
      </c>
      <c r="G63" s="1061">
        <v>19.28</v>
      </c>
      <c r="H63" s="1075">
        <f>SUMIFS('4.2電力供給状況(民生部門)'!$G:$G,'4.2電力供給状況(民生部門)'!$U:$U,$D56&amp;"("&amp;$E62&amp;")",'4.2電力供給状況(民生部門)'!$S:$S,$F63)+SUMIFS('4.2電力供給状況(民生部門)'!$H:$H,'4.2電力供給状況(民生部門)'!$U:$U,$D56&amp;"("&amp;$E62&amp;")",'4.2電力供給状況(民生部門)'!$S:$S,$F63)</f>
        <v>0</v>
      </c>
      <c r="I63" s="1075">
        <f>SUMIFS('4.2電力供給状況(民生部門)'!$I:$I,'4.2電力供給状況(民生部門)'!$U:$U,$D56&amp;"("&amp;$E62&amp;")",'4.2電力供給状況(民生部門)'!$S:$S,$F63)</f>
        <v>0</v>
      </c>
      <c r="J63" s="1075">
        <f>SUMIFS('4.2電力供給状況(民生部門)'!$K:$K,'4.2電力供給状況(民生部門)'!$U:$U,$D56&amp;"("&amp;$E62&amp;")",'4.2電力供給状況(民生部門)'!$S:$S,$F63)</f>
        <v>0</v>
      </c>
      <c r="K63" s="1075">
        <f>SUMIFS('4.2電力供給状況(民生部門)'!$M:$M,'4.2電力供給状況(民生部門)'!$U:$U,$D56&amp;"("&amp;$E62&amp;")",'4.2電力供給状況(民生部門)'!$S:$S,$F63)</f>
        <v>0</v>
      </c>
      <c r="L63" s="1062" t="str">
        <f t="shared" si="2"/>
        <v/>
      </c>
      <c r="M63" s="1063" t="str">
        <f t="shared" si="1"/>
        <v/>
      </c>
      <c r="N63" s="869"/>
      <c r="O63" s="869"/>
      <c r="P63" s="869"/>
      <c r="Q63"/>
      <c r="R63"/>
      <c r="S63"/>
      <c r="T63"/>
      <c r="U63"/>
      <c r="V63"/>
      <c r="W63"/>
    </row>
    <row r="64" spans="3:23" s="11" customFormat="1" ht="33" hidden="1" customHeight="1">
      <c r="C64" s="1163"/>
      <c r="D64" s="1064"/>
      <c r="E64" s="1065"/>
      <c r="F64" s="1065" t="s">
        <v>6319</v>
      </c>
      <c r="G64" s="1061">
        <v>19.28</v>
      </c>
      <c r="H64" s="1075">
        <f>SUMIFS('4.2電力供給状況(民生部門)'!$G:$G,'4.2電力供給状況(民生部門)'!$U:$U,$D56&amp;"("&amp;$E62&amp;")",'4.2電力供給状況(民生部門)'!$S:$S,$F64)+SUMIFS('4.2電力供給状況(民生部門)'!$H:$H,'4.2電力供給状況(民生部門)'!$U:$U,$D56&amp;"("&amp;$E62&amp;")",'4.2電力供給状況(民生部門)'!$S:$S,$F64)</f>
        <v>0</v>
      </c>
      <c r="I64" s="1075">
        <f>SUMIFS('4.2電力供給状況(民生部門)'!$I:$I,'4.2電力供給状況(民生部門)'!$U:$U,$D56&amp;"("&amp;$E62&amp;")",'4.2電力供給状況(民生部門)'!$S:$S,$F64)</f>
        <v>0</v>
      </c>
      <c r="J64" s="1075">
        <f>SUMIFS('4.2電力供給状況(民生部門)'!$K:$K,'4.2電力供給状況(民生部門)'!$U:$U,$D56&amp;"("&amp;$E62&amp;")",'4.2電力供給状況(民生部門)'!$S:$S,$F64)</f>
        <v>0</v>
      </c>
      <c r="K64" s="1075">
        <f>SUMIFS('4.2電力供給状況(民生部門)'!$M:$M,'4.2電力供給状況(民生部門)'!$U:$U,$D56&amp;"("&amp;$E62&amp;")",'4.2電力供給状況(民生部門)'!$S:$S,$F64)</f>
        <v>0</v>
      </c>
      <c r="L64" s="1062" t="str">
        <f t="shared" si="2"/>
        <v/>
      </c>
      <c r="M64" s="1063" t="str">
        <f t="shared" si="1"/>
        <v/>
      </c>
      <c r="N64" s="869"/>
      <c r="O64" s="869"/>
      <c r="P64" s="869"/>
      <c r="Q64"/>
      <c r="R64"/>
      <c r="S64"/>
      <c r="T64"/>
      <c r="U64"/>
      <c r="V64"/>
      <c r="W64"/>
    </row>
    <row r="65" spans="3:23" s="11" customFormat="1" ht="33" hidden="1" customHeight="1">
      <c r="C65" s="1163"/>
      <c r="D65" s="1064"/>
      <c r="E65" s="1059" t="s">
        <v>25</v>
      </c>
      <c r="F65" s="1060" t="s">
        <v>505</v>
      </c>
      <c r="G65" s="1061">
        <v>28.09</v>
      </c>
      <c r="H65" s="1075">
        <f>SUMIFS('4.2電力供給状況(民生部門)'!$G:$G,'4.2電力供給状況(民生部門)'!$U:$U,$D56&amp;"("&amp;$E65&amp;")",'4.2電力供給状況(民生部門)'!$S:$S,$F65)+SUMIFS('4.2電力供給状況(民生部門)'!$H:$H,'4.2電力供給状況(民生部門)'!$U:$U,$D56&amp;"("&amp;$E65&amp;")",'4.2電力供給状況(民生部門)'!$S:$S,$F65)</f>
        <v>0</v>
      </c>
      <c r="I65" s="1075">
        <f>SUMIFS('4.2電力供給状況(民生部門)'!$I:$I,'4.2電力供給状況(民生部門)'!$U:$U,$D56&amp;"("&amp;$E65&amp;")",'4.2電力供給状況(民生部門)'!$S:$S,$F65)</f>
        <v>0</v>
      </c>
      <c r="J65" s="1075">
        <f>SUMIFS('4.2電力供給状況(民生部門)'!$K:$K,'4.2電力供給状況(民生部門)'!$U:$U,$D56&amp;"("&amp;$E65&amp;")",'4.2電力供給状況(民生部門)'!$S:$S,$F65)</f>
        <v>0</v>
      </c>
      <c r="K65" s="1075">
        <f>SUMIFS('4.2電力供給状況(民生部門)'!$M:$M,'4.2電力供給状況(民生部門)'!$U:$U,$D56&amp;"("&amp;$E65&amp;")",'4.2電力供給状況(民生部門)'!$S:$S,$F65)</f>
        <v>0</v>
      </c>
      <c r="L65" s="1062" t="str">
        <f t="shared" si="2"/>
        <v/>
      </c>
      <c r="M65" s="1063" t="str">
        <f t="shared" si="1"/>
        <v/>
      </c>
      <c r="N65" s="869"/>
      <c r="O65" s="869"/>
      <c r="P65" s="869"/>
      <c r="Q65"/>
      <c r="R65"/>
      <c r="S65"/>
      <c r="T65"/>
      <c r="U65"/>
      <c r="V65"/>
      <c r="W65"/>
    </row>
    <row r="66" spans="3:23" s="11" customFormat="1" ht="33" hidden="1" customHeight="1">
      <c r="C66" s="1163"/>
      <c r="D66" s="1064"/>
      <c r="E66" s="1152"/>
      <c r="F66" s="1065" t="s">
        <v>6318</v>
      </c>
      <c r="G66" s="1061">
        <v>19.28</v>
      </c>
      <c r="H66" s="1075">
        <f>SUMIFS('4.2電力供給状況(民生部門)'!$G:$G,'4.2電力供給状況(民生部門)'!$U:$U,$D56&amp;"("&amp;$E65&amp;")",'4.2電力供給状況(民生部門)'!$S:$S,$F66)+SUMIFS('4.2電力供給状況(民生部門)'!$H:$H,'4.2電力供給状況(民生部門)'!$U:$U,$D56&amp;"("&amp;$E65&amp;")",'4.2電力供給状況(民生部門)'!$S:$S,$F66)</f>
        <v>0</v>
      </c>
      <c r="I66" s="1075">
        <f>SUMIFS('4.2電力供給状況(民生部門)'!$I:$I,'4.2電力供給状況(民生部門)'!$U:$U,$D56&amp;"("&amp;$E65&amp;")",'4.2電力供給状況(民生部門)'!$S:$S,$F66)</f>
        <v>0</v>
      </c>
      <c r="J66" s="1075">
        <f>SUMIFS('4.2電力供給状況(民生部門)'!$K:$K,'4.2電力供給状況(民生部門)'!$U:$U,$D56&amp;"("&amp;$E65&amp;")",'4.2電力供給状況(民生部門)'!$S:$S,$F66)</f>
        <v>0</v>
      </c>
      <c r="K66" s="1075">
        <f>SUMIFS('4.2電力供給状況(民生部門)'!$M:$M,'4.2電力供給状況(民生部門)'!$U:$U,$D56&amp;"("&amp;$E65&amp;")",'4.2電力供給状況(民生部門)'!$S:$S,$F66)</f>
        <v>0</v>
      </c>
      <c r="L66" s="1062" t="str">
        <f t="shared" si="2"/>
        <v/>
      </c>
      <c r="M66" s="1067" t="str">
        <f t="shared" ref="M66:M73" si="3">IFERROR($G66*$L66*$H66/SUM($H66:$K66)+$G66*$L66*100/110*SUM($I66:$K66)/SUM($H66:$K66),"")</f>
        <v/>
      </c>
      <c r="N66" s="869"/>
      <c r="O66" s="869"/>
      <c r="P66" s="869"/>
      <c r="Q66"/>
      <c r="R66"/>
      <c r="S66"/>
      <c r="T66"/>
      <c r="U66"/>
      <c r="V66"/>
      <c r="W66"/>
    </row>
    <row r="67" spans="3:23" s="11" customFormat="1" ht="33" hidden="1" customHeight="1">
      <c r="C67" s="1163"/>
      <c r="D67" s="1066"/>
      <c r="E67" s="1065"/>
      <c r="F67" s="1065" t="s">
        <v>6319</v>
      </c>
      <c r="G67" s="1061">
        <v>19.28</v>
      </c>
      <c r="H67" s="1075">
        <f>SUMIFS('4.2電力供給状況(民生部門)'!$G:$G,'4.2電力供給状況(民生部門)'!$U:$U,$D56&amp;"("&amp;$E65&amp;")",'4.2電力供給状況(民生部門)'!$S:$S,$F67)+SUMIFS('4.2電力供給状況(民生部門)'!$H:$H,'4.2電力供給状況(民生部門)'!$U:$U,$D56&amp;"("&amp;$E65&amp;")",'4.2電力供給状況(民生部門)'!$S:$S,$F67)</f>
        <v>0</v>
      </c>
      <c r="I67" s="1075">
        <f>SUMIFS('4.2電力供給状況(民生部門)'!$I:$I,'4.2電力供給状況(民生部門)'!$U:$U,$D56&amp;"("&amp;$E65&amp;")",'4.2電力供給状況(民生部門)'!$S:$S,$F67)</f>
        <v>0</v>
      </c>
      <c r="J67" s="1075">
        <f>SUMIFS('4.2電力供給状況(民生部門)'!$K:$K,'4.2電力供給状況(民生部門)'!$U:$U,$D56&amp;"("&amp;$E65&amp;")",'4.2電力供給状況(民生部門)'!$S:$S,$F67)</f>
        <v>0</v>
      </c>
      <c r="K67" s="1075">
        <f>SUMIFS('4.2電力供給状況(民生部門)'!$M:$M,'4.2電力供給状況(民生部門)'!$U:$U,$D56&amp;"("&amp;$E65&amp;")",'4.2電力供給状況(民生部門)'!$S:$S,$F67)</f>
        <v>0</v>
      </c>
      <c r="L67" s="1062" t="str">
        <f t="shared" si="2"/>
        <v/>
      </c>
      <c r="M67" s="1067" t="str">
        <f t="shared" si="3"/>
        <v/>
      </c>
      <c r="N67" s="869"/>
      <c r="O67" s="869"/>
      <c r="P67" s="869"/>
      <c r="Q67"/>
      <c r="R67"/>
      <c r="S67"/>
      <c r="T67"/>
      <c r="U67"/>
      <c r="V67"/>
      <c r="W67"/>
    </row>
    <row r="68" spans="3:23" s="11" customFormat="1" ht="33" hidden="1" customHeight="1">
      <c r="C68" s="1163"/>
      <c r="D68" s="1153" t="s">
        <v>63</v>
      </c>
      <c r="E68" s="1059" t="s">
        <v>20</v>
      </c>
      <c r="F68" s="1060" t="s">
        <v>505</v>
      </c>
      <c r="G68" s="1061">
        <v>28.09</v>
      </c>
      <c r="H68" s="1075">
        <f>SUMIFS('4.2電力供給状況(民生部門)'!$G:$G,'4.2電力供給状況(民生部門)'!$U:$U,$D68&amp;"("&amp;$E68&amp;")",'4.2電力供給状況(民生部門)'!$S:$S,$F68)+SUMIFS('4.2電力供給状況(民生部門)'!$H:$H,'4.2電力供給状況(民生部門)'!$U:$U,$D68&amp;"("&amp;$E68&amp;")",'4.2電力供給状況(民生部門)'!$S:$S,$F68)</f>
        <v>0</v>
      </c>
      <c r="I68" s="1075">
        <f>SUMIFS('4.2電力供給状況(民生部門)'!$I:$I,'4.2電力供給状況(民生部門)'!$U:$U,$D68&amp;"("&amp;$E68&amp;")",'4.2電力供給状況(民生部門)'!$S:$S,$F68)</f>
        <v>0</v>
      </c>
      <c r="J68" s="1075">
        <f>SUMIFS('4.2電力供給状況(民生部門)'!$K:$K,'4.2電力供給状況(民生部門)'!$U:$U,$D68&amp;"("&amp;$E68&amp;")",'4.2電力供給状況(民生部門)'!$S:$S,$F68)</f>
        <v>0</v>
      </c>
      <c r="K68" s="1075">
        <f>SUMIFS('4.2電力供給状況(民生部門)'!$M:$M,'4.2電力供給状況(民生部門)'!$U:$U,$D68&amp;"("&amp;$E68&amp;")",'4.2電力供給状況(民生部門)'!$S:$S,$F68)</f>
        <v>0</v>
      </c>
      <c r="L68" s="1062" t="str">
        <f t="shared" si="2"/>
        <v/>
      </c>
      <c r="M68" s="1067" t="str">
        <f t="shared" si="3"/>
        <v/>
      </c>
      <c r="N68" s="869"/>
      <c r="O68" s="869"/>
      <c r="P68" s="869"/>
      <c r="Q68"/>
      <c r="R68"/>
      <c r="S68"/>
      <c r="T68"/>
      <c r="U68"/>
      <c r="V68"/>
      <c r="W68"/>
    </row>
    <row r="69" spans="3:23" s="11" customFormat="1" ht="33" hidden="1" customHeight="1">
      <c r="C69" s="1163"/>
      <c r="D69" s="1154"/>
      <c r="E69" s="1152"/>
      <c r="F69" s="1065" t="s">
        <v>6318</v>
      </c>
      <c r="G69" s="1061">
        <v>19.28</v>
      </c>
      <c r="H69" s="1075">
        <f>SUMIFS('4.2電力供給状況(民生部門)'!$G:$G,'4.2電力供給状況(民生部門)'!$U:$U,$D68&amp;"("&amp;$E68&amp;")",'4.2電力供給状況(民生部門)'!$S:$S,$F69)+SUMIFS('4.2電力供給状況(民生部門)'!$H:$H,'4.2電力供給状況(民生部門)'!$U:$U,$D68&amp;"("&amp;$E68&amp;")",'4.2電力供給状況(民生部門)'!$S:$S,$F69)</f>
        <v>0</v>
      </c>
      <c r="I69" s="1075">
        <f>SUMIFS('4.2電力供給状況(民生部門)'!$I:$I,'4.2電力供給状況(民生部門)'!$U:$U,$D68&amp;"("&amp;$E68&amp;")",'4.2電力供給状況(民生部門)'!$S:$S,$F69)</f>
        <v>0</v>
      </c>
      <c r="J69" s="1075">
        <f>SUMIFS('4.2電力供給状況(民生部門)'!$K:$K,'4.2電力供給状況(民生部門)'!$U:$U,$D68&amp;"("&amp;$E68&amp;")",'4.2電力供給状況(民生部門)'!$S:$S,$F69)</f>
        <v>0</v>
      </c>
      <c r="K69" s="1075">
        <f>SUMIFS('4.2電力供給状況(民生部門)'!$M:$M,'4.2電力供給状況(民生部門)'!$U:$U,$D68&amp;"("&amp;$E68&amp;")",'4.2電力供給状況(民生部門)'!$S:$S,$F69)</f>
        <v>0</v>
      </c>
      <c r="L69" s="1062" t="str">
        <f t="shared" si="2"/>
        <v/>
      </c>
      <c r="M69" s="1067" t="str">
        <f t="shared" si="3"/>
        <v/>
      </c>
      <c r="N69" s="869"/>
      <c r="O69" s="869"/>
      <c r="P69" s="869"/>
      <c r="Q69"/>
      <c r="R69"/>
      <c r="S69"/>
      <c r="T69"/>
      <c r="U69"/>
      <c r="V69"/>
      <c r="W69"/>
    </row>
    <row r="70" spans="3:23" s="11" customFormat="1" ht="33" hidden="1" customHeight="1">
      <c r="C70" s="1163"/>
      <c r="D70" s="1154"/>
      <c r="E70" s="1065"/>
      <c r="F70" s="1065" t="s">
        <v>6319</v>
      </c>
      <c r="G70" s="1061">
        <v>19.28</v>
      </c>
      <c r="H70" s="1075">
        <f>SUMIFS('4.2電力供給状況(民生部門)'!$G:$G,'4.2電力供給状況(民生部門)'!$U:$U,$D68&amp;"("&amp;$E68&amp;")",'4.2電力供給状況(民生部門)'!$S:$S,$F70)+SUMIFS('4.2電力供給状況(民生部門)'!$H:$H,'4.2電力供給状況(民生部門)'!$U:$U,$D68&amp;"("&amp;$E68&amp;")",'4.2電力供給状況(民生部門)'!$S:$S,$F70)</f>
        <v>0</v>
      </c>
      <c r="I70" s="1075">
        <f>SUMIFS('4.2電力供給状況(民生部門)'!$I:$I,'4.2電力供給状況(民生部門)'!$U:$U,$D68&amp;"("&amp;$E68&amp;")",'4.2電力供給状況(民生部門)'!$S:$S,$F70)</f>
        <v>0</v>
      </c>
      <c r="J70" s="1075">
        <f>SUMIFS('4.2電力供給状況(民生部門)'!$K:$K,'4.2電力供給状況(民生部門)'!$U:$U,$D68&amp;"("&amp;$E68&amp;")",'4.2電力供給状況(民生部門)'!$S:$S,$F70)</f>
        <v>0</v>
      </c>
      <c r="K70" s="1075">
        <f>SUMIFS('4.2電力供給状況(民生部門)'!$M:$M,'4.2電力供給状況(民生部門)'!$U:$U,$D68&amp;"("&amp;$E68&amp;")",'4.2電力供給状況(民生部門)'!$S:$S,$F70)</f>
        <v>0</v>
      </c>
      <c r="L70" s="1062" t="str">
        <f t="shared" si="2"/>
        <v/>
      </c>
      <c r="M70" s="1067" t="str">
        <f t="shared" si="3"/>
        <v/>
      </c>
      <c r="N70" s="869"/>
      <c r="O70" s="869"/>
      <c r="P70" s="869"/>
      <c r="Q70"/>
      <c r="R70"/>
      <c r="S70"/>
      <c r="T70"/>
      <c r="U70"/>
      <c r="V70"/>
      <c r="W70"/>
    </row>
    <row r="71" spans="3:23" s="11" customFormat="1" ht="33" hidden="1" customHeight="1">
      <c r="C71" s="1163"/>
      <c r="D71" s="1064"/>
      <c r="E71" s="1059" t="s">
        <v>25</v>
      </c>
      <c r="F71" s="1060" t="s">
        <v>505</v>
      </c>
      <c r="G71" s="1061">
        <v>28.09</v>
      </c>
      <c r="H71" s="1075">
        <f>SUMIFS('4.2電力供給状況(民生部門)'!$G:$G,'4.2電力供給状況(民生部門)'!$U:$U,$D68&amp;"("&amp;$E71&amp;")",'4.2電力供給状況(民生部門)'!$S:$S,$F71)+SUMIFS('4.2電力供給状況(民生部門)'!$H:$H,'4.2電力供給状況(民生部門)'!$U:$U,$D68&amp;"("&amp;$E71&amp;")",'4.2電力供給状況(民生部門)'!$S:$S,$F71)</f>
        <v>0</v>
      </c>
      <c r="I71" s="1075">
        <f>SUMIFS('4.2電力供給状況(民生部門)'!$I:$I,'4.2電力供給状況(民生部門)'!$U:$U,$D68&amp;"("&amp;$E71&amp;")",'4.2電力供給状況(民生部門)'!$S:$S,$F71)</f>
        <v>0</v>
      </c>
      <c r="J71" s="1075">
        <f>SUMIFS('4.2電力供給状況(民生部門)'!$K:$K,'4.2電力供給状況(民生部門)'!$U:$U,$D68&amp;"("&amp;$E71&amp;")",'4.2電力供給状況(民生部門)'!$S:$S,$F71)</f>
        <v>0</v>
      </c>
      <c r="K71" s="1075">
        <f>SUMIFS('4.2電力供給状況(民生部門)'!$M:$M,'4.2電力供給状況(民生部門)'!$U:$U,$D68&amp;"("&amp;$E71&amp;")",'4.2電力供給状況(民生部門)'!$S:$S,$F71)</f>
        <v>0</v>
      </c>
      <c r="L71" s="1062" t="str">
        <f t="shared" si="2"/>
        <v/>
      </c>
      <c r="M71" s="1067" t="str">
        <f t="shared" si="3"/>
        <v/>
      </c>
      <c r="N71" s="869"/>
      <c r="O71" s="869"/>
      <c r="P71" s="869"/>
      <c r="Q71"/>
      <c r="R71"/>
      <c r="S71"/>
      <c r="T71"/>
      <c r="U71"/>
      <c r="V71"/>
      <c r="W71"/>
    </row>
    <row r="72" spans="3:23" s="11" customFormat="1" ht="33" hidden="1" customHeight="1">
      <c r="C72" s="1163"/>
      <c r="D72" s="1064"/>
      <c r="E72" s="1152"/>
      <c r="F72" s="1065" t="s">
        <v>6318</v>
      </c>
      <c r="G72" s="1061">
        <v>19.28</v>
      </c>
      <c r="H72" s="1075">
        <f>SUMIFS('4.2電力供給状況(民生部門)'!$G:$G,'4.2電力供給状況(民生部門)'!$U:$U,$D68&amp;"("&amp;$E71&amp;")",'4.2電力供給状況(民生部門)'!$S:$S,$F72)+SUMIFS('4.2電力供給状況(民生部門)'!$H:$H,'4.2電力供給状況(民生部門)'!$U:$U,$D68&amp;"("&amp;$E71&amp;")",'4.2電力供給状況(民生部門)'!$S:$S,$F72)</f>
        <v>0</v>
      </c>
      <c r="I72" s="1075">
        <f>SUMIFS('4.2電力供給状況(民生部門)'!$I:$I,'4.2電力供給状況(民生部門)'!$U:$U,$D68&amp;"("&amp;$E71&amp;")",'4.2電力供給状況(民生部門)'!$S:$S,$F72)</f>
        <v>0</v>
      </c>
      <c r="J72" s="1075">
        <f>SUMIFS('4.2電力供給状況(民生部門)'!$K:$K,'4.2電力供給状況(民生部門)'!$U:$U,$D68&amp;"("&amp;$E71&amp;")",'4.2電力供給状況(民生部門)'!$S:$S,$F72)</f>
        <v>0</v>
      </c>
      <c r="K72" s="1075">
        <f>SUMIFS('4.2電力供給状況(民生部門)'!$M:$M,'4.2電力供給状況(民生部門)'!$U:$U,$D68&amp;"("&amp;$E71&amp;")",'4.2電力供給状況(民生部門)'!$S:$S,$F72)</f>
        <v>0</v>
      </c>
      <c r="L72" s="1062" t="str">
        <f t="shared" si="2"/>
        <v/>
      </c>
      <c r="M72" s="1067" t="str">
        <f t="shared" si="3"/>
        <v/>
      </c>
      <c r="N72" s="869"/>
      <c r="O72" s="869"/>
      <c r="P72" s="869"/>
      <c r="Q72"/>
      <c r="R72"/>
      <c r="S72"/>
      <c r="T72"/>
      <c r="U72"/>
      <c r="V72"/>
      <c r="W72"/>
    </row>
    <row r="73" spans="3:23" s="11" customFormat="1" ht="33" hidden="1" customHeight="1">
      <c r="C73" s="1163"/>
      <c r="D73" s="1066"/>
      <c r="E73" s="1065"/>
      <c r="F73" s="1065" t="s">
        <v>6319</v>
      </c>
      <c r="G73" s="1061">
        <v>19.28</v>
      </c>
      <c r="H73" s="1075">
        <f>SUMIFS('4.2電力供給状況(民生部門)'!$G:$G,'4.2電力供給状況(民生部門)'!$U:$U,$D68&amp;"("&amp;$E71&amp;")",'4.2電力供給状況(民生部門)'!$S:$S,$F73)+SUMIFS('4.2電力供給状況(民生部門)'!$H:$H,'4.2電力供給状況(民生部門)'!$U:$U,$D68&amp;"("&amp;$E71&amp;")",'4.2電力供給状況(民生部門)'!$S:$S,$F73)</f>
        <v>0</v>
      </c>
      <c r="I73" s="1075">
        <f>SUMIFS('4.2電力供給状況(民生部門)'!$I:$I,'4.2電力供給状況(民生部門)'!$U:$U,$D68&amp;"("&amp;$E71&amp;")",'4.2電力供給状況(民生部門)'!$S:$S,$F73)</f>
        <v>0</v>
      </c>
      <c r="J73" s="1075">
        <f>SUMIFS('4.2電力供給状況(民生部門)'!$K:$K,'4.2電力供給状況(民生部門)'!$U:$U,$D68&amp;"("&amp;$E71&amp;")",'4.2電力供給状況(民生部門)'!$S:$S,$F73)</f>
        <v>0</v>
      </c>
      <c r="K73" s="1075">
        <f>SUMIFS('4.2電力供給状況(民生部門)'!$M:$M,'4.2電力供給状況(民生部門)'!$U:$U,$D68&amp;"("&amp;$E71&amp;")",'4.2電力供給状況(民生部門)'!$S:$S,$F73)</f>
        <v>0</v>
      </c>
      <c r="L73" s="1062" t="str">
        <f t="shared" si="2"/>
        <v/>
      </c>
      <c r="M73" s="1067" t="str">
        <f t="shared" si="3"/>
        <v/>
      </c>
      <c r="N73" s="869"/>
      <c r="O73" s="869"/>
      <c r="P73" s="869"/>
      <c r="Q73"/>
      <c r="R73"/>
      <c r="S73"/>
      <c r="T73"/>
      <c r="U73"/>
      <c r="V73"/>
      <c r="W73"/>
    </row>
    <row r="74" spans="3:23" s="11" customFormat="1" ht="33" hidden="1" customHeight="1">
      <c r="C74" s="1164"/>
      <c r="D74" s="1149" t="s">
        <v>26</v>
      </c>
      <c r="E74" s="1150"/>
      <c r="F74" s="1151"/>
      <c r="G74" s="1070"/>
      <c r="H74" s="1071">
        <f>SUM(H50:H73)</f>
        <v>0</v>
      </c>
      <c r="I74" s="1071">
        <f t="shared" ref="I74:K74" si="4">SUM(I50:I73)</f>
        <v>0</v>
      </c>
      <c r="J74" s="1071">
        <f t="shared" si="4"/>
        <v>0</v>
      </c>
      <c r="K74" s="1071">
        <f t="shared" si="4"/>
        <v>0</v>
      </c>
      <c r="L74" s="1062">
        <f>SUM(L50:L73)</f>
        <v>0</v>
      </c>
      <c r="M74" s="1072">
        <f>SUM(M50:M73)</f>
        <v>0</v>
      </c>
      <c r="N74" s="869"/>
      <c r="O74" s="869"/>
      <c r="P74" s="869"/>
      <c r="Q74"/>
      <c r="R74"/>
      <c r="S74"/>
      <c r="T74"/>
      <c r="U74"/>
      <c r="V74"/>
      <c r="W74"/>
    </row>
    <row r="75" spans="3:23" ht="15" hidden="1" customHeight="1">
      <c r="D75" s="1073"/>
      <c r="E75" s="232"/>
      <c r="F75" s="232"/>
      <c r="G75" s="232"/>
      <c r="H75" s="232"/>
      <c r="I75" s="232"/>
      <c r="J75" s="232"/>
      <c r="K75" s="232"/>
      <c r="L75" s="232"/>
      <c r="M75" s="1161"/>
      <c r="O75" s="869"/>
    </row>
    <row r="76" spans="3:23" ht="15" hidden="1" customHeight="1">
      <c r="D76" s="35"/>
      <c r="E76" s="232"/>
      <c r="F76" s="232"/>
      <c r="G76" s="232"/>
      <c r="H76" s="232"/>
      <c r="I76" s="232"/>
      <c r="J76" s="232"/>
      <c r="K76" s="232"/>
      <c r="L76" s="232"/>
      <c r="M76" s="1161"/>
      <c r="O76" s="869"/>
    </row>
    <row r="77" spans="3:23" ht="19" hidden="1">
      <c r="D77" s="1074" t="s">
        <v>6302</v>
      </c>
      <c r="E77" s="229"/>
      <c r="O77" s="869"/>
    </row>
    <row r="78" spans="3:23" ht="15" hidden="1" customHeight="1">
      <c r="D78" s="35"/>
      <c r="E78" s="232"/>
      <c r="F78" s="232"/>
      <c r="G78" s="232"/>
      <c r="H78" s="232"/>
      <c r="I78" s="232"/>
      <c r="J78" s="232"/>
      <c r="K78" s="232"/>
      <c r="L78" s="232"/>
      <c r="M78" s="1161"/>
      <c r="O78" s="869"/>
    </row>
    <row r="79" spans="3:23" ht="31.5" hidden="1" customHeight="1">
      <c r="D79" s="1277" t="s">
        <v>6303</v>
      </c>
      <c r="E79" s="1277"/>
      <c r="F79" s="232"/>
      <c r="G79" s="1277" t="s">
        <v>6296</v>
      </c>
      <c r="H79" s="1277"/>
      <c r="I79" s="232"/>
      <c r="J79" s="1277" t="s">
        <v>6297</v>
      </c>
      <c r="K79" s="1277"/>
      <c r="L79" s="232"/>
      <c r="M79" s="1161"/>
      <c r="O79" s="869"/>
    </row>
    <row r="80" spans="3:23" ht="45" hidden="1" customHeight="1">
      <c r="D80" s="1282">
        <f ca="1">G80*J80</f>
        <v>0</v>
      </c>
      <c r="E80" s="1282"/>
      <c r="F80" s="138" t="s">
        <v>65</v>
      </c>
      <c r="G80" s="1283">
        <f ca="1">'4.2電力削減量'!G66</f>
        <v>0</v>
      </c>
      <c r="H80" s="1294"/>
      <c r="I80" s="138" t="s">
        <v>6256</v>
      </c>
      <c r="J80" s="1285">
        <f>J108</f>
        <v>0</v>
      </c>
      <c r="K80" s="1286"/>
      <c r="L80" s="232"/>
      <c r="M80" s="1161"/>
      <c r="O80" s="869"/>
    </row>
    <row r="81" spans="3:23" ht="15" hidden="1" customHeight="1">
      <c r="D81" s="35"/>
      <c r="E81" s="232"/>
      <c r="F81" s="232"/>
      <c r="G81" s="232"/>
      <c r="H81" s="232"/>
      <c r="I81" s="232"/>
      <c r="J81" s="232"/>
      <c r="K81" s="232"/>
      <c r="L81" s="232"/>
      <c r="M81" s="1161"/>
      <c r="O81" s="869"/>
    </row>
    <row r="82" spans="3:23" ht="21.75" hidden="1" customHeight="1">
      <c r="D82" s="1289" t="s">
        <v>54</v>
      </c>
      <c r="E82" s="1287" t="s">
        <v>238</v>
      </c>
      <c r="F82" s="1287" t="s">
        <v>186</v>
      </c>
      <c r="G82" s="1287" t="s">
        <v>6264</v>
      </c>
      <c r="H82" s="1287" t="s">
        <v>6265</v>
      </c>
      <c r="I82" s="1287" t="s">
        <v>6266</v>
      </c>
      <c r="J82" s="1287" t="s">
        <v>6267</v>
      </c>
      <c r="L82" s="232"/>
      <c r="M82" s="232"/>
      <c r="N82" s="13"/>
      <c r="O82" s="869"/>
      <c r="P82" s="13"/>
    </row>
    <row r="83" spans="3:23" ht="32.25" hidden="1" customHeight="1">
      <c r="D83" s="1290"/>
      <c r="E83" s="1288"/>
      <c r="F83" s="1288"/>
      <c r="G83" s="1288"/>
      <c r="H83" s="1288"/>
      <c r="I83" s="1288"/>
      <c r="J83" s="1288"/>
      <c r="L83" s="232"/>
      <c r="M83" s="232"/>
      <c r="N83" s="252"/>
      <c r="O83" s="869"/>
      <c r="P83" s="252"/>
    </row>
    <row r="84" spans="3:23" s="11" customFormat="1" ht="33" hidden="1" customHeight="1">
      <c r="C84" s="1163"/>
      <c r="D84" s="1059" t="s">
        <v>59</v>
      </c>
      <c r="E84" s="1059" t="s">
        <v>15</v>
      </c>
      <c r="F84" s="1060" t="s">
        <v>505</v>
      </c>
      <c r="G84" s="1075">
        <f>SUMIFS('4.2電力削減量'!$G:$G,'4.2電力削減量'!$M:$M,$D84&amp;"("&amp;$E84&amp;")",'4.2電力削減量'!$J:J,$F84)</f>
        <v>0</v>
      </c>
      <c r="H84" s="1062" t="str">
        <f t="shared" ref="H84:H100" si="5">IFERROR(G84/$G$108,"")</f>
        <v/>
      </c>
      <c r="I84" s="1061">
        <v>28.09</v>
      </c>
      <c r="J84" s="1063" t="str">
        <f t="shared" ref="J84:J107" si="6">IFERROR(H84*I84,"")</f>
        <v/>
      </c>
      <c r="L84" s="232"/>
      <c r="M84" s="232"/>
      <c r="N84" s="869"/>
      <c r="O84" s="869"/>
      <c r="P84" s="869"/>
      <c r="Q84"/>
      <c r="R84"/>
      <c r="S84"/>
      <c r="T84"/>
      <c r="U84"/>
      <c r="V84"/>
      <c r="W84"/>
    </row>
    <row r="85" spans="3:23" s="11" customFormat="1" ht="33" hidden="1" customHeight="1">
      <c r="C85" s="1163"/>
      <c r="D85" s="1152"/>
      <c r="E85" s="1152"/>
      <c r="F85" s="1065" t="s">
        <v>6318</v>
      </c>
      <c r="G85" s="1075">
        <f>SUMIFS('4.2電力削減量'!$G:$G,'4.2電力削減量'!$M:$M,$D84&amp;"("&amp;$E84&amp;")",'4.2電力削減量'!$J:J,$F85)</f>
        <v>0</v>
      </c>
      <c r="H85" s="1062" t="str">
        <f t="shared" si="5"/>
        <v/>
      </c>
      <c r="I85" s="1061">
        <v>19.28</v>
      </c>
      <c r="J85" s="1063" t="str">
        <f t="shared" ref="J85" si="7">IFERROR(H85*I85,"")</f>
        <v/>
      </c>
      <c r="L85" s="232"/>
      <c r="M85" s="232"/>
      <c r="N85" s="869"/>
      <c r="O85" s="869"/>
      <c r="P85" s="869"/>
      <c r="Q85"/>
      <c r="R85"/>
      <c r="S85"/>
      <c r="T85"/>
      <c r="U85"/>
      <c r="V85"/>
      <c r="W85"/>
    </row>
    <row r="86" spans="3:23" s="11" customFormat="1" ht="33" hidden="1" customHeight="1">
      <c r="C86" s="1163"/>
      <c r="D86" s="1152"/>
      <c r="E86" s="1065"/>
      <c r="F86" s="1065" t="s">
        <v>6319</v>
      </c>
      <c r="G86" s="1075">
        <f>SUMIFS('4.2電力削減量'!$G:$G,'4.2電力削減量'!$M:$M,$D84&amp;"("&amp;$E84&amp;")",'4.2電力削減量'!$J:J,$F86)</f>
        <v>0</v>
      </c>
      <c r="H86" s="1062" t="str">
        <f t="shared" si="5"/>
        <v/>
      </c>
      <c r="I86" s="1061">
        <v>19.28</v>
      </c>
      <c r="J86" s="1063" t="str">
        <f t="shared" si="6"/>
        <v/>
      </c>
      <c r="L86" s="232"/>
      <c r="M86" s="232"/>
      <c r="N86" s="869"/>
      <c r="O86" s="869"/>
      <c r="P86" s="869"/>
      <c r="Q86"/>
      <c r="R86"/>
      <c r="S86"/>
      <c r="T86"/>
      <c r="U86"/>
      <c r="V86"/>
      <c r="W86"/>
    </row>
    <row r="87" spans="3:23" s="11" customFormat="1" ht="33" hidden="1" customHeight="1">
      <c r="C87" s="1163"/>
      <c r="D87" s="1064"/>
      <c r="E87" s="1059" t="s">
        <v>25</v>
      </c>
      <c r="F87" s="1060" t="s">
        <v>505</v>
      </c>
      <c r="G87" s="1075">
        <f>SUMIFS('4.2電力削減量'!$G:$G,'4.2電力削減量'!$M:$M,$D84&amp;"("&amp;$E87&amp;")",'4.2電力削減量'!$J:J,$F87)</f>
        <v>0</v>
      </c>
      <c r="H87" s="1062" t="str">
        <f t="shared" si="5"/>
        <v/>
      </c>
      <c r="I87" s="1061">
        <v>28.09</v>
      </c>
      <c r="J87" s="1063" t="str">
        <f t="shared" si="6"/>
        <v/>
      </c>
      <c r="L87" s="232"/>
      <c r="M87" s="232"/>
      <c r="N87" s="869"/>
      <c r="O87" s="869"/>
      <c r="P87" s="869"/>
      <c r="Q87"/>
      <c r="R87"/>
      <c r="S87"/>
      <c r="T87"/>
      <c r="U87"/>
      <c r="V87"/>
      <c r="W87"/>
    </row>
    <row r="88" spans="3:23" s="11" customFormat="1" ht="33" hidden="1" customHeight="1">
      <c r="C88" s="1163"/>
      <c r="D88" s="1064"/>
      <c r="E88" s="1152"/>
      <c r="F88" s="1065" t="s">
        <v>6318</v>
      </c>
      <c r="G88" s="1075">
        <f>SUMIFS('4.2電力削減量'!$G:$G,'4.2電力削減量'!$M:$M,$D84&amp;"("&amp;$E87&amp;")",'4.2電力削減量'!$J:J,$F88)</f>
        <v>0</v>
      </c>
      <c r="H88" s="1062" t="str">
        <f t="shared" si="5"/>
        <v/>
      </c>
      <c r="I88" s="1061">
        <v>19.28</v>
      </c>
      <c r="J88" s="1063" t="str">
        <f t="shared" ref="J88" si="8">IFERROR(H88*I88,"")</f>
        <v/>
      </c>
      <c r="L88" s="232"/>
      <c r="M88" s="232"/>
      <c r="N88" s="869"/>
      <c r="O88" s="869"/>
      <c r="P88" s="869"/>
      <c r="Q88"/>
      <c r="R88"/>
      <c r="S88"/>
      <c r="T88"/>
      <c r="U88"/>
      <c r="V88"/>
      <c r="W88"/>
    </row>
    <row r="89" spans="3:23" s="11" customFormat="1" ht="33" hidden="1" customHeight="1">
      <c r="C89" s="1163"/>
      <c r="D89" s="1064"/>
      <c r="E89" s="1065"/>
      <c r="F89" s="1065" t="s">
        <v>6319</v>
      </c>
      <c r="G89" s="1075">
        <f>SUMIFS('4.2電力削減量'!$G:$G,'4.2電力削減量'!$M:$M,$D84&amp;"("&amp;$E87&amp;")",'4.2電力削減量'!$J:J,$F89)</f>
        <v>0</v>
      </c>
      <c r="H89" s="1062" t="str">
        <f t="shared" si="5"/>
        <v/>
      </c>
      <c r="I89" s="1061">
        <v>19.28</v>
      </c>
      <c r="J89" s="1063" t="str">
        <f t="shared" si="6"/>
        <v/>
      </c>
      <c r="L89" s="232"/>
      <c r="M89" s="232"/>
      <c r="N89" s="869"/>
      <c r="O89" s="869"/>
      <c r="P89" s="869"/>
      <c r="Q89"/>
      <c r="R89"/>
      <c r="S89"/>
      <c r="T89"/>
      <c r="U89"/>
      <c r="V89"/>
      <c r="W89"/>
    </row>
    <row r="90" spans="3:23" s="11" customFormat="1" ht="33" hidden="1" customHeight="1">
      <c r="C90" s="1163"/>
      <c r="D90" s="1059" t="s">
        <v>61</v>
      </c>
      <c r="E90" s="1059" t="s">
        <v>17</v>
      </c>
      <c r="F90" s="1060" t="s">
        <v>505</v>
      </c>
      <c r="G90" s="1075">
        <f>SUMIFS('4.2電力削減量'!$G:$G,'4.2電力削減量'!$M:$M,$D90&amp;"("&amp;$E90&amp;")",'4.2電力削減量'!$J:J,$F90)</f>
        <v>0</v>
      </c>
      <c r="H90" s="1062" t="str">
        <f t="shared" si="5"/>
        <v/>
      </c>
      <c r="I90" s="1061">
        <v>28.09</v>
      </c>
      <c r="J90" s="1063" t="str">
        <f t="shared" si="6"/>
        <v/>
      </c>
      <c r="L90" s="232"/>
      <c r="M90" s="232"/>
      <c r="N90" s="869"/>
      <c r="O90" s="869"/>
      <c r="P90" s="869"/>
      <c r="Q90"/>
      <c r="R90"/>
      <c r="S90"/>
      <c r="T90"/>
      <c r="U90"/>
      <c r="V90"/>
      <c r="W90"/>
    </row>
    <row r="91" spans="3:23" s="11" customFormat="1" ht="33" hidden="1" customHeight="1">
      <c r="C91" s="1163"/>
      <c r="D91" s="1152"/>
      <c r="E91" s="1152"/>
      <c r="F91" s="1065" t="s">
        <v>6318</v>
      </c>
      <c r="G91" s="1075">
        <f>SUMIFS('4.2電力削減量'!$G:$G,'4.2電力削減量'!$M:$M,$D90&amp;"("&amp;$E90&amp;")",'4.2電力削減量'!$J:J,$F91)</f>
        <v>0</v>
      </c>
      <c r="H91" s="1062" t="str">
        <f t="shared" si="5"/>
        <v/>
      </c>
      <c r="I91" s="1061">
        <v>19.28</v>
      </c>
      <c r="J91" s="1063" t="str">
        <f t="shared" ref="J91" si="9">IFERROR(H91*I91,"")</f>
        <v/>
      </c>
      <c r="L91" s="232"/>
      <c r="M91" s="232"/>
      <c r="N91" s="869"/>
      <c r="O91" s="869"/>
      <c r="P91" s="869"/>
      <c r="Q91"/>
      <c r="R91"/>
      <c r="S91"/>
      <c r="T91"/>
      <c r="U91"/>
      <c r="V91"/>
      <c r="W91"/>
    </row>
    <row r="92" spans="3:23" s="11" customFormat="1" ht="33" hidden="1" customHeight="1">
      <c r="C92" s="1163"/>
      <c r="D92" s="1152"/>
      <c r="E92" s="1065"/>
      <c r="F92" s="1065" t="s">
        <v>6319</v>
      </c>
      <c r="G92" s="1075">
        <f>SUMIFS('4.2電力削減量'!$G:$G,'4.2電力削減量'!$M:$M,$D90&amp;"("&amp;$E90&amp;")",'4.2電力削減量'!$J:J,$F92)</f>
        <v>0</v>
      </c>
      <c r="H92" s="1062" t="str">
        <f t="shared" si="5"/>
        <v/>
      </c>
      <c r="I92" s="1061">
        <v>19.28</v>
      </c>
      <c r="J92" s="1063" t="str">
        <f t="shared" si="6"/>
        <v/>
      </c>
      <c r="L92" s="232"/>
      <c r="M92" s="232"/>
      <c r="N92" s="869"/>
      <c r="O92" s="869"/>
      <c r="P92" s="869"/>
      <c r="Q92"/>
      <c r="R92"/>
      <c r="S92"/>
      <c r="T92"/>
      <c r="U92"/>
      <c r="V92"/>
      <c r="W92"/>
    </row>
    <row r="93" spans="3:23" s="11" customFormat="1" ht="33" hidden="1" customHeight="1">
      <c r="C93" s="1163"/>
      <c r="D93" s="1064"/>
      <c r="E93" s="1059" t="s">
        <v>18</v>
      </c>
      <c r="F93" s="1060" t="s">
        <v>505</v>
      </c>
      <c r="G93" s="1075">
        <f>SUMIFS('4.2電力削減量'!$G:$G,'4.2電力削減量'!$M:$M,$D90&amp;"("&amp;$E93&amp;")",'4.2電力削減量'!$J:J,$F93)</f>
        <v>0</v>
      </c>
      <c r="H93" s="1062" t="str">
        <f t="shared" si="5"/>
        <v/>
      </c>
      <c r="I93" s="1061">
        <v>28.09</v>
      </c>
      <c r="J93" s="1063" t="str">
        <f t="shared" si="6"/>
        <v/>
      </c>
      <c r="L93" s="232"/>
      <c r="M93" s="232"/>
      <c r="N93" s="869"/>
      <c r="O93" s="869"/>
      <c r="P93" s="869"/>
      <c r="Q93"/>
      <c r="R93"/>
      <c r="S93"/>
      <c r="T93"/>
      <c r="U93"/>
      <c r="V93"/>
      <c r="W93"/>
    </row>
    <row r="94" spans="3:23" s="11" customFormat="1" ht="33" hidden="1" customHeight="1">
      <c r="C94" s="1163"/>
      <c r="D94" s="1064"/>
      <c r="E94" s="1152"/>
      <c r="F94" s="1065" t="s">
        <v>6318</v>
      </c>
      <c r="G94" s="1075">
        <f>SUMIFS('4.2電力削減量'!$G:$G,'4.2電力削減量'!$M:$M,$D90&amp;"("&amp;$E93&amp;")",'4.2電力削減量'!$J:J,$F94)</f>
        <v>0</v>
      </c>
      <c r="H94" s="1062" t="str">
        <f t="shared" si="5"/>
        <v/>
      </c>
      <c r="I94" s="1061">
        <v>19.28</v>
      </c>
      <c r="J94" s="1063" t="str">
        <f t="shared" ref="J94" si="10">IFERROR(H94*I94,"")</f>
        <v/>
      </c>
      <c r="L94" s="232"/>
      <c r="M94" s="232"/>
      <c r="N94" s="869"/>
      <c r="O94" s="869"/>
      <c r="P94" s="869"/>
      <c r="Q94"/>
      <c r="R94"/>
      <c r="S94"/>
      <c r="T94"/>
      <c r="U94"/>
      <c r="V94"/>
      <c r="W94"/>
    </row>
    <row r="95" spans="3:23" s="11" customFormat="1" ht="33" hidden="1" customHeight="1">
      <c r="C95" s="1163"/>
      <c r="D95" s="1064"/>
      <c r="E95" s="1065"/>
      <c r="F95" s="1065" t="s">
        <v>6319</v>
      </c>
      <c r="G95" s="1075">
        <f>SUMIFS('4.2電力削減量'!$G:$G,'4.2電力削減量'!$M:$M,$D90&amp;"("&amp;$E93&amp;")",'4.2電力削減量'!$J:J,$F95)</f>
        <v>0</v>
      </c>
      <c r="H95" s="1062" t="str">
        <f t="shared" si="5"/>
        <v/>
      </c>
      <c r="I95" s="1061">
        <v>19.28</v>
      </c>
      <c r="J95" s="1063" t="str">
        <f t="shared" si="6"/>
        <v/>
      </c>
      <c r="L95" s="232"/>
      <c r="M95" s="232"/>
      <c r="N95" s="869"/>
      <c r="O95" s="869"/>
      <c r="P95" s="869"/>
      <c r="Q95"/>
      <c r="R95"/>
      <c r="S95"/>
      <c r="T95"/>
      <c r="U95"/>
      <c r="V95"/>
      <c r="W95"/>
    </row>
    <row r="96" spans="3:23" s="11" customFormat="1" ht="33" hidden="1" customHeight="1">
      <c r="C96" s="1163"/>
      <c r="D96" s="1064"/>
      <c r="E96" s="1059" t="s">
        <v>19</v>
      </c>
      <c r="F96" s="1060" t="s">
        <v>505</v>
      </c>
      <c r="G96" s="1075">
        <f>SUMIFS('4.2電力削減量'!$G:$G,'4.2電力削減量'!$M:$M,$D90&amp;"("&amp;$E96&amp;")",'4.2電力削減量'!$J:J,$F96)</f>
        <v>0</v>
      </c>
      <c r="H96" s="1062" t="str">
        <f t="shared" si="5"/>
        <v/>
      </c>
      <c r="I96" s="1061">
        <v>28.09</v>
      </c>
      <c r="J96" s="1063" t="str">
        <f t="shared" si="6"/>
        <v/>
      </c>
      <c r="L96" s="232"/>
      <c r="M96" s="232"/>
      <c r="N96" s="869"/>
      <c r="O96" s="869"/>
      <c r="P96" s="869"/>
      <c r="Q96"/>
      <c r="R96"/>
      <c r="S96"/>
      <c r="T96"/>
      <c r="U96"/>
      <c r="V96"/>
      <c r="W96"/>
    </row>
    <row r="97" spans="3:23" s="11" customFormat="1" ht="33" hidden="1" customHeight="1">
      <c r="C97" s="1163"/>
      <c r="D97" s="1064"/>
      <c r="E97" s="1152"/>
      <c r="F97" s="1065" t="s">
        <v>6318</v>
      </c>
      <c r="G97" s="1075">
        <f>SUMIFS('4.2電力削減量'!$G:$G,'4.2電力削減量'!$M:$M,$D90&amp;"("&amp;$E96&amp;")",'4.2電力削減量'!$J:J,$F97)</f>
        <v>0</v>
      </c>
      <c r="H97" s="1062" t="str">
        <f t="shared" si="5"/>
        <v/>
      </c>
      <c r="I97" s="1061">
        <v>19.28</v>
      </c>
      <c r="J97" s="1063" t="str">
        <f t="shared" ref="J97" si="11">IFERROR(H97*I97,"")</f>
        <v/>
      </c>
      <c r="L97" s="232"/>
      <c r="M97" s="232"/>
      <c r="N97" s="869"/>
      <c r="O97" s="869"/>
      <c r="P97" s="869"/>
      <c r="Q97"/>
      <c r="R97"/>
      <c r="S97"/>
      <c r="T97"/>
      <c r="U97"/>
      <c r="V97"/>
      <c r="W97"/>
    </row>
    <row r="98" spans="3:23" s="11" customFormat="1" ht="33" hidden="1" customHeight="1">
      <c r="C98" s="1163"/>
      <c r="D98" s="1064"/>
      <c r="E98" s="1065"/>
      <c r="F98" s="1065" t="s">
        <v>6319</v>
      </c>
      <c r="G98" s="1075">
        <f>SUMIFS('4.2電力削減量'!$G:$G,'4.2電力削減量'!$M:$M,$D90&amp;"("&amp;$E96&amp;")",'4.2電力削減量'!$J:J,$F98)</f>
        <v>0</v>
      </c>
      <c r="H98" s="1062" t="str">
        <f t="shared" si="5"/>
        <v/>
      </c>
      <c r="I98" s="1061">
        <v>19.28</v>
      </c>
      <c r="J98" s="1063" t="str">
        <f t="shared" si="6"/>
        <v/>
      </c>
      <c r="L98" s="232"/>
      <c r="M98" s="232"/>
      <c r="N98" s="869"/>
      <c r="O98" s="869"/>
      <c r="P98" s="869"/>
      <c r="Q98"/>
      <c r="R98"/>
      <c r="S98"/>
      <c r="T98"/>
      <c r="U98"/>
      <c r="V98"/>
      <c r="W98"/>
    </row>
    <row r="99" spans="3:23" s="11" customFormat="1" ht="33" hidden="1" customHeight="1">
      <c r="C99" s="1163"/>
      <c r="D99" s="1064"/>
      <c r="E99" s="1059" t="s">
        <v>25</v>
      </c>
      <c r="F99" s="1060" t="s">
        <v>505</v>
      </c>
      <c r="G99" s="1075">
        <f>SUMIFS('4.2電力削減量'!$G:$G,'4.2電力削減量'!$M:$M,$D90&amp;"("&amp;$E99&amp;")",'4.2電力削減量'!$J:J,$F99)</f>
        <v>0</v>
      </c>
      <c r="H99" s="1062" t="str">
        <f t="shared" si="5"/>
        <v/>
      </c>
      <c r="I99" s="1061">
        <v>28.09</v>
      </c>
      <c r="J99" s="1063" t="str">
        <f t="shared" si="6"/>
        <v/>
      </c>
      <c r="L99" s="232"/>
      <c r="M99" s="232"/>
      <c r="N99" s="869"/>
      <c r="O99" s="869"/>
      <c r="P99" s="869"/>
      <c r="Q99"/>
      <c r="R99"/>
      <c r="S99"/>
      <c r="T99"/>
      <c r="U99"/>
      <c r="V99"/>
      <c r="W99"/>
    </row>
    <row r="100" spans="3:23" s="11" customFormat="1" ht="33" hidden="1" customHeight="1">
      <c r="C100" s="1163"/>
      <c r="D100" s="1154"/>
      <c r="E100" s="1152"/>
      <c r="F100" s="1065" t="s">
        <v>6318</v>
      </c>
      <c r="G100" s="1075">
        <f>SUMIFS('4.2電力削減量'!$G:$G,'4.2電力削減量'!$M:$M,$D90&amp;"("&amp;$E99&amp;")",'4.2電力削減量'!$J:J,$F100)</f>
        <v>0</v>
      </c>
      <c r="H100" s="1062" t="str">
        <f t="shared" si="5"/>
        <v/>
      </c>
      <c r="I100" s="1061">
        <v>19.28</v>
      </c>
      <c r="J100" s="1063" t="str">
        <f t="shared" ref="J100" si="12">IFERROR(H100*I100,"")</f>
        <v/>
      </c>
      <c r="L100" s="232"/>
      <c r="M100" s="232"/>
      <c r="N100" s="869"/>
      <c r="O100" s="869"/>
      <c r="P100" s="869"/>
      <c r="Q100"/>
      <c r="R100"/>
      <c r="S100"/>
      <c r="T100"/>
      <c r="U100"/>
      <c r="V100"/>
      <c r="W100"/>
    </row>
    <row r="101" spans="3:23" s="11" customFormat="1" ht="33" hidden="1" customHeight="1">
      <c r="C101" s="1163"/>
      <c r="D101" s="1157"/>
      <c r="E101" s="1065"/>
      <c r="F101" s="1065" t="s">
        <v>6319</v>
      </c>
      <c r="G101" s="1075">
        <f>SUMIFS('4.2電力削減量'!$G:$G,'4.2電力削減量'!$M:$M,$D90&amp;"("&amp;$E99&amp;")",'4.2電力削減量'!$J:J,$F101)</f>
        <v>0</v>
      </c>
      <c r="H101" s="1062" t="str">
        <f t="shared" ref="H101:H107" si="13">IFERROR(G101/$G$108,"")</f>
        <v/>
      </c>
      <c r="I101" s="1061">
        <v>19.28</v>
      </c>
      <c r="J101" s="1063" t="str">
        <f t="shared" si="6"/>
        <v/>
      </c>
      <c r="L101" s="232"/>
      <c r="M101" s="232"/>
      <c r="N101" s="869"/>
      <c r="O101" s="869"/>
      <c r="P101" s="869"/>
      <c r="Q101"/>
      <c r="R101"/>
      <c r="S101"/>
      <c r="T101"/>
      <c r="U101"/>
      <c r="V101"/>
      <c r="W101"/>
    </row>
    <row r="102" spans="3:23" s="11" customFormat="1" ht="33" hidden="1" customHeight="1">
      <c r="C102" s="1163"/>
      <c r="D102" s="1154" t="s">
        <v>63</v>
      </c>
      <c r="E102" s="1059" t="s">
        <v>20</v>
      </c>
      <c r="F102" s="1060" t="s">
        <v>505</v>
      </c>
      <c r="G102" s="1075">
        <f>SUMIFS('4.2電力削減量'!$G:$G,'4.2電力削減量'!$M:$M,$D102&amp;"("&amp;$E102&amp;")",'4.2電力削減量'!$J:J,$F102)</f>
        <v>0</v>
      </c>
      <c r="H102" s="1062" t="str">
        <f t="shared" si="13"/>
        <v/>
      </c>
      <c r="I102" s="1061">
        <v>28.09</v>
      </c>
      <c r="J102" s="1063" t="str">
        <f t="shared" si="6"/>
        <v/>
      </c>
      <c r="L102" s="232"/>
      <c r="M102" s="232"/>
      <c r="N102" s="869"/>
      <c r="O102" s="869"/>
      <c r="P102" s="869"/>
      <c r="Q102"/>
      <c r="R102"/>
      <c r="S102"/>
      <c r="T102"/>
      <c r="U102"/>
      <c r="V102"/>
      <c r="W102"/>
    </row>
    <row r="103" spans="3:23" s="11" customFormat="1" ht="33" hidden="1" customHeight="1">
      <c r="C103" s="1163"/>
      <c r="D103" s="1154"/>
      <c r="E103" s="1152"/>
      <c r="F103" s="1065" t="s">
        <v>6318</v>
      </c>
      <c r="G103" s="1075">
        <f>SUMIFS('4.2電力削減量'!$G:$G,'4.2電力削減量'!$M:$M,$D102&amp;"("&amp;$E102&amp;")",'4.2電力削減量'!$J:J,$F103)</f>
        <v>0</v>
      </c>
      <c r="H103" s="1062" t="str">
        <f t="shared" si="13"/>
        <v/>
      </c>
      <c r="I103" s="1061">
        <v>19.28</v>
      </c>
      <c r="J103" s="1063" t="str">
        <f t="shared" ref="J103" si="14">IFERROR(H103*I103,"")</f>
        <v/>
      </c>
      <c r="L103" s="232"/>
      <c r="M103" s="232"/>
      <c r="N103" s="869"/>
      <c r="O103" s="869"/>
      <c r="P103" s="869"/>
      <c r="Q103"/>
      <c r="R103"/>
      <c r="S103"/>
      <c r="T103"/>
      <c r="U103"/>
      <c r="V103"/>
      <c r="W103"/>
    </row>
    <row r="104" spans="3:23" s="11" customFormat="1" ht="33" hidden="1" customHeight="1">
      <c r="C104" s="1163"/>
      <c r="D104" s="1154"/>
      <c r="E104" s="1065"/>
      <c r="F104" s="1065" t="s">
        <v>6319</v>
      </c>
      <c r="G104" s="1075">
        <f>SUMIFS('4.2電力削減量'!$G:$G,'4.2電力削減量'!$M:$M,$D102&amp;"("&amp;$E102&amp;")",'4.2電力削減量'!$J:J,$F104)</f>
        <v>0</v>
      </c>
      <c r="H104" s="1062" t="str">
        <f t="shared" si="13"/>
        <v/>
      </c>
      <c r="I104" s="1061">
        <v>19.28</v>
      </c>
      <c r="J104" s="1063" t="str">
        <f t="shared" si="6"/>
        <v/>
      </c>
      <c r="L104" s="232"/>
      <c r="M104" s="232"/>
      <c r="N104" s="869"/>
      <c r="O104" s="869"/>
      <c r="P104" s="869"/>
      <c r="Q104"/>
      <c r="R104"/>
      <c r="S104"/>
      <c r="T104"/>
      <c r="U104"/>
      <c r="V104"/>
      <c r="W104"/>
    </row>
    <row r="105" spans="3:23" s="11" customFormat="1" ht="33" hidden="1" customHeight="1">
      <c r="C105" s="1163"/>
      <c r="D105" s="1064"/>
      <c r="E105" s="1059" t="s">
        <v>25</v>
      </c>
      <c r="F105" s="1060" t="s">
        <v>505</v>
      </c>
      <c r="G105" s="1075">
        <f>SUMIFS('4.2電力削減量'!$G:$G,'4.2電力削減量'!$M:$M,$D102&amp;"("&amp;$E105&amp;")",'4.2電力削減量'!$J:J,$F105)</f>
        <v>0</v>
      </c>
      <c r="H105" s="1062" t="str">
        <f t="shared" si="13"/>
        <v/>
      </c>
      <c r="I105" s="1061">
        <v>28.09</v>
      </c>
      <c r="J105" s="1063" t="str">
        <f t="shared" si="6"/>
        <v/>
      </c>
      <c r="L105" s="232"/>
      <c r="M105" s="232"/>
      <c r="N105" s="869"/>
      <c r="O105" s="869"/>
      <c r="P105" s="869"/>
      <c r="Q105"/>
      <c r="R105"/>
      <c r="S105"/>
      <c r="T105"/>
      <c r="U105"/>
      <c r="V105"/>
      <c r="W105"/>
    </row>
    <row r="106" spans="3:23" s="11" customFormat="1" ht="33" hidden="1" customHeight="1">
      <c r="C106" s="1163"/>
      <c r="D106" s="1064"/>
      <c r="E106" s="1152"/>
      <c r="F106" s="1065" t="s">
        <v>6318</v>
      </c>
      <c r="G106" s="1075">
        <f>SUMIFS('4.2電力削減量'!$G:$G,'4.2電力削減量'!$M:$M,$D102&amp;"("&amp;$E105&amp;")",'4.2電力削減量'!$J:J,$F106)</f>
        <v>0</v>
      </c>
      <c r="H106" s="1062" t="str">
        <f t="shared" si="13"/>
        <v/>
      </c>
      <c r="I106" s="1061">
        <v>19.28</v>
      </c>
      <c r="J106" s="1063" t="str">
        <f t="shared" ref="J106" si="15">IFERROR(H106*I106,"")</f>
        <v/>
      </c>
      <c r="L106" s="232"/>
      <c r="M106" s="232"/>
      <c r="N106" s="869"/>
      <c r="O106" s="869"/>
      <c r="P106" s="869"/>
      <c r="Q106"/>
      <c r="R106"/>
      <c r="S106"/>
      <c r="T106"/>
      <c r="U106"/>
      <c r="V106"/>
      <c r="W106"/>
    </row>
    <row r="107" spans="3:23" s="11" customFormat="1" ht="33" hidden="1" customHeight="1">
      <c r="C107" s="1163"/>
      <c r="D107" s="1066"/>
      <c r="E107" s="1065"/>
      <c r="F107" s="1065" t="s">
        <v>6319</v>
      </c>
      <c r="G107" s="1075">
        <f>SUMIFS('4.2電力削減量'!$G:$G,'4.2電力削減量'!$M:$M,$D102&amp;"("&amp;$E105&amp;")",'4.2電力削減量'!$J:J,$F107)</f>
        <v>0</v>
      </c>
      <c r="H107" s="1062" t="str">
        <f t="shared" si="13"/>
        <v/>
      </c>
      <c r="I107" s="1061">
        <v>19.28</v>
      </c>
      <c r="J107" s="1063" t="str">
        <f t="shared" si="6"/>
        <v/>
      </c>
      <c r="L107" s="232"/>
      <c r="M107" s="232"/>
      <c r="N107" s="869"/>
      <c r="O107" s="869"/>
      <c r="P107" s="869"/>
      <c r="Q107"/>
      <c r="R107"/>
      <c r="S107"/>
      <c r="T107"/>
      <c r="U107"/>
      <c r="V107"/>
      <c r="W107"/>
    </row>
    <row r="108" spans="3:23" s="11" customFormat="1" ht="33" hidden="1" customHeight="1">
      <c r="C108" s="1164"/>
      <c r="D108" s="1068" t="s">
        <v>26</v>
      </c>
      <c r="E108" s="1069"/>
      <c r="F108" s="1070"/>
      <c r="G108" s="1075">
        <f>SUM(G84:G107)</f>
        <v>0</v>
      </c>
      <c r="H108" s="1238">
        <f>SUM(H84:H107)</f>
        <v>0</v>
      </c>
      <c r="I108" s="1070"/>
      <c r="J108" s="1072">
        <f>SUM(J84:J107)</f>
        <v>0</v>
      </c>
      <c r="K108" s="232"/>
      <c r="L108" s="232"/>
      <c r="M108" s="869"/>
      <c r="N108"/>
      <c r="O108" s="869"/>
      <c r="P108"/>
      <c r="Q108"/>
      <c r="R108"/>
      <c r="S108"/>
      <c r="T108"/>
      <c r="U108"/>
      <c r="V108"/>
    </row>
    <row r="109" spans="3:23" ht="15" hidden="1" customHeight="1">
      <c r="D109" s="35"/>
      <c r="E109" s="232"/>
      <c r="F109" s="232"/>
      <c r="G109" s="232"/>
      <c r="H109" s="232"/>
      <c r="I109" s="232"/>
      <c r="J109" s="232"/>
      <c r="K109" s="232"/>
      <c r="L109" s="232"/>
      <c r="M109" s="1161"/>
      <c r="O109" s="1161"/>
    </row>
    <row r="110" spans="3:23" ht="15" hidden="1" customHeight="1">
      <c r="D110" s="35"/>
      <c r="E110" s="232"/>
      <c r="F110" s="232"/>
      <c r="G110" s="232"/>
      <c r="H110" s="232"/>
      <c r="I110" s="232"/>
      <c r="J110" s="232"/>
      <c r="K110" s="232"/>
      <c r="L110" s="232"/>
      <c r="M110" s="1161"/>
      <c r="O110" s="1161"/>
    </row>
    <row r="114" spans="6:12">
      <c r="F114" s="13"/>
      <c r="G114" s="13"/>
      <c r="H114" s="13"/>
      <c r="I114" s="13"/>
      <c r="J114" s="13"/>
      <c r="K114" s="13"/>
      <c r="L114" s="13"/>
    </row>
    <row r="169" spans="5:5">
      <c r="E169" s="229"/>
    </row>
    <row r="170" spans="5:5">
      <c r="E170" s="229"/>
    </row>
    <row r="171" spans="5:5">
      <c r="E171" s="229"/>
    </row>
    <row r="172" spans="5:5">
      <c r="E172" s="229"/>
    </row>
    <row r="173" spans="5:5">
      <c r="E173" s="229"/>
    </row>
    <row r="174" spans="5:5">
      <c r="E174" s="229"/>
    </row>
    <row r="175" spans="5:5">
      <c r="E175" s="229"/>
    </row>
    <row r="176" spans="5:5">
      <c r="E176" s="229"/>
    </row>
    <row r="177" spans="5:5">
      <c r="E177" s="229"/>
    </row>
    <row r="178" spans="5:5">
      <c r="E178" s="229"/>
    </row>
    <row r="179" spans="5:5">
      <c r="E179" s="229"/>
    </row>
    <row r="180" spans="5:5">
      <c r="E180" s="229"/>
    </row>
    <row r="181" spans="5:5">
      <c r="E181" s="229"/>
    </row>
    <row r="182" spans="5:5">
      <c r="E182" s="229"/>
    </row>
    <row r="183" spans="5:5">
      <c r="E183" s="229"/>
    </row>
  </sheetData>
  <sheetProtection algorithmName="SHA-512" hashValue="lzZ25OsFPtsmnjb0lUIeU77kbUJqF52ogPzafdUFYc9SJbsv9Bwt1kHM3ksGR/15J8dWWZ8rIfMxewHjl9u9dw==" saltValue="ArhWS3SMEQGmVVE2lgv1Xw==" spinCount="100000" sheet="1" formatCells="0" insertRows="0" deleteRows="0"/>
  <mergeCells count="44">
    <mergeCell ref="I82:I83"/>
    <mergeCell ref="J82:J83"/>
    <mergeCell ref="D79:E79"/>
    <mergeCell ref="G79:H79"/>
    <mergeCell ref="F82:F83"/>
    <mergeCell ref="J79:K79"/>
    <mergeCell ref="D80:E80"/>
    <mergeCell ref="G80:H80"/>
    <mergeCell ref="J80:K80"/>
    <mergeCell ref="D82:D83"/>
    <mergeCell ref="E82:E83"/>
    <mergeCell ref="G82:G83"/>
    <mergeCell ref="H82:H83"/>
    <mergeCell ref="D46:E46"/>
    <mergeCell ref="G46:H46"/>
    <mergeCell ref="J46:K46"/>
    <mergeCell ref="M48:M49"/>
    <mergeCell ref="D48:D49"/>
    <mergeCell ref="E48:E49"/>
    <mergeCell ref="G48:G49"/>
    <mergeCell ref="H48:K48"/>
    <mergeCell ref="L48:L49"/>
    <mergeCell ref="F48:F49"/>
    <mergeCell ref="D45:E45"/>
    <mergeCell ref="G45:H45"/>
    <mergeCell ref="J21:K21"/>
    <mergeCell ref="D15:E15"/>
    <mergeCell ref="G15:H15"/>
    <mergeCell ref="J15:K15"/>
    <mergeCell ref="D20:E20"/>
    <mergeCell ref="G20:H20"/>
    <mergeCell ref="J20:K20"/>
    <mergeCell ref="D21:E21"/>
    <mergeCell ref="G21:H21"/>
    <mergeCell ref="J45:K45"/>
    <mergeCell ref="G8:H8"/>
    <mergeCell ref="G9:H9"/>
    <mergeCell ref="J8:K8"/>
    <mergeCell ref="J9:K9"/>
    <mergeCell ref="D14:E14"/>
    <mergeCell ref="G14:H14"/>
    <mergeCell ref="J14:K14"/>
    <mergeCell ref="D8:E8"/>
    <mergeCell ref="D9:E9"/>
  </mergeCells>
  <phoneticPr fontId="1"/>
  <conditionalFormatting sqref="D9:E9 G9:H9 J9:K9 D15:E15 G15:H15 J15:K15 D21:E21 G21:H21 J21:K21">
    <cfRule type="cellIs" dxfId="2700" priority="1" operator="notEqual">
      <formula>0</formula>
    </cfRule>
  </conditionalFormatting>
  <conditionalFormatting sqref="G84:J107 G108:H108">
    <cfRule type="containsBlanks" dxfId="2699" priority="2">
      <formula>LEN(TRIM(G84))=0</formula>
    </cfRule>
  </conditionalFormatting>
  <conditionalFormatting sqref="H50:H74">
    <cfRule type="containsBlanks" dxfId="2698" priority="16">
      <formula>LEN(TRIM(H50))=0</formula>
    </cfRule>
  </conditionalFormatting>
  <conditionalFormatting sqref="I50:K74">
    <cfRule type="expression" dxfId="2697" priority="4360">
      <formula>I50&lt;&gt;#REF!</formula>
    </cfRule>
    <cfRule type="containsBlanks" dxfId="2696" priority="4361">
      <formula>LEN(TRIM(I50))=0</formula>
    </cfRule>
  </conditionalFormatting>
  <conditionalFormatting sqref="L50:M73">
    <cfRule type="containsBlanks" dxfId="2695" priority="6">
      <formula>LEN(TRIM(L50))=0</formula>
    </cfRule>
  </conditionalFormatting>
  <conditionalFormatting sqref="L74:M74">
    <cfRule type="expression" dxfId="2694" priority="4354">
      <formula>L74&lt;&gt;#REF!</formula>
    </cfRule>
    <cfRule type="containsBlanks" dxfId="2693" priority="4355">
      <formula>LEN(TRIM(L74))=0</formula>
    </cfRule>
  </conditionalFormatting>
  <pageMargins left="0.7" right="0.7" top="0.75" bottom="0.75" header="0.3" footer="0.3"/>
  <pageSetup paperSize="9" scale="24" orientation="portrait" r:id="rId1"/>
  <rowBreaks count="1" manualBreakCount="1">
    <brk id="32" max="21" man="1"/>
  </rowBreaks>
  <ignoredErrors>
    <ignoredError sqref="J84"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CFA9-5C12-49E0-A23E-FE6A340F6B8A}">
  <sheetPr codeName="Sheet5">
    <tabColor theme="7" tint="0.79998168889431442"/>
  </sheetPr>
  <dimension ref="A1:R43"/>
  <sheetViews>
    <sheetView showGridLines="0" zoomScale="70" zoomScaleNormal="70" workbookViewId="0">
      <selection activeCell="F6" sqref="F6:L7"/>
    </sheetView>
  </sheetViews>
  <sheetFormatPr defaultRowHeight="18"/>
  <cols>
    <col min="1" max="1" width="3.25" customWidth="1"/>
    <col min="2" max="2" width="3.5" customWidth="1"/>
    <col min="3" max="3" width="12.08203125" style="2" customWidth="1"/>
    <col min="4" max="4" width="46.5" customWidth="1"/>
    <col min="5" max="5" width="13.5" style="2" bestFit="1" customWidth="1"/>
    <col min="6" max="6" width="17.5" style="88" customWidth="1"/>
    <col min="7" max="13" width="17" style="88" customWidth="1"/>
    <col min="14" max="14" width="4.08203125" customWidth="1"/>
    <col min="16" max="16" width="17.83203125" style="88" customWidth="1"/>
    <col min="17" max="17" width="9" customWidth="1"/>
    <col min="18" max="18" width="9" hidden="1" customWidth="1"/>
  </cols>
  <sheetData>
    <row r="1" spans="1:18">
      <c r="A1" s="156" t="s">
        <v>334</v>
      </c>
    </row>
    <row r="2" spans="1:18">
      <c r="A2" t="s">
        <v>335</v>
      </c>
    </row>
    <row r="3" spans="1:18">
      <c r="A3" t="s">
        <v>336</v>
      </c>
    </row>
    <row r="4" spans="1:18">
      <c r="R4" t="s">
        <v>314</v>
      </c>
    </row>
    <row r="5" spans="1:18">
      <c r="B5" s="10"/>
      <c r="C5" s="217"/>
      <c r="D5" s="5"/>
      <c r="E5" s="217"/>
      <c r="F5" s="218"/>
      <c r="G5" s="218"/>
      <c r="H5" s="218"/>
      <c r="I5" s="218"/>
      <c r="J5" s="218"/>
      <c r="K5" s="218"/>
      <c r="L5" s="218"/>
      <c r="M5" s="218"/>
      <c r="N5" s="6"/>
    </row>
    <row r="6" spans="1:18" ht="18.75" customHeight="1">
      <c r="B6" s="7"/>
      <c r="C6" s="1301" t="s">
        <v>76</v>
      </c>
      <c r="D6" s="1301" t="s">
        <v>326</v>
      </c>
      <c r="E6" s="1303" t="s">
        <v>327</v>
      </c>
      <c r="F6" s="1305" t="s">
        <v>328</v>
      </c>
      <c r="G6" s="1300" t="s">
        <v>332</v>
      </c>
      <c r="H6" s="1300"/>
      <c r="I6" s="1300"/>
      <c r="J6" s="1300"/>
      <c r="K6" s="1300"/>
      <c r="L6" s="1300"/>
      <c r="M6" s="1298" t="s">
        <v>333</v>
      </c>
      <c r="N6" s="8"/>
      <c r="P6" s="1298" t="s">
        <v>352</v>
      </c>
    </row>
    <row r="7" spans="1:18" ht="54">
      <c r="B7" s="7"/>
      <c r="C7" s="1302"/>
      <c r="D7" s="1302"/>
      <c r="E7" s="1304"/>
      <c r="F7" s="1306"/>
      <c r="G7" s="326" t="s">
        <v>609</v>
      </c>
      <c r="H7" s="326" t="s">
        <v>610</v>
      </c>
      <c r="I7" s="916" t="s">
        <v>608</v>
      </c>
      <c r="J7" s="914" t="s">
        <v>329</v>
      </c>
      <c r="K7" s="914" t="s">
        <v>330</v>
      </c>
      <c r="L7" s="914" t="s">
        <v>331</v>
      </c>
      <c r="M7" s="1307"/>
      <c r="N7" s="8"/>
      <c r="P7" s="1299"/>
    </row>
    <row r="8" spans="1:18" s="11" customFormat="1" hidden="1">
      <c r="B8" s="95"/>
      <c r="C8" s="192"/>
      <c r="D8" s="437"/>
      <c r="E8" s="193"/>
      <c r="F8" s="321"/>
      <c r="G8" s="321"/>
      <c r="H8" s="321"/>
      <c r="I8" s="321"/>
      <c r="J8" s="321"/>
      <c r="K8" s="194"/>
      <c r="L8" s="194"/>
      <c r="M8" s="321"/>
      <c r="N8" s="98"/>
      <c r="P8" s="193"/>
      <c r="R8" s="11">
        <f t="shared" ref="R8:R29" si="0">ROW()-7</f>
        <v>1</v>
      </c>
    </row>
    <row r="9" spans="1:18" s="11" customFormat="1">
      <c r="B9" s="95"/>
      <c r="C9" s="129"/>
      <c r="D9" s="435"/>
      <c r="E9" s="127"/>
      <c r="F9" s="213"/>
      <c r="G9" s="213"/>
      <c r="H9" s="213"/>
      <c r="I9" s="213"/>
      <c r="J9" s="213"/>
      <c r="K9" s="130"/>
      <c r="L9" s="130"/>
      <c r="M9" s="213"/>
      <c r="N9" s="98"/>
      <c r="P9" s="213"/>
      <c r="R9" s="11">
        <f t="shared" si="0"/>
        <v>2</v>
      </c>
    </row>
    <row r="10" spans="1:18" s="11" customFormat="1">
      <c r="B10" s="95"/>
      <c r="C10" s="129"/>
      <c r="D10" s="435"/>
      <c r="E10" s="580"/>
      <c r="F10" s="213"/>
      <c r="G10" s="213"/>
      <c r="H10" s="213"/>
      <c r="I10" s="213"/>
      <c r="J10" s="213"/>
      <c r="K10" s="130"/>
      <c r="L10" s="130"/>
      <c r="M10" s="213"/>
      <c r="N10" s="98"/>
      <c r="P10" s="213"/>
      <c r="R10" s="11">
        <f t="shared" si="0"/>
        <v>3</v>
      </c>
    </row>
    <row r="11" spans="1:18" s="11" customFormat="1">
      <c r="B11" s="95"/>
      <c r="C11" s="129"/>
      <c r="D11" s="435"/>
      <c r="E11" s="580"/>
      <c r="F11" s="213"/>
      <c r="G11" s="213"/>
      <c r="H11" s="213"/>
      <c r="I11" s="213"/>
      <c r="J11" s="213"/>
      <c r="K11" s="130"/>
      <c r="L11" s="130"/>
      <c r="M11" s="213"/>
      <c r="N11" s="98"/>
      <c r="P11" s="213"/>
      <c r="R11" s="11">
        <f t="shared" si="0"/>
        <v>4</v>
      </c>
    </row>
    <row r="12" spans="1:18" s="11" customFormat="1">
      <c r="B12" s="95"/>
      <c r="C12" s="129"/>
      <c r="D12" s="435"/>
      <c r="E12" s="580"/>
      <c r="F12" s="213"/>
      <c r="G12" s="213"/>
      <c r="H12" s="213"/>
      <c r="I12" s="213"/>
      <c r="J12" s="213"/>
      <c r="K12" s="130"/>
      <c r="L12" s="130"/>
      <c r="M12" s="213"/>
      <c r="N12" s="98"/>
      <c r="P12" s="213"/>
      <c r="R12" s="11">
        <f t="shared" si="0"/>
        <v>5</v>
      </c>
    </row>
    <row r="13" spans="1:18" s="11" customFormat="1">
      <c r="B13" s="95"/>
      <c r="C13" s="129"/>
      <c r="D13" s="435"/>
      <c r="E13" s="580"/>
      <c r="F13" s="213"/>
      <c r="G13" s="213"/>
      <c r="H13" s="213"/>
      <c r="I13" s="213"/>
      <c r="J13" s="213"/>
      <c r="K13" s="130"/>
      <c r="L13" s="130"/>
      <c r="M13" s="213"/>
      <c r="N13" s="98"/>
      <c r="P13" s="213"/>
      <c r="R13" s="11">
        <f t="shared" si="0"/>
        <v>6</v>
      </c>
    </row>
    <row r="14" spans="1:18" s="11" customFormat="1">
      <c r="B14" s="95"/>
      <c r="C14" s="129"/>
      <c r="D14" s="435"/>
      <c r="E14" s="580"/>
      <c r="F14" s="213"/>
      <c r="G14" s="213"/>
      <c r="H14" s="213"/>
      <c r="I14" s="213"/>
      <c r="J14" s="213"/>
      <c r="K14" s="130"/>
      <c r="L14" s="130"/>
      <c r="M14" s="213"/>
      <c r="N14" s="98"/>
      <c r="P14" s="213"/>
      <c r="R14" s="11">
        <f t="shared" si="0"/>
        <v>7</v>
      </c>
    </row>
    <row r="15" spans="1:18" s="11" customFormat="1">
      <c r="B15" s="95"/>
      <c r="C15" s="129"/>
      <c r="D15" s="435"/>
      <c r="E15" s="580"/>
      <c r="F15" s="213"/>
      <c r="G15" s="213"/>
      <c r="H15" s="213"/>
      <c r="I15" s="213"/>
      <c r="J15" s="213"/>
      <c r="K15" s="130"/>
      <c r="L15" s="130"/>
      <c r="M15" s="213"/>
      <c r="N15" s="98"/>
      <c r="P15" s="213"/>
      <c r="R15" s="11">
        <f t="shared" si="0"/>
        <v>8</v>
      </c>
    </row>
    <row r="16" spans="1:18" s="11" customFormat="1">
      <c r="B16" s="95"/>
      <c r="C16" s="129"/>
      <c r="D16" s="435"/>
      <c r="E16" s="580"/>
      <c r="F16" s="213"/>
      <c r="G16" s="213"/>
      <c r="H16" s="213"/>
      <c r="I16" s="213"/>
      <c r="J16" s="213"/>
      <c r="K16" s="130"/>
      <c r="L16" s="130"/>
      <c r="M16" s="213"/>
      <c r="N16" s="98"/>
      <c r="P16" s="213"/>
      <c r="R16" s="11">
        <f t="shared" si="0"/>
        <v>9</v>
      </c>
    </row>
    <row r="17" spans="2:18" s="11" customFormat="1">
      <c r="B17" s="95"/>
      <c r="C17" s="129"/>
      <c r="D17" s="435"/>
      <c r="E17" s="580"/>
      <c r="F17" s="213"/>
      <c r="G17" s="213"/>
      <c r="H17" s="213"/>
      <c r="I17" s="213"/>
      <c r="J17" s="213"/>
      <c r="K17" s="130"/>
      <c r="L17" s="130"/>
      <c r="M17" s="213"/>
      <c r="N17" s="98"/>
      <c r="P17" s="213"/>
      <c r="R17" s="11">
        <f t="shared" si="0"/>
        <v>10</v>
      </c>
    </row>
    <row r="18" spans="2:18" s="11" customFormat="1">
      <c r="B18" s="95"/>
      <c r="C18" s="129"/>
      <c r="D18" s="435"/>
      <c r="E18" s="580"/>
      <c r="F18" s="213"/>
      <c r="G18" s="213"/>
      <c r="H18" s="213"/>
      <c r="I18" s="213"/>
      <c r="J18" s="213"/>
      <c r="K18" s="130"/>
      <c r="L18" s="130"/>
      <c r="M18" s="213"/>
      <c r="N18" s="98"/>
      <c r="P18" s="213"/>
      <c r="R18" s="11">
        <f t="shared" si="0"/>
        <v>11</v>
      </c>
    </row>
    <row r="19" spans="2:18" s="11" customFormat="1">
      <c r="B19" s="95"/>
      <c r="C19" s="129"/>
      <c r="D19" s="435"/>
      <c r="E19" s="580"/>
      <c r="F19" s="213"/>
      <c r="G19" s="213"/>
      <c r="H19" s="213"/>
      <c r="I19" s="213"/>
      <c r="J19" s="213"/>
      <c r="K19" s="130"/>
      <c r="L19" s="130"/>
      <c r="M19" s="213"/>
      <c r="N19" s="98"/>
      <c r="P19" s="213"/>
      <c r="R19" s="11">
        <f t="shared" si="0"/>
        <v>12</v>
      </c>
    </row>
    <row r="20" spans="2:18" s="11" customFormat="1">
      <c r="B20" s="95"/>
      <c r="C20" s="129"/>
      <c r="D20" s="435"/>
      <c r="E20" s="580"/>
      <c r="F20" s="213"/>
      <c r="G20" s="213"/>
      <c r="H20" s="213"/>
      <c r="I20" s="213"/>
      <c r="J20" s="213"/>
      <c r="K20" s="130"/>
      <c r="L20" s="130"/>
      <c r="M20" s="213"/>
      <c r="N20" s="98"/>
      <c r="P20" s="213"/>
      <c r="R20" s="11">
        <f t="shared" si="0"/>
        <v>13</v>
      </c>
    </row>
    <row r="21" spans="2:18" s="11" customFormat="1">
      <c r="B21" s="95"/>
      <c r="C21" s="129"/>
      <c r="D21" s="435"/>
      <c r="E21" s="580"/>
      <c r="F21" s="213"/>
      <c r="G21" s="213"/>
      <c r="H21" s="213"/>
      <c r="I21" s="213"/>
      <c r="J21" s="213"/>
      <c r="K21" s="130"/>
      <c r="L21" s="130"/>
      <c r="M21" s="213"/>
      <c r="N21" s="98"/>
      <c r="P21" s="213"/>
      <c r="R21" s="11">
        <f t="shared" si="0"/>
        <v>14</v>
      </c>
    </row>
    <row r="22" spans="2:18" s="11" customFormat="1">
      <c r="B22" s="95"/>
      <c r="C22" s="129"/>
      <c r="D22" s="435"/>
      <c r="E22" s="580"/>
      <c r="F22" s="213"/>
      <c r="G22" s="213"/>
      <c r="H22" s="213"/>
      <c r="I22" s="213"/>
      <c r="J22" s="213"/>
      <c r="K22" s="130"/>
      <c r="L22" s="130"/>
      <c r="M22" s="213"/>
      <c r="N22" s="98"/>
      <c r="P22" s="213"/>
      <c r="R22" s="11">
        <f t="shared" si="0"/>
        <v>15</v>
      </c>
    </row>
    <row r="23" spans="2:18" s="11" customFormat="1">
      <c r="B23" s="95"/>
      <c r="C23" s="129"/>
      <c r="D23" s="435"/>
      <c r="E23" s="580"/>
      <c r="F23" s="213"/>
      <c r="G23" s="213"/>
      <c r="H23" s="213"/>
      <c r="I23" s="213"/>
      <c r="J23" s="213"/>
      <c r="K23" s="130"/>
      <c r="L23" s="130"/>
      <c r="M23" s="213"/>
      <c r="N23" s="98"/>
      <c r="P23" s="213"/>
      <c r="R23" s="11">
        <f t="shared" si="0"/>
        <v>16</v>
      </c>
    </row>
    <row r="24" spans="2:18" s="11" customFormat="1">
      <c r="B24" s="95"/>
      <c r="C24" s="129"/>
      <c r="D24" s="435"/>
      <c r="E24" s="580"/>
      <c r="F24" s="213"/>
      <c r="G24" s="213"/>
      <c r="H24" s="213"/>
      <c r="I24" s="213"/>
      <c r="J24" s="213"/>
      <c r="K24" s="130"/>
      <c r="L24" s="130"/>
      <c r="M24" s="213"/>
      <c r="N24" s="98"/>
      <c r="P24" s="213"/>
      <c r="R24" s="11">
        <f t="shared" si="0"/>
        <v>17</v>
      </c>
    </row>
    <row r="25" spans="2:18" s="11" customFormat="1">
      <c r="B25" s="95"/>
      <c r="C25" s="129"/>
      <c r="D25" s="435"/>
      <c r="E25" s="580"/>
      <c r="F25" s="213"/>
      <c r="G25" s="213"/>
      <c r="H25" s="213"/>
      <c r="I25" s="213"/>
      <c r="J25" s="213"/>
      <c r="K25" s="130"/>
      <c r="L25" s="130"/>
      <c r="M25" s="213"/>
      <c r="N25" s="98"/>
      <c r="P25" s="213"/>
      <c r="R25" s="11">
        <f t="shared" si="0"/>
        <v>18</v>
      </c>
    </row>
    <row r="26" spans="2:18" s="11" customFormat="1">
      <c r="B26" s="95"/>
      <c r="C26" s="129"/>
      <c r="D26" s="435"/>
      <c r="E26" s="580"/>
      <c r="F26" s="213"/>
      <c r="G26" s="213"/>
      <c r="H26" s="213"/>
      <c r="I26" s="213"/>
      <c r="J26" s="213"/>
      <c r="K26" s="130"/>
      <c r="L26" s="130"/>
      <c r="M26" s="213"/>
      <c r="N26" s="98"/>
      <c r="P26" s="213"/>
      <c r="R26" s="11">
        <f t="shared" si="0"/>
        <v>19</v>
      </c>
    </row>
    <row r="27" spans="2:18" s="11" customFormat="1">
      <c r="B27" s="95"/>
      <c r="C27" s="129"/>
      <c r="D27" s="435"/>
      <c r="E27" s="580"/>
      <c r="F27" s="213"/>
      <c r="G27" s="213"/>
      <c r="H27" s="213"/>
      <c r="I27" s="213"/>
      <c r="J27" s="213"/>
      <c r="K27" s="130"/>
      <c r="L27" s="130"/>
      <c r="M27" s="213"/>
      <c r="N27" s="98"/>
      <c r="P27" s="213"/>
      <c r="R27" s="11">
        <f t="shared" si="0"/>
        <v>20</v>
      </c>
    </row>
    <row r="28" spans="2:18">
      <c r="B28" s="7"/>
      <c r="C28" s="1295" t="s">
        <v>356</v>
      </c>
      <c r="D28" s="1296"/>
      <c r="E28" s="1297"/>
      <c r="F28" s="214">
        <f t="shared" ref="F28:L28" ca="1" si="1">SUM(OFFSET(F8,0,0,ROW()-ROW(F8),1))</f>
        <v>0</v>
      </c>
      <c r="G28" s="214">
        <f t="shared" ca="1" si="1"/>
        <v>0</v>
      </c>
      <c r="H28" s="214">
        <f t="shared" ca="1" si="1"/>
        <v>0</v>
      </c>
      <c r="I28" s="214">
        <f t="shared" ca="1" si="1"/>
        <v>0</v>
      </c>
      <c r="J28" s="214">
        <f t="shared" ca="1" si="1"/>
        <v>0</v>
      </c>
      <c r="K28" s="214">
        <f t="shared" ca="1" si="1"/>
        <v>0</v>
      </c>
      <c r="L28" s="214">
        <f t="shared" ca="1" si="1"/>
        <v>0</v>
      </c>
      <c r="M28" s="515"/>
      <c r="N28" s="8"/>
      <c r="P28" s="846"/>
      <c r="R28" s="11">
        <f t="shared" si="0"/>
        <v>21</v>
      </c>
    </row>
    <row r="29" spans="2:18">
      <c r="B29" s="7"/>
      <c r="C29" s="1295" t="s">
        <v>355</v>
      </c>
      <c r="D29" s="1296"/>
      <c r="E29" s="1297"/>
      <c r="F29" s="216"/>
      <c r="G29" s="216"/>
      <c r="H29" s="216"/>
      <c r="I29" s="216"/>
      <c r="J29" s="216"/>
      <c r="K29" s="216"/>
      <c r="L29" s="216"/>
      <c r="M29" s="225"/>
      <c r="N29" s="8"/>
      <c r="P29" s="845">
        <f ca="1">SUM(OFFSET(P8,0,0,ROW()-ROW(P8),1))</f>
        <v>0</v>
      </c>
      <c r="R29" s="11">
        <f t="shared" si="0"/>
        <v>22</v>
      </c>
    </row>
    <row r="30" spans="2:18">
      <c r="B30" s="65"/>
      <c r="C30" s="123"/>
      <c r="D30" s="4"/>
      <c r="E30" s="123"/>
      <c r="F30" s="122"/>
      <c r="G30" s="122"/>
      <c r="H30" s="122"/>
      <c r="I30" s="122"/>
      <c r="J30" s="122"/>
      <c r="K30" s="122"/>
      <c r="L30" s="122"/>
      <c r="M30" s="122"/>
      <c r="N30" s="9"/>
    </row>
    <row r="43" spans="4:7">
      <c r="D43" s="2"/>
      <c r="F43" s="2"/>
      <c r="G43" s="2"/>
    </row>
  </sheetData>
  <sheetProtection algorithmName="SHA-512" hashValue="Q5if03gm9/U+HhpIiYfQonGkiCgAHDeOHu4no86oIabx0k2mFoI2PMmX6Vqm2ddW4b2+e4NBM9WRgfWr5QBnJQ==" saltValue="YUJMgnQyLw/L/hfXUy8WCA==" spinCount="100000" sheet="1" formatCells="0" insertRows="0" deleteRows="0"/>
  <mergeCells count="9">
    <mergeCell ref="C29:E29"/>
    <mergeCell ref="C28:E28"/>
    <mergeCell ref="P6:P7"/>
    <mergeCell ref="G6:L6"/>
    <mergeCell ref="C6:C7"/>
    <mergeCell ref="D6:D7"/>
    <mergeCell ref="E6:E7"/>
    <mergeCell ref="F6:F7"/>
    <mergeCell ref="M6:M7"/>
  </mergeCells>
  <phoneticPr fontId="1"/>
  <conditionalFormatting sqref="C8:M8 M29">
    <cfRule type="containsBlanks" dxfId="2692" priority="5">
      <formula>LEN(TRIM(C8))=0</formula>
    </cfRule>
  </conditionalFormatting>
  <conditionalFormatting sqref="C8:M27">
    <cfRule type="expression" dxfId="2691" priority="4351">
      <formula>$R8=""</formula>
    </cfRule>
    <cfRule type="containsBlanks" dxfId="2690" priority="4352">
      <formula>LEN(TRIM(C8))=0</formula>
    </cfRule>
  </conditionalFormatting>
  <conditionalFormatting sqref="F28:L28">
    <cfRule type="cellIs" dxfId="2689" priority="7" operator="equal">
      <formula>0</formula>
    </cfRule>
  </conditionalFormatting>
  <conditionalFormatting sqref="P29">
    <cfRule type="cellIs" dxfId="2688" priority="1" operator="greaterThan">
      <formula>0</formula>
    </cfRule>
  </conditionalFormatting>
  <dataValidations count="1">
    <dataValidation type="decimal" operator="greaterThanOrEqual" allowBlank="1" showInputMessage="1" showErrorMessage="1" error="数値で入力してください" sqref="M29 F9:M27" xr:uid="{040C4F65-0146-4C2C-A7BA-251D0F6C69E5}">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1155-1E2A-42D9-A21A-E0CAF9E99AEC}">
  <sheetPr codeName="Sheet12">
    <tabColor theme="7" tint="0.79998168889431442"/>
    <pageSetUpPr fitToPage="1"/>
  </sheetPr>
  <dimension ref="A1:BF51"/>
  <sheetViews>
    <sheetView showGridLines="0" zoomScale="85" zoomScaleNormal="85" zoomScaleSheetLayoutView="83" workbookViewId="0"/>
  </sheetViews>
  <sheetFormatPr defaultColWidth="8.58203125" defaultRowHeight="18"/>
  <cols>
    <col min="1" max="1" width="1.75" customWidth="1"/>
    <col min="2" max="4" width="15.25" customWidth="1"/>
    <col min="5" max="5" width="18.58203125" customWidth="1"/>
    <col min="6" max="6" width="32.83203125" customWidth="1"/>
    <col min="7" max="7" width="18.58203125" customWidth="1"/>
    <col min="8" max="8" width="10.75" customWidth="1"/>
    <col min="9" max="11" width="18.58203125" customWidth="1"/>
    <col min="12" max="16" width="24.25" customWidth="1"/>
    <col min="17" max="17" width="15.5" customWidth="1"/>
    <col min="18" max="18" width="16.58203125" customWidth="1"/>
    <col min="19" max="19" width="20.25" customWidth="1"/>
    <col min="20" max="20" width="22.25" customWidth="1"/>
    <col min="21" max="21" width="21.75" customWidth="1"/>
    <col min="22" max="23" width="25" customWidth="1"/>
    <col min="24" max="24" width="14.83203125" customWidth="1"/>
    <col min="25" max="25" width="14.25" customWidth="1"/>
    <col min="26" max="26" width="12.33203125" customWidth="1"/>
    <col min="27" max="27" width="14.75" customWidth="1"/>
    <col min="28" max="29" width="17.75" style="919" customWidth="1"/>
  </cols>
  <sheetData>
    <row r="1" spans="1:29">
      <c r="A1" s="44" t="s">
        <v>6333</v>
      </c>
    </row>
    <row r="2" spans="1:29" ht="28.5" customHeight="1">
      <c r="B2" s="955" t="str">
        <f>IF(D5="","主たる提案者(都道府県)、主たる提案者(市区町村名)が表紙シートに正しく入力されているか確認してください","")</f>
        <v>主たる提案者(都道府県)、主たる提案者(市区町村名)が表紙シートに正しく入力されているか確認してください</v>
      </c>
      <c r="D2" s="259"/>
    </row>
    <row r="3" spans="1:29" s="688" customFormat="1" ht="33" thickBot="1">
      <c r="B3" s="917" t="s">
        <v>614</v>
      </c>
      <c r="D3" s="1197"/>
      <c r="F3" s="688" t="s">
        <v>6273</v>
      </c>
      <c r="Q3" s="1079"/>
      <c r="R3" s="1089" t="s">
        <v>6277</v>
      </c>
      <c r="S3" s="1080"/>
      <c r="T3" s="1080"/>
      <c r="U3" s="1080"/>
      <c r="V3" s="1080"/>
      <c r="W3" s="1080"/>
      <c r="X3" s="1080"/>
      <c r="Y3" s="1080"/>
      <c r="Z3" s="1080"/>
      <c r="AA3" s="1080"/>
      <c r="AB3" s="1172"/>
      <c r="AC3" s="918"/>
    </row>
    <row r="4" spans="1:29" s="921" customFormat="1" ht="76.5" customHeight="1" thickBot="1">
      <c r="B4" s="1195" t="s">
        <v>615</v>
      </c>
      <c r="C4" s="1196" t="s">
        <v>616</v>
      </c>
      <c r="D4" s="1182" t="s">
        <v>617</v>
      </c>
      <c r="E4" s="1182" t="s">
        <v>618</v>
      </c>
      <c r="F4" s="1194" t="s">
        <v>619</v>
      </c>
      <c r="G4" s="1314" t="s">
        <v>6271</v>
      </c>
      <c r="H4" s="1315"/>
      <c r="I4" s="1315"/>
      <c r="J4" s="1315"/>
      <c r="K4" s="1315"/>
      <c r="L4" s="1316"/>
      <c r="M4" s="920"/>
      <c r="N4" s="920"/>
      <c r="O4" s="920"/>
      <c r="P4" s="920"/>
      <c r="Q4" s="1081"/>
      <c r="R4" s="1321"/>
      <c r="S4" s="1322"/>
      <c r="T4" s="1058" t="s">
        <v>6286</v>
      </c>
      <c r="U4" s="1087" t="s">
        <v>6287</v>
      </c>
      <c r="V4" s="1088" t="s">
        <v>6252</v>
      </c>
      <c r="W4" s="1317" t="s">
        <v>6275</v>
      </c>
      <c r="X4" s="1318"/>
      <c r="Y4" s="1319" t="s">
        <v>6276</v>
      </c>
      <c r="Z4" s="1320"/>
      <c r="AA4" s="1169"/>
      <c r="AB4" s="1170"/>
    </row>
    <row r="5" spans="1:29" s="921" customFormat="1" ht="26.5" customHeight="1" thickBot="1">
      <c r="B5" s="1193" t="str">
        <f>IFERROR(IF(表紙!C5=0,"",表紙!C5),"")</f>
        <v/>
      </c>
      <c r="C5" s="1166" t="str">
        <f>IFERROR(IF(表紙!C6=0,"",表紙!C6),"")</f>
        <v/>
      </c>
      <c r="D5" s="1166" t="str">
        <f>IFERROR(VLOOKUP(B5&amp;C5,リスト①!D2:E1795,2,FALSE),"")</f>
        <v/>
      </c>
      <c r="E5" s="1166" t="str">
        <f>IFERROR(IF(COUNTIF(リスト②!A3:A49,C5)=1,VLOOKUP(C5,リスト②!$A$3:$B$49,2,FALSE),VLOOKUP(D5,リスト③!$A$3:$D$1743,4,FALSE)),"")</f>
        <v/>
      </c>
      <c r="F5" s="1223"/>
      <c r="G5" s="1308" t="str">
        <f>IF(表紙!C4="","",表紙!C4)</f>
        <v/>
      </c>
      <c r="H5" s="1309"/>
      <c r="I5" s="1309"/>
      <c r="J5" s="1309"/>
      <c r="K5" s="1309"/>
      <c r="L5" s="1310"/>
      <c r="M5" s="920"/>
      <c r="N5" s="920"/>
      <c r="O5" s="920"/>
      <c r="P5" s="920"/>
      <c r="Q5" s="1081"/>
      <c r="R5" s="1323" t="s">
        <v>6253</v>
      </c>
      <c r="S5" s="1324"/>
      <c r="T5" s="1175">
        <f ca="1">IFERROR(R44/1000,"")</f>
        <v>0</v>
      </c>
      <c r="U5" s="1176">
        <f ca="1">IFERROR(V44/1000,"")</f>
        <v>0</v>
      </c>
      <c r="V5" s="1177">
        <f ca="1">IFERROR(AA44,"")</f>
        <v>0</v>
      </c>
      <c r="W5" s="1311" t="str">
        <f ca="1">IFERROR(T5/V5*1000,"")</f>
        <v/>
      </c>
      <c r="X5" s="1312"/>
      <c r="Y5" s="1312" t="str">
        <f ca="1">IFERROR(U5/V5*1000,"")</f>
        <v/>
      </c>
      <c r="Z5" s="1313"/>
      <c r="AA5" s="1169"/>
      <c r="AB5" s="1170"/>
    </row>
    <row r="6" spans="1:29" ht="24" customHeight="1">
      <c r="B6" s="1077"/>
      <c r="D6" s="1077"/>
      <c r="Q6" s="1082"/>
      <c r="R6" s="1338" t="s">
        <v>6254</v>
      </c>
      <c r="S6" s="1339"/>
      <c r="T6" s="1178">
        <f>IFERROR(SUMIF($H13:$H44,"民生電力",$R13:$R44)/1000,"")</f>
        <v>0</v>
      </c>
      <c r="U6" s="1224">
        <f>IFERROR(SUMIF($H13:$H44,"民生電力",$V13:$V44)/1000,"")</f>
        <v>0</v>
      </c>
      <c r="V6" s="1179">
        <f>IFERROR(SUMIF($H12:$H44,"民生電力",$AA12:$AA44),"")</f>
        <v>0</v>
      </c>
      <c r="W6" s="1332" t="str">
        <f>IFERROR(T6/V6*1000,"")</f>
        <v/>
      </c>
      <c r="X6" s="1333"/>
      <c r="Y6" s="1333" t="str">
        <f>IFERROR(U6/V6*1000,"")</f>
        <v/>
      </c>
      <c r="Z6" s="1334"/>
      <c r="AA6" s="919"/>
      <c r="AB6" s="1171"/>
      <c r="AC6"/>
    </row>
    <row r="7" spans="1:29" ht="24" customHeight="1" thickBot="1">
      <c r="Q7" s="1082"/>
      <c r="R7" s="1340" t="s">
        <v>6255</v>
      </c>
      <c r="S7" s="1341"/>
      <c r="T7" s="1180">
        <f>IFERROR(SUMIF($H13:$H44,"民生電力以外",$R13:$R44)/1000,"")</f>
        <v>0</v>
      </c>
      <c r="U7" s="1225">
        <f>IFERROR(SUMIF($H13:$H44,"民生電力以外",$V13:$V44)/1000,"")</f>
        <v>0</v>
      </c>
      <c r="V7" s="1181">
        <f>IFERROR(SUMIF($H12:$H44,"民生電力以外",$AA12:$AA44),"")</f>
        <v>0</v>
      </c>
      <c r="W7" s="1335" t="str">
        <f>IFERROR(T7/V7*1000,"")</f>
        <v/>
      </c>
      <c r="X7" s="1336"/>
      <c r="Y7" s="1336" t="str">
        <f>IFERROR(U7/V7*1000,"")</f>
        <v/>
      </c>
      <c r="Z7" s="1337"/>
      <c r="AA7" s="919"/>
      <c r="AB7" s="1171"/>
      <c r="AC7"/>
    </row>
    <row r="8" spans="1:29" ht="24" customHeight="1">
      <c r="Q8" s="1083"/>
      <c r="R8" s="1084"/>
      <c r="S8" s="1084"/>
      <c r="T8" s="1085"/>
      <c r="U8" s="1085"/>
      <c r="V8" s="1085"/>
      <c r="W8" s="1085"/>
      <c r="X8" s="1086"/>
      <c r="Y8" s="1086"/>
      <c r="Z8" s="1086"/>
      <c r="AA8" s="1086"/>
      <c r="AB8" s="1171"/>
    </row>
    <row r="9" spans="1:29">
      <c r="AB9" s="1173"/>
    </row>
    <row r="10" spans="1:29" s="922" customFormat="1" ht="19.5" customHeight="1">
      <c r="B10" s="1325" t="s">
        <v>620</v>
      </c>
      <c r="C10" s="1325" t="s">
        <v>621</v>
      </c>
      <c r="D10" s="1325"/>
      <c r="E10" s="1326" t="s">
        <v>622</v>
      </c>
      <c r="F10" s="1327"/>
      <c r="G10" s="1328"/>
      <c r="H10" s="1329" t="s">
        <v>623</v>
      </c>
      <c r="I10" s="1329" t="s">
        <v>624</v>
      </c>
      <c r="J10" s="1326" t="s">
        <v>70</v>
      </c>
      <c r="K10" s="1327"/>
      <c r="L10" s="1327"/>
      <c r="M10" s="1327"/>
      <c r="N10" s="1326" t="s">
        <v>625</v>
      </c>
      <c r="O10" s="1327"/>
      <c r="P10" s="1327"/>
      <c r="Q10" s="1328"/>
      <c r="R10" s="1326" t="s">
        <v>450</v>
      </c>
      <c r="S10" s="1327"/>
      <c r="T10" s="1327"/>
      <c r="U10" s="1327"/>
      <c r="V10" s="1327"/>
      <c r="W10" s="1328"/>
      <c r="X10" s="1326" t="s">
        <v>626</v>
      </c>
      <c r="Y10" s="1327"/>
      <c r="Z10" s="1327"/>
      <c r="AA10" s="1328"/>
      <c r="AB10" s="1342" t="s">
        <v>627</v>
      </c>
      <c r="AC10" s="1342"/>
    </row>
    <row r="11" spans="1:29" s="922" customFormat="1" ht="34.5" customHeight="1">
      <c r="B11" s="1325"/>
      <c r="C11" s="1325" t="s">
        <v>628</v>
      </c>
      <c r="D11" s="1325" t="s">
        <v>629</v>
      </c>
      <c r="E11" s="1325" t="s">
        <v>630</v>
      </c>
      <c r="F11" s="1325" t="s">
        <v>631</v>
      </c>
      <c r="G11" s="1325" t="s">
        <v>632</v>
      </c>
      <c r="H11" s="1330"/>
      <c r="I11" s="1330"/>
      <c r="J11" s="1329" t="s">
        <v>633</v>
      </c>
      <c r="K11" s="1329" t="s">
        <v>634</v>
      </c>
      <c r="L11" s="1325" t="s">
        <v>635</v>
      </c>
      <c r="M11" s="1329" t="s">
        <v>636</v>
      </c>
      <c r="N11" s="1329" t="s">
        <v>637</v>
      </c>
      <c r="O11" s="1329" t="s">
        <v>638</v>
      </c>
      <c r="P11" s="1329" t="s">
        <v>639</v>
      </c>
      <c r="Q11" s="1329" t="s">
        <v>640</v>
      </c>
      <c r="R11" s="1329" t="s">
        <v>641</v>
      </c>
      <c r="S11" s="1174" t="s">
        <v>642</v>
      </c>
      <c r="T11" s="1174" t="s">
        <v>643</v>
      </c>
      <c r="U11" s="1174" t="s">
        <v>644</v>
      </c>
      <c r="V11" s="1329" t="s">
        <v>6278</v>
      </c>
      <c r="W11" s="1329" t="s">
        <v>645</v>
      </c>
      <c r="X11" s="1325" t="s">
        <v>6307</v>
      </c>
      <c r="Y11" s="1325" t="s">
        <v>6308</v>
      </c>
      <c r="Z11" s="1329" t="s">
        <v>646</v>
      </c>
      <c r="AA11" s="1329" t="s">
        <v>6309</v>
      </c>
      <c r="AB11" s="1342" t="s">
        <v>647</v>
      </c>
      <c r="AC11" s="1342" t="s">
        <v>648</v>
      </c>
    </row>
    <row r="12" spans="1:29" s="922" customFormat="1" ht="34.5" customHeight="1">
      <c r="B12" s="1325"/>
      <c r="C12" s="1325"/>
      <c r="D12" s="1325"/>
      <c r="E12" s="1325"/>
      <c r="F12" s="1325"/>
      <c r="G12" s="1325"/>
      <c r="H12" s="1331"/>
      <c r="I12" s="1331"/>
      <c r="J12" s="1331"/>
      <c r="K12" s="1331"/>
      <c r="L12" s="1325"/>
      <c r="M12" s="1331"/>
      <c r="N12" s="1331"/>
      <c r="O12" s="1331"/>
      <c r="P12" s="1331"/>
      <c r="Q12" s="1331"/>
      <c r="R12" s="1331"/>
      <c r="S12" s="1174" t="s">
        <v>58</v>
      </c>
      <c r="T12" s="1174" t="s">
        <v>60</v>
      </c>
      <c r="U12" s="1174" t="s">
        <v>649</v>
      </c>
      <c r="V12" s="1331"/>
      <c r="W12" s="1331"/>
      <c r="X12" s="1325"/>
      <c r="Y12" s="1325"/>
      <c r="Z12" s="1331"/>
      <c r="AA12" s="1331"/>
      <c r="AB12" s="1342"/>
      <c r="AC12" s="1342"/>
    </row>
    <row r="13" spans="1:29" s="1212" customFormat="1" ht="15" hidden="1">
      <c r="B13" s="1226" t="str">
        <f>IFERROR($D$5*10000+(ROW()-12),"")</f>
        <v/>
      </c>
      <c r="C13" s="1228"/>
      <c r="D13" s="1207"/>
      <c r="E13" s="1207"/>
      <c r="F13" s="1229"/>
      <c r="G13" s="1207"/>
      <c r="H13" s="1207"/>
      <c r="I13" s="1207"/>
      <c r="J13" s="1207"/>
      <c r="K13" s="1208"/>
      <c r="L13" s="1207"/>
      <c r="M13" s="1230"/>
      <c r="N13" s="1208"/>
      <c r="O13" s="1208"/>
      <c r="P13" s="1208"/>
      <c r="Q13" s="1208"/>
      <c r="R13" s="1230"/>
      <c r="S13" s="1230"/>
      <c r="T13" s="1209" t="str">
        <f>IFERROR(IF($F13="(サ)ZEH_M",VLOOKUP($G13,費用効率性リスト!$F$27:$G$30,2,FALSE),(IF($E$5&gt;0.51,VLOOKUP($F13,費用効率性リスト!$F$4:$H$25,2,FALSE),VLOOKUP($F13,費用効率性リスト!$F$4:$H$25,3,FALSE)))),"")</f>
        <v/>
      </c>
      <c r="U13" s="1231" t="str">
        <f t="shared" ref="U13" si="0">IFERROR(ROUNDDOWN(S13*IF(T13="定額",1,T13),-3),"")</f>
        <v/>
      </c>
      <c r="V13" s="1210"/>
      <c r="W13" s="1210"/>
      <c r="X13" s="1232"/>
      <c r="Y13" s="1233"/>
      <c r="Z13" s="1233"/>
      <c r="AA13" s="1239">
        <f t="shared" ref="AA13:AA42" si="1">Y13*Z13</f>
        <v>0</v>
      </c>
      <c r="AB13" s="1211" t="str">
        <f>IFERROR(R13/AA13,"")</f>
        <v/>
      </c>
      <c r="AC13" s="1211" t="str">
        <f>IFERROR(U13/AA13,"")</f>
        <v/>
      </c>
    </row>
    <row r="14" spans="1:29" s="1212" customFormat="1" ht="15">
      <c r="B14" s="1227" t="str">
        <f>IFERROR($D$5*10000+(ROW()-12),"")</f>
        <v/>
      </c>
      <c r="C14" s="1218"/>
      <c r="D14" s="1213"/>
      <c r="E14" s="1213"/>
      <c r="F14" s="1219"/>
      <c r="G14" s="1213"/>
      <c r="H14" s="1213"/>
      <c r="I14" s="1213"/>
      <c r="J14" s="1213"/>
      <c r="K14" s="1214"/>
      <c r="L14" s="1213"/>
      <c r="M14" s="1220"/>
      <c r="N14" s="1214"/>
      <c r="O14" s="1214"/>
      <c r="P14" s="1214"/>
      <c r="Q14" s="1214"/>
      <c r="R14" s="1220"/>
      <c r="S14" s="1220"/>
      <c r="T14" s="1215" t="str">
        <f>IFERROR(IF($F14="(サ)ZEH_M",VLOOKUP($G14,費用効率性リスト!$F$27:$G$30,2,FALSE),(IF($E$5&gt;0.51,VLOOKUP($F14,費用効率性リスト!$F$4:$H$25,2,FALSE),VLOOKUP($F14,費用効率性リスト!$F$4:$H$25,3,FALSE)))),"")</f>
        <v/>
      </c>
      <c r="U14" s="1221" t="str">
        <f t="shared" ref="U14:U24" si="2">IFERROR(ROUNDDOWN(S14*IF(T14="定額",1,T14),-3),"")</f>
        <v/>
      </c>
      <c r="V14" s="1216"/>
      <c r="W14" s="1216"/>
      <c r="X14" s="1234"/>
      <c r="Y14" s="1222"/>
      <c r="Z14" s="1222"/>
      <c r="AA14" s="1240">
        <f t="shared" si="1"/>
        <v>0</v>
      </c>
      <c r="AB14" s="1217" t="str">
        <f t="shared" ref="AB14:AB42" si="3">IFERROR(R14/AA14,"")</f>
        <v/>
      </c>
      <c r="AC14" s="1217" t="str">
        <f t="shared" ref="AC14:AC42" si="4">IFERROR(U14/AA14,"")</f>
        <v/>
      </c>
    </row>
    <row r="15" spans="1:29" s="1212" customFormat="1" ht="15">
      <c r="B15" s="1227" t="str">
        <f t="shared" ref="B15:B43" si="5">IFERROR($D$5*10000+(ROW()-12),"")</f>
        <v/>
      </c>
      <c r="C15" s="1218"/>
      <c r="D15" s="1213"/>
      <c r="E15" s="1213"/>
      <c r="F15" s="1219"/>
      <c r="G15" s="1213"/>
      <c r="H15" s="1213"/>
      <c r="I15" s="1213"/>
      <c r="J15" s="1213"/>
      <c r="K15" s="1214"/>
      <c r="L15" s="1213"/>
      <c r="M15" s="1220"/>
      <c r="N15" s="1214"/>
      <c r="O15" s="1214"/>
      <c r="P15" s="1214"/>
      <c r="Q15" s="1214"/>
      <c r="R15" s="1220"/>
      <c r="S15" s="1220"/>
      <c r="T15" s="1215" t="str">
        <f>IFERROR(IF($F15="(サ)ZEH_M",VLOOKUP($G15,費用効率性リスト!$F$27:$G$30,2,FALSE),(IF($E$5&gt;0.51,VLOOKUP($F15,費用効率性リスト!$F$4:$H$25,2,FALSE),VLOOKUP($F15,費用効率性リスト!$F$4:$H$25,3,FALSE)))),"")</f>
        <v/>
      </c>
      <c r="U15" s="1221" t="str">
        <f t="shared" si="2"/>
        <v/>
      </c>
      <c r="V15" s="1216"/>
      <c r="W15" s="1216"/>
      <c r="X15" s="1234"/>
      <c r="Y15" s="1222"/>
      <c r="Z15" s="1222"/>
      <c r="AA15" s="1240">
        <f t="shared" si="1"/>
        <v>0</v>
      </c>
      <c r="AB15" s="1217" t="str">
        <f t="shared" si="3"/>
        <v/>
      </c>
      <c r="AC15" s="1217" t="str">
        <f t="shared" si="4"/>
        <v/>
      </c>
    </row>
    <row r="16" spans="1:29" s="1212" customFormat="1" ht="15">
      <c r="B16" s="1227" t="str">
        <f t="shared" si="5"/>
        <v/>
      </c>
      <c r="C16" s="1218"/>
      <c r="D16" s="1213"/>
      <c r="E16" s="1213"/>
      <c r="F16" s="1219"/>
      <c r="G16" s="1213"/>
      <c r="H16" s="1213"/>
      <c r="I16" s="1213"/>
      <c r="J16" s="1213"/>
      <c r="K16" s="1214"/>
      <c r="L16" s="1213"/>
      <c r="M16" s="1220"/>
      <c r="N16" s="1214"/>
      <c r="O16" s="1214"/>
      <c r="P16" s="1214"/>
      <c r="Q16" s="1214"/>
      <c r="R16" s="1220"/>
      <c r="S16" s="1220"/>
      <c r="T16" s="1215" t="str">
        <f>IFERROR(IF($F16="(サ)ZEH_M",VLOOKUP($G16,費用効率性リスト!$F$27:$G$30,2,FALSE),(IF($E$5&gt;0.51,VLOOKUP($F16,費用効率性リスト!$F$4:$H$25,2,FALSE),VLOOKUP($F16,費用効率性リスト!$F$4:$H$25,3,FALSE)))),"")</f>
        <v/>
      </c>
      <c r="U16" s="1221" t="str">
        <f t="shared" si="2"/>
        <v/>
      </c>
      <c r="V16" s="1216"/>
      <c r="W16" s="1216"/>
      <c r="X16" s="1234"/>
      <c r="Y16" s="1222"/>
      <c r="Z16" s="1222"/>
      <c r="AA16" s="1240">
        <f t="shared" si="1"/>
        <v>0</v>
      </c>
      <c r="AB16" s="1217" t="str">
        <f t="shared" si="3"/>
        <v/>
      </c>
      <c r="AC16" s="1217" t="str">
        <f t="shared" si="4"/>
        <v/>
      </c>
    </row>
    <row r="17" spans="2:29" s="1212" customFormat="1" ht="15">
      <c r="B17" s="1227" t="str">
        <f t="shared" si="5"/>
        <v/>
      </c>
      <c r="C17" s="1218"/>
      <c r="D17" s="1213"/>
      <c r="E17" s="1213"/>
      <c r="F17" s="1219"/>
      <c r="G17" s="1213"/>
      <c r="H17" s="1213"/>
      <c r="I17" s="1213"/>
      <c r="J17" s="1213"/>
      <c r="K17" s="1214"/>
      <c r="L17" s="1213"/>
      <c r="M17" s="1220"/>
      <c r="N17" s="1214"/>
      <c r="O17" s="1214"/>
      <c r="P17" s="1214"/>
      <c r="Q17" s="1214"/>
      <c r="R17" s="1220"/>
      <c r="S17" s="1220"/>
      <c r="T17" s="1215" t="str">
        <f>IFERROR(IF($F17="(サ)ZEH_M",VLOOKUP($G17,費用効率性リスト!$F$27:$G$30,2,FALSE),(IF($E$5&gt;0.51,VLOOKUP($F17,費用効率性リスト!$F$4:$H$25,2,FALSE),VLOOKUP($F17,費用効率性リスト!$F$4:$H$25,3,FALSE)))),"")</f>
        <v/>
      </c>
      <c r="U17" s="1221" t="str">
        <f t="shared" si="2"/>
        <v/>
      </c>
      <c r="V17" s="1216"/>
      <c r="W17" s="1216"/>
      <c r="X17" s="1234"/>
      <c r="Y17" s="1222"/>
      <c r="Z17" s="1222"/>
      <c r="AA17" s="1240">
        <f t="shared" si="1"/>
        <v>0</v>
      </c>
      <c r="AB17" s="1217" t="str">
        <f t="shared" si="3"/>
        <v/>
      </c>
      <c r="AC17" s="1217" t="str">
        <f>IFERROR(U17/AA17,"")</f>
        <v/>
      </c>
    </row>
    <row r="18" spans="2:29" s="1212" customFormat="1" ht="15">
      <c r="B18" s="1227" t="str">
        <f t="shared" si="5"/>
        <v/>
      </c>
      <c r="C18" s="1218"/>
      <c r="D18" s="1213"/>
      <c r="E18" s="1213"/>
      <c r="F18" s="1219"/>
      <c r="G18" s="1213"/>
      <c r="H18" s="1213"/>
      <c r="I18" s="1213"/>
      <c r="J18" s="1213"/>
      <c r="K18" s="1214"/>
      <c r="L18" s="1213"/>
      <c r="M18" s="1220"/>
      <c r="N18" s="1214"/>
      <c r="O18" s="1214"/>
      <c r="P18" s="1214"/>
      <c r="Q18" s="1214"/>
      <c r="R18" s="1220"/>
      <c r="S18" s="1220"/>
      <c r="T18" s="1215" t="str">
        <f>IFERROR(IF($F18="(サ)ZEH_M",VLOOKUP($G18,費用効率性リスト!$F$27:$G$30,2,FALSE),(IF($E$5&gt;0.51,VLOOKUP($F18,費用効率性リスト!$F$4:$H$25,2,FALSE),VLOOKUP($F18,費用効率性リスト!$F$4:$H$25,3,FALSE)))),"")</f>
        <v/>
      </c>
      <c r="U18" s="1221" t="str">
        <f t="shared" si="2"/>
        <v/>
      </c>
      <c r="V18" s="1216"/>
      <c r="W18" s="1216"/>
      <c r="X18" s="1222"/>
      <c r="Y18" s="1222"/>
      <c r="Z18" s="1222"/>
      <c r="AA18" s="1240">
        <f t="shared" si="1"/>
        <v>0</v>
      </c>
      <c r="AB18" s="1217" t="str">
        <f t="shared" si="3"/>
        <v/>
      </c>
      <c r="AC18" s="1217" t="str">
        <f t="shared" si="4"/>
        <v/>
      </c>
    </row>
    <row r="19" spans="2:29" s="1212" customFormat="1" ht="15">
      <c r="B19" s="1227" t="str">
        <f t="shared" si="5"/>
        <v/>
      </c>
      <c r="C19" s="1218"/>
      <c r="D19" s="1213"/>
      <c r="E19" s="1213"/>
      <c r="F19" s="1219"/>
      <c r="G19" s="1213"/>
      <c r="H19" s="1213"/>
      <c r="I19" s="1213"/>
      <c r="J19" s="1213"/>
      <c r="K19" s="1214"/>
      <c r="L19" s="1213"/>
      <c r="M19" s="1214"/>
      <c r="N19" s="1214"/>
      <c r="O19" s="1214"/>
      <c r="P19" s="1214"/>
      <c r="Q19" s="1214"/>
      <c r="R19" s="1220"/>
      <c r="S19" s="1220"/>
      <c r="T19" s="1215" t="str">
        <f>IFERROR(IF($F19="(サ)ZEH_M",VLOOKUP($G19,費用効率性リスト!$F$27:$G$30,2,FALSE),(IF($E$5&gt;0.51,VLOOKUP($F19,費用効率性リスト!$F$4:$H$25,2,FALSE),VLOOKUP($F19,費用効率性リスト!$F$4:$H$25,3,FALSE)))),"")</f>
        <v/>
      </c>
      <c r="U19" s="1221" t="str">
        <f t="shared" si="2"/>
        <v/>
      </c>
      <c r="V19" s="1216"/>
      <c r="W19" s="1216"/>
      <c r="X19" s="1213"/>
      <c r="Y19" s="1213"/>
      <c r="Z19" s="1213"/>
      <c r="AA19" s="1240">
        <f t="shared" si="1"/>
        <v>0</v>
      </c>
      <c r="AB19" s="1217" t="str">
        <f t="shared" si="3"/>
        <v/>
      </c>
      <c r="AC19" s="1217" t="str">
        <f t="shared" si="4"/>
        <v/>
      </c>
    </row>
    <row r="20" spans="2:29" s="1212" customFormat="1" ht="15">
      <c r="B20" s="1227" t="str">
        <f t="shared" si="5"/>
        <v/>
      </c>
      <c r="C20" s="1218"/>
      <c r="D20" s="1213"/>
      <c r="E20" s="1213"/>
      <c r="F20" s="1219"/>
      <c r="G20" s="1213"/>
      <c r="H20" s="1213"/>
      <c r="I20" s="1213"/>
      <c r="J20" s="1213"/>
      <c r="K20" s="1214"/>
      <c r="L20" s="1213"/>
      <c r="M20" s="1214"/>
      <c r="N20" s="1214"/>
      <c r="O20" s="1214"/>
      <c r="P20" s="1214"/>
      <c r="Q20" s="1214"/>
      <c r="R20" s="1220"/>
      <c r="S20" s="1220"/>
      <c r="T20" s="1215" t="str">
        <f>IFERROR(IF($F20="(サ)ZEH_M",VLOOKUP($G20,費用効率性リスト!$F$27:$G$30,2,FALSE),(IF($E$5&gt;0.51,VLOOKUP($F20,費用効率性リスト!$F$4:$H$25,2,FALSE),VLOOKUP($F20,費用効率性リスト!$F$4:$H$25,3,FALSE)))),"")</f>
        <v/>
      </c>
      <c r="U20" s="1221" t="str">
        <f t="shared" si="2"/>
        <v/>
      </c>
      <c r="V20" s="1216"/>
      <c r="W20" s="1216"/>
      <c r="X20" s="1213"/>
      <c r="Y20" s="1213"/>
      <c r="Z20" s="1213"/>
      <c r="AA20" s="1240">
        <f t="shared" si="1"/>
        <v>0</v>
      </c>
      <c r="AB20" s="1217" t="str">
        <f t="shared" si="3"/>
        <v/>
      </c>
      <c r="AC20" s="1217" t="str">
        <f t="shared" si="4"/>
        <v/>
      </c>
    </row>
    <row r="21" spans="2:29" s="1212" customFormat="1" ht="15">
      <c r="B21" s="1227" t="str">
        <f t="shared" si="5"/>
        <v/>
      </c>
      <c r="C21" s="1218"/>
      <c r="D21" s="1213"/>
      <c r="E21" s="1213"/>
      <c r="F21" s="1219"/>
      <c r="G21" s="1213"/>
      <c r="H21" s="1213"/>
      <c r="I21" s="1213"/>
      <c r="J21" s="1213"/>
      <c r="K21" s="1214"/>
      <c r="L21" s="1213"/>
      <c r="M21" s="1214"/>
      <c r="N21" s="1214"/>
      <c r="O21" s="1214"/>
      <c r="P21" s="1214"/>
      <c r="Q21" s="1214"/>
      <c r="R21" s="1220"/>
      <c r="S21" s="1220"/>
      <c r="T21" s="1215" t="str">
        <f>IFERROR(IF($F21="(サ)ZEH_M",VLOOKUP($G21,費用効率性リスト!$F$27:$G$30,2,FALSE),(IF($E$5&gt;0.51,VLOOKUP($F21,費用効率性リスト!$F$4:$H$25,2,FALSE),VLOOKUP($F21,費用効率性リスト!$F$4:$H$25,3,FALSE)))),"")</f>
        <v/>
      </c>
      <c r="U21" s="1221" t="str">
        <f t="shared" si="2"/>
        <v/>
      </c>
      <c r="V21" s="1216"/>
      <c r="W21" s="1216"/>
      <c r="X21" s="1213"/>
      <c r="Y21" s="1213"/>
      <c r="Z21" s="1213"/>
      <c r="AA21" s="1240">
        <f t="shared" si="1"/>
        <v>0</v>
      </c>
      <c r="AB21" s="1217" t="str">
        <f t="shared" si="3"/>
        <v/>
      </c>
      <c r="AC21" s="1217" t="str">
        <f t="shared" si="4"/>
        <v/>
      </c>
    </row>
    <row r="22" spans="2:29" s="1212" customFormat="1" ht="15">
      <c r="B22" s="1227" t="str">
        <f t="shared" si="5"/>
        <v/>
      </c>
      <c r="C22" s="1218"/>
      <c r="D22" s="1213"/>
      <c r="E22" s="1213"/>
      <c r="F22" s="1219"/>
      <c r="G22" s="1213"/>
      <c r="H22" s="1213"/>
      <c r="I22" s="1213"/>
      <c r="J22" s="1213"/>
      <c r="K22" s="1214"/>
      <c r="L22" s="1213"/>
      <c r="M22" s="1214"/>
      <c r="N22" s="1214"/>
      <c r="O22" s="1214"/>
      <c r="P22" s="1214"/>
      <c r="Q22" s="1214"/>
      <c r="R22" s="1220"/>
      <c r="S22" s="1220"/>
      <c r="T22" s="1215" t="str">
        <f>IFERROR(IF($F22="(サ)ZEH_M",VLOOKUP($G22,費用効率性リスト!$F$27:$G$30,2,FALSE),(IF($E$5&gt;0.51,VLOOKUP($F22,費用効率性リスト!$F$4:$H$25,2,FALSE),VLOOKUP($F22,費用効率性リスト!$F$4:$H$25,3,FALSE)))),"")</f>
        <v/>
      </c>
      <c r="U22" s="1221" t="str">
        <f t="shared" si="2"/>
        <v/>
      </c>
      <c r="V22" s="1216"/>
      <c r="W22" s="1216"/>
      <c r="X22" s="1213"/>
      <c r="Y22" s="1213"/>
      <c r="Z22" s="1213"/>
      <c r="AA22" s="1240">
        <f t="shared" si="1"/>
        <v>0</v>
      </c>
      <c r="AB22" s="1217" t="str">
        <f t="shared" si="3"/>
        <v/>
      </c>
      <c r="AC22" s="1217" t="str">
        <f t="shared" si="4"/>
        <v/>
      </c>
    </row>
    <row r="23" spans="2:29" s="1212" customFormat="1" ht="15">
      <c r="B23" s="1227" t="str">
        <f t="shared" si="5"/>
        <v/>
      </c>
      <c r="C23" s="1218"/>
      <c r="D23" s="1213"/>
      <c r="E23" s="1213"/>
      <c r="F23" s="1219"/>
      <c r="G23" s="1213"/>
      <c r="H23" s="1213"/>
      <c r="I23" s="1213"/>
      <c r="J23" s="1213"/>
      <c r="K23" s="1214"/>
      <c r="L23" s="1213"/>
      <c r="M23" s="1214"/>
      <c r="N23" s="1214"/>
      <c r="O23" s="1214"/>
      <c r="P23" s="1214"/>
      <c r="Q23" s="1214"/>
      <c r="R23" s="1220"/>
      <c r="S23" s="1220"/>
      <c r="T23" s="1215" t="str">
        <f>IFERROR(IF($F23="(サ)ZEH_M",VLOOKUP($G23,費用効率性リスト!$F$27:$G$30,2,FALSE),(IF($E$5&gt;0.51,VLOOKUP($F23,費用効率性リスト!$F$4:$H$25,2,FALSE),VLOOKUP($F23,費用効率性リスト!$F$4:$H$25,3,FALSE)))),"")</f>
        <v/>
      </c>
      <c r="U23" s="1221" t="str">
        <f t="shared" si="2"/>
        <v/>
      </c>
      <c r="V23" s="1216"/>
      <c r="W23" s="1216"/>
      <c r="X23" s="1213"/>
      <c r="Y23" s="1213"/>
      <c r="Z23" s="1213"/>
      <c r="AA23" s="1240">
        <f t="shared" si="1"/>
        <v>0</v>
      </c>
      <c r="AB23" s="1217" t="str">
        <f t="shared" si="3"/>
        <v/>
      </c>
      <c r="AC23" s="1217" t="str">
        <f t="shared" si="4"/>
        <v/>
      </c>
    </row>
    <row r="24" spans="2:29" s="1212" customFormat="1" ht="15">
      <c r="B24" s="1227" t="str">
        <f t="shared" si="5"/>
        <v/>
      </c>
      <c r="C24" s="1218"/>
      <c r="D24" s="1213"/>
      <c r="E24" s="1213"/>
      <c r="F24" s="1219"/>
      <c r="G24" s="1213"/>
      <c r="H24" s="1213"/>
      <c r="I24" s="1213"/>
      <c r="J24" s="1213"/>
      <c r="K24" s="1214"/>
      <c r="L24" s="1213"/>
      <c r="M24" s="1214"/>
      <c r="N24" s="1214"/>
      <c r="O24" s="1214"/>
      <c r="P24" s="1214"/>
      <c r="Q24" s="1214"/>
      <c r="R24" s="1220"/>
      <c r="S24" s="1220"/>
      <c r="T24" s="1215" t="str">
        <f>IFERROR(IF($F24="(サ)ZEH_M",VLOOKUP($G24,費用効率性リスト!$F$27:$G$30,2,FALSE),(IF($E$5&gt;0.51,VLOOKUP($F24,費用効率性リスト!$F$4:$H$25,2,FALSE),VLOOKUP($F24,費用効率性リスト!$F$4:$H$25,3,FALSE)))),"")</f>
        <v/>
      </c>
      <c r="U24" s="1221" t="str">
        <f t="shared" si="2"/>
        <v/>
      </c>
      <c r="V24" s="1216"/>
      <c r="W24" s="1216"/>
      <c r="X24" s="1213"/>
      <c r="Y24" s="1213"/>
      <c r="Z24" s="1213"/>
      <c r="AA24" s="1240">
        <f t="shared" si="1"/>
        <v>0</v>
      </c>
      <c r="AB24" s="1217" t="str">
        <f t="shared" si="3"/>
        <v/>
      </c>
      <c r="AC24" s="1217" t="str">
        <f t="shared" si="4"/>
        <v/>
      </c>
    </row>
    <row r="25" spans="2:29" s="1212" customFormat="1" ht="15">
      <c r="B25" s="1227" t="str">
        <f t="shared" si="5"/>
        <v/>
      </c>
      <c r="C25" s="1218"/>
      <c r="D25" s="1213"/>
      <c r="E25" s="1213"/>
      <c r="F25" s="1219"/>
      <c r="G25" s="1213"/>
      <c r="H25" s="1213"/>
      <c r="I25" s="1213"/>
      <c r="J25" s="1213"/>
      <c r="K25" s="1214"/>
      <c r="L25" s="1213"/>
      <c r="M25" s="1214"/>
      <c r="N25" s="1214"/>
      <c r="O25" s="1214"/>
      <c r="P25" s="1214"/>
      <c r="Q25" s="1214"/>
      <c r="R25" s="1220"/>
      <c r="S25" s="1220"/>
      <c r="T25" s="1215" t="str">
        <f>IFERROR(IF($F25="(サ)ZEH_M",VLOOKUP($G25,費用効率性リスト!$F$27:$G$30,2,FALSE),(IF($E$5&gt;0.51,VLOOKUP($F25,費用効率性リスト!$F$4:$H$25,2,FALSE),VLOOKUP($F25,費用効率性リスト!$F$4:$H$25,3,FALSE)))),"")</f>
        <v/>
      </c>
      <c r="U25" s="1221" t="str">
        <f t="shared" ref="U25:U42" si="6">IFERROR(ROUNDDOWN(S25*IF(T25="定額",1,T25),-3),"")</f>
        <v/>
      </c>
      <c r="V25" s="1216"/>
      <c r="W25" s="1216"/>
      <c r="X25" s="1213"/>
      <c r="Y25" s="1213"/>
      <c r="Z25" s="1213"/>
      <c r="AA25" s="1240">
        <f t="shared" si="1"/>
        <v>0</v>
      </c>
      <c r="AB25" s="1217" t="str">
        <f t="shared" si="3"/>
        <v/>
      </c>
      <c r="AC25" s="1217" t="str">
        <f t="shared" si="4"/>
        <v/>
      </c>
    </row>
    <row r="26" spans="2:29" s="1212" customFormat="1" ht="15">
      <c r="B26" s="1227" t="str">
        <f t="shared" si="5"/>
        <v/>
      </c>
      <c r="C26" s="1218"/>
      <c r="D26" s="1213"/>
      <c r="E26" s="1213"/>
      <c r="F26" s="1219"/>
      <c r="G26" s="1213"/>
      <c r="H26" s="1213"/>
      <c r="I26" s="1213"/>
      <c r="J26" s="1213"/>
      <c r="K26" s="1214"/>
      <c r="L26" s="1213"/>
      <c r="M26" s="1214"/>
      <c r="N26" s="1214"/>
      <c r="O26" s="1214"/>
      <c r="P26" s="1214"/>
      <c r="Q26" s="1214"/>
      <c r="R26" s="1220"/>
      <c r="S26" s="1220"/>
      <c r="T26" s="1215" t="str">
        <f>IFERROR(IF($F26="(サ)ZEH_M",VLOOKUP($G26,費用効率性リスト!$F$27:$G$30,2,FALSE),(IF($E$5&gt;0.51,VLOOKUP($F26,費用効率性リスト!$F$4:$H$25,2,FALSE),VLOOKUP($F26,費用効率性リスト!$F$4:$H$25,3,FALSE)))),"")</f>
        <v/>
      </c>
      <c r="U26" s="1221" t="str">
        <f t="shared" si="6"/>
        <v/>
      </c>
      <c r="V26" s="1216"/>
      <c r="W26" s="1216"/>
      <c r="X26" s="1213"/>
      <c r="Y26" s="1213"/>
      <c r="Z26" s="1213"/>
      <c r="AA26" s="1240">
        <f t="shared" si="1"/>
        <v>0</v>
      </c>
      <c r="AB26" s="1217" t="str">
        <f t="shared" si="3"/>
        <v/>
      </c>
      <c r="AC26" s="1217" t="str">
        <f t="shared" si="4"/>
        <v/>
      </c>
    </row>
    <row r="27" spans="2:29" s="1212" customFormat="1" ht="15">
      <c r="B27" s="1227" t="str">
        <f t="shared" si="5"/>
        <v/>
      </c>
      <c r="C27" s="1218"/>
      <c r="D27" s="1213"/>
      <c r="E27" s="1213"/>
      <c r="F27" s="1219"/>
      <c r="G27" s="1213"/>
      <c r="H27" s="1213"/>
      <c r="I27" s="1213"/>
      <c r="J27" s="1213"/>
      <c r="K27" s="1213"/>
      <c r="L27" s="1213"/>
      <c r="M27" s="1214"/>
      <c r="N27" s="1214"/>
      <c r="O27" s="1214"/>
      <c r="P27" s="1214"/>
      <c r="Q27" s="1214"/>
      <c r="R27" s="1220"/>
      <c r="S27" s="1220"/>
      <c r="T27" s="1215" t="str">
        <f>IFERROR(IF($F27="(サ)ZEH_M",VLOOKUP($G27,費用効率性リスト!$F$27:$G$30,2,FALSE),(IF($E$5&gt;0.51,VLOOKUP($F27,費用効率性リスト!$F$4:$H$25,2,FALSE),VLOOKUP($F27,費用効率性リスト!$F$4:$H$25,3,FALSE)))),"")</f>
        <v/>
      </c>
      <c r="U27" s="1221" t="str">
        <f t="shared" si="6"/>
        <v/>
      </c>
      <c r="V27" s="1216"/>
      <c r="W27" s="1216"/>
      <c r="X27" s="1213"/>
      <c r="Y27" s="1213"/>
      <c r="Z27" s="1213"/>
      <c r="AA27" s="1240">
        <f t="shared" si="1"/>
        <v>0</v>
      </c>
      <c r="AB27" s="1217" t="str">
        <f t="shared" si="3"/>
        <v/>
      </c>
      <c r="AC27" s="1217" t="str">
        <f t="shared" si="4"/>
        <v/>
      </c>
    </row>
    <row r="28" spans="2:29" s="1212" customFormat="1" ht="15">
      <c r="B28" s="1227" t="str">
        <f t="shared" si="5"/>
        <v/>
      </c>
      <c r="C28" s="1218"/>
      <c r="D28" s="1213"/>
      <c r="E28" s="1213"/>
      <c r="F28" s="1219"/>
      <c r="G28" s="1213"/>
      <c r="H28" s="1213"/>
      <c r="I28" s="1213"/>
      <c r="J28" s="1213"/>
      <c r="K28" s="1213"/>
      <c r="L28" s="1213"/>
      <c r="M28" s="1214"/>
      <c r="N28" s="1214"/>
      <c r="O28" s="1214"/>
      <c r="P28" s="1214"/>
      <c r="Q28" s="1214"/>
      <c r="R28" s="1220"/>
      <c r="S28" s="1220"/>
      <c r="T28" s="1215" t="str">
        <f>IFERROR(IF($F28="(サ)ZEH_M",VLOOKUP($G28,費用効率性リスト!$F$27:$G$30,2,FALSE),(IF($E$5&gt;0.51,VLOOKUP($F28,費用効率性リスト!$F$4:$H$25,2,FALSE),VLOOKUP($F28,費用効率性リスト!$F$4:$H$25,3,FALSE)))),"")</f>
        <v/>
      </c>
      <c r="U28" s="1221" t="str">
        <f t="shared" si="6"/>
        <v/>
      </c>
      <c r="V28" s="1216"/>
      <c r="W28" s="1216"/>
      <c r="X28" s="1213"/>
      <c r="Y28" s="1213"/>
      <c r="Z28" s="1213"/>
      <c r="AA28" s="1240">
        <f t="shared" si="1"/>
        <v>0</v>
      </c>
      <c r="AB28" s="1217" t="str">
        <f t="shared" si="3"/>
        <v/>
      </c>
      <c r="AC28" s="1217" t="str">
        <f t="shared" si="4"/>
        <v/>
      </c>
    </row>
    <row r="29" spans="2:29" s="1212" customFormat="1" ht="15">
      <c r="B29" s="1227" t="str">
        <f t="shared" si="5"/>
        <v/>
      </c>
      <c r="C29" s="1218"/>
      <c r="D29" s="1213"/>
      <c r="E29" s="1213"/>
      <c r="F29" s="1219"/>
      <c r="G29" s="1213"/>
      <c r="H29" s="1213"/>
      <c r="I29" s="1213"/>
      <c r="J29" s="1213"/>
      <c r="K29" s="1213"/>
      <c r="L29" s="1213"/>
      <c r="M29" s="1214"/>
      <c r="N29" s="1214"/>
      <c r="O29" s="1214"/>
      <c r="P29" s="1214"/>
      <c r="Q29" s="1214"/>
      <c r="R29" s="1220"/>
      <c r="S29" s="1220"/>
      <c r="T29" s="1215" t="str">
        <f>IFERROR(IF($F29="(サ)ZEH_M",VLOOKUP($G29,費用効率性リスト!$F$27:$G$30,2,FALSE),(IF($E$5&gt;0.51,VLOOKUP($F29,費用効率性リスト!$F$4:$H$25,2,FALSE),VLOOKUP($F29,費用効率性リスト!$F$4:$H$25,3,FALSE)))),"")</f>
        <v/>
      </c>
      <c r="U29" s="1221" t="str">
        <f t="shared" si="6"/>
        <v/>
      </c>
      <c r="V29" s="1216"/>
      <c r="W29" s="1216"/>
      <c r="X29" s="1213"/>
      <c r="Y29" s="1213"/>
      <c r="Z29" s="1213"/>
      <c r="AA29" s="1240">
        <f t="shared" si="1"/>
        <v>0</v>
      </c>
      <c r="AB29" s="1217" t="str">
        <f t="shared" si="3"/>
        <v/>
      </c>
      <c r="AC29" s="1217" t="str">
        <f t="shared" si="4"/>
        <v/>
      </c>
    </row>
    <row r="30" spans="2:29" s="1212" customFormat="1" ht="15">
      <c r="B30" s="1227" t="str">
        <f t="shared" si="5"/>
        <v/>
      </c>
      <c r="C30" s="1218"/>
      <c r="D30" s="1213"/>
      <c r="E30" s="1213"/>
      <c r="F30" s="1219"/>
      <c r="G30" s="1213"/>
      <c r="H30" s="1213"/>
      <c r="I30" s="1213"/>
      <c r="J30" s="1213"/>
      <c r="K30" s="1213"/>
      <c r="L30" s="1213"/>
      <c r="M30" s="1214"/>
      <c r="N30" s="1214"/>
      <c r="O30" s="1214"/>
      <c r="P30" s="1214"/>
      <c r="Q30" s="1214"/>
      <c r="R30" s="1220"/>
      <c r="S30" s="1220"/>
      <c r="T30" s="1215" t="str">
        <f>IFERROR(IF($F30="(サ)ZEH_M",VLOOKUP($G30,費用効率性リスト!$F$27:$G$30,2,FALSE),(IF($E$5&gt;0.51,VLOOKUP($F30,費用効率性リスト!$F$4:$H$25,2,FALSE),VLOOKUP($F30,費用効率性リスト!$F$4:$H$25,3,FALSE)))),"")</f>
        <v/>
      </c>
      <c r="U30" s="1221" t="str">
        <f t="shared" si="6"/>
        <v/>
      </c>
      <c r="V30" s="1216"/>
      <c r="W30" s="1216"/>
      <c r="X30" s="1213"/>
      <c r="Y30" s="1213"/>
      <c r="Z30" s="1213"/>
      <c r="AA30" s="1240">
        <f t="shared" si="1"/>
        <v>0</v>
      </c>
      <c r="AB30" s="1217" t="str">
        <f t="shared" si="3"/>
        <v/>
      </c>
      <c r="AC30" s="1217" t="str">
        <f t="shared" si="4"/>
        <v/>
      </c>
    </row>
    <row r="31" spans="2:29" s="1212" customFormat="1" ht="15">
      <c r="B31" s="1227" t="str">
        <f t="shared" si="5"/>
        <v/>
      </c>
      <c r="C31" s="1218"/>
      <c r="D31" s="1213"/>
      <c r="E31" s="1213"/>
      <c r="F31" s="1219"/>
      <c r="G31" s="1213"/>
      <c r="H31" s="1213"/>
      <c r="I31" s="1213"/>
      <c r="J31" s="1213"/>
      <c r="K31" s="1213"/>
      <c r="L31" s="1213"/>
      <c r="M31" s="1214"/>
      <c r="N31" s="1214"/>
      <c r="O31" s="1214"/>
      <c r="P31" s="1214"/>
      <c r="Q31" s="1214"/>
      <c r="R31" s="1220"/>
      <c r="S31" s="1220"/>
      <c r="T31" s="1215" t="str">
        <f>IFERROR(IF($F31="(サ)ZEH_M",VLOOKUP($G31,費用効率性リスト!$F$27:$G$30,2,FALSE),(IF($E$5&gt;0.51,VLOOKUP($F31,費用効率性リスト!$F$4:$H$25,2,FALSE),VLOOKUP($F31,費用効率性リスト!$F$4:$H$25,3,FALSE)))),"")</f>
        <v/>
      </c>
      <c r="U31" s="1221" t="str">
        <f t="shared" si="6"/>
        <v/>
      </c>
      <c r="V31" s="1216"/>
      <c r="W31" s="1216"/>
      <c r="X31" s="1213"/>
      <c r="Y31" s="1213"/>
      <c r="Z31" s="1213"/>
      <c r="AA31" s="1240">
        <f t="shared" si="1"/>
        <v>0</v>
      </c>
      <c r="AB31" s="1217" t="str">
        <f t="shared" si="3"/>
        <v/>
      </c>
      <c r="AC31" s="1217" t="str">
        <f t="shared" si="4"/>
        <v/>
      </c>
    </row>
    <row r="32" spans="2:29" s="1212" customFormat="1" ht="15">
      <c r="B32" s="1227" t="str">
        <f t="shared" si="5"/>
        <v/>
      </c>
      <c r="C32" s="1218"/>
      <c r="D32" s="1213"/>
      <c r="E32" s="1213"/>
      <c r="F32" s="1219"/>
      <c r="G32" s="1213"/>
      <c r="H32" s="1213"/>
      <c r="I32" s="1213"/>
      <c r="J32" s="1213"/>
      <c r="K32" s="1213"/>
      <c r="L32" s="1213"/>
      <c r="M32" s="1214"/>
      <c r="N32" s="1214"/>
      <c r="O32" s="1214"/>
      <c r="P32" s="1214"/>
      <c r="Q32" s="1214"/>
      <c r="R32" s="1220"/>
      <c r="S32" s="1220"/>
      <c r="T32" s="1215" t="str">
        <f>IFERROR(IF($F32="(サ)ZEH_M",VLOOKUP($G32,費用効率性リスト!$F$27:$G$30,2,FALSE),(IF($E$5&gt;0.51,VLOOKUP($F32,費用効率性リスト!$F$4:$H$25,2,FALSE),VLOOKUP($F32,費用効率性リスト!$F$4:$H$25,3,FALSE)))),"")</f>
        <v/>
      </c>
      <c r="U32" s="1221" t="str">
        <f t="shared" si="6"/>
        <v/>
      </c>
      <c r="V32" s="1216"/>
      <c r="W32" s="1216"/>
      <c r="X32" s="1213"/>
      <c r="Y32" s="1213"/>
      <c r="Z32" s="1213"/>
      <c r="AA32" s="1240">
        <f t="shared" si="1"/>
        <v>0</v>
      </c>
      <c r="AB32" s="1217" t="str">
        <f t="shared" si="3"/>
        <v/>
      </c>
      <c r="AC32" s="1217" t="str">
        <f t="shared" si="4"/>
        <v/>
      </c>
    </row>
    <row r="33" spans="2:58" s="1212" customFormat="1" ht="15">
      <c r="B33" s="1227" t="str">
        <f t="shared" si="5"/>
        <v/>
      </c>
      <c r="C33" s="1218"/>
      <c r="D33" s="1213"/>
      <c r="E33" s="1213"/>
      <c r="F33" s="1219"/>
      <c r="G33" s="1213"/>
      <c r="H33" s="1213"/>
      <c r="I33" s="1213"/>
      <c r="J33" s="1213"/>
      <c r="K33" s="1213"/>
      <c r="L33" s="1213"/>
      <c r="M33" s="1214"/>
      <c r="N33" s="1214"/>
      <c r="O33" s="1214"/>
      <c r="P33" s="1214"/>
      <c r="Q33" s="1214"/>
      <c r="R33" s="1220"/>
      <c r="S33" s="1220"/>
      <c r="T33" s="1215" t="str">
        <f>IFERROR(IF($F33="(サ)ZEH_M",VLOOKUP($G33,費用効率性リスト!$F$27:$G$30,2,FALSE),(IF($E$5&gt;0.51,VLOOKUP($F33,費用効率性リスト!$F$4:$H$25,2,FALSE),VLOOKUP($F33,費用効率性リスト!$F$4:$H$25,3,FALSE)))),"")</f>
        <v/>
      </c>
      <c r="U33" s="1221" t="str">
        <f t="shared" si="6"/>
        <v/>
      </c>
      <c r="V33" s="1216"/>
      <c r="W33" s="1216"/>
      <c r="X33" s="1213"/>
      <c r="Y33" s="1213"/>
      <c r="Z33" s="1213"/>
      <c r="AA33" s="1240">
        <f t="shared" si="1"/>
        <v>0</v>
      </c>
      <c r="AB33" s="1217" t="str">
        <f t="shared" si="3"/>
        <v/>
      </c>
      <c r="AC33" s="1217" t="str">
        <f t="shared" si="4"/>
        <v/>
      </c>
    </row>
    <row r="34" spans="2:58" s="1212" customFormat="1" ht="15">
      <c r="B34" s="1227" t="str">
        <f t="shared" si="5"/>
        <v/>
      </c>
      <c r="C34" s="1218"/>
      <c r="D34" s="1213"/>
      <c r="E34" s="1213"/>
      <c r="F34" s="1219"/>
      <c r="G34" s="1213"/>
      <c r="H34" s="1213"/>
      <c r="I34" s="1213"/>
      <c r="J34" s="1213"/>
      <c r="K34" s="1213"/>
      <c r="L34" s="1213"/>
      <c r="M34" s="1214"/>
      <c r="N34" s="1214"/>
      <c r="O34" s="1214"/>
      <c r="P34" s="1214"/>
      <c r="Q34" s="1214"/>
      <c r="R34" s="1220"/>
      <c r="S34" s="1220"/>
      <c r="T34" s="1215" t="str">
        <f>IFERROR(IF($F34="(サ)ZEH_M",VLOOKUP($G34,費用効率性リスト!$F$27:$G$30,2,FALSE),(IF($E$5&gt;0.51,VLOOKUP($F34,費用効率性リスト!$F$4:$H$25,2,FALSE),VLOOKUP($F34,費用効率性リスト!$F$4:$H$25,3,FALSE)))),"")</f>
        <v/>
      </c>
      <c r="U34" s="1221" t="str">
        <f t="shared" si="6"/>
        <v/>
      </c>
      <c r="V34" s="1216"/>
      <c r="W34" s="1216"/>
      <c r="X34" s="1213"/>
      <c r="Y34" s="1213"/>
      <c r="Z34" s="1213"/>
      <c r="AA34" s="1240">
        <f t="shared" si="1"/>
        <v>0</v>
      </c>
      <c r="AB34" s="1217" t="str">
        <f t="shared" si="3"/>
        <v/>
      </c>
      <c r="AC34" s="1217" t="str">
        <f t="shared" si="4"/>
        <v/>
      </c>
    </row>
    <row r="35" spans="2:58" s="1212" customFormat="1" ht="15">
      <c r="B35" s="1227" t="str">
        <f t="shared" si="5"/>
        <v/>
      </c>
      <c r="C35" s="1218"/>
      <c r="D35" s="1213"/>
      <c r="E35" s="1213"/>
      <c r="F35" s="1219"/>
      <c r="G35" s="1213"/>
      <c r="H35" s="1213"/>
      <c r="I35" s="1213"/>
      <c r="J35" s="1213"/>
      <c r="K35" s="1213"/>
      <c r="L35" s="1213"/>
      <c r="M35" s="1214"/>
      <c r="N35" s="1214"/>
      <c r="O35" s="1214"/>
      <c r="P35" s="1214"/>
      <c r="Q35" s="1214"/>
      <c r="R35" s="1220"/>
      <c r="S35" s="1220"/>
      <c r="T35" s="1215" t="str">
        <f>IFERROR(IF($F35="(サ)ZEH_M",VLOOKUP($G35,費用効率性リスト!$F$27:$G$30,2,FALSE),(IF($E$5&gt;0.51,VLOOKUP($F35,費用効率性リスト!$F$4:$H$25,2,FALSE),VLOOKUP($F35,費用効率性リスト!$F$4:$H$25,3,FALSE)))),"")</f>
        <v/>
      </c>
      <c r="U35" s="1221" t="str">
        <f t="shared" si="6"/>
        <v/>
      </c>
      <c r="V35" s="1216"/>
      <c r="W35" s="1216"/>
      <c r="X35" s="1213"/>
      <c r="Y35" s="1213"/>
      <c r="Z35" s="1213"/>
      <c r="AA35" s="1240">
        <f t="shared" si="1"/>
        <v>0</v>
      </c>
      <c r="AB35" s="1217" t="str">
        <f t="shared" si="3"/>
        <v/>
      </c>
      <c r="AC35" s="1217" t="str">
        <f t="shared" si="4"/>
        <v/>
      </c>
    </row>
    <row r="36" spans="2:58" s="1212" customFormat="1" ht="15">
      <c r="B36" s="1227" t="str">
        <f t="shared" si="5"/>
        <v/>
      </c>
      <c r="C36" s="1218"/>
      <c r="D36" s="1213"/>
      <c r="E36" s="1213"/>
      <c r="F36" s="1219"/>
      <c r="G36" s="1213"/>
      <c r="H36" s="1213"/>
      <c r="I36" s="1213"/>
      <c r="J36" s="1213"/>
      <c r="K36" s="1213"/>
      <c r="L36" s="1213"/>
      <c r="M36" s="1214"/>
      <c r="N36" s="1214"/>
      <c r="O36" s="1214"/>
      <c r="P36" s="1214"/>
      <c r="Q36" s="1214"/>
      <c r="R36" s="1220"/>
      <c r="S36" s="1220"/>
      <c r="T36" s="1215" t="str">
        <f>IFERROR(IF($F36="(サ)ZEH_M",VLOOKUP($G36,費用効率性リスト!$F$27:$G$30,2,FALSE),(IF($E$5&gt;0.51,VLOOKUP($F36,費用効率性リスト!$F$4:$H$25,2,FALSE),VLOOKUP($F36,費用効率性リスト!$F$4:$H$25,3,FALSE)))),"")</f>
        <v/>
      </c>
      <c r="U36" s="1221" t="str">
        <f t="shared" si="6"/>
        <v/>
      </c>
      <c r="V36" s="1216"/>
      <c r="W36" s="1216"/>
      <c r="X36" s="1213"/>
      <c r="Y36" s="1213"/>
      <c r="Z36" s="1213"/>
      <c r="AA36" s="1240">
        <f t="shared" si="1"/>
        <v>0</v>
      </c>
      <c r="AB36" s="1217" t="str">
        <f t="shared" si="3"/>
        <v/>
      </c>
      <c r="AC36" s="1217" t="str">
        <f t="shared" si="4"/>
        <v/>
      </c>
    </row>
    <row r="37" spans="2:58" s="1212" customFormat="1" ht="15">
      <c r="B37" s="1227" t="str">
        <f t="shared" si="5"/>
        <v/>
      </c>
      <c r="C37" s="1218"/>
      <c r="D37" s="1213"/>
      <c r="E37" s="1213"/>
      <c r="F37" s="1219"/>
      <c r="G37" s="1213"/>
      <c r="H37" s="1213"/>
      <c r="I37" s="1213"/>
      <c r="J37" s="1213"/>
      <c r="K37" s="1213"/>
      <c r="L37" s="1213"/>
      <c r="M37" s="1214"/>
      <c r="N37" s="1214"/>
      <c r="O37" s="1214"/>
      <c r="P37" s="1214"/>
      <c r="Q37" s="1214"/>
      <c r="R37" s="1220"/>
      <c r="S37" s="1220"/>
      <c r="T37" s="1215" t="str">
        <f>IFERROR(IF($F37="(サ)ZEH_M",VLOOKUP($G37,費用効率性リスト!$F$27:$G$30,2,FALSE),(IF($E$5&gt;0.51,VLOOKUP($F37,費用効率性リスト!$F$4:$H$25,2,FALSE),VLOOKUP($F37,費用効率性リスト!$F$4:$H$25,3,FALSE)))),"")</f>
        <v/>
      </c>
      <c r="U37" s="1221" t="str">
        <f t="shared" si="6"/>
        <v/>
      </c>
      <c r="V37" s="1216"/>
      <c r="W37" s="1216"/>
      <c r="X37" s="1213"/>
      <c r="Y37" s="1213"/>
      <c r="Z37" s="1213"/>
      <c r="AA37" s="1240">
        <f t="shared" si="1"/>
        <v>0</v>
      </c>
      <c r="AB37" s="1217" t="str">
        <f t="shared" si="3"/>
        <v/>
      </c>
      <c r="AC37" s="1217" t="str">
        <f t="shared" si="4"/>
        <v/>
      </c>
    </row>
    <row r="38" spans="2:58" s="1212" customFormat="1" ht="15">
      <c r="B38" s="1227" t="str">
        <f t="shared" si="5"/>
        <v/>
      </c>
      <c r="C38" s="1218"/>
      <c r="D38" s="1213"/>
      <c r="E38" s="1213"/>
      <c r="F38" s="1219"/>
      <c r="G38" s="1213"/>
      <c r="H38" s="1213"/>
      <c r="I38" s="1213"/>
      <c r="J38" s="1213"/>
      <c r="K38" s="1213"/>
      <c r="L38" s="1213"/>
      <c r="M38" s="1214"/>
      <c r="N38" s="1214"/>
      <c r="O38" s="1214"/>
      <c r="P38" s="1214"/>
      <c r="Q38" s="1214"/>
      <c r="R38" s="1220"/>
      <c r="S38" s="1220"/>
      <c r="T38" s="1215" t="str">
        <f>IFERROR(IF($F38="(サ)ZEH_M",VLOOKUP($G38,費用効率性リスト!$F$27:$G$30,2,FALSE),(IF($E$5&gt;0.51,VLOOKUP($F38,費用効率性リスト!$F$4:$H$25,2,FALSE),VLOOKUP($F38,費用効率性リスト!$F$4:$H$25,3,FALSE)))),"")</f>
        <v/>
      </c>
      <c r="U38" s="1221" t="str">
        <f t="shared" si="6"/>
        <v/>
      </c>
      <c r="V38" s="1216"/>
      <c r="W38" s="1216"/>
      <c r="X38" s="1213"/>
      <c r="Y38" s="1213"/>
      <c r="Z38" s="1213"/>
      <c r="AA38" s="1240">
        <f t="shared" si="1"/>
        <v>0</v>
      </c>
      <c r="AB38" s="1217" t="str">
        <f t="shared" si="3"/>
        <v/>
      </c>
      <c r="AC38" s="1217" t="str">
        <f t="shared" si="4"/>
        <v/>
      </c>
    </row>
    <row r="39" spans="2:58" s="1212" customFormat="1" ht="15">
      <c r="B39" s="1227" t="str">
        <f t="shared" si="5"/>
        <v/>
      </c>
      <c r="C39" s="1218"/>
      <c r="D39" s="1213"/>
      <c r="E39" s="1213"/>
      <c r="F39" s="1219"/>
      <c r="G39" s="1213"/>
      <c r="H39" s="1213"/>
      <c r="I39" s="1213"/>
      <c r="J39" s="1213"/>
      <c r="K39" s="1213"/>
      <c r="L39" s="1213"/>
      <c r="M39" s="1214"/>
      <c r="N39" s="1214"/>
      <c r="O39" s="1214"/>
      <c r="P39" s="1214"/>
      <c r="Q39" s="1214"/>
      <c r="R39" s="1220"/>
      <c r="S39" s="1220"/>
      <c r="T39" s="1215" t="str">
        <f>IFERROR(IF($F39="(サ)ZEH_M",VLOOKUP($G39,費用効率性リスト!$F$27:$G$30,2,FALSE),(IF($E$5&gt;0.51,VLOOKUP($F39,費用効率性リスト!$F$4:$H$25,2,FALSE),VLOOKUP($F39,費用効率性リスト!$F$4:$H$25,3,FALSE)))),"")</f>
        <v/>
      </c>
      <c r="U39" s="1221" t="str">
        <f t="shared" si="6"/>
        <v/>
      </c>
      <c r="V39" s="1216"/>
      <c r="W39" s="1216"/>
      <c r="X39" s="1213"/>
      <c r="Y39" s="1213"/>
      <c r="Z39" s="1213"/>
      <c r="AA39" s="1240">
        <f t="shared" si="1"/>
        <v>0</v>
      </c>
      <c r="AB39" s="1217" t="str">
        <f t="shared" si="3"/>
        <v/>
      </c>
      <c r="AC39" s="1217" t="str">
        <f t="shared" si="4"/>
        <v/>
      </c>
    </row>
    <row r="40" spans="2:58" s="1212" customFormat="1" ht="15">
      <c r="B40" s="1227" t="str">
        <f t="shared" si="5"/>
        <v/>
      </c>
      <c r="C40" s="1218"/>
      <c r="D40" s="1213"/>
      <c r="E40" s="1213"/>
      <c r="F40" s="1219"/>
      <c r="G40" s="1213"/>
      <c r="H40" s="1213"/>
      <c r="I40" s="1213"/>
      <c r="J40" s="1213"/>
      <c r="K40" s="1213"/>
      <c r="L40" s="1213"/>
      <c r="M40" s="1214"/>
      <c r="N40" s="1214"/>
      <c r="O40" s="1214"/>
      <c r="P40" s="1214"/>
      <c r="Q40" s="1214"/>
      <c r="R40" s="1220"/>
      <c r="S40" s="1220"/>
      <c r="T40" s="1215" t="str">
        <f>IFERROR(IF($F40="(サ)ZEH_M",VLOOKUP($G40,費用効率性リスト!$F$27:$G$30,2,FALSE),(IF($E$5&gt;0.51,VLOOKUP($F40,費用効率性リスト!$F$4:$H$25,2,FALSE),VLOOKUP($F40,費用効率性リスト!$F$4:$H$25,3,FALSE)))),"")</f>
        <v/>
      </c>
      <c r="U40" s="1221" t="str">
        <f t="shared" si="6"/>
        <v/>
      </c>
      <c r="V40" s="1216"/>
      <c r="W40" s="1216"/>
      <c r="X40" s="1213"/>
      <c r="Y40" s="1213"/>
      <c r="Z40" s="1213"/>
      <c r="AA40" s="1240">
        <f t="shared" si="1"/>
        <v>0</v>
      </c>
      <c r="AB40" s="1217" t="str">
        <f t="shared" ref="AB40" si="7">IFERROR(R40/AA40,"")</f>
        <v/>
      </c>
      <c r="AC40" s="1217" t="str">
        <f t="shared" ref="AC40" si="8">IFERROR(U40/AA40,"")</f>
        <v/>
      </c>
    </row>
    <row r="41" spans="2:58" s="1212" customFormat="1" ht="15">
      <c r="B41" s="1227" t="str">
        <f t="shared" si="5"/>
        <v/>
      </c>
      <c r="C41" s="1218"/>
      <c r="D41" s="1213"/>
      <c r="E41" s="1213"/>
      <c r="F41" s="1219"/>
      <c r="G41" s="1213"/>
      <c r="H41" s="1213"/>
      <c r="I41" s="1213"/>
      <c r="J41" s="1213"/>
      <c r="K41" s="1213"/>
      <c r="L41" s="1213"/>
      <c r="M41" s="1214"/>
      <c r="N41" s="1214"/>
      <c r="O41" s="1214"/>
      <c r="P41" s="1214"/>
      <c r="Q41" s="1214"/>
      <c r="R41" s="1220"/>
      <c r="S41" s="1220"/>
      <c r="T41" s="1215" t="str">
        <f>IFERROR(IF($F41="(サ)ZEH_M",VLOOKUP($G41,費用効率性リスト!$F$27:$G$30,2,FALSE),(IF($E$5&gt;0.51,VLOOKUP($F41,費用効率性リスト!$F$4:$H$25,2,FALSE),VLOOKUP($F41,費用効率性リスト!$F$4:$H$25,3,FALSE)))),"")</f>
        <v/>
      </c>
      <c r="U41" s="1221" t="str">
        <f t="shared" si="6"/>
        <v/>
      </c>
      <c r="V41" s="1216"/>
      <c r="W41" s="1216"/>
      <c r="X41" s="1213"/>
      <c r="Y41" s="1213"/>
      <c r="Z41" s="1213"/>
      <c r="AA41" s="1240">
        <f t="shared" si="1"/>
        <v>0</v>
      </c>
      <c r="AB41" s="1217" t="str">
        <f t="shared" si="3"/>
        <v/>
      </c>
      <c r="AC41" s="1217" t="str">
        <f t="shared" si="4"/>
        <v/>
      </c>
    </row>
    <row r="42" spans="2:58" s="1212" customFormat="1" ht="15">
      <c r="B42" s="1227" t="str">
        <f t="shared" si="5"/>
        <v/>
      </c>
      <c r="C42" s="1218"/>
      <c r="D42" s="1213"/>
      <c r="E42" s="1213"/>
      <c r="F42" s="1219"/>
      <c r="G42" s="1213"/>
      <c r="H42" s="1213"/>
      <c r="I42" s="1213"/>
      <c r="J42" s="1213"/>
      <c r="K42" s="1213"/>
      <c r="L42" s="1213"/>
      <c r="M42" s="1214"/>
      <c r="N42" s="1214"/>
      <c r="O42" s="1214"/>
      <c r="P42" s="1214"/>
      <c r="Q42" s="1214"/>
      <c r="R42" s="1220"/>
      <c r="S42" s="1220"/>
      <c r="T42" s="1215" t="str">
        <f>IFERROR(IF($F42="(サ)ZEH_M",VLOOKUP($G42,費用効率性リスト!$F$27:$G$30,2,FALSE),(IF($E$5&gt;0.51,VLOOKUP($F42,費用効率性リスト!$F$4:$H$25,2,FALSE),VLOOKUP($F42,費用効率性リスト!$F$4:$H$25,3,FALSE)))),"")</f>
        <v/>
      </c>
      <c r="U42" s="1221" t="str">
        <f t="shared" si="6"/>
        <v/>
      </c>
      <c r="V42" s="1216"/>
      <c r="W42" s="1216"/>
      <c r="X42" s="1213"/>
      <c r="Y42" s="1213"/>
      <c r="Z42" s="1213"/>
      <c r="AA42" s="1240">
        <f t="shared" si="1"/>
        <v>0</v>
      </c>
      <c r="AB42" s="1217" t="str">
        <f t="shared" si="3"/>
        <v/>
      </c>
      <c r="AC42" s="1217" t="str">
        <f t="shared" si="4"/>
        <v/>
      </c>
    </row>
    <row r="43" spans="2:58" s="1212" customFormat="1" ht="15">
      <c r="B43" s="1227" t="str">
        <f t="shared" si="5"/>
        <v/>
      </c>
      <c r="C43" s="1218"/>
      <c r="D43" s="1213"/>
      <c r="E43" s="1213"/>
      <c r="F43" s="1219"/>
      <c r="G43" s="1213"/>
      <c r="H43" s="1213"/>
      <c r="I43" s="1213"/>
      <c r="J43" s="1213"/>
      <c r="K43" s="1213"/>
      <c r="L43" s="1213"/>
      <c r="M43" s="1214"/>
      <c r="N43" s="1214"/>
      <c r="O43" s="1214"/>
      <c r="P43" s="1214"/>
      <c r="Q43" s="1214"/>
      <c r="R43" s="1220"/>
      <c r="S43" s="1220"/>
      <c r="T43" s="1215" t="str">
        <f>IFERROR(IF($F43="(サ)ZEH_M",VLOOKUP($G43,費用効率性リスト!$F$27:$G$30,2,FALSE),(IF($E$5&gt;0.51,VLOOKUP($F43,費用効率性リスト!$F$4:$H$25,2,FALSE),VLOOKUP($F43,費用効率性リスト!$F$4:$H$25,3,FALSE)))),"")</f>
        <v/>
      </c>
      <c r="U43" s="1221" t="str">
        <f t="shared" ref="U43" si="9">IFERROR(ROUNDDOWN(S43*IF(T43="定額",1,T43),-3),"")</f>
        <v/>
      </c>
      <c r="V43" s="1216"/>
      <c r="W43" s="1216"/>
      <c r="X43" s="1213"/>
      <c r="Y43" s="1213"/>
      <c r="Z43" s="1213"/>
      <c r="AA43" s="1240">
        <f t="shared" ref="AA43" si="10">Y43*Z43</f>
        <v>0</v>
      </c>
      <c r="AB43" s="1217" t="str">
        <f t="shared" ref="AB43" si="11">IFERROR(R43/AA43,"")</f>
        <v/>
      </c>
      <c r="AC43" s="1217" t="str">
        <f t="shared" ref="AC43" si="12">IFERROR(U43/AA43,"")</f>
        <v/>
      </c>
    </row>
    <row r="44" spans="2:58" s="923" customFormat="1" ht="15">
      <c r="B44" s="1167"/>
      <c r="C44" s="1167"/>
      <c r="D44" s="1168"/>
      <c r="E44" s="1168"/>
      <c r="F44" s="1168"/>
      <c r="G44" s="1168"/>
      <c r="H44" s="1168"/>
      <c r="I44" s="1168"/>
      <c r="J44" s="1168"/>
      <c r="K44" s="1168"/>
      <c r="L44" s="1168"/>
      <c r="M44" s="1168"/>
      <c r="N44" s="1168"/>
      <c r="O44" s="1168"/>
      <c r="P44" s="1168"/>
      <c r="Q44" s="1168"/>
      <c r="R44" s="1165">
        <f ca="1">SUMIF(INDIRECT("$R$11:R"&amp;ROW()-1),"&lt;&gt;#N/A")</f>
        <v>0</v>
      </c>
      <c r="S44" s="1165">
        <f ca="1">SUMIF(INDIRECT("$S$11:S"&amp;ROW()-1),"&lt;&gt;#N/A")</f>
        <v>0</v>
      </c>
      <c r="T44" s="1183"/>
      <c r="U44" s="1165">
        <f ca="1">SUMIF(INDIRECT("$U$11:U"&amp;ROW()-1),"&lt;&gt;#N/A")</f>
        <v>0</v>
      </c>
      <c r="V44" s="1165">
        <f ca="1">SUMIF(INDIRECT("$V$11:V"&amp;ROW()-1),"&lt;&gt;#N/A")</f>
        <v>0</v>
      </c>
      <c r="W44" s="1165">
        <f ca="1">SUMIF(INDIRECT("$W$11:W"&amp;ROW()-1),"&lt;&gt;#N/A")</f>
        <v>0</v>
      </c>
      <c r="X44" s="1165">
        <f ca="1">SUMIF(INDIRECT("$X$11:X"&amp;ROW()-1),"&lt;&gt;#N/A")</f>
        <v>0</v>
      </c>
      <c r="Y44" s="1165">
        <f ca="1">SUMIF(INDIRECT("$Y$11:Y"&amp;ROW()-1),"&lt;&gt;#N/A")</f>
        <v>0</v>
      </c>
      <c r="Z44" s="1183"/>
      <c r="AA44" s="1241">
        <f ca="1">SUMIF(INDIRECT("$AA$11:AA"&amp;ROW()-1),"&lt;&gt;#N/A")</f>
        <v>0</v>
      </c>
      <c r="AB44" s="1165">
        <f ca="1">IFERROR(R44/AA44,0)</f>
        <v>0</v>
      </c>
      <c r="AC44" s="1165">
        <f ca="1">IFERROR(U44/AA44,0)</f>
        <v>0</v>
      </c>
    </row>
    <row r="45" spans="2:58" s="923" customFormat="1" ht="18" customHeight="1">
      <c r="E45" s="924"/>
      <c r="R45" s="925" t="s">
        <v>650</v>
      </c>
      <c r="S45" s="925">
        <f ca="1">S44-S47-S46</f>
        <v>0</v>
      </c>
      <c r="T45" s="925"/>
      <c r="U45" s="925">
        <f ca="1">U44-U47-U46</f>
        <v>0</v>
      </c>
      <c r="Y45" s="925"/>
      <c r="Z45" s="925"/>
      <c r="AA45" s="925"/>
      <c r="AB45" s="926"/>
      <c r="AC45" s="926"/>
      <c r="AD45" s="927"/>
      <c r="AE45" s="927"/>
      <c r="AF45" s="927"/>
      <c r="AG45" s="927"/>
      <c r="AH45" s="927"/>
      <c r="AI45" s="927"/>
      <c r="AJ45" s="927"/>
      <c r="AK45" s="927"/>
      <c r="AL45" s="927"/>
      <c r="AM45" s="927"/>
      <c r="AN45" s="927"/>
      <c r="AO45" s="927"/>
      <c r="AP45" s="927"/>
      <c r="AQ45" s="927"/>
      <c r="AR45" s="927"/>
      <c r="AS45" s="927"/>
      <c r="AT45" s="927"/>
      <c r="AU45" s="927"/>
      <c r="AV45" s="927"/>
      <c r="AW45" s="927"/>
      <c r="AX45" s="927"/>
      <c r="AY45" s="927"/>
      <c r="AZ45" s="927"/>
      <c r="BA45" s="927"/>
      <c r="BB45" s="927"/>
      <c r="BC45" s="927"/>
      <c r="BD45" s="927"/>
      <c r="BE45" s="1250"/>
      <c r="BF45" s="1250"/>
    </row>
    <row r="46" spans="2:58" s="923" customFormat="1" ht="16.149999999999999" customHeight="1">
      <c r="E46" s="924"/>
      <c r="R46" s="925" t="s">
        <v>651</v>
      </c>
      <c r="S46" s="925">
        <f ca="1">SUMIF(INDIRECT("$F$12:$F"&amp;ROW()-3),費用効率性リスト!$F$23,INDIRECT("$S$12:$S"&amp;ROW()-3))</f>
        <v>0</v>
      </c>
      <c r="T46" s="928"/>
      <c r="U46" s="925">
        <f ca="1">SUMIF(INDIRECT("$F$12:$F"&amp;ROW()-3),費用効率性リスト!$F$23,INDIRECT("$U$12:$U"&amp;ROW()-3))</f>
        <v>0</v>
      </c>
      <c r="Y46" s="925"/>
      <c r="Z46" s="925"/>
      <c r="AA46" s="925"/>
      <c r="AB46" s="926"/>
      <c r="AC46" s="926"/>
      <c r="AD46" s="929"/>
      <c r="AE46" s="929"/>
      <c r="AF46" s="929"/>
      <c r="AG46" s="929"/>
      <c r="AH46" s="929"/>
      <c r="AI46" s="929"/>
      <c r="AJ46" s="929"/>
      <c r="AK46" s="929"/>
      <c r="AL46" s="929"/>
      <c r="AM46" s="929"/>
      <c r="AN46" s="929"/>
      <c r="AO46" s="929"/>
      <c r="AP46" s="929"/>
      <c r="AQ46" s="929"/>
      <c r="AR46" s="929"/>
      <c r="AS46" s="929"/>
      <c r="AT46" s="929"/>
      <c r="AU46" s="929"/>
      <c r="AV46" s="929"/>
      <c r="AW46" s="929"/>
      <c r="AX46" s="929"/>
      <c r="AY46" s="929"/>
      <c r="AZ46" s="929"/>
      <c r="BA46" s="929"/>
      <c r="BB46" s="929"/>
      <c r="BC46" s="929"/>
      <c r="BD46" s="929"/>
      <c r="BE46" s="1250"/>
      <c r="BF46" s="1250"/>
    </row>
    <row r="47" spans="2:58" s="923" customFormat="1" ht="16.149999999999999" customHeight="1">
      <c r="E47" s="924"/>
      <c r="R47" s="923" t="s">
        <v>652</v>
      </c>
      <c r="S47" s="930">
        <f ca="1">SUMIF(INDIRECT("$F$12:$F"&amp;ROW()-3),費用効率性リスト!$F$25,INDIRECT("$S$12:$S"&amp;ROW()-3))</f>
        <v>0</v>
      </c>
      <c r="T47" s="931"/>
      <c r="U47" s="930">
        <f ca="1">SUMIF(INDIRECT("$F$12:$F"&amp;ROW()-3),費用効率性リスト!$F$25,INDIRECT("$U$12:$U"&amp;ROW()-3))</f>
        <v>0</v>
      </c>
      <c r="Y47" s="930"/>
      <c r="Z47" s="930"/>
      <c r="AB47" s="932"/>
      <c r="AC47" s="932"/>
      <c r="AD47" s="929"/>
      <c r="AE47" s="929"/>
      <c r="AF47" s="929"/>
      <c r="AG47" s="929"/>
      <c r="AH47" s="929"/>
      <c r="AI47" s="929"/>
      <c r="AJ47" s="929"/>
      <c r="AK47" s="929"/>
      <c r="AL47" s="929"/>
      <c r="AM47" s="929"/>
      <c r="AN47" s="929"/>
      <c r="AO47" s="929"/>
      <c r="AP47" s="929"/>
      <c r="AQ47" s="929"/>
      <c r="AR47" s="929"/>
      <c r="AS47" s="929"/>
      <c r="AT47" s="929"/>
      <c r="AU47" s="929"/>
      <c r="AV47" s="929"/>
      <c r="AW47" s="929"/>
      <c r="AX47" s="929"/>
      <c r="AY47" s="929"/>
      <c r="AZ47" s="929"/>
      <c r="BA47" s="929"/>
      <c r="BB47" s="929"/>
      <c r="BC47" s="929"/>
      <c r="BD47" s="929"/>
      <c r="BE47" s="1250"/>
      <c r="BF47" s="1250"/>
    </row>
    <row r="48" spans="2:58">
      <c r="R48" s="933" t="s">
        <v>653</v>
      </c>
      <c r="S48" s="934" t="str">
        <f ca="1">IFERROR(S46/S45,"")</f>
        <v/>
      </c>
      <c r="U48" s="935"/>
    </row>
    <row r="49" spans="18:21">
      <c r="R49" s="936"/>
      <c r="S49" s="936"/>
    </row>
    <row r="50" spans="18:21">
      <c r="R50" s="936" t="s">
        <v>654</v>
      </c>
      <c r="S50" s="936" t="s">
        <v>655</v>
      </c>
      <c r="T50" s="936" t="s">
        <v>656</v>
      </c>
      <c r="U50" s="936" t="s">
        <v>657</v>
      </c>
    </row>
    <row r="51" spans="18:21">
      <c r="T51" s="936"/>
      <c r="U51" s="936" t="s">
        <v>658</v>
      </c>
    </row>
  </sheetData>
  <sheetProtection algorithmName="SHA-512" hashValue="DtEGPeH5sHSMRlOVZewkage8WvHvGNCK+aBvH7PGzgFxCmkbXt8HSADAIik7xdj6HhygMWENXAl9In0Z0q+NCA==" saltValue="NG76tGZc6IxjeGVevtMHLg==" spinCount="100000" sheet="1" formatCells="0" insertRows="0" deleteRows="0"/>
  <mergeCells count="46">
    <mergeCell ref="AB10:AC10"/>
    <mergeCell ref="K11:K12"/>
    <mergeCell ref="L11:L12"/>
    <mergeCell ref="M11:M12"/>
    <mergeCell ref="N11:N12"/>
    <mergeCell ref="O11:O12"/>
    <mergeCell ref="AA11:AA12"/>
    <mergeCell ref="AB11:AB12"/>
    <mergeCell ref="AC11:AC12"/>
    <mergeCell ref="Q11:Q12"/>
    <mergeCell ref="R11:R12"/>
    <mergeCell ref="W11:W12"/>
    <mergeCell ref="X11:X12"/>
    <mergeCell ref="Y11:Y12"/>
    <mergeCell ref="Z11:Z12"/>
    <mergeCell ref="J11:J12"/>
    <mergeCell ref="W6:X6"/>
    <mergeCell ref="Y6:Z6"/>
    <mergeCell ref="W7:X7"/>
    <mergeCell ref="Y7:Z7"/>
    <mergeCell ref="J10:M10"/>
    <mergeCell ref="P11:P12"/>
    <mergeCell ref="N10:Q10"/>
    <mergeCell ref="R10:W10"/>
    <mergeCell ref="X10:AA10"/>
    <mergeCell ref="R6:S6"/>
    <mergeCell ref="R7:S7"/>
    <mergeCell ref="V11:V12"/>
    <mergeCell ref="B10:B12"/>
    <mergeCell ref="C10:D10"/>
    <mergeCell ref="E10:G10"/>
    <mergeCell ref="H10:H12"/>
    <mergeCell ref="I10:I12"/>
    <mergeCell ref="C11:C12"/>
    <mergeCell ref="D11:D12"/>
    <mergeCell ref="E11:E12"/>
    <mergeCell ref="F11:F12"/>
    <mergeCell ref="G11:G12"/>
    <mergeCell ref="G5:L5"/>
    <mergeCell ref="W5:X5"/>
    <mergeCell ref="Y5:Z5"/>
    <mergeCell ref="G4:L4"/>
    <mergeCell ref="W4:X4"/>
    <mergeCell ref="Y4:Z4"/>
    <mergeCell ref="R4:S4"/>
    <mergeCell ref="R5:S5"/>
  </mergeCells>
  <phoneticPr fontId="1"/>
  <conditionalFormatting sqref="B5:L5">
    <cfRule type="notContainsBlanks" dxfId="2687" priority="6">
      <formula>LEN(TRIM(B5))&gt;0</formula>
    </cfRule>
  </conditionalFormatting>
  <conditionalFormatting sqref="B13:U43">
    <cfRule type="notContainsBlanks" dxfId="2686" priority="8">
      <formula>LEN(TRIM(B13))&gt;0</formula>
    </cfRule>
  </conditionalFormatting>
  <conditionalFormatting sqref="R44:S44">
    <cfRule type="cellIs" dxfId="2685" priority="10" operator="greaterThan">
      <formula>0</formula>
    </cfRule>
  </conditionalFormatting>
  <conditionalFormatting sqref="T5:V7">
    <cfRule type="cellIs" dxfId="2684" priority="1" operator="greaterThan">
      <formula>0</formula>
    </cfRule>
  </conditionalFormatting>
  <conditionalFormatting sqref="U44:Y44">
    <cfRule type="cellIs" dxfId="2683" priority="3" operator="greaterThan">
      <formula>0</formula>
    </cfRule>
  </conditionalFormatting>
  <conditionalFormatting sqref="V14:Z43">
    <cfRule type="notContainsBlanks" dxfId="2682" priority="2">
      <formula>LEN(TRIM(V14))&gt;0</formula>
    </cfRule>
  </conditionalFormatting>
  <conditionalFormatting sqref="W5:Z7">
    <cfRule type="notContainsBlanks" dxfId="2681" priority="14">
      <formula>LEN(TRIM(W5))&gt;0</formula>
    </cfRule>
  </conditionalFormatting>
  <conditionalFormatting sqref="AA13:AA43">
    <cfRule type="cellIs" dxfId="2680" priority="13" operator="greaterThan">
      <formula>0</formula>
    </cfRule>
  </conditionalFormatting>
  <conditionalFormatting sqref="AA44:AC44">
    <cfRule type="cellIs" dxfId="2679" priority="11" operator="greaterThan">
      <formula>0</formula>
    </cfRule>
  </conditionalFormatting>
  <conditionalFormatting sqref="AB13:AC43">
    <cfRule type="notContainsBlanks" dxfId="2678" priority="12">
      <formula>LEN(TRIM(AB13))&gt;0</formula>
    </cfRule>
  </conditionalFormatting>
  <dataValidations count="6">
    <dataValidation type="list" allowBlank="1" showInputMessage="1" showErrorMessage="1" sqref="N13:N43" xr:uid="{4301392D-180B-43A6-8932-E5A14BCC4775}">
      <formula1>$U$50:$U$51</formula1>
    </dataValidation>
    <dataValidation type="list" allowBlank="1" showInputMessage="1" showErrorMessage="1" sqref="M19:M43 O13:Q43" xr:uid="{E5509178-7849-46A6-B8BA-EE561D2BA745}">
      <formula1>$S$50:$S$51</formula1>
    </dataValidation>
    <dataValidation showInputMessage="1" showErrorMessage="1" sqref="AD46:BD46 I27:J43" xr:uid="{DC6A3C19-314F-4B02-A91D-857CB1AED5F6}"/>
    <dataValidation type="list" showInputMessage="1" showErrorMessage="1" sqref="H13:H43" xr:uid="{0A01CEF1-9B07-4249-96C9-BAED3512782C}">
      <formula1>"民生電力,民生電力以外"</formula1>
    </dataValidation>
    <dataValidation type="list" showInputMessage="1" sqref="G13:G43" xr:uid="{7DE4D4B5-8DD5-4EAA-819C-524CA567824E}">
      <formula1>INDIRECT(RIGHT($F13,LEN($F13)-3))</formula1>
    </dataValidation>
    <dataValidation type="list" allowBlank="1" showInputMessage="1" showErrorMessage="1" sqref="F13:F43" xr:uid="{E6D5A4A3-81F2-4327-92C1-E1646341EBBC}">
      <formula1>INDIRECT($E13)</formula1>
    </dataValidation>
  </dataValidations>
  <pageMargins left="0.7" right="0.7" top="0.75" bottom="0.75" header="0.3" footer="0.3"/>
  <pageSetup paperSize="8" scale="36"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r:uid="{7C5D2C03-AF89-46FD-8960-E6762A3F8D89}">
          <x14:formula1>
            <xm:f>費用効率性リスト!$B$4:$B$8</xm:f>
          </x14:formula1>
          <xm:sqref>C13:C43</xm:sqref>
        </x14:dataValidation>
        <x14:dataValidation type="list" showInputMessage="1" showErrorMessage="1" xr:uid="{71E9F36B-250A-40D6-A0C3-641898315BD4}">
          <x14:formula1>
            <xm:f>費用効率性リスト!$D$4:$D$8</xm:f>
          </x14:formula1>
          <xm:sqref>E13:E43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7713E-E5E4-4F2A-8C6A-4555CEC5D443}">
  <sheetPr codeName="Sheet13">
    <tabColor theme="0" tint="-0.14999847407452621"/>
  </sheetPr>
  <dimension ref="B1:AE30"/>
  <sheetViews>
    <sheetView zoomScale="85" zoomScaleNormal="85" workbookViewId="0"/>
  </sheetViews>
  <sheetFormatPr defaultColWidth="8.58203125" defaultRowHeight="18"/>
  <cols>
    <col min="1" max="1" width="1.75" customWidth="1"/>
    <col min="2" max="2" width="24.75" hidden="1" customWidth="1"/>
    <col min="3" max="3" width="20.58203125" hidden="1" customWidth="1"/>
    <col min="4" max="5" width="18.58203125" hidden="1" customWidth="1"/>
    <col min="6" max="6" width="51.33203125" hidden="1" customWidth="1"/>
    <col min="7" max="8" width="12" hidden="1" customWidth="1"/>
    <col min="9" max="9" width="13.33203125" hidden="1" customWidth="1"/>
    <col min="10" max="31" width="19.5" hidden="1" customWidth="1"/>
  </cols>
  <sheetData>
    <row r="1" spans="2:31">
      <c r="J1" s="922"/>
    </row>
    <row r="2" spans="2:31" ht="18.5" thickBot="1"/>
    <row r="3" spans="2:31" s="922" customFormat="1" ht="19.5" customHeight="1">
      <c r="B3" s="944" t="s">
        <v>628</v>
      </c>
      <c r="C3" s="944" t="s">
        <v>6108</v>
      </c>
      <c r="D3" s="944" t="s">
        <v>630</v>
      </c>
      <c r="E3" s="1343" t="s">
        <v>6109</v>
      </c>
      <c r="F3" s="1344"/>
      <c r="G3" s="945" t="s">
        <v>643</v>
      </c>
      <c r="H3" s="945" t="s">
        <v>6110</v>
      </c>
      <c r="I3" s="1035"/>
      <c r="J3" s="1036" t="s">
        <v>6111</v>
      </c>
      <c r="K3" s="1037"/>
      <c r="L3" s="1038"/>
      <c r="M3" s="1038"/>
      <c r="N3" s="1038"/>
      <c r="O3" s="1038"/>
      <c r="P3" s="1038"/>
      <c r="Q3" s="1038"/>
      <c r="R3" s="1038"/>
      <c r="S3" s="1038"/>
      <c r="T3" s="1038"/>
      <c r="U3" s="1038"/>
      <c r="V3" s="1038"/>
      <c r="W3" s="1038"/>
      <c r="X3" s="1038"/>
      <c r="Y3" s="1038"/>
      <c r="Z3" s="1038"/>
      <c r="AA3" s="1038"/>
      <c r="AB3" s="1038"/>
      <c r="AC3" s="1038"/>
      <c r="AD3" s="1038"/>
      <c r="AE3" s="1039"/>
    </row>
    <row r="4" spans="2:31">
      <c r="B4" t="s">
        <v>6112</v>
      </c>
      <c r="C4" s="923" t="s">
        <v>112</v>
      </c>
      <c r="D4" t="s">
        <v>6113</v>
      </c>
      <c r="E4" t="s">
        <v>6113</v>
      </c>
      <c r="F4" s="1040" t="s">
        <v>6114</v>
      </c>
      <c r="G4" s="1041">
        <f t="shared" ref="G4:G12" si="0">2/3</f>
        <v>0.66666666666666663</v>
      </c>
      <c r="H4" s="1042">
        <v>0.66666666666666663</v>
      </c>
      <c r="I4" s="1040"/>
      <c r="J4" s="1043" t="s">
        <v>6114</v>
      </c>
      <c r="K4" s="1044" t="s">
        <v>6115</v>
      </c>
      <c r="L4" s="1044" t="s">
        <v>6116</v>
      </c>
      <c r="M4" s="1044" t="s">
        <v>6117</v>
      </c>
      <c r="N4" s="1044" t="s">
        <v>6118</v>
      </c>
      <c r="O4" s="1044" t="s">
        <v>6119</v>
      </c>
      <c r="P4" s="1044" t="s">
        <v>6120</v>
      </c>
      <c r="Q4" s="1044" t="s">
        <v>6121</v>
      </c>
      <c r="R4" s="1044" t="s">
        <v>6122</v>
      </c>
      <c r="S4" s="1044" t="s">
        <v>6123</v>
      </c>
      <c r="T4" s="1044" t="s">
        <v>6124</v>
      </c>
      <c r="U4" s="1044" t="s">
        <v>6125</v>
      </c>
      <c r="V4" s="1044" t="s">
        <v>6126</v>
      </c>
      <c r="W4" s="1044" t="s">
        <v>6127</v>
      </c>
      <c r="X4" s="1044" t="s">
        <v>6128</v>
      </c>
      <c r="Y4" s="1044" t="s">
        <v>6129</v>
      </c>
      <c r="Z4" s="1044" t="s">
        <v>6130</v>
      </c>
      <c r="AA4" s="1044" t="s">
        <v>6131</v>
      </c>
      <c r="AB4" s="1044" t="s">
        <v>6132</v>
      </c>
      <c r="AC4" s="1044" t="s">
        <v>6133</v>
      </c>
      <c r="AD4" s="1044" t="s">
        <v>6134</v>
      </c>
      <c r="AE4" s="1045" t="s">
        <v>6135</v>
      </c>
    </row>
    <row r="5" spans="2:31">
      <c r="B5" t="s">
        <v>6136</v>
      </c>
      <c r="C5" s="923" t="s">
        <v>122</v>
      </c>
      <c r="D5" t="s">
        <v>6137</v>
      </c>
      <c r="F5" s="1040" t="s">
        <v>6115</v>
      </c>
      <c r="G5" s="1041">
        <f t="shared" si="0"/>
        <v>0.66666666666666663</v>
      </c>
      <c r="H5" s="1042">
        <f t="shared" ref="H5:H11" si="1">3/4</f>
        <v>0.75</v>
      </c>
      <c r="I5" s="1040" t="s">
        <v>6138</v>
      </c>
      <c r="J5" s="1046" t="s">
        <v>6139</v>
      </c>
      <c r="K5" s="1047" t="s">
        <v>6140</v>
      </c>
      <c r="L5" s="1047" t="s">
        <v>6141</v>
      </c>
      <c r="M5" s="1047" t="s">
        <v>6142</v>
      </c>
      <c r="N5" s="1047" t="s">
        <v>6143</v>
      </c>
      <c r="O5" s="1047" t="s">
        <v>6144</v>
      </c>
      <c r="P5" s="1047" t="s">
        <v>6145</v>
      </c>
      <c r="Q5" s="1047" t="s">
        <v>6146</v>
      </c>
      <c r="R5" s="1047" t="s">
        <v>6147</v>
      </c>
      <c r="S5" s="1047" t="s">
        <v>6148</v>
      </c>
      <c r="T5" s="1047" t="s">
        <v>6149</v>
      </c>
      <c r="U5" s="1047" t="s">
        <v>6150</v>
      </c>
      <c r="V5" s="1047" t="s">
        <v>6151</v>
      </c>
      <c r="W5" s="1047" t="s">
        <v>6152</v>
      </c>
      <c r="X5" s="1047" t="s">
        <v>6153</v>
      </c>
      <c r="Y5" s="1047" t="s">
        <v>6154</v>
      </c>
      <c r="Z5" s="1047" t="s">
        <v>6155</v>
      </c>
      <c r="AA5" s="1047" t="s">
        <v>6156</v>
      </c>
      <c r="AB5" s="1047" t="s">
        <v>6157</v>
      </c>
      <c r="AC5" s="1047" t="s">
        <v>6158</v>
      </c>
      <c r="AD5" s="1047" t="s">
        <v>6159</v>
      </c>
      <c r="AE5" s="1048" t="s">
        <v>6160</v>
      </c>
    </row>
    <row r="6" spans="2:31">
      <c r="B6" t="s">
        <v>6161</v>
      </c>
      <c r="C6" s="923"/>
      <c r="D6" t="s">
        <v>6162</v>
      </c>
      <c r="F6" s="1040" t="s">
        <v>6116</v>
      </c>
      <c r="G6" s="1041">
        <f t="shared" si="0"/>
        <v>0.66666666666666663</v>
      </c>
      <c r="H6" s="1042">
        <f t="shared" si="1"/>
        <v>0.75</v>
      </c>
      <c r="I6" s="1040"/>
      <c r="J6" s="1049" t="s">
        <v>6163</v>
      </c>
      <c r="K6" t="s">
        <v>6164</v>
      </c>
      <c r="L6" t="s">
        <v>6165</v>
      </c>
      <c r="M6" t="s">
        <v>6166</v>
      </c>
      <c r="N6" t="s">
        <v>6167</v>
      </c>
      <c r="O6" t="s">
        <v>6168</v>
      </c>
      <c r="P6" t="s">
        <v>6169</v>
      </c>
      <c r="Q6" t="s">
        <v>6170</v>
      </c>
      <c r="R6" t="s">
        <v>6171</v>
      </c>
      <c r="S6" t="s">
        <v>6148</v>
      </c>
      <c r="T6" t="s">
        <v>6172</v>
      </c>
      <c r="U6" t="s">
        <v>6173</v>
      </c>
      <c r="V6" t="s">
        <v>6174</v>
      </c>
      <c r="W6" t="s">
        <v>6175</v>
      </c>
      <c r="X6" t="s">
        <v>6176</v>
      </c>
      <c r="Y6" t="s">
        <v>6177</v>
      </c>
      <c r="Z6" t="s">
        <v>6155</v>
      </c>
      <c r="AA6" t="s">
        <v>6178</v>
      </c>
      <c r="AB6" t="s">
        <v>6179</v>
      </c>
      <c r="AC6" t="s">
        <v>6180</v>
      </c>
      <c r="AD6" t="s">
        <v>6180</v>
      </c>
      <c r="AE6" s="1050" t="s">
        <v>6180</v>
      </c>
    </row>
    <row r="7" spans="2:31">
      <c r="B7" t="s">
        <v>6181</v>
      </c>
      <c r="D7" t="s">
        <v>6182</v>
      </c>
      <c r="E7" t="s">
        <v>6137</v>
      </c>
      <c r="F7" s="1040" t="s">
        <v>6117</v>
      </c>
      <c r="G7" s="1041">
        <f t="shared" si="0"/>
        <v>0.66666666666666663</v>
      </c>
      <c r="H7" s="1042">
        <f t="shared" si="1"/>
        <v>0.75</v>
      </c>
      <c r="I7" s="1040"/>
      <c r="J7" s="1049" t="s">
        <v>6107</v>
      </c>
      <c r="K7" t="s">
        <v>6183</v>
      </c>
      <c r="L7" t="s">
        <v>6184</v>
      </c>
      <c r="M7" t="s">
        <v>6185</v>
      </c>
      <c r="N7" t="s">
        <v>6186</v>
      </c>
      <c r="O7" t="s">
        <v>6187</v>
      </c>
      <c r="P7" t="s">
        <v>6188</v>
      </c>
      <c r="Q7" t="s">
        <v>6189</v>
      </c>
      <c r="R7" t="s">
        <v>6190</v>
      </c>
      <c r="S7" t="s">
        <v>6191</v>
      </c>
      <c r="T7" t="s">
        <v>6192</v>
      </c>
      <c r="U7" t="s">
        <v>6193</v>
      </c>
      <c r="V7" t="s">
        <v>6194</v>
      </c>
      <c r="AB7" t="s">
        <v>6195</v>
      </c>
      <c r="AE7" s="1050"/>
    </row>
    <row r="8" spans="2:31">
      <c r="B8" t="s">
        <v>6196</v>
      </c>
      <c r="D8" t="s">
        <v>6197</v>
      </c>
      <c r="F8" s="1040" t="s">
        <v>6118</v>
      </c>
      <c r="G8" s="1041">
        <f t="shared" si="0"/>
        <v>0.66666666666666663</v>
      </c>
      <c r="H8" s="1042">
        <f t="shared" si="1"/>
        <v>0.75</v>
      </c>
      <c r="I8" s="1040"/>
      <c r="J8" s="1049" t="s">
        <v>6198</v>
      </c>
      <c r="K8" t="s">
        <v>6199</v>
      </c>
      <c r="L8" t="s">
        <v>6200</v>
      </c>
      <c r="M8" t="s">
        <v>6201</v>
      </c>
      <c r="N8" t="s">
        <v>6202</v>
      </c>
      <c r="O8" t="s">
        <v>6203</v>
      </c>
      <c r="P8" t="s">
        <v>6204</v>
      </c>
      <c r="Q8" t="s">
        <v>6205</v>
      </c>
      <c r="R8" t="s">
        <v>6206</v>
      </c>
      <c r="S8" t="s">
        <v>6207</v>
      </c>
      <c r="T8" t="s">
        <v>6208</v>
      </c>
      <c r="AB8" t="s">
        <v>6209</v>
      </c>
      <c r="AE8" s="1050"/>
    </row>
    <row r="9" spans="2:31">
      <c r="F9" s="1040" t="s">
        <v>6119</v>
      </c>
      <c r="G9" s="1041" t="s">
        <v>6210</v>
      </c>
      <c r="H9" s="1041" t="s">
        <v>6210</v>
      </c>
      <c r="I9" s="1040"/>
      <c r="J9" s="1049" t="s">
        <v>6211</v>
      </c>
      <c r="K9" t="s">
        <v>6212</v>
      </c>
      <c r="L9" t="s">
        <v>6213</v>
      </c>
      <c r="M9" t="s">
        <v>6214</v>
      </c>
      <c r="N9" t="s">
        <v>6215</v>
      </c>
      <c r="Q9" t="s">
        <v>6216</v>
      </c>
      <c r="R9" t="s">
        <v>6217</v>
      </c>
      <c r="S9" t="s">
        <v>6218</v>
      </c>
      <c r="T9" t="s">
        <v>6219</v>
      </c>
      <c r="AB9" t="s">
        <v>6220</v>
      </c>
      <c r="AE9" s="1050"/>
    </row>
    <row r="10" spans="2:31">
      <c r="F10" s="1040" t="s">
        <v>6120</v>
      </c>
      <c r="G10" s="1041">
        <f t="shared" si="0"/>
        <v>0.66666666666666663</v>
      </c>
      <c r="H10" s="1042">
        <f t="shared" si="1"/>
        <v>0.75</v>
      </c>
      <c r="I10" s="1040"/>
      <c r="J10" s="1049" t="s">
        <v>6216</v>
      </c>
      <c r="K10" t="s">
        <v>6221</v>
      </c>
      <c r="L10" t="s">
        <v>6222</v>
      </c>
      <c r="M10" t="s">
        <v>6216</v>
      </c>
      <c r="N10" t="s">
        <v>6216</v>
      </c>
      <c r="R10" t="s">
        <v>6216</v>
      </c>
      <c r="AB10" t="s">
        <v>6223</v>
      </c>
      <c r="AE10" s="1050"/>
    </row>
    <row r="11" spans="2:31">
      <c r="F11" s="1040" t="s">
        <v>6121</v>
      </c>
      <c r="G11" s="1041">
        <f t="shared" si="0"/>
        <v>0.66666666666666663</v>
      </c>
      <c r="H11" s="1042">
        <f t="shared" si="1"/>
        <v>0.75</v>
      </c>
      <c r="I11" s="1040"/>
      <c r="J11" s="1049"/>
      <c r="K11" t="s">
        <v>6224</v>
      </c>
      <c r="L11" t="s">
        <v>6225</v>
      </c>
      <c r="AB11" t="s">
        <v>6226</v>
      </c>
      <c r="AE11" s="1050"/>
    </row>
    <row r="12" spans="2:31">
      <c r="E12" t="s">
        <v>6162</v>
      </c>
      <c r="F12" s="1040" t="s">
        <v>6122</v>
      </c>
      <c r="G12" s="1041">
        <f t="shared" si="0"/>
        <v>0.66666666666666663</v>
      </c>
      <c r="H12" s="1041">
        <f>2/3</f>
        <v>0.66666666666666663</v>
      </c>
      <c r="I12" s="1040"/>
      <c r="J12" s="1049"/>
      <c r="K12" t="s">
        <v>6227</v>
      </c>
      <c r="L12" t="s">
        <v>6228</v>
      </c>
      <c r="AB12" t="s">
        <v>6229</v>
      </c>
      <c r="AE12" s="1050"/>
    </row>
    <row r="13" spans="2:31">
      <c r="F13" s="1040" t="s">
        <v>6123</v>
      </c>
      <c r="G13" s="1041" t="s">
        <v>6210</v>
      </c>
      <c r="H13" s="1041" t="s">
        <v>6210</v>
      </c>
      <c r="I13" s="1040"/>
      <c r="J13" s="1049"/>
      <c r="K13" t="s">
        <v>6230</v>
      </c>
      <c r="L13" t="s">
        <v>6216</v>
      </c>
      <c r="AB13" t="s">
        <v>6231</v>
      </c>
      <c r="AE13" s="1050"/>
    </row>
    <row r="14" spans="2:31">
      <c r="F14" s="1040" t="s">
        <v>6232</v>
      </c>
      <c r="G14" s="1041"/>
      <c r="H14" s="1041"/>
      <c r="I14" s="1040"/>
      <c r="J14" s="1049"/>
      <c r="K14" t="s">
        <v>6233</v>
      </c>
      <c r="AB14" t="s">
        <v>6234</v>
      </c>
      <c r="AE14" s="1050"/>
    </row>
    <row r="15" spans="2:31">
      <c r="F15" s="1040" t="s">
        <v>6235</v>
      </c>
      <c r="G15" s="1041" t="s">
        <v>6210</v>
      </c>
      <c r="H15" s="1041" t="s">
        <v>6210</v>
      </c>
      <c r="I15" s="1040"/>
      <c r="J15" s="1049"/>
      <c r="K15" t="s">
        <v>6236</v>
      </c>
      <c r="AB15" t="s">
        <v>6237</v>
      </c>
      <c r="AE15" s="1050"/>
    </row>
    <row r="16" spans="2:31">
      <c r="F16" s="1040" t="s">
        <v>6126</v>
      </c>
      <c r="G16" s="1041">
        <f>2/3</f>
        <v>0.66666666666666663</v>
      </c>
      <c r="H16" s="1041">
        <f>2/3</f>
        <v>0.66666666666666663</v>
      </c>
      <c r="I16" s="1040"/>
      <c r="J16" s="1049"/>
      <c r="K16" t="s">
        <v>6238</v>
      </c>
      <c r="AB16" t="s">
        <v>6239</v>
      </c>
      <c r="AE16" s="1050"/>
    </row>
    <row r="17" spans="5:31">
      <c r="F17" s="1040" t="s">
        <v>6127</v>
      </c>
      <c r="G17" s="1041" t="s">
        <v>6210</v>
      </c>
      <c r="H17" s="1041" t="s">
        <v>6210</v>
      </c>
      <c r="I17" s="1040"/>
      <c r="J17" s="1049"/>
      <c r="K17" t="s">
        <v>6240</v>
      </c>
      <c r="AB17" t="s">
        <v>6241</v>
      </c>
      <c r="AE17" s="1050"/>
    </row>
    <row r="18" spans="5:31">
      <c r="F18" s="1040" t="s">
        <v>6128</v>
      </c>
      <c r="G18" s="1041">
        <f t="shared" ref="G18:H24" si="2">2/3</f>
        <v>0.66666666666666663</v>
      </c>
      <c r="H18" s="1041">
        <f t="shared" si="2"/>
        <v>0.66666666666666663</v>
      </c>
      <c r="I18" s="1040"/>
      <c r="J18" s="1049"/>
      <c r="K18" t="s">
        <v>6242</v>
      </c>
      <c r="AB18" t="s">
        <v>6216</v>
      </c>
      <c r="AE18" s="1050"/>
    </row>
    <row r="19" spans="5:31">
      <c r="F19" s="1040" t="s">
        <v>6129</v>
      </c>
      <c r="G19" s="1041">
        <f t="shared" si="2"/>
        <v>0.66666666666666663</v>
      </c>
      <c r="H19" s="1041">
        <f t="shared" si="2"/>
        <v>0.66666666666666663</v>
      </c>
      <c r="I19" s="1040"/>
      <c r="J19" s="1049"/>
      <c r="K19" t="s">
        <v>6243</v>
      </c>
      <c r="AE19" s="1050"/>
    </row>
    <row r="20" spans="5:31">
      <c r="F20" s="1040" t="s">
        <v>6130</v>
      </c>
      <c r="G20" s="1041">
        <f t="shared" si="2"/>
        <v>0.66666666666666663</v>
      </c>
      <c r="H20" s="1041">
        <f t="shared" si="2"/>
        <v>0.66666666666666663</v>
      </c>
      <c r="I20" s="1040"/>
      <c r="J20" s="1049"/>
      <c r="K20" t="s">
        <v>6244</v>
      </c>
      <c r="AE20" s="1050"/>
    </row>
    <row r="21" spans="5:31">
      <c r="F21" s="1040" t="s">
        <v>6131</v>
      </c>
      <c r="G21" s="1041">
        <f t="shared" si="2"/>
        <v>0.66666666666666663</v>
      </c>
      <c r="H21" s="1041">
        <f t="shared" si="2"/>
        <v>0.66666666666666663</v>
      </c>
      <c r="I21" s="1040"/>
      <c r="J21" s="1049"/>
      <c r="K21" t="s">
        <v>6245</v>
      </c>
      <c r="AE21" s="1050"/>
    </row>
    <row r="22" spans="5:31" ht="18.5" thickBot="1">
      <c r="F22" s="1040" t="s">
        <v>6246</v>
      </c>
      <c r="G22" s="1041">
        <f t="shared" si="2"/>
        <v>0.66666666666666663</v>
      </c>
      <c r="H22" s="1041">
        <f t="shared" si="2"/>
        <v>0.66666666666666663</v>
      </c>
      <c r="I22" s="1040"/>
      <c r="J22" s="1051"/>
      <c r="K22" s="81" t="s">
        <v>6216</v>
      </c>
      <c r="L22" s="81"/>
      <c r="M22" s="81"/>
      <c r="N22" s="81"/>
      <c r="O22" s="81"/>
      <c r="P22" s="81"/>
      <c r="Q22" s="81"/>
      <c r="R22" s="81"/>
      <c r="S22" s="81"/>
      <c r="T22" s="81"/>
      <c r="U22" s="81"/>
      <c r="V22" s="81"/>
      <c r="W22" s="81"/>
      <c r="X22" s="81"/>
      <c r="Y22" s="81"/>
      <c r="Z22" s="81"/>
      <c r="AA22" s="81"/>
      <c r="AB22" s="81"/>
      <c r="AC22" s="81"/>
      <c r="AD22" s="81"/>
      <c r="AE22" s="1052"/>
    </row>
    <row r="23" spans="5:31">
      <c r="E23" t="s">
        <v>6182</v>
      </c>
      <c r="F23" s="1040" t="s">
        <v>6133</v>
      </c>
      <c r="G23" s="1041">
        <f t="shared" si="2"/>
        <v>0.66666666666666663</v>
      </c>
      <c r="H23" s="1041">
        <f t="shared" si="2"/>
        <v>0.66666666666666663</v>
      </c>
      <c r="I23" s="1040"/>
    </row>
    <row r="24" spans="5:31">
      <c r="E24" t="s">
        <v>6197</v>
      </c>
      <c r="F24" s="1040" t="s">
        <v>6134</v>
      </c>
      <c r="G24" s="1041">
        <f t="shared" si="2"/>
        <v>0.66666666666666663</v>
      </c>
      <c r="H24" s="1041">
        <f t="shared" si="2"/>
        <v>0.66666666666666663</v>
      </c>
      <c r="I24" s="1040"/>
    </row>
    <row r="25" spans="5:31">
      <c r="F25" s="1040" t="s">
        <v>6135</v>
      </c>
      <c r="G25" s="1041" t="s">
        <v>6210</v>
      </c>
      <c r="H25" s="1041" t="s">
        <v>6210</v>
      </c>
      <c r="I25" s="1040"/>
    </row>
    <row r="27" spans="5:31">
      <c r="F27" t="s">
        <v>6172</v>
      </c>
      <c r="G27" s="1041" t="s">
        <v>6210</v>
      </c>
      <c r="H27" s="1041" t="s">
        <v>6210</v>
      </c>
      <c r="I27" s="1040"/>
    </row>
    <row r="28" spans="5:31">
      <c r="F28" t="s">
        <v>6192</v>
      </c>
      <c r="G28" s="1041">
        <f>2/3</f>
        <v>0.66666666666666663</v>
      </c>
      <c r="H28" s="1041">
        <f>2/3</f>
        <v>0.66666666666666663</v>
      </c>
    </row>
    <row r="29" spans="5:31">
      <c r="F29" t="s">
        <v>6208</v>
      </c>
      <c r="G29" s="1041" t="s">
        <v>6210</v>
      </c>
      <c r="H29" s="1041" t="s">
        <v>6210</v>
      </c>
    </row>
    <row r="30" spans="5:31">
      <c r="F30" t="s">
        <v>6247</v>
      </c>
      <c r="G30" s="1041" t="s">
        <v>6248</v>
      </c>
      <c r="H30" s="1041" t="s">
        <v>6248</v>
      </c>
    </row>
  </sheetData>
  <sheetProtection algorithmName="SHA-512" hashValue="RiFbfOqWm0AAVW7aGezdaHtsaPbXDGRLv0wr5LIWj05NuA6p5ctLN3KEyJtw9z7D+6Q6w0rqxeAUUD0fgJwaUQ==" saltValue="gENrOiqmfqAqELit/rn/fg==" spinCount="100000" sheet="1" objects="1" scenarios="1"/>
  <mergeCells count="1">
    <mergeCell ref="E3:F3"/>
  </mergeCells>
  <phoneticPr fontId="1"/>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F782-236C-4C97-9F66-15C78201F95B}">
  <sheetPr codeName="Sheet14">
    <tabColor theme="0" tint="-0.14999847407452621"/>
  </sheetPr>
  <dimension ref="A1:L1795"/>
  <sheetViews>
    <sheetView topLeftCell="K1" workbookViewId="0">
      <selection sqref="A1:J1"/>
    </sheetView>
  </sheetViews>
  <sheetFormatPr defaultColWidth="9" defaultRowHeight="18"/>
  <cols>
    <col min="1" max="1" width="11.58203125" style="956" hidden="1" customWidth="1"/>
    <col min="2" max="2" width="12.83203125" style="956" hidden="1" customWidth="1"/>
    <col min="3" max="4" width="17" style="956" hidden="1" customWidth="1"/>
    <col min="5" max="5" width="11.58203125" style="956" hidden="1" customWidth="1"/>
    <col min="6" max="6" width="12.83203125" style="956" hidden="1" customWidth="1"/>
    <col min="7" max="7" width="16.33203125" style="956" hidden="1" customWidth="1"/>
    <col min="8" max="10" width="0" style="956" hidden="1" customWidth="1"/>
    <col min="11" max="16384" width="9" style="956"/>
  </cols>
  <sheetData>
    <row r="1" spans="1:10" ht="36">
      <c r="A1" s="968" t="s">
        <v>6068</v>
      </c>
      <c r="B1" s="967" t="s">
        <v>6071</v>
      </c>
      <c r="C1" s="967" t="s">
        <v>6070</v>
      </c>
      <c r="D1" s="967" t="s">
        <v>6069</v>
      </c>
      <c r="E1" s="968" t="s">
        <v>6068</v>
      </c>
      <c r="F1" s="967" t="s">
        <v>6067</v>
      </c>
      <c r="G1" s="967" t="s">
        <v>6066</v>
      </c>
    </row>
    <row r="2" spans="1:10">
      <c r="A2" s="960" t="s">
        <v>6065</v>
      </c>
      <c r="B2" s="960" t="s">
        <v>6025</v>
      </c>
      <c r="C2" s="960" t="s">
        <v>6025</v>
      </c>
      <c r="D2" s="960" t="str">
        <f>B2&amp;C2</f>
        <v>北海道北海道</v>
      </c>
      <c r="E2" s="960" t="s">
        <v>6065</v>
      </c>
      <c r="F2" s="959" t="s">
        <v>5516</v>
      </c>
      <c r="G2" s="958"/>
      <c r="H2" s="956">
        <v>1</v>
      </c>
      <c r="I2" s="956" t="s">
        <v>5934</v>
      </c>
      <c r="J2" s="956" t="s">
        <v>5519</v>
      </c>
    </row>
    <row r="3" spans="1:10">
      <c r="A3" s="957" t="s">
        <v>6064</v>
      </c>
      <c r="B3" s="957" t="s">
        <v>5519</v>
      </c>
      <c r="C3" s="957" t="s">
        <v>5913</v>
      </c>
      <c r="D3" s="957" t="str">
        <f t="shared" ref="D3:D66" si="0">B3&amp;C3</f>
        <v>北海道札幌市</v>
      </c>
      <c r="E3" s="957" t="s">
        <v>6064</v>
      </c>
      <c r="F3" s="957" t="s">
        <v>5516</v>
      </c>
      <c r="G3" s="957" t="s">
        <v>6063</v>
      </c>
      <c r="H3" s="956">
        <v>2</v>
      </c>
      <c r="I3" s="956" t="s">
        <v>5934</v>
      </c>
      <c r="J3" s="956" t="s">
        <v>5396</v>
      </c>
    </row>
    <row r="4" spans="1:10">
      <c r="A4" s="957" t="s">
        <v>6062</v>
      </c>
      <c r="B4" s="957" t="s">
        <v>5519</v>
      </c>
      <c r="C4" s="957" t="s">
        <v>5781</v>
      </c>
      <c r="D4" s="957" t="str">
        <f t="shared" si="0"/>
        <v>北海道函館市</v>
      </c>
      <c r="E4" s="957" t="s">
        <v>6062</v>
      </c>
      <c r="F4" s="957" t="s">
        <v>5516</v>
      </c>
      <c r="G4" s="957" t="s">
        <v>6061</v>
      </c>
      <c r="H4" s="956">
        <v>3</v>
      </c>
      <c r="I4" s="956" t="s">
        <v>5934</v>
      </c>
      <c r="J4" s="956" t="s">
        <v>5292</v>
      </c>
    </row>
    <row r="5" spans="1:10">
      <c r="A5" s="957" t="s">
        <v>6059</v>
      </c>
      <c r="B5" s="957" t="s">
        <v>5519</v>
      </c>
      <c r="C5" s="957" t="s">
        <v>6060</v>
      </c>
      <c r="D5" s="957" t="str">
        <f t="shared" si="0"/>
        <v>北海道小樽市</v>
      </c>
      <c r="E5" s="957" t="s">
        <v>6059</v>
      </c>
      <c r="F5" s="957" t="s">
        <v>5516</v>
      </c>
      <c r="G5" s="957" t="s">
        <v>6058</v>
      </c>
      <c r="H5" s="956">
        <v>4</v>
      </c>
      <c r="I5" s="956" t="s">
        <v>5934</v>
      </c>
      <c r="J5" s="956" t="s">
        <v>5186</v>
      </c>
    </row>
    <row r="6" spans="1:10">
      <c r="A6" s="957" t="s">
        <v>6057</v>
      </c>
      <c r="B6" s="957" t="s">
        <v>5519</v>
      </c>
      <c r="C6" s="957" t="s">
        <v>5814</v>
      </c>
      <c r="D6" s="957" t="str">
        <f t="shared" si="0"/>
        <v>北海道旭川市</v>
      </c>
      <c r="E6" s="957" t="s">
        <v>6057</v>
      </c>
      <c r="F6" s="957" t="s">
        <v>5516</v>
      </c>
      <c r="G6" s="957" t="s">
        <v>6056</v>
      </c>
      <c r="H6" s="956">
        <v>5</v>
      </c>
      <c r="I6" s="956" t="s">
        <v>5934</v>
      </c>
      <c r="J6" s="956" t="s">
        <v>5108</v>
      </c>
    </row>
    <row r="7" spans="1:10">
      <c r="A7" s="957" t="s">
        <v>6054</v>
      </c>
      <c r="B7" s="957" t="s">
        <v>5519</v>
      </c>
      <c r="C7" s="957" t="s">
        <v>6055</v>
      </c>
      <c r="D7" s="957" t="str">
        <f t="shared" si="0"/>
        <v>北海道室蘭市</v>
      </c>
      <c r="E7" s="957" t="s">
        <v>6054</v>
      </c>
      <c r="F7" s="957" t="s">
        <v>5516</v>
      </c>
      <c r="G7" s="957" t="s">
        <v>6053</v>
      </c>
      <c r="H7" s="956">
        <v>6</v>
      </c>
      <c r="I7" s="956" t="s">
        <v>5934</v>
      </c>
      <c r="J7" s="956" t="s">
        <v>5006</v>
      </c>
    </row>
    <row r="8" spans="1:10">
      <c r="A8" s="957" t="s">
        <v>6051</v>
      </c>
      <c r="B8" s="957" t="s">
        <v>5519</v>
      </c>
      <c r="C8" s="957" t="s">
        <v>6052</v>
      </c>
      <c r="D8" s="957" t="str">
        <f t="shared" si="0"/>
        <v>北海道釧路市</v>
      </c>
      <c r="E8" s="957" t="s">
        <v>6051</v>
      </c>
      <c r="F8" s="957" t="s">
        <v>5516</v>
      </c>
      <c r="G8" s="957" t="s">
        <v>6050</v>
      </c>
      <c r="H8" s="956">
        <v>7</v>
      </c>
      <c r="I8" s="956" t="s">
        <v>5934</v>
      </c>
      <c r="J8" s="956" t="s">
        <v>4826</v>
      </c>
    </row>
    <row r="9" spans="1:10">
      <c r="A9" s="957" t="s">
        <v>6048</v>
      </c>
      <c r="B9" s="957" t="s">
        <v>5519</v>
      </c>
      <c r="C9" s="957" t="s">
        <v>6049</v>
      </c>
      <c r="D9" s="957" t="str">
        <f t="shared" si="0"/>
        <v>北海道帯広市</v>
      </c>
      <c r="E9" s="957" t="s">
        <v>6048</v>
      </c>
      <c r="F9" s="957" t="s">
        <v>5516</v>
      </c>
      <c r="G9" s="957" t="s">
        <v>6047</v>
      </c>
      <c r="H9" s="956">
        <v>8</v>
      </c>
      <c r="I9" s="956" t="s">
        <v>5934</v>
      </c>
      <c r="J9" s="956" t="s">
        <v>4691</v>
      </c>
    </row>
    <row r="10" spans="1:10">
      <c r="A10" s="957" t="s">
        <v>6045</v>
      </c>
      <c r="B10" s="957" t="s">
        <v>5519</v>
      </c>
      <c r="C10" s="957" t="s">
        <v>6046</v>
      </c>
      <c r="D10" s="957" t="str">
        <f t="shared" si="0"/>
        <v>北海道北見市</v>
      </c>
      <c r="E10" s="957" t="s">
        <v>6045</v>
      </c>
      <c r="F10" s="957" t="s">
        <v>5516</v>
      </c>
      <c r="G10" s="957" t="s">
        <v>6044</v>
      </c>
      <c r="H10" s="956">
        <v>9</v>
      </c>
      <c r="I10" s="956" t="s">
        <v>5934</v>
      </c>
      <c r="J10" s="956" t="s">
        <v>4612</v>
      </c>
    </row>
    <row r="11" spans="1:10">
      <c r="A11" s="957" t="s">
        <v>6042</v>
      </c>
      <c r="B11" s="957" t="s">
        <v>5519</v>
      </c>
      <c r="C11" s="957" t="s">
        <v>6043</v>
      </c>
      <c r="D11" s="957" t="str">
        <f t="shared" si="0"/>
        <v>北海道夕張市</v>
      </c>
      <c r="E11" s="957" t="s">
        <v>6042</v>
      </c>
      <c r="F11" s="957" t="s">
        <v>5516</v>
      </c>
      <c r="G11" s="957" t="s">
        <v>6041</v>
      </c>
      <c r="H11" s="956">
        <v>10</v>
      </c>
      <c r="I11" s="956" t="s">
        <v>5934</v>
      </c>
      <c r="J11" s="956" t="s">
        <v>4506</v>
      </c>
    </row>
    <row r="12" spans="1:10">
      <c r="A12" s="957" t="s">
        <v>6039</v>
      </c>
      <c r="B12" s="957" t="s">
        <v>5519</v>
      </c>
      <c r="C12" s="957" t="s">
        <v>6040</v>
      </c>
      <c r="D12" s="957" t="str">
        <f t="shared" si="0"/>
        <v>北海道岩見沢市</v>
      </c>
      <c r="E12" s="957" t="s">
        <v>6039</v>
      </c>
      <c r="F12" s="957" t="s">
        <v>5516</v>
      </c>
      <c r="G12" s="957" t="s">
        <v>6038</v>
      </c>
      <c r="H12" s="956">
        <v>11</v>
      </c>
      <c r="I12" s="956" t="s">
        <v>5934</v>
      </c>
      <c r="J12" s="956" t="s">
        <v>4314</v>
      </c>
    </row>
    <row r="13" spans="1:10">
      <c r="A13" s="957" t="s">
        <v>6036</v>
      </c>
      <c r="B13" s="957" t="s">
        <v>5519</v>
      </c>
      <c r="C13" s="957" t="s">
        <v>6037</v>
      </c>
      <c r="D13" s="957" t="str">
        <f t="shared" si="0"/>
        <v>北海道網走市</v>
      </c>
      <c r="E13" s="957" t="s">
        <v>6036</v>
      </c>
      <c r="F13" s="957" t="s">
        <v>5516</v>
      </c>
      <c r="G13" s="957" t="s">
        <v>6035</v>
      </c>
      <c r="H13" s="956">
        <v>12</v>
      </c>
      <c r="I13" s="956" t="s">
        <v>5934</v>
      </c>
      <c r="J13" s="956" t="s">
        <v>4147</v>
      </c>
    </row>
    <row r="14" spans="1:10">
      <c r="A14" s="957" t="s">
        <v>6033</v>
      </c>
      <c r="B14" s="957" t="s">
        <v>5519</v>
      </c>
      <c r="C14" s="957" t="s">
        <v>6034</v>
      </c>
      <c r="D14" s="957" t="str">
        <f t="shared" si="0"/>
        <v>北海道留萌市</v>
      </c>
      <c r="E14" s="957" t="s">
        <v>6033</v>
      </c>
      <c r="F14" s="957" t="s">
        <v>5516</v>
      </c>
      <c r="G14" s="957" t="s">
        <v>6032</v>
      </c>
      <c r="H14" s="956">
        <v>13</v>
      </c>
      <c r="I14" s="956" t="s">
        <v>5934</v>
      </c>
      <c r="J14" s="956" t="s">
        <v>3959</v>
      </c>
    </row>
    <row r="15" spans="1:10">
      <c r="A15" s="957" t="s">
        <v>6030</v>
      </c>
      <c r="B15" s="957" t="s">
        <v>5519</v>
      </c>
      <c r="C15" s="957" t="s">
        <v>6031</v>
      </c>
      <c r="D15" s="957" t="str">
        <f t="shared" si="0"/>
        <v>北海道苫小牧市</v>
      </c>
      <c r="E15" s="957" t="s">
        <v>6030</v>
      </c>
      <c r="F15" s="957" t="s">
        <v>5516</v>
      </c>
      <c r="G15" s="957" t="s">
        <v>6029</v>
      </c>
      <c r="H15" s="956">
        <v>14</v>
      </c>
      <c r="I15" s="956" t="s">
        <v>5934</v>
      </c>
      <c r="J15" s="956" t="s">
        <v>3855</v>
      </c>
    </row>
    <row r="16" spans="1:10">
      <c r="A16" s="957" t="s">
        <v>6027</v>
      </c>
      <c r="B16" s="957" t="s">
        <v>5519</v>
      </c>
      <c r="C16" s="957" t="s">
        <v>6028</v>
      </c>
      <c r="D16" s="957" t="str">
        <f t="shared" si="0"/>
        <v>北海道稚内市</v>
      </c>
      <c r="E16" s="957" t="s">
        <v>6027</v>
      </c>
      <c r="F16" s="957" t="s">
        <v>5516</v>
      </c>
      <c r="G16" s="957" t="s">
        <v>6026</v>
      </c>
      <c r="H16" s="956">
        <v>15</v>
      </c>
      <c r="I16" s="956" t="s">
        <v>5934</v>
      </c>
      <c r="J16" s="956" t="s">
        <v>3760</v>
      </c>
    </row>
    <row r="17" spans="1:10">
      <c r="A17" s="957" t="s">
        <v>6023</v>
      </c>
      <c r="B17" s="957" t="s">
        <v>6025</v>
      </c>
      <c r="C17" s="957" t="s">
        <v>6024</v>
      </c>
      <c r="D17" s="957" t="str">
        <f t="shared" si="0"/>
        <v>北海道美唄市</v>
      </c>
      <c r="E17" s="957" t="s">
        <v>6023</v>
      </c>
      <c r="F17" s="957" t="s">
        <v>5516</v>
      </c>
      <c r="G17" s="957" t="s">
        <v>6022</v>
      </c>
      <c r="H17" s="956">
        <v>16</v>
      </c>
      <c r="I17" s="956" t="s">
        <v>5934</v>
      </c>
      <c r="J17" s="956" t="s">
        <v>3710</v>
      </c>
    </row>
    <row r="18" spans="1:10">
      <c r="A18" s="957" t="s">
        <v>6020</v>
      </c>
      <c r="B18" s="957" t="s">
        <v>5519</v>
      </c>
      <c r="C18" s="957" t="s">
        <v>6021</v>
      </c>
      <c r="D18" s="957" t="str">
        <f t="shared" si="0"/>
        <v>北海道芦別市</v>
      </c>
      <c r="E18" s="957" t="s">
        <v>6020</v>
      </c>
      <c r="F18" s="957" t="s">
        <v>5516</v>
      </c>
      <c r="G18" s="957" t="s">
        <v>6019</v>
      </c>
      <c r="H18" s="956">
        <v>17</v>
      </c>
      <c r="I18" s="956" t="s">
        <v>5934</v>
      </c>
      <c r="J18" s="956" t="s">
        <v>3649</v>
      </c>
    </row>
    <row r="19" spans="1:10">
      <c r="A19" s="957" t="s">
        <v>6017</v>
      </c>
      <c r="B19" s="957" t="s">
        <v>5519</v>
      </c>
      <c r="C19" s="957" t="s">
        <v>6018</v>
      </c>
      <c r="D19" s="957" t="str">
        <f t="shared" si="0"/>
        <v>北海道江別市</v>
      </c>
      <c r="E19" s="957" t="s">
        <v>6017</v>
      </c>
      <c r="F19" s="957" t="s">
        <v>5516</v>
      </c>
      <c r="G19" s="957" t="s">
        <v>6016</v>
      </c>
      <c r="H19" s="956">
        <v>18</v>
      </c>
      <c r="I19" s="956" t="s">
        <v>5934</v>
      </c>
      <c r="J19" s="956" t="s">
        <v>3598</v>
      </c>
    </row>
    <row r="20" spans="1:10">
      <c r="A20" s="957" t="s">
        <v>6014</v>
      </c>
      <c r="B20" s="957" t="s">
        <v>5519</v>
      </c>
      <c r="C20" s="957" t="s">
        <v>6015</v>
      </c>
      <c r="D20" s="957" t="str">
        <f t="shared" si="0"/>
        <v>北海道赤平市</v>
      </c>
      <c r="E20" s="957" t="s">
        <v>6014</v>
      </c>
      <c r="F20" s="957" t="s">
        <v>5516</v>
      </c>
      <c r="G20" s="957" t="s">
        <v>6013</v>
      </c>
      <c r="H20" s="956">
        <v>19</v>
      </c>
      <c r="I20" s="956" t="s">
        <v>5934</v>
      </c>
      <c r="J20" s="956" t="s">
        <v>3515</v>
      </c>
    </row>
    <row r="21" spans="1:10">
      <c r="A21" s="957" t="s">
        <v>6011</v>
      </c>
      <c r="B21" s="957" t="s">
        <v>5519</v>
      </c>
      <c r="C21" s="957" t="s">
        <v>6012</v>
      </c>
      <c r="D21" s="957" t="str">
        <f t="shared" si="0"/>
        <v>北海道紋別市</v>
      </c>
      <c r="E21" s="957" t="s">
        <v>6011</v>
      </c>
      <c r="F21" s="957" t="s">
        <v>5516</v>
      </c>
      <c r="G21" s="957" t="s">
        <v>6010</v>
      </c>
      <c r="H21" s="956">
        <v>20</v>
      </c>
      <c r="I21" s="956" t="s">
        <v>5934</v>
      </c>
      <c r="J21" s="956" t="s">
        <v>3284</v>
      </c>
    </row>
    <row r="22" spans="1:10">
      <c r="A22" s="957" t="s">
        <v>6008</v>
      </c>
      <c r="B22" s="957" t="s">
        <v>5519</v>
      </c>
      <c r="C22" s="957" t="s">
        <v>6009</v>
      </c>
      <c r="D22" s="957" t="str">
        <f t="shared" si="0"/>
        <v>北海道士別市</v>
      </c>
      <c r="E22" s="957" t="s">
        <v>6008</v>
      </c>
      <c r="F22" s="957" t="s">
        <v>5516</v>
      </c>
      <c r="G22" s="957" t="s">
        <v>6007</v>
      </c>
      <c r="H22" s="956">
        <v>21</v>
      </c>
      <c r="I22" s="956" t="s">
        <v>5934</v>
      </c>
      <c r="J22" s="956" t="s">
        <v>3153</v>
      </c>
    </row>
    <row r="23" spans="1:10">
      <c r="A23" s="957" t="s">
        <v>6005</v>
      </c>
      <c r="B23" s="957" t="s">
        <v>5519</v>
      </c>
      <c r="C23" s="957" t="s">
        <v>6006</v>
      </c>
      <c r="D23" s="957" t="str">
        <f t="shared" si="0"/>
        <v>北海道名寄市</v>
      </c>
      <c r="E23" s="957" t="s">
        <v>6005</v>
      </c>
      <c r="F23" s="957" t="s">
        <v>5516</v>
      </c>
      <c r="G23" s="957" t="s">
        <v>6004</v>
      </c>
      <c r="H23" s="956">
        <v>22</v>
      </c>
      <c r="I23" s="956" t="s">
        <v>5934</v>
      </c>
      <c r="J23" s="956" t="s">
        <v>3043</v>
      </c>
    </row>
    <row r="24" spans="1:10">
      <c r="A24" s="957" t="s">
        <v>6002</v>
      </c>
      <c r="B24" s="957" t="s">
        <v>5519</v>
      </c>
      <c r="C24" s="957" t="s">
        <v>6003</v>
      </c>
      <c r="D24" s="957" t="str">
        <f t="shared" si="0"/>
        <v>北海道三笠市</v>
      </c>
      <c r="E24" s="957" t="s">
        <v>6002</v>
      </c>
      <c r="F24" s="957" t="s">
        <v>5516</v>
      </c>
      <c r="G24" s="957" t="s">
        <v>6001</v>
      </c>
      <c r="H24" s="956">
        <v>23</v>
      </c>
      <c r="I24" s="956" t="s">
        <v>5934</v>
      </c>
      <c r="J24" s="956" t="s">
        <v>2881</v>
      </c>
    </row>
    <row r="25" spans="1:10">
      <c r="A25" s="957" t="s">
        <v>5999</v>
      </c>
      <c r="B25" s="957" t="s">
        <v>5519</v>
      </c>
      <c r="C25" s="957" t="s">
        <v>6000</v>
      </c>
      <c r="D25" s="957" t="str">
        <f t="shared" si="0"/>
        <v>北海道根室市</v>
      </c>
      <c r="E25" s="957" t="s">
        <v>5999</v>
      </c>
      <c r="F25" s="957" t="s">
        <v>5516</v>
      </c>
      <c r="G25" s="957" t="s">
        <v>5998</v>
      </c>
      <c r="H25" s="956">
        <v>24</v>
      </c>
      <c r="I25" s="956" t="s">
        <v>5934</v>
      </c>
      <c r="J25" s="956" t="s">
        <v>2791</v>
      </c>
    </row>
    <row r="26" spans="1:10">
      <c r="A26" s="957" t="s">
        <v>5996</v>
      </c>
      <c r="B26" s="957" t="s">
        <v>5519</v>
      </c>
      <c r="C26" s="957" t="s">
        <v>5997</v>
      </c>
      <c r="D26" s="957" t="str">
        <f t="shared" si="0"/>
        <v>北海道千歳市</v>
      </c>
      <c r="E26" s="957" t="s">
        <v>5996</v>
      </c>
      <c r="F26" s="957" t="s">
        <v>5516</v>
      </c>
      <c r="G26" s="957" t="s">
        <v>5995</v>
      </c>
      <c r="H26" s="956">
        <v>25</v>
      </c>
      <c r="I26" s="956" t="s">
        <v>5934</v>
      </c>
      <c r="J26" s="956" t="s">
        <v>2731</v>
      </c>
    </row>
    <row r="27" spans="1:10">
      <c r="A27" s="957" t="s">
        <v>5993</v>
      </c>
      <c r="B27" s="957" t="s">
        <v>5519</v>
      </c>
      <c r="C27" s="957" t="s">
        <v>5994</v>
      </c>
      <c r="D27" s="957" t="str">
        <f t="shared" si="0"/>
        <v>北海道滝川市</v>
      </c>
      <c r="E27" s="957" t="s">
        <v>5993</v>
      </c>
      <c r="F27" s="957" t="s">
        <v>5516</v>
      </c>
      <c r="G27" s="957" t="s">
        <v>5992</v>
      </c>
      <c r="H27" s="956">
        <v>26</v>
      </c>
      <c r="I27" s="956" t="s">
        <v>5934</v>
      </c>
      <c r="J27" s="956" t="s">
        <v>2648</v>
      </c>
    </row>
    <row r="28" spans="1:10">
      <c r="A28" s="957" t="s">
        <v>5990</v>
      </c>
      <c r="B28" s="957" t="s">
        <v>5519</v>
      </c>
      <c r="C28" s="957" t="s">
        <v>5991</v>
      </c>
      <c r="D28" s="957" t="str">
        <f t="shared" si="0"/>
        <v>北海道砂川市</v>
      </c>
      <c r="E28" s="957" t="s">
        <v>5990</v>
      </c>
      <c r="F28" s="957" t="s">
        <v>5516</v>
      </c>
      <c r="G28" s="957" t="s">
        <v>5989</v>
      </c>
      <c r="H28" s="956">
        <v>27</v>
      </c>
      <c r="I28" s="956" t="s">
        <v>5934</v>
      </c>
      <c r="J28" s="956" t="s">
        <v>2518</v>
      </c>
    </row>
    <row r="29" spans="1:10">
      <c r="A29" s="957" t="s">
        <v>5987</v>
      </c>
      <c r="B29" s="957" t="s">
        <v>5519</v>
      </c>
      <c r="C29" s="957" t="s">
        <v>5988</v>
      </c>
      <c r="D29" s="957" t="str">
        <f t="shared" si="0"/>
        <v>北海道歌志内市</v>
      </c>
      <c r="E29" s="957" t="s">
        <v>5987</v>
      </c>
      <c r="F29" s="957" t="s">
        <v>5516</v>
      </c>
      <c r="G29" s="957" t="s">
        <v>5986</v>
      </c>
      <c r="H29" s="956">
        <v>28</v>
      </c>
      <c r="I29" s="956" t="s">
        <v>5934</v>
      </c>
      <c r="J29" s="956" t="s">
        <v>2391</v>
      </c>
    </row>
    <row r="30" spans="1:10">
      <c r="A30" s="957" t="s">
        <v>5984</v>
      </c>
      <c r="B30" s="957" t="s">
        <v>5519</v>
      </c>
      <c r="C30" s="957" t="s">
        <v>5985</v>
      </c>
      <c r="D30" s="957" t="str">
        <f t="shared" si="0"/>
        <v>北海道深川市</v>
      </c>
      <c r="E30" s="957" t="s">
        <v>5984</v>
      </c>
      <c r="F30" s="957" t="s">
        <v>5516</v>
      </c>
      <c r="G30" s="957" t="s">
        <v>5983</v>
      </c>
      <c r="H30" s="956">
        <v>29</v>
      </c>
      <c r="I30" s="956" t="s">
        <v>5934</v>
      </c>
      <c r="J30" s="956" t="s">
        <v>2269</v>
      </c>
    </row>
    <row r="31" spans="1:10">
      <c r="A31" s="957" t="s">
        <v>5981</v>
      </c>
      <c r="B31" s="957" t="s">
        <v>5519</v>
      </c>
      <c r="C31" s="957" t="s">
        <v>5982</v>
      </c>
      <c r="D31" s="957" t="str">
        <f t="shared" si="0"/>
        <v>北海道富良野市</v>
      </c>
      <c r="E31" s="957" t="s">
        <v>5981</v>
      </c>
      <c r="F31" s="957" t="s">
        <v>5516</v>
      </c>
      <c r="G31" s="957" t="s">
        <v>5980</v>
      </c>
      <c r="H31" s="956">
        <v>30</v>
      </c>
      <c r="I31" s="956" t="s">
        <v>5934</v>
      </c>
      <c r="J31" s="956" t="s">
        <v>2175</v>
      </c>
    </row>
    <row r="32" spans="1:10">
      <c r="A32" s="957" t="s">
        <v>5978</v>
      </c>
      <c r="B32" s="957" t="s">
        <v>5519</v>
      </c>
      <c r="C32" s="957" t="s">
        <v>5979</v>
      </c>
      <c r="D32" s="957" t="str">
        <f t="shared" si="0"/>
        <v>北海道登別市</v>
      </c>
      <c r="E32" s="957" t="s">
        <v>5978</v>
      </c>
      <c r="F32" s="957" t="s">
        <v>5516</v>
      </c>
      <c r="G32" s="957" t="s">
        <v>5977</v>
      </c>
      <c r="H32" s="956">
        <v>31</v>
      </c>
      <c r="I32" s="956" t="s">
        <v>5934</v>
      </c>
      <c r="J32" s="956" t="s">
        <v>2113</v>
      </c>
    </row>
    <row r="33" spans="1:10">
      <c r="A33" s="957" t="s">
        <v>5975</v>
      </c>
      <c r="B33" s="957" t="s">
        <v>5519</v>
      </c>
      <c r="C33" s="957" t="s">
        <v>5976</v>
      </c>
      <c r="D33" s="957" t="str">
        <f t="shared" si="0"/>
        <v>北海道恵庭市</v>
      </c>
      <c r="E33" s="957" t="s">
        <v>5975</v>
      </c>
      <c r="F33" s="957" t="s">
        <v>5516</v>
      </c>
      <c r="G33" s="957" t="s">
        <v>5974</v>
      </c>
      <c r="H33" s="956">
        <v>32</v>
      </c>
      <c r="I33" s="956" t="s">
        <v>5934</v>
      </c>
      <c r="J33" s="956" t="s">
        <v>2053</v>
      </c>
    </row>
    <row r="34" spans="1:10">
      <c r="A34" s="957" t="s">
        <v>5973</v>
      </c>
      <c r="B34" s="957" t="s">
        <v>5519</v>
      </c>
      <c r="C34" s="957" t="s">
        <v>4965</v>
      </c>
      <c r="D34" s="957" t="str">
        <f t="shared" si="0"/>
        <v>北海道伊達市</v>
      </c>
      <c r="E34" s="957" t="s">
        <v>5973</v>
      </c>
      <c r="F34" s="957" t="s">
        <v>5516</v>
      </c>
      <c r="G34" s="957" t="s">
        <v>4963</v>
      </c>
      <c r="H34" s="956">
        <v>33</v>
      </c>
      <c r="I34" s="956" t="s">
        <v>5934</v>
      </c>
      <c r="J34" s="956" t="s">
        <v>1967</v>
      </c>
    </row>
    <row r="35" spans="1:10">
      <c r="A35" s="957" t="s">
        <v>5971</v>
      </c>
      <c r="B35" s="957" t="s">
        <v>5519</v>
      </c>
      <c r="C35" s="957" t="s">
        <v>5972</v>
      </c>
      <c r="D35" s="957" t="str">
        <f t="shared" si="0"/>
        <v>北海道北広島市</v>
      </c>
      <c r="E35" s="957" t="s">
        <v>5971</v>
      </c>
      <c r="F35" s="957" t="s">
        <v>5516</v>
      </c>
      <c r="G35" s="957" t="s">
        <v>5970</v>
      </c>
      <c r="H35" s="956">
        <v>34</v>
      </c>
      <c r="I35" s="956" t="s">
        <v>5934</v>
      </c>
      <c r="J35" s="956" t="s">
        <v>1894</v>
      </c>
    </row>
    <row r="36" spans="1:10">
      <c r="A36" s="957" t="s">
        <v>5968</v>
      </c>
      <c r="B36" s="957" t="s">
        <v>5519</v>
      </c>
      <c r="C36" s="957" t="s">
        <v>5969</v>
      </c>
      <c r="D36" s="957" t="str">
        <f t="shared" si="0"/>
        <v>北海道石狩市</v>
      </c>
      <c r="E36" s="957" t="s">
        <v>5968</v>
      </c>
      <c r="F36" s="957" t="s">
        <v>5516</v>
      </c>
      <c r="G36" s="957" t="s">
        <v>5967</v>
      </c>
      <c r="H36" s="956">
        <v>35</v>
      </c>
      <c r="I36" s="956" t="s">
        <v>5934</v>
      </c>
      <c r="J36" s="956" t="s">
        <v>1832</v>
      </c>
    </row>
    <row r="37" spans="1:10">
      <c r="A37" s="957" t="s">
        <v>5965</v>
      </c>
      <c r="B37" s="957" t="s">
        <v>5519</v>
      </c>
      <c r="C37" s="957" t="s">
        <v>5966</v>
      </c>
      <c r="D37" s="957" t="str">
        <f t="shared" si="0"/>
        <v>北海道北斗市</v>
      </c>
      <c r="E37" s="957" t="s">
        <v>5965</v>
      </c>
      <c r="F37" s="957" t="s">
        <v>5516</v>
      </c>
      <c r="G37" s="957" t="s">
        <v>3568</v>
      </c>
      <c r="H37" s="956">
        <v>36</v>
      </c>
      <c r="I37" s="956" t="s">
        <v>5934</v>
      </c>
      <c r="J37" s="956" t="s">
        <v>1755</v>
      </c>
    </row>
    <row r="38" spans="1:10">
      <c r="A38" s="957" t="s">
        <v>5963</v>
      </c>
      <c r="B38" s="957" t="s">
        <v>5519</v>
      </c>
      <c r="C38" s="957" t="s">
        <v>5964</v>
      </c>
      <c r="D38" s="957" t="str">
        <f t="shared" si="0"/>
        <v>北海道当別町</v>
      </c>
      <c r="E38" s="957" t="s">
        <v>5963</v>
      </c>
      <c r="F38" s="957" t="s">
        <v>5516</v>
      </c>
      <c r="G38" s="957" t="s">
        <v>5962</v>
      </c>
      <c r="H38" s="956">
        <v>37</v>
      </c>
      <c r="I38" s="956" t="s">
        <v>5934</v>
      </c>
      <c r="J38" s="956" t="s">
        <v>1699</v>
      </c>
    </row>
    <row r="39" spans="1:10">
      <c r="A39" s="957" t="s">
        <v>5960</v>
      </c>
      <c r="B39" s="957" t="s">
        <v>5519</v>
      </c>
      <c r="C39" s="957" t="s">
        <v>5961</v>
      </c>
      <c r="D39" s="957" t="str">
        <f t="shared" si="0"/>
        <v>北海道新篠津村</v>
      </c>
      <c r="E39" s="957" t="s">
        <v>5960</v>
      </c>
      <c r="F39" s="957" t="s">
        <v>5516</v>
      </c>
      <c r="G39" s="957" t="s">
        <v>5959</v>
      </c>
      <c r="H39" s="956">
        <v>38</v>
      </c>
      <c r="I39" s="956" t="s">
        <v>5934</v>
      </c>
      <c r="J39" s="956" t="s">
        <v>1634</v>
      </c>
    </row>
    <row r="40" spans="1:10">
      <c r="A40" s="957" t="s">
        <v>5958</v>
      </c>
      <c r="B40" s="957" t="s">
        <v>5519</v>
      </c>
      <c r="C40" s="957" t="s">
        <v>1652</v>
      </c>
      <c r="D40" s="957" t="str">
        <f t="shared" si="0"/>
        <v>北海道松前町</v>
      </c>
      <c r="E40" s="957" t="s">
        <v>5958</v>
      </c>
      <c r="F40" s="957" t="s">
        <v>5516</v>
      </c>
      <c r="G40" s="957" t="s">
        <v>5957</v>
      </c>
      <c r="H40" s="956">
        <v>39</v>
      </c>
      <c r="I40" s="956" t="s">
        <v>5934</v>
      </c>
      <c r="J40" s="956" t="s">
        <v>1528</v>
      </c>
    </row>
    <row r="41" spans="1:10">
      <c r="A41" s="957" t="s">
        <v>5955</v>
      </c>
      <c r="B41" s="957" t="s">
        <v>5519</v>
      </c>
      <c r="C41" s="957" t="s">
        <v>5956</v>
      </c>
      <c r="D41" s="957" t="str">
        <f t="shared" si="0"/>
        <v>北海道福島町</v>
      </c>
      <c r="E41" s="957" t="s">
        <v>5955</v>
      </c>
      <c r="F41" s="957" t="s">
        <v>5516</v>
      </c>
      <c r="G41" s="957" t="s">
        <v>5954</v>
      </c>
      <c r="H41" s="956">
        <v>40</v>
      </c>
      <c r="I41" s="956" t="s">
        <v>5934</v>
      </c>
      <c r="J41" s="956" t="s">
        <v>1342</v>
      </c>
    </row>
    <row r="42" spans="1:10">
      <c r="A42" s="957" t="s">
        <v>5952</v>
      </c>
      <c r="B42" s="957" t="s">
        <v>5519</v>
      </c>
      <c r="C42" s="957" t="s">
        <v>5953</v>
      </c>
      <c r="D42" s="957" t="str">
        <f t="shared" si="0"/>
        <v>北海道知内町</v>
      </c>
      <c r="E42" s="957" t="s">
        <v>5952</v>
      </c>
      <c r="F42" s="957" t="s">
        <v>5516</v>
      </c>
      <c r="G42" s="957" t="s">
        <v>5951</v>
      </c>
      <c r="H42" s="956">
        <v>41</v>
      </c>
      <c r="I42" s="956" t="s">
        <v>5934</v>
      </c>
      <c r="J42" s="956" t="s">
        <v>1277</v>
      </c>
    </row>
    <row r="43" spans="1:10">
      <c r="A43" s="957" t="s">
        <v>5949</v>
      </c>
      <c r="B43" s="957" t="s">
        <v>5519</v>
      </c>
      <c r="C43" s="957" t="s">
        <v>5950</v>
      </c>
      <c r="D43" s="957" t="str">
        <f t="shared" si="0"/>
        <v>北海道木古内町</v>
      </c>
      <c r="E43" s="957" t="s">
        <v>5949</v>
      </c>
      <c r="F43" s="957" t="s">
        <v>5516</v>
      </c>
      <c r="G43" s="957" t="s">
        <v>5948</v>
      </c>
      <c r="H43" s="956">
        <v>42</v>
      </c>
      <c r="I43" s="956" t="s">
        <v>5934</v>
      </c>
      <c r="J43" s="956" t="s">
        <v>1209</v>
      </c>
    </row>
    <row r="44" spans="1:10">
      <c r="A44" s="957" t="s">
        <v>5946</v>
      </c>
      <c r="B44" s="957" t="s">
        <v>5519</v>
      </c>
      <c r="C44" s="957" t="s">
        <v>5947</v>
      </c>
      <c r="D44" s="957" t="str">
        <f t="shared" si="0"/>
        <v>北海道七飯町</v>
      </c>
      <c r="E44" s="957" t="s">
        <v>5946</v>
      </c>
      <c r="F44" s="957" t="s">
        <v>5516</v>
      </c>
      <c r="G44" s="957" t="s">
        <v>5945</v>
      </c>
      <c r="H44" s="956">
        <v>43</v>
      </c>
      <c r="I44" s="956" t="s">
        <v>5934</v>
      </c>
      <c r="J44" s="956" t="s">
        <v>1069</v>
      </c>
    </row>
    <row r="45" spans="1:10">
      <c r="A45" s="957" t="s">
        <v>5943</v>
      </c>
      <c r="B45" s="957" t="s">
        <v>5519</v>
      </c>
      <c r="C45" s="957" t="s">
        <v>5944</v>
      </c>
      <c r="D45" s="957" t="str">
        <f t="shared" si="0"/>
        <v>北海道鹿部町</v>
      </c>
      <c r="E45" s="957" t="s">
        <v>5943</v>
      </c>
      <c r="F45" s="957" t="s">
        <v>5516</v>
      </c>
      <c r="G45" s="957" t="s">
        <v>5942</v>
      </c>
      <c r="H45" s="956">
        <v>44</v>
      </c>
      <c r="I45" s="956" t="s">
        <v>5934</v>
      </c>
      <c r="J45" s="956" t="s">
        <v>1010</v>
      </c>
    </row>
    <row r="46" spans="1:10">
      <c r="A46" s="957" t="s">
        <v>5941</v>
      </c>
      <c r="B46" s="957" t="s">
        <v>5519</v>
      </c>
      <c r="C46" s="957" t="s">
        <v>3042</v>
      </c>
      <c r="D46" s="957" t="str">
        <f t="shared" si="0"/>
        <v>北海道森町</v>
      </c>
      <c r="E46" s="957" t="s">
        <v>5941</v>
      </c>
      <c r="F46" s="957" t="s">
        <v>5516</v>
      </c>
      <c r="G46" s="957" t="s">
        <v>3039</v>
      </c>
      <c r="H46" s="956">
        <v>45</v>
      </c>
      <c r="I46" s="956" t="s">
        <v>5934</v>
      </c>
      <c r="J46" s="956" t="s">
        <v>927</v>
      </c>
    </row>
    <row r="47" spans="1:10">
      <c r="A47" s="957" t="s">
        <v>5939</v>
      </c>
      <c r="B47" s="957" t="s">
        <v>5519</v>
      </c>
      <c r="C47" s="957" t="s">
        <v>5940</v>
      </c>
      <c r="D47" s="957" t="str">
        <f t="shared" si="0"/>
        <v>北海道八雲町</v>
      </c>
      <c r="E47" s="957" t="s">
        <v>5939</v>
      </c>
      <c r="F47" s="957" t="s">
        <v>5516</v>
      </c>
      <c r="G47" s="957" t="s">
        <v>5938</v>
      </c>
      <c r="H47" s="956">
        <v>46</v>
      </c>
      <c r="I47" s="956" t="s">
        <v>5934</v>
      </c>
      <c r="J47" s="956" t="s">
        <v>793</v>
      </c>
    </row>
    <row r="48" spans="1:10">
      <c r="A48" s="957" t="s">
        <v>5936</v>
      </c>
      <c r="B48" s="957" t="s">
        <v>5519</v>
      </c>
      <c r="C48" s="957" t="s">
        <v>5937</v>
      </c>
      <c r="D48" s="957" t="str">
        <f t="shared" si="0"/>
        <v>北海道長万部町</v>
      </c>
      <c r="E48" s="957" t="s">
        <v>5936</v>
      </c>
      <c r="F48" s="957" t="s">
        <v>5516</v>
      </c>
      <c r="G48" s="957" t="s">
        <v>5935</v>
      </c>
      <c r="H48" s="956">
        <v>47</v>
      </c>
      <c r="I48" s="956" t="s">
        <v>5934</v>
      </c>
      <c r="J48" s="956" t="s">
        <v>665</v>
      </c>
    </row>
    <row r="49" spans="1:12">
      <c r="A49" s="957" t="s">
        <v>5932</v>
      </c>
      <c r="B49" s="957" t="s">
        <v>5519</v>
      </c>
      <c r="C49" s="957" t="s">
        <v>5933</v>
      </c>
      <c r="D49" s="957" t="str">
        <f t="shared" si="0"/>
        <v>北海道江差町</v>
      </c>
      <c r="E49" s="957" t="s">
        <v>5932</v>
      </c>
      <c r="F49" s="957" t="s">
        <v>5516</v>
      </c>
      <c r="G49" s="957" t="s">
        <v>5721</v>
      </c>
      <c r="H49" s="956">
        <v>1</v>
      </c>
      <c r="I49" s="956" t="s">
        <v>5873</v>
      </c>
      <c r="J49" s="956" t="s">
        <v>2640</v>
      </c>
      <c r="K49" s="965"/>
      <c r="L49" s="964"/>
    </row>
    <row r="50" spans="1:12">
      <c r="A50" s="957" t="s">
        <v>5930</v>
      </c>
      <c r="B50" s="957" t="s">
        <v>5519</v>
      </c>
      <c r="C50" s="957" t="s">
        <v>5931</v>
      </c>
      <c r="D50" s="957" t="str">
        <f t="shared" si="0"/>
        <v>北海道上ノ国町</v>
      </c>
      <c r="E50" s="957" t="s">
        <v>5930</v>
      </c>
      <c r="F50" s="957" t="s">
        <v>5516</v>
      </c>
      <c r="G50" s="957" t="s">
        <v>5929</v>
      </c>
      <c r="H50" s="956">
        <v>2</v>
      </c>
      <c r="I50" s="956" t="s">
        <v>5873</v>
      </c>
      <c r="J50" s="956" t="s">
        <v>3035</v>
      </c>
      <c r="K50" s="965"/>
      <c r="L50" s="964"/>
    </row>
    <row r="51" spans="1:12">
      <c r="A51" s="957" t="s">
        <v>5927</v>
      </c>
      <c r="B51" s="957" t="s">
        <v>5519</v>
      </c>
      <c r="C51" s="957" t="s">
        <v>5928</v>
      </c>
      <c r="D51" s="957" t="str">
        <f t="shared" si="0"/>
        <v>北海道厚沢部町</v>
      </c>
      <c r="E51" s="957" t="s">
        <v>5927</v>
      </c>
      <c r="F51" s="957" t="s">
        <v>5516</v>
      </c>
      <c r="G51" s="957" t="s">
        <v>5926</v>
      </c>
      <c r="H51" s="956">
        <v>3</v>
      </c>
      <c r="I51" s="956" t="s">
        <v>5873</v>
      </c>
      <c r="J51" s="956" t="s">
        <v>2723</v>
      </c>
      <c r="K51" s="965"/>
      <c r="L51" s="964"/>
    </row>
    <row r="52" spans="1:12">
      <c r="A52" s="957" t="s">
        <v>5924</v>
      </c>
      <c r="B52" s="957" t="s">
        <v>5519</v>
      </c>
      <c r="C52" s="957" t="s">
        <v>5925</v>
      </c>
      <c r="D52" s="957" t="str">
        <f t="shared" si="0"/>
        <v>北海道乙部町</v>
      </c>
      <c r="E52" s="957" t="s">
        <v>5924</v>
      </c>
      <c r="F52" s="957" t="s">
        <v>5516</v>
      </c>
      <c r="G52" s="957" t="s">
        <v>5923</v>
      </c>
      <c r="H52" s="956">
        <v>4</v>
      </c>
      <c r="I52" s="956" t="s">
        <v>5873</v>
      </c>
      <c r="J52" s="956" t="s">
        <v>3951</v>
      </c>
      <c r="K52" s="965"/>
      <c r="L52" s="964"/>
    </row>
    <row r="53" spans="1:12">
      <c r="A53" s="957" t="s">
        <v>5921</v>
      </c>
      <c r="B53" s="957" t="s">
        <v>5519</v>
      </c>
      <c r="C53" s="957" t="s">
        <v>5922</v>
      </c>
      <c r="D53" s="957" t="str">
        <f t="shared" si="0"/>
        <v>北海道奥尻町</v>
      </c>
      <c r="E53" s="957" t="s">
        <v>5921</v>
      </c>
      <c r="F53" s="957" t="s">
        <v>5516</v>
      </c>
      <c r="G53" s="957" t="s">
        <v>5920</v>
      </c>
      <c r="H53" s="956">
        <v>5</v>
      </c>
      <c r="I53" s="956" t="s">
        <v>5873</v>
      </c>
      <c r="J53" s="956" t="s">
        <v>2510</v>
      </c>
      <c r="K53" s="965"/>
      <c r="L53" s="964"/>
    </row>
    <row r="54" spans="1:12">
      <c r="A54" s="957" t="s">
        <v>5918</v>
      </c>
      <c r="B54" s="957" t="s">
        <v>5519</v>
      </c>
      <c r="C54" s="957" t="s">
        <v>5919</v>
      </c>
      <c r="D54" s="957" t="str">
        <f t="shared" si="0"/>
        <v>北海道今金町</v>
      </c>
      <c r="E54" s="957" t="s">
        <v>5918</v>
      </c>
      <c r="F54" s="957" t="s">
        <v>5516</v>
      </c>
      <c r="G54" s="957" t="s">
        <v>5917</v>
      </c>
      <c r="H54" s="956">
        <v>6</v>
      </c>
      <c r="I54" s="956" t="s">
        <v>5873</v>
      </c>
      <c r="J54" s="956" t="s">
        <v>1521</v>
      </c>
      <c r="K54" s="965"/>
      <c r="L54" s="964"/>
    </row>
    <row r="55" spans="1:12">
      <c r="A55" s="957" t="s">
        <v>5915</v>
      </c>
      <c r="B55" s="957" t="s">
        <v>5519</v>
      </c>
      <c r="C55" s="957" t="s">
        <v>5916</v>
      </c>
      <c r="D55" s="957" t="str">
        <f t="shared" si="0"/>
        <v>北海道せたな町</v>
      </c>
      <c r="E55" s="957" t="s">
        <v>5915</v>
      </c>
      <c r="F55" s="957" t="s">
        <v>5516</v>
      </c>
      <c r="G55" s="957" t="s">
        <v>5914</v>
      </c>
      <c r="H55" s="956">
        <v>7</v>
      </c>
      <c r="I55" s="956" t="s">
        <v>5873</v>
      </c>
      <c r="J55" s="956" t="s">
        <v>5913</v>
      </c>
    </row>
    <row r="56" spans="1:12">
      <c r="A56" s="957" t="s">
        <v>5911</v>
      </c>
      <c r="B56" s="957" t="s">
        <v>5519</v>
      </c>
      <c r="C56" s="957" t="s">
        <v>5912</v>
      </c>
      <c r="D56" s="957" t="str">
        <f t="shared" si="0"/>
        <v>北海道島牧村</v>
      </c>
      <c r="E56" s="957" t="s">
        <v>5911</v>
      </c>
      <c r="F56" s="957" t="s">
        <v>5516</v>
      </c>
      <c r="G56" s="957" t="s">
        <v>5910</v>
      </c>
      <c r="H56" s="956">
        <v>8</v>
      </c>
      <c r="I56" s="956" t="s">
        <v>5873</v>
      </c>
      <c r="J56" s="956" t="s">
        <v>3948</v>
      </c>
      <c r="K56" s="965"/>
      <c r="L56" s="964"/>
    </row>
    <row r="57" spans="1:12">
      <c r="A57" s="957" t="s">
        <v>5908</v>
      </c>
      <c r="B57" s="957" t="s">
        <v>5519</v>
      </c>
      <c r="C57" s="957" t="s">
        <v>5909</v>
      </c>
      <c r="D57" s="957" t="str">
        <f t="shared" si="0"/>
        <v>北海道寿都町</v>
      </c>
      <c r="E57" s="957" t="s">
        <v>5908</v>
      </c>
      <c r="F57" s="957" t="s">
        <v>5516</v>
      </c>
      <c r="G57" s="957" t="s">
        <v>5907</v>
      </c>
      <c r="H57" s="956">
        <v>9</v>
      </c>
      <c r="I57" s="956" t="s">
        <v>5873</v>
      </c>
      <c r="J57" s="956" t="s">
        <v>1518</v>
      </c>
      <c r="K57" s="965"/>
      <c r="L57" s="964"/>
    </row>
    <row r="58" spans="1:12">
      <c r="A58" s="957" t="s">
        <v>5905</v>
      </c>
      <c r="B58" s="957" t="s">
        <v>5519</v>
      </c>
      <c r="C58" s="957" t="s">
        <v>5906</v>
      </c>
      <c r="D58" s="957" t="str">
        <f t="shared" si="0"/>
        <v>北海道黒松内町</v>
      </c>
      <c r="E58" s="957" t="s">
        <v>5905</v>
      </c>
      <c r="F58" s="957" t="s">
        <v>5516</v>
      </c>
      <c r="G58" s="957" t="s">
        <v>5904</v>
      </c>
      <c r="H58" s="956">
        <v>10</v>
      </c>
      <c r="I58" s="956" t="s">
        <v>5873</v>
      </c>
      <c r="J58" s="956" t="s">
        <v>1959</v>
      </c>
      <c r="K58" s="965"/>
      <c r="L58" s="964"/>
    </row>
    <row r="59" spans="1:12">
      <c r="A59" s="957" t="s">
        <v>5902</v>
      </c>
      <c r="B59" s="957" t="s">
        <v>5519</v>
      </c>
      <c r="C59" s="957" t="s">
        <v>5903</v>
      </c>
      <c r="D59" s="957" t="str">
        <f t="shared" si="0"/>
        <v>北海道蘭越町</v>
      </c>
      <c r="E59" s="957" t="s">
        <v>5902</v>
      </c>
      <c r="F59" s="957" t="s">
        <v>5516</v>
      </c>
      <c r="G59" s="957" t="s">
        <v>5901</v>
      </c>
      <c r="H59" s="956">
        <v>11</v>
      </c>
      <c r="I59" s="956" t="s">
        <v>5873</v>
      </c>
      <c r="J59" s="956" t="s">
        <v>5284</v>
      </c>
      <c r="K59" s="965"/>
      <c r="L59" s="964"/>
    </row>
    <row r="60" spans="1:12">
      <c r="A60" s="957" t="s">
        <v>5899</v>
      </c>
      <c r="B60" s="957" t="s">
        <v>5519</v>
      </c>
      <c r="C60" s="957" t="s">
        <v>5900</v>
      </c>
      <c r="D60" s="957" t="str">
        <f t="shared" si="0"/>
        <v>北海道ニセコ町</v>
      </c>
      <c r="E60" s="957" t="s">
        <v>5899</v>
      </c>
      <c r="F60" s="957" t="s">
        <v>5516</v>
      </c>
      <c r="G60" s="957" t="s">
        <v>5898</v>
      </c>
      <c r="H60" s="956">
        <v>12</v>
      </c>
      <c r="I60" s="956" t="s">
        <v>5873</v>
      </c>
      <c r="J60" s="956" t="s">
        <v>4306</v>
      </c>
    </row>
    <row r="61" spans="1:12">
      <c r="A61" s="957" t="s">
        <v>5896</v>
      </c>
      <c r="B61" s="957" t="s">
        <v>5519</v>
      </c>
      <c r="C61" s="957" t="s">
        <v>5897</v>
      </c>
      <c r="D61" s="957" t="str">
        <f t="shared" si="0"/>
        <v>北海道真狩村</v>
      </c>
      <c r="E61" s="957" t="s">
        <v>5896</v>
      </c>
      <c r="F61" s="957" t="s">
        <v>5516</v>
      </c>
      <c r="G61" s="957" t="s">
        <v>5895</v>
      </c>
      <c r="H61" s="956">
        <v>13</v>
      </c>
      <c r="I61" s="956" t="s">
        <v>5873</v>
      </c>
      <c r="J61" s="956" t="s">
        <v>4500</v>
      </c>
      <c r="K61" s="965"/>
      <c r="L61" s="966"/>
    </row>
    <row r="62" spans="1:12">
      <c r="A62" s="957" t="s">
        <v>5893</v>
      </c>
      <c r="B62" s="957" t="s">
        <v>5519</v>
      </c>
      <c r="C62" s="957" t="s">
        <v>5894</v>
      </c>
      <c r="D62" s="957" t="str">
        <f t="shared" si="0"/>
        <v>北海道留寿都村</v>
      </c>
      <c r="E62" s="957" t="s">
        <v>5893</v>
      </c>
      <c r="F62" s="957" t="s">
        <v>5516</v>
      </c>
      <c r="G62" s="957" t="s">
        <v>5892</v>
      </c>
      <c r="H62" s="956">
        <v>14</v>
      </c>
      <c r="I62" s="956" t="s">
        <v>5873</v>
      </c>
      <c r="J62" s="956" t="s">
        <v>3145</v>
      </c>
    </row>
    <row r="63" spans="1:12">
      <c r="A63" s="957" t="s">
        <v>5890</v>
      </c>
      <c r="B63" s="957" t="s">
        <v>5519</v>
      </c>
      <c r="C63" s="957" t="s">
        <v>5891</v>
      </c>
      <c r="D63" s="957" t="str">
        <f t="shared" si="0"/>
        <v>北海道喜茂別町</v>
      </c>
      <c r="E63" s="957" t="s">
        <v>5890</v>
      </c>
      <c r="F63" s="957" t="s">
        <v>5516</v>
      </c>
      <c r="G63" s="957" t="s">
        <v>5889</v>
      </c>
      <c r="H63" s="956">
        <v>15</v>
      </c>
      <c r="I63" s="956" t="s">
        <v>5873</v>
      </c>
      <c r="J63" s="956" t="s">
        <v>2637</v>
      </c>
      <c r="K63" s="965"/>
      <c r="L63" s="964"/>
    </row>
    <row r="64" spans="1:12">
      <c r="A64" s="957" t="s">
        <v>5887</v>
      </c>
      <c r="B64" s="957" t="s">
        <v>5519</v>
      </c>
      <c r="C64" s="957" t="s">
        <v>5888</v>
      </c>
      <c r="D64" s="957" t="str">
        <f t="shared" si="0"/>
        <v>北海道京極町</v>
      </c>
      <c r="E64" s="957" t="s">
        <v>5887</v>
      </c>
      <c r="F64" s="957" t="s">
        <v>5516</v>
      </c>
      <c r="G64" s="957" t="s">
        <v>5886</v>
      </c>
      <c r="H64" s="956">
        <v>16</v>
      </c>
      <c r="I64" s="956" t="s">
        <v>5873</v>
      </c>
      <c r="J64" s="956" t="s">
        <v>3847</v>
      </c>
    </row>
    <row r="65" spans="1:12">
      <c r="A65" s="957" t="s">
        <v>5884</v>
      </c>
      <c r="B65" s="957" t="s">
        <v>5519</v>
      </c>
      <c r="C65" s="957" t="s">
        <v>5885</v>
      </c>
      <c r="D65" s="957" t="str">
        <f t="shared" si="0"/>
        <v>北海道倶知安町</v>
      </c>
      <c r="E65" s="957" t="s">
        <v>5884</v>
      </c>
      <c r="F65" s="957" t="s">
        <v>5516</v>
      </c>
      <c r="G65" s="957" t="s">
        <v>5883</v>
      </c>
      <c r="H65" s="956">
        <v>17</v>
      </c>
      <c r="I65" s="956" t="s">
        <v>5873</v>
      </c>
      <c r="J65" s="956" t="s">
        <v>3142</v>
      </c>
      <c r="K65" s="965"/>
      <c r="L65" s="964"/>
    </row>
    <row r="66" spans="1:12">
      <c r="A66" s="957" t="s">
        <v>5881</v>
      </c>
      <c r="B66" s="957" t="s">
        <v>5519</v>
      </c>
      <c r="C66" s="957" t="s">
        <v>5882</v>
      </c>
      <c r="D66" s="957" t="str">
        <f t="shared" si="0"/>
        <v>北海道共和町</v>
      </c>
      <c r="E66" s="957" t="s">
        <v>5881</v>
      </c>
      <c r="F66" s="957" t="s">
        <v>5516</v>
      </c>
      <c r="G66" s="957" t="s">
        <v>5880</v>
      </c>
      <c r="H66" s="956">
        <v>18</v>
      </c>
      <c r="I66" s="956" t="s">
        <v>5873</v>
      </c>
      <c r="J66" s="956" t="s">
        <v>2045</v>
      </c>
    </row>
    <row r="67" spans="1:12">
      <c r="A67" s="957" t="s">
        <v>5878</v>
      </c>
      <c r="B67" s="957" t="s">
        <v>5519</v>
      </c>
      <c r="C67" s="957" t="s">
        <v>5879</v>
      </c>
      <c r="D67" s="957" t="str">
        <f t="shared" ref="D67:D130" si="1">B67&amp;C67</f>
        <v>北海道岩内町</v>
      </c>
      <c r="E67" s="957" t="s">
        <v>5878</v>
      </c>
      <c r="F67" s="957" t="s">
        <v>5516</v>
      </c>
      <c r="G67" s="957" t="s">
        <v>5877</v>
      </c>
      <c r="H67" s="956">
        <v>19</v>
      </c>
      <c r="I67" s="956" t="s">
        <v>5873</v>
      </c>
      <c r="J67" s="956" t="s">
        <v>3945</v>
      </c>
      <c r="K67" s="965"/>
      <c r="L67" s="964"/>
    </row>
    <row r="68" spans="1:12">
      <c r="A68" s="957" t="s">
        <v>5875</v>
      </c>
      <c r="B68" s="957" t="s">
        <v>5519</v>
      </c>
      <c r="C68" s="957" t="s">
        <v>5876</v>
      </c>
      <c r="D68" s="957" t="str">
        <f t="shared" si="1"/>
        <v>北海道泊村</v>
      </c>
      <c r="E68" s="957" t="s">
        <v>5875</v>
      </c>
      <c r="F68" s="957" t="s">
        <v>5516</v>
      </c>
      <c r="G68" s="957" t="s">
        <v>5874</v>
      </c>
      <c r="H68" s="956">
        <v>20</v>
      </c>
      <c r="I68" s="956" t="s">
        <v>5873</v>
      </c>
      <c r="J68" s="956" t="s">
        <v>1201</v>
      </c>
    </row>
    <row r="69" spans="1:12">
      <c r="A69" s="957" t="s">
        <v>5871</v>
      </c>
      <c r="B69" s="957" t="s">
        <v>5519</v>
      </c>
      <c r="C69" s="957" t="s">
        <v>5872</v>
      </c>
      <c r="D69" s="957" t="str">
        <f t="shared" si="1"/>
        <v>北海道神恵内村</v>
      </c>
      <c r="E69" s="957" t="s">
        <v>5871</v>
      </c>
      <c r="F69" s="957" t="s">
        <v>5516</v>
      </c>
      <c r="G69" s="957" t="s">
        <v>5870</v>
      </c>
      <c r="H69" s="956">
        <v>1</v>
      </c>
      <c r="I69" s="956" t="s">
        <v>5683</v>
      </c>
      <c r="J69" s="956" t="s">
        <v>5869</v>
      </c>
      <c r="K69" s="965"/>
      <c r="L69" s="964"/>
    </row>
    <row r="70" spans="1:12">
      <c r="A70" s="957" t="s">
        <v>5867</v>
      </c>
      <c r="B70" s="957" t="s">
        <v>5519</v>
      </c>
      <c r="C70" s="957" t="s">
        <v>5868</v>
      </c>
      <c r="D70" s="957" t="str">
        <f t="shared" si="1"/>
        <v>北海道積丹町</v>
      </c>
      <c r="E70" s="957" t="s">
        <v>5867</v>
      </c>
      <c r="F70" s="957" t="s">
        <v>5516</v>
      </c>
      <c r="G70" s="957" t="s">
        <v>5866</v>
      </c>
      <c r="H70" s="956">
        <v>2</v>
      </c>
      <c r="I70" s="956" t="s">
        <v>5683</v>
      </c>
      <c r="J70" s="956" t="s">
        <v>3703</v>
      </c>
    </row>
    <row r="71" spans="1:12">
      <c r="A71" s="957" t="s">
        <v>5864</v>
      </c>
      <c r="B71" s="957" t="s">
        <v>5519</v>
      </c>
      <c r="C71" s="957" t="s">
        <v>5865</v>
      </c>
      <c r="D71" s="957" t="str">
        <f t="shared" si="1"/>
        <v>北海道古平町</v>
      </c>
      <c r="E71" s="957" t="s">
        <v>5864</v>
      </c>
      <c r="F71" s="957" t="s">
        <v>5516</v>
      </c>
      <c r="G71" s="957" t="s">
        <v>5863</v>
      </c>
      <c r="H71" s="956">
        <v>3</v>
      </c>
      <c r="I71" s="956" t="s">
        <v>5683</v>
      </c>
      <c r="J71" s="956" t="s">
        <v>3276</v>
      </c>
      <c r="K71" s="965"/>
      <c r="L71" s="964"/>
    </row>
    <row r="72" spans="1:12">
      <c r="A72" s="957" t="s">
        <v>5861</v>
      </c>
      <c r="B72" s="957" t="s">
        <v>5519</v>
      </c>
      <c r="C72" s="957" t="s">
        <v>5862</v>
      </c>
      <c r="D72" s="957" t="str">
        <f t="shared" si="1"/>
        <v>北海道仁木町</v>
      </c>
      <c r="E72" s="957" t="s">
        <v>5861</v>
      </c>
      <c r="F72" s="957" t="s">
        <v>5516</v>
      </c>
      <c r="G72" s="957" t="s">
        <v>5860</v>
      </c>
      <c r="H72" s="956">
        <v>4</v>
      </c>
      <c r="I72" s="956" t="s">
        <v>5683</v>
      </c>
      <c r="J72" s="956" t="s">
        <v>2507</v>
      </c>
      <c r="K72" s="965"/>
      <c r="L72" s="964"/>
    </row>
    <row r="73" spans="1:12">
      <c r="A73" s="957" t="s">
        <v>5858</v>
      </c>
      <c r="B73" s="957" t="s">
        <v>5519</v>
      </c>
      <c r="C73" s="957" t="s">
        <v>5859</v>
      </c>
      <c r="D73" s="957" t="str">
        <f t="shared" si="1"/>
        <v>北海道余市町</v>
      </c>
      <c r="E73" s="957" t="s">
        <v>5858</v>
      </c>
      <c r="F73" s="957" t="s">
        <v>5516</v>
      </c>
      <c r="G73" s="957" t="s">
        <v>5857</v>
      </c>
      <c r="H73" s="956">
        <v>5</v>
      </c>
      <c r="I73" s="956" t="s">
        <v>5683</v>
      </c>
      <c r="J73" s="956" t="s">
        <v>919</v>
      </c>
      <c r="K73" s="965"/>
      <c r="L73" s="964"/>
    </row>
    <row r="74" spans="1:12">
      <c r="A74" s="957" t="s">
        <v>5855</v>
      </c>
      <c r="B74" s="957" t="s">
        <v>5519</v>
      </c>
      <c r="C74" s="957" t="s">
        <v>5856</v>
      </c>
      <c r="D74" s="957" t="str">
        <f t="shared" si="1"/>
        <v>北海道赤井川村</v>
      </c>
      <c r="E74" s="957" t="s">
        <v>5855</v>
      </c>
      <c r="F74" s="957" t="s">
        <v>5516</v>
      </c>
      <c r="G74" s="957" t="s">
        <v>5854</v>
      </c>
      <c r="H74" s="956">
        <v>6</v>
      </c>
      <c r="I74" s="956" t="s">
        <v>5683</v>
      </c>
      <c r="J74" s="956" t="s">
        <v>5178</v>
      </c>
    </row>
    <row r="75" spans="1:12">
      <c r="A75" s="957" t="s">
        <v>5852</v>
      </c>
      <c r="B75" s="957" t="s">
        <v>5519</v>
      </c>
      <c r="C75" s="957" t="s">
        <v>5853</v>
      </c>
      <c r="D75" s="957" t="str">
        <f t="shared" si="1"/>
        <v>北海道南幌町</v>
      </c>
      <c r="E75" s="957" t="s">
        <v>5852</v>
      </c>
      <c r="F75" s="957" t="s">
        <v>5516</v>
      </c>
      <c r="G75" s="957" t="s">
        <v>5851</v>
      </c>
      <c r="H75" s="956">
        <v>7</v>
      </c>
      <c r="I75" s="956" t="s">
        <v>5683</v>
      </c>
      <c r="J75" s="956" t="s">
        <v>4992</v>
      </c>
      <c r="K75" s="965"/>
      <c r="L75" s="964"/>
    </row>
    <row r="76" spans="1:12">
      <c r="A76" s="957" t="s">
        <v>5849</v>
      </c>
      <c r="B76" s="957" t="s">
        <v>5519</v>
      </c>
      <c r="C76" s="957" t="s">
        <v>5850</v>
      </c>
      <c r="D76" s="957" t="str">
        <f t="shared" si="1"/>
        <v>北海道奈井江町</v>
      </c>
      <c r="E76" s="957" t="s">
        <v>5849</v>
      </c>
      <c r="F76" s="957" t="s">
        <v>5516</v>
      </c>
      <c r="G76" s="957" t="s">
        <v>5848</v>
      </c>
      <c r="H76" s="956">
        <v>8</v>
      </c>
      <c r="I76" s="956" t="s">
        <v>5683</v>
      </c>
      <c r="J76" s="956" t="s">
        <v>2261</v>
      </c>
    </row>
    <row r="77" spans="1:12">
      <c r="A77" s="957" t="s">
        <v>5846</v>
      </c>
      <c r="B77" s="957" t="s">
        <v>5519</v>
      </c>
      <c r="C77" s="957" t="s">
        <v>5847</v>
      </c>
      <c r="D77" s="957" t="str">
        <f t="shared" si="1"/>
        <v>北海道上砂川町</v>
      </c>
      <c r="E77" s="957" t="s">
        <v>5846</v>
      </c>
      <c r="F77" s="957" t="s">
        <v>5516</v>
      </c>
      <c r="G77" s="957" t="s">
        <v>5845</v>
      </c>
      <c r="H77" s="956">
        <v>9</v>
      </c>
      <c r="I77" s="956" t="s">
        <v>5683</v>
      </c>
      <c r="J77" s="956" t="s">
        <v>1269</v>
      </c>
      <c r="K77" s="965"/>
      <c r="L77" s="964"/>
    </row>
    <row r="78" spans="1:12">
      <c r="A78" s="957" t="s">
        <v>5843</v>
      </c>
      <c r="B78" s="957" t="s">
        <v>5519</v>
      </c>
      <c r="C78" s="957" t="s">
        <v>5844</v>
      </c>
      <c r="D78" s="957" t="str">
        <f t="shared" si="1"/>
        <v>北海道由仁町</v>
      </c>
      <c r="E78" s="957" t="s">
        <v>5843</v>
      </c>
      <c r="F78" s="957" t="s">
        <v>5516</v>
      </c>
      <c r="G78" s="957" t="s">
        <v>5842</v>
      </c>
      <c r="H78" s="956">
        <v>10</v>
      </c>
      <c r="I78" s="956" t="s">
        <v>5683</v>
      </c>
      <c r="J78" s="956" t="s">
        <v>1061</v>
      </c>
    </row>
    <row r="79" spans="1:12">
      <c r="A79" s="957" t="s">
        <v>5840</v>
      </c>
      <c r="B79" s="957" t="s">
        <v>5519</v>
      </c>
      <c r="C79" s="957" t="s">
        <v>5841</v>
      </c>
      <c r="D79" s="957" t="str">
        <f t="shared" si="1"/>
        <v>北海道長沼町</v>
      </c>
      <c r="E79" s="957" t="s">
        <v>5840</v>
      </c>
      <c r="F79" s="957" t="s">
        <v>5516</v>
      </c>
      <c r="G79" s="957" t="s">
        <v>5839</v>
      </c>
      <c r="H79" s="956">
        <v>11</v>
      </c>
      <c r="I79" s="956" t="s">
        <v>5683</v>
      </c>
      <c r="J79" s="956" t="s">
        <v>3003</v>
      </c>
    </row>
    <row r="80" spans="1:12">
      <c r="A80" s="957" t="s">
        <v>5837</v>
      </c>
      <c r="B80" s="957" t="s">
        <v>5519</v>
      </c>
      <c r="C80" s="957" t="s">
        <v>5838</v>
      </c>
      <c r="D80" s="957" t="str">
        <f t="shared" si="1"/>
        <v>北海道栗山町</v>
      </c>
      <c r="E80" s="957" t="s">
        <v>5837</v>
      </c>
      <c r="F80" s="957" t="s">
        <v>5516</v>
      </c>
      <c r="G80" s="957" t="s">
        <v>5836</v>
      </c>
      <c r="H80" s="956">
        <v>12</v>
      </c>
      <c r="I80" s="956" t="s">
        <v>5683</v>
      </c>
      <c r="J80" s="956" t="s">
        <v>1944</v>
      </c>
    </row>
    <row r="81" spans="1:10">
      <c r="A81" s="957" t="s">
        <v>5834</v>
      </c>
      <c r="B81" s="957" t="s">
        <v>5519</v>
      </c>
      <c r="C81" s="957" t="s">
        <v>5835</v>
      </c>
      <c r="D81" s="957" t="str">
        <f t="shared" si="1"/>
        <v>北海道月形町</v>
      </c>
      <c r="E81" s="957" t="s">
        <v>5834</v>
      </c>
      <c r="F81" s="957" t="s">
        <v>5516</v>
      </c>
      <c r="G81" s="957" t="s">
        <v>5833</v>
      </c>
      <c r="H81" s="956">
        <v>13</v>
      </c>
      <c r="I81" s="956" t="s">
        <v>5683</v>
      </c>
      <c r="J81" s="956" t="s">
        <v>1626</v>
      </c>
    </row>
    <row r="82" spans="1:10">
      <c r="A82" s="957" t="s">
        <v>5831</v>
      </c>
      <c r="B82" s="957" t="s">
        <v>5519</v>
      </c>
      <c r="C82" s="957" t="s">
        <v>5832</v>
      </c>
      <c r="D82" s="957" t="str">
        <f t="shared" si="1"/>
        <v>北海道浦臼町</v>
      </c>
      <c r="E82" s="957" t="s">
        <v>5831</v>
      </c>
      <c r="F82" s="957" t="s">
        <v>5516</v>
      </c>
      <c r="G82" s="957" t="s">
        <v>5830</v>
      </c>
      <c r="H82" s="956">
        <v>14</v>
      </c>
      <c r="I82" s="956" t="s">
        <v>5683</v>
      </c>
      <c r="J82" s="956" t="s">
        <v>1002</v>
      </c>
    </row>
    <row r="83" spans="1:10">
      <c r="A83" s="957" t="s">
        <v>5828</v>
      </c>
      <c r="B83" s="957" t="s">
        <v>5519</v>
      </c>
      <c r="C83" s="957" t="s">
        <v>5829</v>
      </c>
      <c r="D83" s="957" t="str">
        <f t="shared" si="1"/>
        <v>北海道新十津川町</v>
      </c>
      <c r="E83" s="957" t="s">
        <v>5828</v>
      </c>
      <c r="F83" s="957" t="s">
        <v>5516</v>
      </c>
      <c r="G83" s="957" t="s">
        <v>5827</v>
      </c>
      <c r="H83" s="956">
        <v>15</v>
      </c>
      <c r="I83" s="956" t="s">
        <v>5683</v>
      </c>
      <c r="J83" s="956" t="s">
        <v>4989</v>
      </c>
    </row>
    <row r="84" spans="1:10">
      <c r="A84" s="957" t="s">
        <v>5825</v>
      </c>
      <c r="B84" s="957" t="s">
        <v>5519</v>
      </c>
      <c r="C84" s="957" t="s">
        <v>5826</v>
      </c>
      <c r="D84" s="957" t="str">
        <f t="shared" si="1"/>
        <v>北海道妹背牛町</v>
      </c>
      <c r="E84" s="957" t="s">
        <v>5825</v>
      </c>
      <c r="F84" s="957" t="s">
        <v>5516</v>
      </c>
      <c r="G84" s="957" t="s">
        <v>5824</v>
      </c>
      <c r="H84" s="956">
        <v>16</v>
      </c>
      <c r="I84" s="956" t="s">
        <v>5683</v>
      </c>
      <c r="J84" s="956" t="s">
        <v>3507</v>
      </c>
    </row>
    <row r="85" spans="1:10">
      <c r="A85" s="957" t="s">
        <v>5822</v>
      </c>
      <c r="B85" s="957" t="s">
        <v>5519</v>
      </c>
      <c r="C85" s="957" t="s">
        <v>5823</v>
      </c>
      <c r="D85" s="957" t="str">
        <f t="shared" si="1"/>
        <v>北海道秩父別町</v>
      </c>
      <c r="E85" s="957" t="s">
        <v>5822</v>
      </c>
      <c r="F85" s="957" t="s">
        <v>5516</v>
      </c>
      <c r="G85" s="957" t="s">
        <v>5821</v>
      </c>
      <c r="H85" s="956">
        <v>17</v>
      </c>
      <c r="I85" s="956" t="s">
        <v>5683</v>
      </c>
      <c r="J85" s="956" t="s">
        <v>3032</v>
      </c>
    </row>
    <row r="86" spans="1:10">
      <c r="A86" s="957" t="s">
        <v>5819</v>
      </c>
      <c r="B86" s="957" t="s">
        <v>5519</v>
      </c>
      <c r="C86" s="957" t="s">
        <v>5820</v>
      </c>
      <c r="D86" s="957" t="str">
        <f t="shared" si="1"/>
        <v>北海道雨竜町</v>
      </c>
      <c r="E86" s="957" t="s">
        <v>5819</v>
      </c>
      <c r="F86" s="957" t="s">
        <v>5516</v>
      </c>
      <c r="G86" s="957" t="s">
        <v>5818</v>
      </c>
      <c r="H86" s="956">
        <v>18</v>
      </c>
      <c r="I86" s="956" t="s">
        <v>5683</v>
      </c>
      <c r="J86" s="956" t="s">
        <v>1747</v>
      </c>
    </row>
    <row r="87" spans="1:10">
      <c r="A87" s="957" t="s">
        <v>5816</v>
      </c>
      <c r="B87" s="957" t="s">
        <v>5519</v>
      </c>
      <c r="C87" s="957" t="s">
        <v>5817</v>
      </c>
      <c r="D87" s="957" t="str">
        <f t="shared" si="1"/>
        <v>北海道北竜町</v>
      </c>
      <c r="E87" s="957" t="s">
        <v>5816</v>
      </c>
      <c r="F87" s="957" t="s">
        <v>5516</v>
      </c>
      <c r="G87" s="957" t="s">
        <v>5815</v>
      </c>
      <c r="H87" s="956">
        <v>19</v>
      </c>
      <c r="I87" s="956" t="s">
        <v>5683</v>
      </c>
      <c r="J87" s="956" t="s">
        <v>5814</v>
      </c>
    </row>
    <row r="88" spans="1:10">
      <c r="A88" s="957" t="s">
        <v>5812</v>
      </c>
      <c r="B88" s="957" t="s">
        <v>5519</v>
      </c>
      <c r="C88" s="957" t="s">
        <v>5813</v>
      </c>
      <c r="D88" s="957" t="str">
        <f t="shared" si="1"/>
        <v>北海道沼田町</v>
      </c>
      <c r="E88" s="957" t="s">
        <v>5812</v>
      </c>
      <c r="F88" s="957" t="s">
        <v>5516</v>
      </c>
      <c r="G88" s="957" t="s">
        <v>5811</v>
      </c>
      <c r="H88" s="956">
        <v>20</v>
      </c>
      <c r="I88" s="956" t="s">
        <v>5683</v>
      </c>
      <c r="J88" s="956" t="s">
        <v>1691</v>
      </c>
    </row>
    <row r="89" spans="1:10">
      <c r="A89" s="957" t="s">
        <v>5809</v>
      </c>
      <c r="B89" s="957" t="s">
        <v>5519</v>
      </c>
      <c r="C89" s="957" t="s">
        <v>5810</v>
      </c>
      <c r="D89" s="957" t="str">
        <f t="shared" si="1"/>
        <v>北海道鷹栖町</v>
      </c>
      <c r="E89" s="957" t="s">
        <v>5809</v>
      </c>
      <c r="F89" s="957" t="s">
        <v>5516</v>
      </c>
      <c r="G89" s="957" t="s">
        <v>5808</v>
      </c>
      <c r="H89" s="956">
        <v>21</v>
      </c>
      <c r="I89" s="956" t="s">
        <v>5683</v>
      </c>
      <c r="J89" s="956" t="s">
        <v>3942</v>
      </c>
    </row>
    <row r="90" spans="1:10">
      <c r="A90" s="957" t="s">
        <v>5806</v>
      </c>
      <c r="B90" s="957" t="s">
        <v>5519</v>
      </c>
      <c r="C90" s="957" t="s">
        <v>5807</v>
      </c>
      <c r="D90" s="957" t="str">
        <f t="shared" si="1"/>
        <v>北海道東神楽町</v>
      </c>
      <c r="E90" s="957" t="s">
        <v>5806</v>
      </c>
      <c r="F90" s="957" t="s">
        <v>5516</v>
      </c>
      <c r="G90" s="957" t="s">
        <v>5805</v>
      </c>
      <c r="H90" s="956">
        <v>22</v>
      </c>
      <c r="I90" s="956" t="s">
        <v>5683</v>
      </c>
      <c r="J90" s="956" t="s">
        <v>2383</v>
      </c>
    </row>
    <row r="91" spans="1:10">
      <c r="A91" s="957" t="s">
        <v>5803</v>
      </c>
      <c r="B91" s="957" t="s">
        <v>5519</v>
      </c>
      <c r="C91" s="957" t="s">
        <v>5804</v>
      </c>
      <c r="D91" s="957" t="str">
        <f t="shared" si="1"/>
        <v>北海道当麻町</v>
      </c>
      <c r="E91" s="957" t="s">
        <v>5803</v>
      </c>
      <c r="F91" s="957" t="s">
        <v>5516</v>
      </c>
      <c r="G91" s="957" t="s">
        <v>5802</v>
      </c>
      <c r="H91" s="956">
        <v>23</v>
      </c>
      <c r="I91" s="956" t="s">
        <v>5683</v>
      </c>
      <c r="J91" s="956" t="s">
        <v>2042</v>
      </c>
    </row>
    <row r="92" spans="1:10">
      <c r="A92" s="957" t="s">
        <v>5800</v>
      </c>
      <c r="B92" s="957" t="s">
        <v>5519</v>
      </c>
      <c r="C92" s="957" t="s">
        <v>5801</v>
      </c>
      <c r="D92" s="957" t="str">
        <f t="shared" si="1"/>
        <v>北海道比布町</v>
      </c>
      <c r="E92" s="957" t="s">
        <v>5800</v>
      </c>
      <c r="F92" s="957" t="s">
        <v>5516</v>
      </c>
      <c r="G92" s="957" t="s">
        <v>5799</v>
      </c>
      <c r="H92" s="956">
        <v>24</v>
      </c>
      <c r="I92" s="956" t="s">
        <v>5683</v>
      </c>
      <c r="J92" s="956" t="s">
        <v>4497</v>
      </c>
    </row>
    <row r="93" spans="1:10">
      <c r="A93" s="957" t="s">
        <v>5797</v>
      </c>
      <c r="B93" s="957" t="s">
        <v>5519</v>
      </c>
      <c r="C93" s="957" t="s">
        <v>5798</v>
      </c>
      <c r="D93" s="957" t="str">
        <f t="shared" si="1"/>
        <v>北海道愛別町</v>
      </c>
      <c r="E93" s="957" t="s">
        <v>5797</v>
      </c>
      <c r="F93" s="957" t="s">
        <v>5516</v>
      </c>
      <c r="G93" s="957" t="s">
        <v>5796</v>
      </c>
      <c r="H93" s="956">
        <v>25</v>
      </c>
      <c r="I93" s="956" t="s">
        <v>5683</v>
      </c>
      <c r="J93" s="956" t="s">
        <v>4297</v>
      </c>
    </row>
    <row r="94" spans="1:10">
      <c r="A94" s="957" t="s">
        <v>5794</v>
      </c>
      <c r="B94" s="957" t="s">
        <v>5519</v>
      </c>
      <c r="C94" s="957" t="s">
        <v>5795</v>
      </c>
      <c r="D94" s="957" t="str">
        <f t="shared" si="1"/>
        <v>北海道上川町</v>
      </c>
      <c r="E94" s="957" t="s">
        <v>5794</v>
      </c>
      <c r="F94" s="957" t="s">
        <v>5516</v>
      </c>
      <c r="G94" s="957" t="s">
        <v>2404</v>
      </c>
      <c r="H94" s="956">
        <v>26</v>
      </c>
      <c r="I94" s="956" t="s">
        <v>5683</v>
      </c>
      <c r="J94" s="956" t="s">
        <v>3029</v>
      </c>
    </row>
    <row r="95" spans="1:10">
      <c r="A95" s="957" t="s">
        <v>5792</v>
      </c>
      <c r="B95" s="957" t="s">
        <v>5519</v>
      </c>
      <c r="C95" s="957" t="s">
        <v>5793</v>
      </c>
      <c r="D95" s="957" t="str">
        <f t="shared" si="1"/>
        <v>北海道東川町</v>
      </c>
      <c r="E95" s="957" t="s">
        <v>5792</v>
      </c>
      <c r="F95" s="957" t="s">
        <v>5516</v>
      </c>
      <c r="G95" s="957" t="s">
        <v>5791</v>
      </c>
      <c r="H95" s="956">
        <v>27</v>
      </c>
      <c r="I95" s="956" t="s">
        <v>5683</v>
      </c>
      <c r="J95" s="956" t="s">
        <v>2619</v>
      </c>
    </row>
    <row r="96" spans="1:10">
      <c r="A96" s="957" t="s">
        <v>5789</v>
      </c>
      <c r="B96" s="957" t="s">
        <v>5519</v>
      </c>
      <c r="C96" s="957" t="s">
        <v>5790</v>
      </c>
      <c r="D96" s="957" t="str">
        <f t="shared" si="1"/>
        <v>北海道美瑛町</v>
      </c>
      <c r="E96" s="957" t="s">
        <v>5789</v>
      </c>
      <c r="F96" s="957" t="s">
        <v>5516</v>
      </c>
      <c r="G96" s="957" t="s">
        <v>5788</v>
      </c>
      <c r="H96" s="956">
        <v>28</v>
      </c>
      <c r="I96" s="956" t="s">
        <v>5683</v>
      </c>
      <c r="J96" s="956" t="s">
        <v>2560</v>
      </c>
    </row>
    <row r="97" spans="1:10">
      <c r="A97" s="957" t="s">
        <v>5786</v>
      </c>
      <c r="B97" s="957" t="s">
        <v>5519</v>
      </c>
      <c r="C97" s="957" t="s">
        <v>5787</v>
      </c>
      <c r="D97" s="957" t="str">
        <f t="shared" si="1"/>
        <v>北海道上富良野町</v>
      </c>
      <c r="E97" s="957" t="s">
        <v>5786</v>
      </c>
      <c r="F97" s="957" t="s">
        <v>5516</v>
      </c>
      <c r="G97" s="957" t="s">
        <v>5785</v>
      </c>
      <c r="H97" s="956">
        <v>29</v>
      </c>
      <c r="I97" s="956" t="s">
        <v>5683</v>
      </c>
      <c r="J97" s="956" t="s">
        <v>3752</v>
      </c>
    </row>
    <row r="98" spans="1:10">
      <c r="A98" s="957" t="s">
        <v>5783</v>
      </c>
      <c r="B98" s="957" t="s">
        <v>5519</v>
      </c>
      <c r="C98" s="957" t="s">
        <v>5784</v>
      </c>
      <c r="D98" s="957" t="str">
        <f t="shared" si="1"/>
        <v>北海道中富良野町</v>
      </c>
      <c r="E98" s="957" t="s">
        <v>5783</v>
      </c>
      <c r="F98" s="957" t="s">
        <v>5516</v>
      </c>
      <c r="G98" s="957" t="s">
        <v>5782</v>
      </c>
      <c r="H98" s="956">
        <v>30</v>
      </c>
      <c r="I98" s="956" t="s">
        <v>5683</v>
      </c>
      <c r="J98" s="956" t="s">
        <v>5781</v>
      </c>
    </row>
    <row r="99" spans="1:10">
      <c r="A99" s="957" t="s">
        <v>5779</v>
      </c>
      <c r="B99" s="957" t="s">
        <v>5519</v>
      </c>
      <c r="C99" s="957" t="s">
        <v>5780</v>
      </c>
      <c r="D99" s="957" t="str">
        <f t="shared" si="1"/>
        <v>北海道南富良野町</v>
      </c>
      <c r="E99" s="957" t="s">
        <v>5779</v>
      </c>
      <c r="F99" s="957" t="s">
        <v>5516</v>
      </c>
      <c r="G99" s="957" t="s">
        <v>5778</v>
      </c>
      <c r="H99" s="956">
        <v>31</v>
      </c>
      <c r="I99" s="956" t="s">
        <v>5683</v>
      </c>
      <c r="J99" s="956" t="s">
        <v>1886</v>
      </c>
    </row>
    <row r="100" spans="1:10">
      <c r="A100" s="957" t="s">
        <v>5776</v>
      </c>
      <c r="B100" s="957" t="s">
        <v>5519</v>
      </c>
      <c r="C100" s="957" t="s">
        <v>5777</v>
      </c>
      <c r="D100" s="957" t="str">
        <f t="shared" si="1"/>
        <v>北海道占冠村</v>
      </c>
      <c r="E100" s="957" t="s">
        <v>5776</v>
      </c>
      <c r="F100" s="957" t="s">
        <v>5516</v>
      </c>
      <c r="G100" s="957" t="s">
        <v>5775</v>
      </c>
      <c r="H100" s="956">
        <v>32</v>
      </c>
      <c r="I100" s="956" t="s">
        <v>5683</v>
      </c>
      <c r="J100" s="956" t="s">
        <v>5511</v>
      </c>
    </row>
    <row r="101" spans="1:10">
      <c r="A101" s="957" t="s">
        <v>5773</v>
      </c>
      <c r="B101" s="957" t="s">
        <v>5519</v>
      </c>
      <c r="C101" s="957" t="s">
        <v>5774</v>
      </c>
      <c r="D101" s="957" t="str">
        <f t="shared" si="1"/>
        <v>北海道和寒町</v>
      </c>
      <c r="E101" s="957" t="s">
        <v>5773</v>
      </c>
      <c r="F101" s="957" t="s">
        <v>5516</v>
      </c>
      <c r="G101" s="957" t="s">
        <v>5772</v>
      </c>
      <c r="H101" s="956">
        <v>33</v>
      </c>
      <c r="I101" s="956" t="s">
        <v>5683</v>
      </c>
      <c r="J101" s="956" t="s">
        <v>5388</v>
      </c>
    </row>
    <row r="102" spans="1:10">
      <c r="A102" s="957" t="s">
        <v>5770</v>
      </c>
      <c r="B102" s="957" t="s">
        <v>5519</v>
      </c>
      <c r="C102" s="957" t="s">
        <v>5771</v>
      </c>
      <c r="D102" s="957" t="str">
        <f t="shared" si="1"/>
        <v>北海道剣淵町</v>
      </c>
      <c r="E102" s="957" t="s">
        <v>5770</v>
      </c>
      <c r="F102" s="957" t="s">
        <v>5516</v>
      </c>
      <c r="G102" s="957" t="s">
        <v>5769</v>
      </c>
      <c r="H102" s="956">
        <v>34</v>
      </c>
      <c r="I102" s="956" t="s">
        <v>5683</v>
      </c>
      <c r="J102" s="956" t="s">
        <v>4264</v>
      </c>
    </row>
    <row r="103" spans="1:10">
      <c r="A103" s="957" t="s">
        <v>5767</v>
      </c>
      <c r="B103" s="957" t="s">
        <v>5519</v>
      </c>
      <c r="C103" s="957" t="s">
        <v>5768</v>
      </c>
      <c r="D103" s="957" t="str">
        <f t="shared" si="1"/>
        <v>北海道下川町</v>
      </c>
      <c r="E103" s="957" t="s">
        <v>5767</v>
      </c>
      <c r="F103" s="957" t="s">
        <v>5516</v>
      </c>
      <c r="G103" s="957" t="s">
        <v>5766</v>
      </c>
      <c r="H103" s="956">
        <v>35</v>
      </c>
      <c r="I103" s="956" t="s">
        <v>5683</v>
      </c>
      <c r="J103" s="956" t="s">
        <v>2498</v>
      </c>
    </row>
    <row r="104" spans="1:10">
      <c r="A104" s="957" t="s">
        <v>5764</v>
      </c>
      <c r="B104" s="957" t="s">
        <v>5519</v>
      </c>
      <c r="C104" s="957" t="s">
        <v>5765</v>
      </c>
      <c r="D104" s="957" t="str">
        <f t="shared" si="1"/>
        <v>北海道美深町</v>
      </c>
      <c r="E104" s="957" t="s">
        <v>5764</v>
      </c>
      <c r="F104" s="957" t="s">
        <v>5516</v>
      </c>
      <c r="G104" s="957" t="s">
        <v>5763</v>
      </c>
      <c r="H104" s="956">
        <v>36</v>
      </c>
      <c r="I104" s="956" t="s">
        <v>5683</v>
      </c>
      <c r="J104" s="956" t="s">
        <v>1512</v>
      </c>
    </row>
    <row r="105" spans="1:10">
      <c r="A105" s="957" t="s">
        <v>5761</v>
      </c>
      <c r="B105" s="957" t="s">
        <v>5519</v>
      </c>
      <c r="C105" s="957" t="s">
        <v>5762</v>
      </c>
      <c r="D105" s="957" t="str">
        <f t="shared" si="1"/>
        <v>北海道音威子府村</v>
      </c>
      <c r="E105" s="957" t="s">
        <v>5761</v>
      </c>
      <c r="F105" s="957" t="s">
        <v>5516</v>
      </c>
      <c r="G105" s="957" t="s">
        <v>5760</v>
      </c>
      <c r="H105" s="956">
        <v>37</v>
      </c>
      <c r="I105" s="956" t="s">
        <v>5683</v>
      </c>
      <c r="J105" s="956" t="s">
        <v>4604</v>
      </c>
    </row>
    <row r="106" spans="1:10">
      <c r="A106" s="957" t="s">
        <v>5758</v>
      </c>
      <c r="B106" s="957" t="s">
        <v>5519</v>
      </c>
      <c r="C106" s="957" t="s">
        <v>5759</v>
      </c>
      <c r="D106" s="957" t="str">
        <f t="shared" si="1"/>
        <v>北海道中川町</v>
      </c>
      <c r="E106" s="957" t="s">
        <v>5758</v>
      </c>
      <c r="F106" s="957" t="s">
        <v>5516</v>
      </c>
      <c r="G106" s="957" t="s">
        <v>5757</v>
      </c>
      <c r="H106" s="956">
        <v>38</v>
      </c>
      <c r="I106" s="956" t="s">
        <v>5683</v>
      </c>
      <c r="J106" s="956" t="s">
        <v>2783</v>
      </c>
    </row>
    <row r="107" spans="1:10">
      <c r="A107" s="957" t="s">
        <v>5755</v>
      </c>
      <c r="B107" s="957" t="s">
        <v>5519</v>
      </c>
      <c r="C107" s="957" t="s">
        <v>5756</v>
      </c>
      <c r="D107" s="957" t="str">
        <f t="shared" si="1"/>
        <v>北海道幌加内町</v>
      </c>
      <c r="E107" s="957" t="s">
        <v>5755</v>
      </c>
      <c r="F107" s="957" t="s">
        <v>5516</v>
      </c>
      <c r="G107" s="957" t="s">
        <v>5754</v>
      </c>
      <c r="H107" s="956">
        <v>39</v>
      </c>
      <c r="I107" s="956" t="s">
        <v>5683</v>
      </c>
      <c r="J107" s="956" t="s">
        <v>2504</v>
      </c>
    </row>
    <row r="108" spans="1:10">
      <c r="A108" s="957" t="s">
        <v>5752</v>
      </c>
      <c r="B108" s="957" t="s">
        <v>5519</v>
      </c>
      <c r="C108" s="957" t="s">
        <v>5753</v>
      </c>
      <c r="D108" s="957" t="str">
        <f t="shared" si="1"/>
        <v>北海道増毛町</v>
      </c>
      <c r="E108" s="957" t="s">
        <v>5752</v>
      </c>
      <c r="F108" s="957" t="s">
        <v>5516</v>
      </c>
      <c r="G108" s="957" t="s">
        <v>5751</v>
      </c>
      <c r="H108" s="956">
        <v>40</v>
      </c>
      <c r="I108" s="956" t="s">
        <v>5683</v>
      </c>
      <c r="J108" s="956" t="s">
        <v>4601</v>
      </c>
    </row>
    <row r="109" spans="1:10">
      <c r="A109" s="957" t="s">
        <v>5749</v>
      </c>
      <c r="B109" s="957" t="s">
        <v>5519</v>
      </c>
      <c r="C109" s="957" t="s">
        <v>5750</v>
      </c>
      <c r="D109" s="957" t="str">
        <f t="shared" si="1"/>
        <v>北海道小平町</v>
      </c>
      <c r="E109" s="957" t="s">
        <v>5749</v>
      </c>
      <c r="F109" s="957" t="s">
        <v>5516</v>
      </c>
      <c r="G109" s="957" t="s">
        <v>5748</v>
      </c>
      <c r="H109" s="956">
        <v>41</v>
      </c>
      <c r="I109" s="956" t="s">
        <v>5683</v>
      </c>
      <c r="J109" s="956" t="s">
        <v>2631</v>
      </c>
    </row>
    <row r="110" spans="1:10">
      <c r="A110" s="957" t="s">
        <v>5746</v>
      </c>
      <c r="B110" s="957" t="s">
        <v>5519</v>
      </c>
      <c r="C110" s="957" t="s">
        <v>5747</v>
      </c>
      <c r="D110" s="957" t="str">
        <f t="shared" si="1"/>
        <v>北海道苫前町</v>
      </c>
      <c r="E110" s="957" t="s">
        <v>5746</v>
      </c>
      <c r="F110" s="957" t="s">
        <v>5516</v>
      </c>
      <c r="G110" s="957" t="s">
        <v>5745</v>
      </c>
      <c r="H110" s="956">
        <v>42</v>
      </c>
      <c r="I110" s="956" t="s">
        <v>5683</v>
      </c>
      <c r="J110" s="956" t="s">
        <v>785</v>
      </c>
    </row>
    <row r="111" spans="1:10">
      <c r="A111" s="957" t="s">
        <v>5743</v>
      </c>
      <c r="B111" s="957" t="s">
        <v>5519</v>
      </c>
      <c r="C111" s="957" t="s">
        <v>5744</v>
      </c>
      <c r="D111" s="957" t="str">
        <f t="shared" si="1"/>
        <v>北海道羽幌町</v>
      </c>
      <c r="E111" s="957" t="s">
        <v>5743</v>
      </c>
      <c r="F111" s="957" t="s">
        <v>5516</v>
      </c>
      <c r="G111" s="957" t="s">
        <v>5742</v>
      </c>
      <c r="H111" s="956">
        <v>43</v>
      </c>
      <c r="I111" s="956" t="s">
        <v>5683</v>
      </c>
      <c r="J111" s="956" t="s">
        <v>2610</v>
      </c>
    </row>
    <row r="112" spans="1:10">
      <c r="A112" s="957" t="s">
        <v>5740</v>
      </c>
      <c r="B112" s="957" t="s">
        <v>5519</v>
      </c>
      <c r="C112" s="957" t="s">
        <v>5741</v>
      </c>
      <c r="D112" s="957" t="str">
        <f t="shared" si="1"/>
        <v>北海道初山別村</v>
      </c>
      <c r="E112" s="957" t="s">
        <v>5740</v>
      </c>
      <c r="F112" s="957" t="s">
        <v>5516</v>
      </c>
      <c r="G112" s="957" t="s">
        <v>5739</v>
      </c>
      <c r="H112" s="956">
        <v>44</v>
      </c>
      <c r="I112" s="956" t="s">
        <v>5683</v>
      </c>
      <c r="J112" s="956" t="s">
        <v>4070</v>
      </c>
    </row>
    <row r="113" spans="1:10">
      <c r="A113" s="957" t="s">
        <v>5737</v>
      </c>
      <c r="B113" s="957" t="s">
        <v>5519</v>
      </c>
      <c r="C113" s="957" t="s">
        <v>5738</v>
      </c>
      <c r="D113" s="957" t="str">
        <f t="shared" si="1"/>
        <v>北海道遠別町</v>
      </c>
      <c r="E113" s="957" t="s">
        <v>5737</v>
      </c>
      <c r="F113" s="957" t="s">
        <v>5516</v>
      </c>
      <c r="G113" s="957" t="s">
        <v>5736</v>
      </c>
      <c r="H113" s="956">
        <v>45</v>
      </c>
      <c r="I113" s="956" t="s">
        <v>5683</v>
      </c>
      <c r="J113" s="956" t="s">
        <v>4446</v>
      </c>
    </row>
    <row r="114" spans="1:10">
      <c r="A114" s="957" t="s">
        <v>5734</v>
      </c>
      <c r="B114" s="957" t="s">
        <v>5519</v>
      </c>
      <c r="C114" s="957" t="s">
        <v>5735</v>
      </c>
      <c r="D114" s="957" t="str">
        <f t="shared" si="1"/>
        <v>北海道天塩町</v>
      </c>
      <c r="E114" s="957" t="s">
        <v>5734</v>
      </c>
      <c r="F114" s="957" t="s">
        <v>5516</v>
      </c>
      <c r="G114" s="957" t="s">
        <v>5733</v>
      </c>
      <c r="H114" s="956">
        <v>46</v>
      </c>
      <c r="I114" s="956" t="s">
        <v>5683</v>
      </c>
      <c r="J114" s="956" t="s">
        <v>1956</v>
      </c>
    </row>
    <row r="115" spans="1:10">
      <c r="A115" s="957" t="s">
        <v>5731</v>
      </c>
      <c r="B115" s="957" t="s">
        <v>5519</v>
      </c>
      <c r="C115" s="957" t="s">
        <v>5732</v>
      </c>
      <c r="D115" s="957" t="str">
        <f t="shared" si="1"/>
        <v>北海道猿払村</v>
      </c>
      <c r="E115" s="957" t="s">
        <v>5731</v>
      </c>
      <c r="F115" s="957" t="s">
        <v>5516</v>
      </c>
      <c r="G115" s="957" t="s">
        <v>5730</v>
      </c>
      <c r="H115" s="956">
        <v>47</v>
      </c>
      <c r="I115" s="956" t="s">
        <v>5683</v>
      </c>
      <c r="J115" s="956" t="s">
        <v>1266</v>
      </c>
    </row>
    <row r="116" spans="1:10">
      <c r="A116" s="957" t="s">
        <v>5728</v>
      </c>
      <c r="B116" s="957" t="s">
        <v>5519</v>
      </c>
      <c r="C116" s="957" t="s">
        <v>5729</v>
      </c>
      <c r="D116" s="957" t="str">
        <f t="shared" si="1"/>
        <v>北海道浜頓別町</v>
      </c>
      <c r="E116" s="957" t="s">
        <v>5728</v>
      </c>
      <c r="F116" s="957" t="s">
        <v>5516</v>
      </c>
      <c r="G116" s="957" t="s">
        <v>5727</v>
      </c>
      <c r="H116" s="956">
        <v>48</v>
      </c>
      <c r="I116" s="956" t="s">
        <v>5683</v>
      </c>
      <c r="J116" s="956" t="s">
        <v>5505</v>
      </c>
    </row>
    <row r="117" spans="1:10">
      <c r="A117" s="957" t="s">
        <v>5725</v>
      </c>
      <c r="B117" s="957" t="s">
        <v>5519</v>
      </c>
      <c r="C117" s="957" t="s">
        <v>5726</v>
      </c>
      <c r="D117" s="957" t="str">
        <f t="shared" si="1"/>
        <v>北海道中頓別町</v>
      </c>
      <c r="E117" s="957" t="s">
        <v>5725</v>
      </c>
      <c r="F117" s="957" t="s">
        <v>5516</v>
      </c>
      <c r="G117" s="957" t="s">
        <v>5724</v>
      </c>
      <c r="H117" s="956">
        <v>49</v>
      </c>
      <c r="I117" s="956" t="s">
        <v>5683</v>
      </c>
      <c r="J117" s="956" t="s">
        <v>4998</v>
      </c>
    </row>
    <row r="118" spans="1:10">
      <c r="A118" s="957" t="s">
        <v>5722</v>
      </c>
      <c r="B118" s="957" t="s">
        <v>5519</v>
      </c>
      <c r="C118" s="957" t="s">
        <v>5723</v>
      </c>
      <c r="D118" s="957" t="str">
        <f t="shared" si="1"/>
        <v>北海道枝幸町</v>
      </c>
      <c r="E118" s="957" t="s">
        <v>5722</v>
      </c>
      <c r="F118" s="957" t="s">
        <v>5516</v>
      </c>
      <c r="G118" s="957" t="s">
        <v>5721</v>
      </c>
      <c r="H118" s="956">
        <v>50</v>
      </c>
      <c r="I118" s="956" t="s">
        <v>5683</v>
      </c>
      <c r="J118" s="956" t="s">
        <v>4491</v>
      </c>
    </row>
    <row r="119" spans="1:10">
      <c r="A119" s="957" t="s">
        <v>5719</v>
      </c>
      <c r="B119" s="957" t="s">
        <v>5519</v>
      </c>
      <c r="C119" s="957" t="s">
        <v>5720</v>
      </c>
      <c r="D119" s="957" t="str">
        <f t="shared" si="1"/>
        <v>北海道豊富町</v>
      </c>
      <c r="E119" s="957" t="s">
        <v>5719</v>
      </c>
      <c r="F119" s="957" t="s">
        <v>5516</v>
      </c>
      <c r="G119" s="957" t="s">
        <v>5718</v>
      </c>
      <c r="H119" s="956">
        <v>51</v>
      </c>
      <c r="I119" s="956" t="s">
        <v>5683</v>
      </c>
      <c r="J119" s="956" t="s">
        <v>2604</v>
      </c>
    </row>
    <row r="120" spans="1:10">
      <c r="A120" s="957" t="s">
        <v>5716</v>
      </c>
      <c r="B120" s="957" t="s">
        <v>5519</v>
      </c>
      <c r="C120" s="957" t="s">
        <v>5717</v>
      </c>
      <c r="D120" s="957" t="str">
        <f t="shared" si="1"/>
        <v>北海道礼文町</v>
      </c>
      <c r="E120" s="957" t="s">
        <v>5716</v>
      </c>
      <c r="F120" s="957" t="s">
        <v>5516</v>
      </c>
      <c r="G120" s="957" t="s">
        <v>5715</v>
      </c>
      <c r="H120" s="956">
        <v>52</v>
      </c>
      <c r="I120" s="956" t="s">
        <v>5683</v>
      </c>
      <c r="J120" s="956" t="s">
        <v>2501</v>
      </c>
    </row>
    <row r="121" spans="1:10">
      <c r="A121" s="957" t="s">
        <v>5713</v>
      </c>
      <c r="B121" s="957" t="s">
        <v>5519</v>
      </c>
      <c r="C121" s="957" t="s">
        <v>5714</v>
      </c>
      <c r="D121" s="957" t="str">
        <f t="shared" si="1"/>
        <v>北海道利尻町</v>
      </c>
      <c r="E121" s="957" t="s">
        <v>5713</v>
      </c>
      <c r="F121" s="957" t="s">
        <v>5516</v>
      </c>
      <c r="G121" s="957" t="s">
        <v>5712</v>
      </c>
      <c r="H121" s="956">
        <v>53</v>
      </c>
      <c r="I121" s="956" t="s">
        <v>5683</v>
      </c>
      <c r="J121" s="956" t="s">
        <v>2167</v>
      </c>
    </row>
    <row r="122" spans="1:10">
      <c r="A122" s="957" t="s">
        <v>5710</v>
      </c>
      <c r="B122" s="957" t="s">
        <v>5519</v>
      </c>
      <c r="C122" s="957" t="s">
        <v>5711</v>
      </c>
      <c r="D122" s="957" t="str">
        <f t="shared" si="1"/>
        <v>北海道利尻富士町</v>
      </c>
      <c r="E122" s="957" t="s">
        <v>5710</v>
      </c>
      <c r="F122" s="957" t="s">
        <v>5516</v>
      </c>
      <c r="G122" s="957" t="s">
        <v>5709</v>
      </c>
      <c r="H122" s="956">
        <v>54</v>
      </c>
      <c r="I122" s="956" t="s">
        <v>5683</v>
      </c>
      <c r="J122" s="956" t="s">
        <v>2105</v>
      </c>
    </row>
    <row r="123" spans="1:10">
      <c r="A123" s="957" t="s">
        <v>5707</v>
      </c>
      <c r="B123" s="957" t="s">
        <v>5519</v>
      </c>
      <c r="C123" s="957" t="s">
        <v>5708</v>
      </c>
      <c r="D123" s="957" t="str">
        <f t="shared" si="1"/>
        <v>北海道幌延町</v>
      </c>
      <c r="E123" s="957" t="s">
        <v>5707</v>
      </c>
      <c r="F123" s="957" t="s">
        <v>5516</v>
      </c>
      <c r="G123" s="957" t="s">
        <v>5706</v>
      </c>
      <c r="H123" s="956">
        <v>55</v>
      </c>
      <c r="I123" s="956" t="s">
        <v>5683</v>
      </c>
      <c r="J123" s="956" t="s">
        <v>5100</v>
      </c>
    </row>
    <row r="124" spans="1:10">
      <c r="A124" s="957" t="s">
        <v>5704</v>
      </c>
      <c r="B124" s="957" t="s">
        <v>5519</v>
      </c>
      <c r="C124" s="957" t="s">
        <v>5705</v>
      </c>
      <c r="D124" s="957" t="str">
        <f t="shared" si="1"/>
        <v>北海道美幌町</v>
      </c>
      <c r="E124" s="957" t="s">
        <v>5704</v>
      </c>
      <c r="F124" s="957" t="s">
        <v>5516</v>
      </c>
      <c r="G124" s="957" t="s">
        <v>5703</v>
      </c>
      <c r="H124" s="956">
        <v>56</v>
      </c>
      <c r="I124" s="956" t="s">
        <v>5683</v>
      </c>
      <c r="J124" s="956" t="s">
        <v>3641</v>
      </c>
    </row>
    <row r="125" spans="1:10">
      <c r="A125" s="957" t="s">
        <v>5701</v>
      </c>
      <c r="B125" s="957" t="s">
        <v>5519</v>
      </c>
      <c r="C125" s="957" t="s">
        <v>5702</v>
      </c>
      <c r="D125" s="957" t="str">
        <f t="shared" si="1"/>
        <v>北海道津別町</v>
      </c>
      <c r="E125" s="957" t="s">
        <v>5701</v>
      </c>
      <c r="F125" s="957" t="s">
        <v>5516</v>
      </c>
      <c r="G125" s="957" t="s">
        <v>5700</v>
      </c>
      <c r="H125" s="956">
        <v>57</v>
      </c>
      <c r="I125" s="956" t="s">
        <v>5683</v>
      </c>
      <c r="J125" s="956" t="s">
        <v>3591</v>
      </c>
    </row>
    <row r="126" spans="1:10">
      <c r="A126" s="957" t="s">
        <v>5698</v>
      </c>
      <c r="B126" s="957" t="s">
        <v>5519</v>
      </c>
      <c r="C126" s="957" t="s">
        <v>5699</v>
      </c>
      <c r="D126" s="957" t="str">
        <f t="shared" si="1"/>
        <v>北海道斜里町</v>
      </c>
      <c r="E126" s="957" t="s">
        <v>5698</v>
      </c>
      <c r="F126" s="957" t="s">
        <v>5516</v>
      </c>
      <c r="G126" s="957" t="s">
        <v>5697</v>
      </c>
      <c r="H126" s="956">
        <v>58</v>
      </c>
      <c r="I126" s="956" t="s">
        <v>5683</v>
      </c>
      <c r="J126" s="956" t="s">
        <v>2595</v>
      </c>
    </row>
    <row r="127" spans="1:10">
      <c r="A127" s="957" t="s">
        <v>5695</v>
      </c>
      <c r="B127" s="957" t="s">
        <v>5519</v>
      </c>
      <c r="C127" s="957" t="s">
        <v>5696</v>
      </c>
      <c r="D127" s="957" t="str">
        <f t="shared" si="1"/>
        <v>北海道清里町</v>
      </c>
      <c r="E127" s="957" t="s">
        <v>5695</v>
      </c>
      <c r="F127" s="957" t="s">
        <v>5516</v>
      </c>
      <c r="G127" s="957" t="s">
        <v>5694</v>
      </c>
      <c r="H127" s="956">
        <v>59</v>
      </c>
      <c r="I127" s="956" t="s">
        <v>5683</v>
      </c>
      <c r="J127" s="956" t="s">
        <v>4818</v>
      </c>
    </row>
    <row r="128" spans="1:10">
      <c r="A128" s="957" t="s">
        <v>5692</v>
      </c>
      <c r="B128" s="957" t="s">
        <v>5519</v>
      </c>
      <c r="C128" s="957" t="s">
        <v>5693</v>
      </c>
      <c r="D128" s="957" t="str">
        <f t="shared" si="1"/>
        <v>北海道小清水町</v>
      </c>
      <c r="E128" s="957" t="s">
        <v>5692</v>
      </c>
      <c r="F128" s="957" t="s">
        <v>5516</v>
      </c>
      <c r="G128" s="957" t="s">
        <v>5691</v>
      </c>
      <c r="H128" s="956">
        <v>60</v>
      </c>
      <c r="I128" s="956" t="s">
        <v>5683</v>
      </c>
      <c r="J128" s="956" t="s">
        <v>2625</v>
      </c>
    </row>
    <row r="129" spans="1:10">
      <c r="A129" s="957" t="s">
        <v>5689</v>
      </c>
      <c r="B129" s="957" t="s">
        <v>5519</v>
      </c>
      <c r="C129" s="957" t="s">
        <v>5690</v>
      </c>
      <c r="D129" s="957" t="str">
        <f t="shared" si="1"/>
        <v>北海道訓子府町</v>
      </c>
      <c r="E129" s="957" t="s">
        <v>5689</v>
      </c>
      <c r="F129" s="957" t="s">
        <v>5516</v>
      </c>
      <c r="G129" s="957" t="s">
        <v>5688</v>
      </c>
      <c r="H129" s="956">
        <v>61</v>
      </c>
      <c r="I129" s="956" t="s">
        <v>5683</v>
      </c>
      <c r="J129" s="956" t="s">
        <v>5687</v>
      </c>
    </row>
    <row r="130" spans="1:10">
      <c r="A130" s="957" t="s">
        <v>5685</v>
      </c>
      <c r="B130" s="957" t="s">
        <v>5519</v>
      </c>
      <c r="C130" s="957" t="s">
        <v>5686</v>
      </c>
      <c r="D130" s="957" t="str">
        <f t="shared" si="1"/>
        <v>北海道置戸町</v>
      </c>
      <c r="E130" s="957" t="s">
        <v>5685</v>
      </c>
      <c r="F130" s="957" t="s">
        <v>5516</v>
      </c>
      <c r="G130" s="957" t="s">
        <v>5684</v>
      </c>
      <c r="H130" s="956">
        <v>62</v>
      </c>
      <c r="I130" s="956" t="s">
        <v>5683</v>
      </c>
      <c r="J130" s="956" t="s">
        <v>5682</v>
      </c>
    </row>
    <row r="131" spans="1:10">
      <c r="A131" s="957" t="s">
        <v>5680</v>
      </c>
      <c r="B131" s="957" t="s">
        <v>5519</v>
      </c>
      <c r="C131" s="957" t="s">
        <v>5681</v>
      </c>
      <c r="D131" s="957" t="str">
        <f t="shared" ref="D131:D194" si="2">B131&amp;C131</f>
        <v>北海道佐呂間町</v>
      </c>
      <c r="E131" s="957" t="s">
        <v>5680</v>
      </c>
      <c r="F131" s="957" t="s">
        <v>5516</v>
      </c>
      <c r="G131" s="957" t="s">
        <v>5679</v>
      </c>
      <c r="H131" s="956">
        <v>1</v>
      </c>
      <c r="I131" s="956" t="s">
        <v>5614</v>
      </c>
      <c r="J131" t="s">
        <v>3930</v>
      </c>
    </row>
    <row r="132" spans="1:10">
      <c r="A132" s="957" t="s">
        <v>5677</v>
      </c>
      <c r="B132" s="957" t="s">
        <v>5519</v>
      </c>
      <c r="C132" s="957" t="s">
        <v>5678</v>
      </c>
      <c r="D132" s="957" t="str">
        <f t="shared" si="2"/>
        <v>北海道遠軽町</v>
      </c>
      <c r="E132" s="957" t="s">
        <v>5677</v>
      </c>
      <c r="F132" s="957" t="s">
        <v>5516</v>
      </c>
      <c r="G132" s="957" t="s">
        <v>5676</v>
      </c>
      <c r="H132" s="956">
        <v>2</v>
      </c>
      <c r="I132" s="956" t="s">
        <v>5614</v>
      </c>
      <c r="J132" t="s">
        <v>3912</v>
      </c>
    </row>
    <row r="133" spans="1:10">
      <c r="A133" s="957" t="s">
        <v>5674</v>
      </c>
      <c r="B133" s="957" t="s">
        <v>5519</v>
      </c>
      <c r="C133" s="957" t="s">
        <v>5675</v>
      </c>
      <c r="D133" s="957" t="str">
        <f t="shared" si="2"/>
        <v>北海道湧別町</v>
      </c>
      <c r="E133" s="957" t="s">
        <v>5674</v>
      </c>
      <c r="F133" s="957" t="s">
        <v>5516</v>
      </c>
      <c r="G133" s="957" t="s">
        <v>5673</v>
      </c>
      <c r="H133" s="956">
        <v>3</v>
      </c>
      <c r="I133" s="956" t="s">
        <v>5614</v>
      </c>
      <c r="J133" t="s">
        <v>3139</v>
      </c>
    </row>
    <row r="134" spans="1:10">
      <c r="A134" s="957" t="s">
        <v>5671</v>
      </c>
      <c r="B134" s="957" t="s">
        <v>5519</v>
      </c>
      <c r="C134" s="957" t="s">
        <v>5672</v>
      </c>
      <c r="D134" s="957" t="str">
        <f t="shared" si="2"/>
        <v>北海道滝上町</v>
      </c>
      <c r="E134" s="957" t="s">
        <v>5671</v>
      </c>
      <c r="F134" s="957" t="s">
        <v>5516</v>
      </c>
      <c r="G134" s="957" t="s">
        <v>5670</v>
      </c>
      <c r="H134" s="956">
        <v>4</v>
      </c>
      <c r="I134" s="956" t="s">
        <v>5614</v>
      </c>
      <c r="J134" t="s">
        <v>2870</v>
      </c>
    </row>
    <row r="135" spans="1:10">
      <c r="A135" s="957" t="s">
        <v>5668</v>
      </c>
      <c r="B135" s="957" t="s">
        <v>5519</v>
      </c>
      <c r="C135" s="957" t="s">
        <v>5669</v>
      </c>
      <c r="D135" s="957" t="str">
        <f t="shared" si="2"/>
        <v>北海道興部町</v>
      </c>
      <c r="E135" s="957" t="s">
        <v>5668</v>
      </c>
      <c r="F135" s="957" t="s">
        <v>5516</v>
      </c>
      <c r="G135" s="957" t="s">
        <v>5667</v>
      </c>
      <c r="H135" s="956">
        <v>5</v>
      </c>
      <c r="I135" s="956" t="s">
        <v>5614</v>
      </c>
      <c r="J135" t="s">
        <v>3939</v>
      </c>
    </row>
    <row r="136" spans="1:10">
      <c r="A136" s="957" t="s">
        <v>5665</v>
      </c>
      <c r="B136" s="957" t="s">
        <v>5519</v>
      </c>
      <c r="C136" s="957" t="s">
        <v>5666</v>
      </c>
      <c r="D136" s="957" t="str">
        <f t="shared" si="2"/>
        <v>北海道西興部村</v>
      </c>
      <c r="E136" s="957" t="s">
        <v>5665</v>
      </c>
      <c r="F136" s="957" t="s">
        <v>5516</v>
      </c>
      <c r="G136" s="957" t="s">
        <v>5664</v>
      </c>
      <c r="H136" s="956">
        <v>6</v>
      </c>
      <c r="I136" s="956" t="s">
        <v>5614</v>
      </c>
      <c r="J136" t="s">
        <v>3121</v>
      </c>
    </row>
    <row r="137" spans="1:10">
      <c r="A137" s="957" t="s">
        <v>5662</v>
      </c>
      <c r="B137" s="957" t="s">
        <v>5519</v>
      </c>
      <c r="C137" s="957" t="s">
        <v>5663</v>
      </c>
      <c r="D137" s="957" t="str">
        <f t="shared" si="2"/>
        <v>北海道雄武町</v>
      </c>
      <c r="E137" s="957" t="s">
        <v>5662</v>
      </c>
      <c r="F137" s="957" t="s">
        <v>5516</v>
      </c>
      <c r="G137" s="957" t="s">
        <v>5661</v>
      </c>
      <c r="H137" s="956">
        <v>7</v>
      </c>
      <c r="I137" s="956" t="s">
        <v>5614</v>
      </c>
      <c r="J137" t="s">
        <v>3017</v>
      </c>
    </row>
    <row r="138" spans="1:10">
      <c r="A138" s="957" t="s">
        <v>5659</v>
      </c>
      <c r="B138" s="957" t="s">
        <v>5519</v>
      </c>
      <c r="C138" s="957" t="s">
        <v>5660</v>
      </c>
      <c r="D138" s="957" t="str">
        <f t="shared" si="2"/>
        <v>北海道大空町</v>
      </c>
      <c r="E138" s="957" t="s">
        <v>5659</v>
      </c>
      <c r="F138" s="957" t="s">
        <v>5516</v>
      </c>
      <c r="G138" s="957" t="s">
        <v>5658</v>
      </c>
      <c r="H138" s="956">
        <v>8</v>
      </c>
      <c r="I138" s="956" t="s">
        <v>5614</v>
      </c>
      <c r="J138" t="s">
        <v>2607</v>
      </c>
    </row>
    <row r="139" spans="1:10">
      <c r="A139" s="957" t="s">
        <v>5656</v>
      </c>
      <c r="B139" s="957" t="s">
        <v>5519</v>
      </c>
      <c r="C139" s="957" t="s">
        <v>5657</v>
      </c>
      <c r="D139" s="957" t="str">
        <f t="shared" si="2"/>
        <v>北海道豊浦町</v>
      </c>
      <c r="E139" s="957" t="s">
        <v>5656</v>
      </c>
      <c r="F139" s="957" t="s">
        <v>5516</v>
      </c>
      <c r="G139" s="957" t="s">
        <v>5655</v>
      </c>
      <c r="H139" s="956">
        <v>9</v>
      </c>
      <c r="I139" s="956" t="s">
        <v>5614</v>
      </c>
      <c r="J139" t="s">
        <v>4482</v>
      </c>
    </row>
    <row r="140" spans="1:10">
      <c r="A140" s="957" t="s">
        <v>5653</v>
      </c>
      <c r="B140" s="957" t="s">
        <v>5519</v>
      </c>
      <c r="C140" s="957" t="s">
        <v>5654</v>
      </c>
      <c r="D140" s="957" t="str">
        <f t="shared" si="2"/>
        <v>北海道壮瞥町</v>
      </c>
      <c r="E140" s="957" t="s">
        <v>5653</v>
      </c>
      <c r="F140" s="957" t="s">
        <v>5516</v>
      </c>
      <c r="G140" s="957" t="s">
        <v>5652</v>
      </c>
      <c r="H140" s="956">
        <v>10</v>
      </c>
      <c r="I140" s="956" t="s">
        <v>5614</v>
      </c>
      <c r="J140" t="s">
        <v>3915</v>
      </c>
    </row>
    <row r="141" spans="1:10">
      <c r="A141" s="957" t="s">
        <v>5650</v>
      </c>
      <c r="B141" s="957" t="s">
        <v>5519</v>
      </c>
      <c r="C141" s="957" t="s">
        <v>5651</v>
      </c>
      <c r="D141" s="957" t="str">
        <f t="shared" si="2"/>
        <v>北海道白老町</v>
      </c>
      <c r="E141" s="957" t="s">
        <v>5650</v>
      </c>
      <c r="F141" s="957" t="s">
        <v>5516</v>
      </c>
      <c r="G141" s="957" t="s">
        <v>5649</v>
      </c>
      <c r="H141" s="956">
        <v>11</v>
      </c>
      <c r="I141" s="956" t="s">
        <v>5614</v>
      </c>
      <c r="J141" t="s">
        <v>2634</v>
      </c>
    </row>
    <row r="142" spans="1:10">
      <c r="A142" s="957" t="s">
        <v>5647</v>
      </c>
      <c r="B142" s="957" t="s">
        <v>5519</v>
      </c>
      <c r="C142" s="957" t="s">
        <v>5648</v>
      </c>
      <c r="D142" s="957" t="str">
        <f t="shared" si="2"/>
        <v>北海道厚真町</v>
      </c>
      <c r="E142" s="957" t="s">
        <v>5647</v>
      </c>
      <c r="F142" s="957" t="s">
        <v>5516</v>
      </c>
      <c r="G142" s="957" t="s">
        <v>5646</v>
      </c>
      <c r="H142" s="956">
        <v>12</v>
      </c>
      <c r="I142" s="956" t="s">
        <v>5614</v>
      </c>
      <c r="J142" t="s">
        <v>2480</v>
      </c>
    </row>
    <row r="143" spans="1:10">
      <c r="A143" s="957" t="s">
        <v>5644</v>
      </c>
      <c r="B143" s="957" t="s">
        <v>5519</v>
      </c>
      <c r="C143" s="957" t="s">
        <v>5645</v>
      </c>
      <c r="D143" s="957" t="str">
        <f t="shared" si="2"/>
        <v>北海道洞爺湖町</v>
      </c>
      <c r="E143" s="957" t="s">
        <v>5644</v>
      </c>
      <c r="F143" s="957" t="s">
        <v>5516</v>
      </c>
      <c r="G143" s="957" t="s">
        <v>5643</v>
      </c>
      <c r="H143" s="956">
        <v>13</v>
      </c>
      <c r="I143" s="956" t="s">
        <v>5614</v>
      </c>
      <c r="J143" t="s">
        <v>3927</v>
      </c>
    </row>
    <row r="144" spans="1:10">
      <c r="A144" s="957" t="s">
        <v>5641</v>
      </c>
      <c r="B144" s="957" t="s">
        <v>5519</v>
      </c>
      <c r="C144" s="957" t="s">
        <v>5642</v>
      </c>
      <c r="D144" s="957" t="str">
        <f t="shared" si="2"/>
        <v>北海道安平町</v>
      </c>
      <c r="E144" s="957" t="s">
        <v>5641</v>
      </c>
      <c r="F144" s="957" t="s">
        <v>5516</v>
      </c>
      <c r="G144" s="957" t="s">
        <v>5640</v>
      </c>
      <c r="H144" s="956">
        <v>14</v>
      </c>
      <c r="I144" s="956" t="s">
        <v>5614</v>
      </c>
      <c r="J144" t="s">
        <v>2471</v>
      </c>
    </row>
    <row r="145" spans="1:10">
      <c r="A145" s="957" t="s">
        <v>5638</v>
      </c>
      <c r="B145" s="957" t="s">
        <v>5519</v>
      </c>
      <c r="C145" s="957" t="s">
        <v>5639</v>
      </c>
      <c r="D145" s="957" t="str">
        <f t="shared" si="2"/>
        <v>北海道むかわ町</v>
      </c>
      <c r="E145" s="957" t="s">
        <v>5638</v>
      </c>
      <c r="F145" s="957" t="s">
        <v>5516</v>
      </c>
      <c r="G145" s="957" t="s">
        <v>5637</v>
      </c>
      <c r="H145" s="956">
        <v>15</v>
      </c>
      <c r="I145" s="956" t="s">
        <v>5614</v>
      </c>
      <c r="J145" t="s">
        <v>4449</v>
      </c>
    </row>
    <row r="146" spans="1:10">
      <c r="A146" s="957" t="s">
        <v>5636</v>
      </c>
      <c r="B146" s="957" t="s">
        <v>5519</v>
      </c>
      <c r="C146" s="957" t="s">
        <v>2211</v>
      </c>
      <c r="D146" s="957" t="str">
        <f t="shared" si="2"/>
        <v>北海道日高町</v>
      </c>
      <c r="E146" s="957" t="s">
        <v>5636</v>
      </c>
      <c r="F146" s="957" t="s">
        <v>5516</v>
      </c>
      <c r="G146" s="957" t="s">
        <v>2209</v>
      </c>
      <c r="H146" s="956">
        <v>16</v>
      </c>
      <c r="I146" s="956" t="s">
        <v>5614</v>
      </c>
      <c r="J146" t="s">
        <v>4774</v>
      </c>
    </row>
    <row r="147" spans="1:10">
      <c r="A147" s="957" t="s">
        <v>5634</v>
      </c>
      <c r="B147" s="957" t="s">
        <v>5519</v>
      </c>
      <c r="C147" s="957" t="s">
        <v>5635</v>
      </c>
      <c r="D147" s="957" t="str">
        <f t="shared" si="2"/>
        <v>北海道平取町</v>
      </c>
      <c r="E147" s="957" t="s">
        <v>5634</v>
      </c>
      <c r="F147" s="957" t="s">
        <v>5516</v>
      </c>
      <c r="G147" s="957" t="s">
        <v>5633</v>
      </c>
      <c r="H147" s="956">
        <v>17</v>
      </c>
      <c r="I147" s="956" t="s">
        <v>5614</v>
      </c>
      <c r="J147" t="s">
        <v>4595</v>
      </c>
    </row>
    <row r="148" spans="1:10">
      <c r="A148" s="957" t="s">
        <v>5631</v>
      </c>
      <c r="B148" s="957" t="s">
        <v>5519</v>
      </c>
      <c r="C148" s="957" t="s">
        <v>5632</v>
      </c>
      <c r="D148" s="957" t="str">
        <f t="shared" si="2"/>
        <v>北海道新冠町</v>
      </c>
      <c r="E148" s="957" t="s">
        <v>5631</v>
      </c>
      <c r="F148" s="957" t="s">
        <v>5516</v>
      </c>
      <c r="G148" s="957" t="s">
        <v>5630</v>
      </c>
      <c r="H148" s="956">
        <v>18</v>
      </c>
      <c r="I148" s="956" t="s">
        <v>5614</v>
      </c>
      <c r="J148" t="s">
        <v>4592</v>
      </c>
    </row>
    <row r="149" spans="1:10">
      <c r="A149" s="957" t="s">
        <v>5628</v>
      </c>
      <c r="B149" s="957" t="s">
        <v>5519</v>
      </c>
      <c r="C149" s="957" t="s">
        <v>5629</v>
      </c>
      <c r="D149" s="957" t="str">
        <f t="shared" si="2"/>
        <v>北海道浦河町</v>
      </c>
      <c r="E149" s="957" t="s">
        <v>5628</v>
      </c>
      <c r="F149" s="957" t="s">
        <v>5516</v>
      </c>
      <c r="G149" s="957" t="s">
        <v>5627</v>
      </c>
      <c r="H149" s="956">
        <v>19</v>
      </c>
      <c r="I149" s="956" t="s">
        <v>5614</v>
      </c>
      <c r="J149" t="s">
        <v>3844</v>
      </c>
    </row>
    <row r="150" spans="1:10">
      <c r="A150" s="957" t="s">
        <v>5625</v>
      </c>
      <c r="B150" s="957" t="s">
        <v>5519</v>
      </c>
      <c r="C150" s="957" t="s">
        <v>5626</v>
      </c>
      <c r="D150" s="957" t="str">
        <f t="shared" si="2"/>
        <v>北海道様似町</v>
      </c>
      <c r="E150" s="957" t="s">
        <v>5625</v>
      </c>
      <c r="F150" s="957" t="s">
        <v>5516</v>
      </c>
      <c r="G150" s="957" t="s">
        <v>5624</v>
      </c>
      <c r="H150" s="956">
        <v>20</v>
      </c>
      <c r="I150" s="956" t="s">
        <v>5614</v>
      </c>
      <c r="J150" t="s">
        <v>3805</v>
      </c>
    </row>
    <row r="151" spans="1:10">
      <c r="A151" s="957" t="s">
        <v>5622</v>
      </c>
      <c r="B151" s="957" t="s">
        <v>5519</v>
      </c>
      <c r="C151" s="957" t="s">
        <v>5623</v>
      </c>
      <c r="D151" s="957" t="str">
        <f t="shared" si="2"/>
        <v>北海道えりも町</v>
      </c>
      <c r="E151" s="957" t="s">
        <v>5622</v>
      </c>
      <c r="F151" s="957" t="s">
        <v>5516</v>
      </c>
      <c r="G151" s="957" t="s">
        <v>5621</v>
      </c>
      <c r="H151" s="956">
        <v>21</v>
      </c>
      <c r="I151" s="956" t="s">
        <v>5614</v>
      </c>
      <c r="J151" t="s">
        <v>4467</v>
      </c>
    </row>
    <row r="152" spans="1:10">
      <c r="A152" s="957" t="s">
        <v>5619</v>
      </c>
      <c r="B152" s="957" t="s">
        <v>5519</v>
      </c>
      <c r="C152" s="957" t="s">
        <v>5620</v>
      </c>
      <c r="D152" s="957" t="str">
        <f t="shared" si="2"/>
        <v>北海道新ひだか町</v>
      </c>
      <c r="E152" s="957" t="s">
        <v>5619</v>
      </c>
      <c r="F152" s="957" t="s">
        <v>5516</v>
      </c>
      <c r="G152" s="957" t="s">
        <v>5618</v>
      </c>
      <c r="H152" s="956">
        <v>22</v>
      </c>
      <c r="I152" s="956" t="s">
        <v>5614</v>
      </c>
      <c r="J152" t="s">
        <v>4494</v>
      </c>
    </row>
    <row r="153" spans="1:10">
      <c r="A153" s="957" t="s">
        <v>5616</v>
      </c>
      <c r="B153" s="957" t="s">
        <v>5519</v>
      </c>
      <c r="C153" s="957" t="s">
        <v>5617</v>
      </c>
      <c r="D153" s="957" t="str">
        <f t="shared" si="2"/>
        <v>北海道音更町</v>
      </c>
      <c r="E153" s="957" t="s">
        <v>5616</v>
      </c>
      <c r="F153" s="957" t="s">
        <v>5516</v>
      </c>
      <c r="G153" s="957" t="s">
        <v>5615</v>
      </c>
      <c r="H153" s="956">
        <v>23</v>
      </c>
      <c r="I153" s="956" t="s">
        <v>5614</v>
      </c>
      <c r="J153" t="s">
        <v>1334</v>
      </c>
    </row>
    <row r="154" spans="1:10">
      <c r="A154" s="957" t="s">
        <v>5612</v>
      </c>
      <c r="B154" s="957" t="s">
        <v>5519</v>
      </c>
      <c r="C154" s="957" t="s">
        <v>5613</v>
      </c>
      <c r="D154" s="957" t="str">
        <f t="shared" si="2"/>
        <v>北海道士幌町</v>
      </c>
      <c r="E154" s="957" t="s">
        <v>5612</v>
      </c>
      <c r="F154" s="957" t="s">
        <v>5516</v>
      </c>
      <c r="G154" s="957" t="s">
        <v>5611</v>
      </c>
      <c r="J154" s="963"/>
    </row>
    <row r="155" spans="1:10">
      <c r="A155" s="957" t="s">
        <v>5609</v>
      </c>
      <c r="B155" s="957" t="s">
        <v>5519</v>
      </c>
      <c r="C155" s="957" t="s">
        <v>5610</v>
      </c>
      <c r="D155" s="957" t="str">
        <f t="shared" si="2"/>
        <v>北海道上士幌町</v>
      </c>
      <c r="E155" s="957" t="s">
        <v>5609</v>
      </c>
      <c r="F155" s="957" t="s">
        <v>5516</v>
      </c>
      <c r="G155" s="957" t="s">
        <v>5608</v>
      </c>
      <c r="J155" s="962"/>
    </row>
    <row r="156" spans="1:10">
      <c r="A156" s="957" t="s">
        <v>5606</v>
      </c>
      <c r="B156" s="957" t="s">
        <v>5519</v>
      </c>
      <c r="C156" s="957" t="s">
        <v>5607</v>
      </c>
      <c r="D156" s="957" t="str">
        <f t="shared" si="2"/>
        <v>北海道鹿追町</v>
      </c>
      <c r="E156" s="957" t="s">
        <v>5606</v>
      </c>
      <c r="F156" s="957" t="s">
        <v>5516</v>
      </c>
      <c r="G156" s="957" t="s">
        <v>5605</v>
      </c>
      <c r="J156" s="963"/>
    </row>
    <row r="157" spans="1:10">
      <c r="A157" s="957" t="s">
        <v>5603</v>
      </c>
      <c r="B157" s="957" t="s">
        <v>5519</v>
      </c>
      <c r="C157" s="957" t="s">
        <v>5604</v>
      </c>
      <c r="D157" s="957" t="str">
        <f t="shared" si="2"/>
        <v>北海道新得町</v>
      </c>
      <c r="E157" s="957" t="s">
        <v>5603</v>
      </c>
      <c r="F157" s="957" t="s">
        <v>5516</v>
      </c>
      <c r="G157" s="957" t="s">
        <v>5602</v>
      </c>
      <c r="J157" s="962"/>
    </row>
    <row r="158" spans="1:10">
      <c r="A158" s="957" t="s">
        <v>5601</v>
      </c>
      <c r="B158" s="957" t="s">
        <v>5519</v>
      </c>
      <c r="C158" s="957" t="s">
        <v>3058</v>
      </c>
      <c r="D158" s="957" t="str">
        <f t="shared" si="2"/>
        <v>北海道清水町</v>
      </c>
      <c r="E158" s="957" t="s">
        <v>5601</v>
      </c>
      <c r="F158" s="957" t="s">
        <v>5516</v>
      </c>
      <c r="G158" s="957" t="s">
        <v>3056</v>
      </c>
      <c r="J158" s="963"/>
    </row>
    <row r="159" spans="1:10">
      <c r="A159" s="957" t="s">
        <v>5599</v>
      </c>
      <c r="B159" s="957" t="s">
        <v>5519</v>
      </c>
      <c r="C159" s="957" t="s">
        <v>5600</v>
      </c>
      <c r="D159" s="957" t="str">
        <f t="shared" si="2"/>
        <v>北海道芽室町</v>
      </c>
      <c r="E159" s="957" t="s">
        <v>5599</v>
      </c>
      <c r="F159" s="957" t="s">
        <v>5516</v>
      </c>
      <c r="G159" s="957" t="s">
        <v>5598</v>
      </c>
      <c r="J159" s="962"/>
    </row>
    <row r="160" spans="1:10">
      <c r="A160" s="957" t="s">
        <v>5596</v>
      </c>
      <c r="B160" s="957" t="s">
        <v>5519</v>
      </c>
      <c r="C160" s="957" t="s">
        <v>5597</v>
      </c>
      <c r="D160" s="957" t="str">
        <f t="shared" si="2"/>
        <v>北海道中札内村</v>
      </c>
      <c r="E160" s="957" t="s">
        <v>5596</v>
      </c>
      <c r="F160" s="957" t="s">
        <v>5516</v>
      </c>
      <c r="G160" s="957" t="s">
        <v>5595</v>
      </c>
      <c r="J160" s="963"/>
    </row>
    <row r="161" spans="1:10">
      <c r="A161" s="957" t="s">
        <v>5593</v>
      </c>
      <c r="B161" s="957" t="s">
        <v>5519</v>
      </c>
      <c r="C161" s="957" t="s">
        <v>5594</v>
      </c>
      <c r="D161" s="957" t="str">
        <f t="shared" si="2"/>
        <v>北海道更別村</v>
      </c>
      <c r="E161" s="957" t="s">
        <v>5593</v>
      </c>
      <c r="F161" s="957" t="s">
        <v>5516</v>
      </c>
      <c r="G161" s="957" t="s">
        <v>5592</v>
      </c>
      <c r="J161" s="962"/>
    </row>
    <row r="162" spans="1:10">
      <c r="A162" s="957" t="s">
        <v>5590</v>
      </c>
      <c r="B162" s="957" t="s">
        <v>5519</v>
      </c>
      <c r="C162" s="957" t="s">
        <v>5591</v>
      </c>
      <c r="D162" s="957" t="str">
        <f t="shared" si="2"/>
        <v>北海道大樹町</v>
      </c>
      <c r="E162" s="957" t="s">
        <v>5590</v>
      </c>
      <c r="F162" s="957" t="s">
        <v>5516</v>
      </c>
      <c r="G162" s="957" t="s">
        <v>2799</v>
      </c>
      <c r="J162" s="963"/>
    </row>
    <row r="163" spans="1:10">
      <c r="A163" s="957" t="s">
        <v>5588</v>
      </c>
      <c r="B163" s="957" t="s">
        <v>5519</v>
      </c>
      <c r="C163" s="957" t="s">
        <v>5589</v>
      </c>
      <c r="D163" s="957" t="str">
        <f t="shared" si="2"/>
        <v>北海道広尾町</v>
      </c>
      <c r="E163" s="957" t="s">
        <v>5588</v>
      </c>
      <c r="F163" s="957" t="s">
        <v>5516</v>
      </c>
      <c r="G163" s="957" t="s">
        <v>5587</v>
      </c>
      <c r="J163" s="962"/>
    </row>
    <row r="164" spans="1:10">
      <c r="A164" s="957" t="s">
        <v>5585</v>
      </c>
      <c r="B164" s="957" t="s">
        <v>5519</v>
      </c>
      <c r="C164" s="957" t="s">
        <v>5586</v>
      </c>
      <c r="D164" s="957" t="str">
        <f t="shared" si="2"/>
        <v>北海道幕別町</v>
      </c>
      <c r="E164" s="957" t="s">
        <v>5585</v>
      </c>
      <c r="F164" s="957" t="s">
        <v>5516</v>
      </c>
      <c r="G164" s="957" t="s">
        <v>5584</v>
      </c>
      <c r="J164" s="963"/>
    </row>
    <row r="165" spans="1:10">
      <c r="A165" s="957" t="s">
        <v>5583</v>
      </c>
      <c r="B165" s="957" t="s">
        <v>5519</v>
      </c>
      <c r="C165" s="957" t="s">
        <v>3183</v>
      </c>
      <c r="D165" s="957" t="str">
        <f t="shared" si="2"/>
        <v>北海道池田町</v>
      </c>
      <c r="E165" s="957" t="s">
        <v>5583</v>
      </c>
      <c r="F165" s="957" t="s">
        <v>5516</v>
      </c>
      <c r="G165" s="957" t="s">
        <v>3181</v>
      </c>
      <c r="J165" s="962"/>
    </row>
    <row r="166" spans="1:10">
      <c r="A166" s="957" t="s">
        <v>5581</v>
      </c>
      <c r="B166" s="957" t="s">
        <v>5519</v>
      </c>
      <c r="C166" s="957" t="s">
        <v>5582</v>
      </c>
      <c r="D166" s="957" t="str">
        <f t="shared" si="2"/>
        <v>北海道豊頃町</v>
      </c>
      <c r="E166" s="957" t="s">
        <v>5581</v>
      </c>
      <c r="F166" s="957" t="s">
        <v>5516</v>
      </c>
      <c r="G166" s="957" t="s">
        <v>5580</v>
      </c>
      <c r="J166" s="963"/>
    </row>
    <row r="167" spans="1:10">
      <c r="A167" s="957" t="s">
        <v>5578</v>
      </c>
      <c r="B167" s="957" t="s">
        <v>5519</v>
      </c>
      <c r="C167" s="957" t="s">
        <v>5579</v>
      </c>
      <c r="D167" s="957" t="str">
        <f t="shared" si="2"/>
        <v>北海道本別町</v>
      </c>
      <c r="E167" s="957" t="s">
        <v>5578</v>
      </c>
      <c r="F167" s="957" t="s">
        <v>5516</v>
      </c>
      <c r="G167" s="957" t="s">
        <v>5577</v>
      </c>
      <c r="J167" s="962"/>
    </row>
    <row r="168" spans="1:10">
      <c r="A168" s="957" t="s">
        <v>5575</v>
      </c>
      <c r="B168" s="957" t="s">
        <v>5519</v>
      </c>
      <c r="C168" s="957" t="s">
        <v>5576</v>
      </c>
      <c r="D168" s="957" t="str">
        <f t="shared" si="2"/>
        <v>北海道足寄町</v>
      </c>
      <c r="E168" s="957" t="s">
        <v>5575</v>
      </c>
      <c r="F168" s="957" t="s">
        <v>5516</v>
      </c>
      <c r="G168" s="957" t="s">
        <v>5574</v>
      </c>
      <c r="J168" s="963"/>
    </row>
    <row r="169" spans="1:10">
      <c r="A169" s="957" t="s">
        <v>5572</v>
      </c>
      <c r="B169" s="957" t="s">
        <v>5519</v>
      </c>
      <c r="C169" s="957" t="s">
        <v>5573</v>
      </c>
      <c r="D169" s="957" t="str">
        <f t="shared" si="2"/>
        <v>北海道陸別町</v>
      </c>
      <c r="E169" s="957" t="s">
        <v>5572</v>
      </c>
      <c r="F169" s="957" t="s">
        <v>5516</v>
      </c>
      <c r="G169" s="957" t="s">
        <v>5571</v>
      </c>
      <c r="J169" s="962"/>
    </row>
    <row r="170" spans="1:10">
      <c r="A170" s="957" t="s">
        <v>5569</v>
      </c>
      <c r="B170" s="957" t="s">
        <v>5519</v>
      </c>
      <c r="C170" s="957" t="s">
        <v>5570</v>
      </c>
      <c r="D170" s="957" t="str">
        <f t="shared" si="2"/>
        <v>北海道浦幌町</v>
      </c>
      <c r="E170" s="957" t="s">
        <v>5569</v>
      </c>
      <c r="F170" s="957" t="s">
        <v>5516</v>
      </c>
      <c r="G170" s="957" t="s">
        <v>5568</v>
      </c>
      <c r="J170" s="963"/>
    </row>
    <row r="171" spans="1:10">
      <c r="A171" s="957" t="s">
        <v>5566</v>
      </c>
      <c r="B171" s="957" t="s">
        <v>5519</v>
      </c>
      <c r="C171" s="957" t="s">
        <v>5567</v>
      </c>
      <c r="D171" s="957" t="str">
        <f t="shared" si="2"/>
        <v>北海道釧路町</v>
      </c>
      <c r="E171" s="957" t="s">
        <v>5566</v>
      </c>
      <c r="F171" s="957" t="s">
        <v>5516</v>
      </c>
      <c r="G171" s="957" t="s">
        <v>5565</v>
      </c>
      <c r="J171" s="962"/>
    </row>
    <row r="172" spans="1:10">
      <c r="A172" s="957" t="s">
        <v>5563</v>
      </c>
      <c r="B172" s="957" t="s">
        <v>5519</v>
      </c>
      <c r="C172" s="957" t="s">
        <v>5564</v>
      </c>
      <c r="D172" s="957" t="str">
        <f t="shared" si="2"/>
        <v>北海道厚岸町</v>
      </c>
      <c r="E172" s="957" t="s">
        <v>5563</v>
      </c>
      <c r="F172" s="957" t="s">
        <v>5516</v>
      </c>
      <c r="G172" s="957" t="s">
        <v>5562</v>
      </c>
      <c r="J172" s="963"/>
    </row>
    <row r="173" spans="1:10">
      <c r="A173" s="957" t="s">
        <v>5560</v>
      </c>
      <c r="B173" s="957" t="s">
        <v>5519</v>
      </c>
      <c r="C173" s="957" t="s">
        <v>5561</v>
      </c>
      <c r="D173" s="957" t="str">
        <f t="shared" si="2"/>
        <v>北海道浜中町</v>
      </c>
      <c r="E173" s="957" t="s">
        <v>5560</v>
      </c>
      <c r="F173" s="957" t="s">
        <v>5516</v>
      </c>
      <c r="G173" s="957" t="s">
        <v>5559</v>
      </c>
      <c r="J173" s="962"/>
    </row>
    <row r="174" spans="1:10">
      <c r="A174" s="957" t="s">
        <v>5557</v>
      </c>
      <c r="B174" s="957" t="s">
        <v>5519</v>
      </c>
      <c r="C174" s="957" t="s">
        <v>5558</v>
      </c>
      <c r="D174" s="957" t="str">
        <f t="shared" si="2"/>
        <v>北海道標茶町</v>
      </c>
      <c r="E174" s="957" t="s">
        <v>5557</v>
      </c>
      <c r="F174" s="957" t="s">
        <v>5516</v>
      </c>
      <c r="G174" s="957" t="s">
        <v>5556</v>
      </c>
      <c r="J174" s="963"/>
    </row>
    <row r="175" spans="1:10">
      <c r="A175" s="957" t="s">
        <v>5554</v>
      </c>
      <c r="B175" s="957" t="s">
        <v>5519</v>
      </c>
      <c r="C175" s="957" t="s">
        <v>5555</v>
      </c>
      <c r="D175" s="957" t="str">
        <f t="shared" si="2"/>
        <v>北海道弟子屈町</v>
      </c>
      <c r="E175" s="957" t="s">
        <v>5554</v>
      </c>
      <c r="F175" s="957" t="s">
        <v>5516</v>
      </c>
      <c r="G175" s="957" t="s">
        <v>5553</v>
      </c>
      <c r="J175" s="962"/>
    </row>
    <row r="176" spans="1:10">
      <c r="A176" s="957" t="s">
        <v>5551</v>
      </c>
      <c r="B176" s="957" t="s">
        <v>5519</v>
      </c>
      <c r="C176" s="957" t="s">
        <v>5552</v>
      </c>
      <c r="D176" s="957" t="str">
        <f t="shared" si="2"/>
        <v>北海道鶴居村</v>
      </c>
      <c r="E176" s="957" t="s">
        <v>5551</v>
      </c>
      <c r="F176" s="957" t="s">
        <v>5516</v>
      </c>
      <c r="G176" s="957" t="s">
        <v>5550</v>
      </c>
      <c r="J176" s="963"/>
    </row>
    <row r="177" spans="1:10">
      <c r="A177" s="957" t="s">
        <v>5548</v>
      </c>
      <c r="B177" s="957" t="s">
        <v>5519</v>
      </c>
      <c r="C177" s="957" t="s">
        <v>5549</v>
      </c>
      <c r="D177" s="957" t="str">
        <f t="shared" si="2"/>
        <v>北海道白糠町</v>
      </c>
      <c r="E177" s="957" t="s">
        <v>5548</v>
      </c>
      <c r="F177" s="957" t="s">
        <v>5516</v>
      </c>
      <c r="G177" s="957" t="s">
        <v>5547</v>
      </c>
      <c r="J177" s="962"/>
    </row>
    <row r="178" spans="1:10">
      <c r="A178" s="957" t="s">
        <v>5545</v>
      </c>
      <c r="B178" s="957" t="s">
        <v>5519</v>
      </c>
      <c r="C178" s="957" t="s">
        <v>5546</v>
      </c>
      <c r="D178" s="957" t="str">
        <f t="shared" si="2"/>
        <v>北海道別海町</v>
      </c>
      <c r="E178" s="957" t="s">
        <v>5545</v>
      </c>
      <c r="F178" s="957" t="s">
        <v>5516</v>
      </c>
      <c r="G178" s="957" t="s">
        <v>5544</v>
      </c>
      <c r="J178" s="963"/>
    </row>
    <row r="179" spans="1:10">
      <c r="A179" s="957" t="s">
        <v>5542</v>
      </c>
      <c r="B179" s="957" t="s">
        <v>5519</v>
      </c>
      <c r="C179" s="957" t="s">
        <v>5543</v>
      </c>
      <c r="D179" s="957" t="str">
        <f t="shared" si="2"/>
        <v>北海道中標津町</v>
      </c>
      <c r="E179" s="957" t="s">
        <v>5542</v>
      </c>
      <c r="F179" s="957" t="s">
        <v>5516</v>
      </c>
      <c r="G179" s="957" t="s">
        <v>5541</v>
      </c>
      <c r="J179" s="962"/>
    </row>
    <row r="180" spans="1:10">
      <c r="A180" s="957" t="s">
        <v>5539</v>
      </c>
      <c r="B180" s="957" t="s">
        <v>5519</v>
      </c>
      <c r="C180" s="957" t="s">
        <v>5540</v>
      </c>
      <c r="D180" s="957" t="str">
        <f t="shared" si="2"/>
        <v>北海道標津町</v>
      </c>
      <c r="E180" s="957" t="s">
        <v>5539</v>
      </c>
      <c r="F180" s="957" t="s">
        <v>5516</v>
      </c>
      <c r="G180" s="957" t="s">
        <v>5538</v>
      </c>
      <c r="J180" s="963"/>
    </row>
    <row r="181" spans="1:10">
      <c r="A181" s="957" t="s">
        <v>5536</v>
      </c>
      <c r="B181" s="957" t="s">
        <v>5519</v>
      </c>
      <c r="C181" s="957" t="s">
        <v>5537</v>
      </c>
      <c r="D181" s="957" t="str">
        <f t="shared" si="2"/>
        <v>北海道羅臼町</v>
      </c>
      <c r="E181" s="957" t="s">
        <v>5536</v>
      </c>
      <c r="F181" s="957" t="s">
        <v>5516</v>
      </c>
      <c r="G181" s="957" t="s">
        <v>5535</v>
      </c>
      <c r="J181" s="962"/>
    </row>
    <row r="182" spans="1:10">
      <c r="A182" s="957" t="s">
        <v>5533</v>
      </c>
      <c r="B182" s="957" t="s">
        <v>5519</v>
      </c>
      <c r="C182" s="957" t="s">
        <v>5534</v>
      </c>
      <c r="D182" s="957" t="str">
        <f t="shared" si="2"/>
        <v>北海道色丹村</v>
      </c>
      <c r="E182" s="957" t="s">
        <v>5533</v>
      </c>
      <c r="F182" s="957" t="s">
        <v>5516</v>
      </c>
      <c r="G182" s="957" t="s">
        <v>5532</v>
      </c>
      <c r="J182" s="963"/>
    </row>
    <row r="183" spans="1:10">
      <c r="A183" s="957" t="s">
        <v>5530</v>
      </c>
      <c r="B183" s="957" t="s">
        <v>5519</v>
      </c>
      <c r="C183" s="957" t="s">
        <v>5531</v>
      </c>
      <c r="D183" s="957" t="str">
        <f t="shared" si="2"/>
        <v>北海道泊村</v>
      </c>
      <c r="E183" s="957" t="s">
        <v>5530</v>
      </c>
      <c r="F183" s="957" t="s">
        <v>5516</v>
      </c>
      <c r="G183" s="957" t="s">
        <v>5529</v>
      </c>
      <c r="J183" s="962"/>
    </row>
    <row r="184" spans="1:10">
      <c r="A184" s="957" t="s">
        <v>5527</v>
      </c>
      <c r="B184" s="957" t="s">
        <v>5519</v>
      </c>
      <c r="C184" s="957" t="s">
        <v>5528</v>
      </c>
      <c r="D184" s="957" t="str">
        <f t="shared" si="2"/>
        <v>北海道留夜別村</v>
      </c>
      <c r="E184" s="957" t="s">
        <v>5527</v>
      </c>
      <c r="F184" s="957" t="s">
        <v>5516</v>
      </c>
      <c r="G184" s="957" t="s">
        <v>5526</v>
      </c>
      <c r="J184" s="963"/>
    </row>
    <row r="185" spans="1:10">
      <c r="A185" s="957" t="s">
        <v>5524</v>
      </c>
      <c r="B185" s="957" t="s">
        <v>5519</v>
      </c>
      <c r="C185" s="957" t="s">
        <v>5525</v>
      </c>
      <c r="D185" s="957" t="str">
        <f t="shared" si="2"/>
        <v>北海道留別村</v>
      </c>
      <c r="E185" s="957" t="s">
        <v>5524</v>
      </c>
      <c r="F185" s="957" t="s">
        <v>5516</v>
      </c>
      <c r="G185" s="957" t="s">
        <v>5523</v>
      </c>
      <c r="J185" s="962"/>
    </row>
    <row r="186" spans="1:10">
      <c r="A186" s="957" t="s">
        <v>5521</v>
      </c>
      <c r="B186" s="957" t="s">
        <v>5519</v>
      </c>
      <c r="C186" s="957" t="s">
        <v>5522</v>
      </c>
      <c r="D186" s="957" t="str">
        <f t="shared" si="2"/>
        <v>北海道紗那村</v>
      </c>
      <c r="E186" s="957" t="s">
        <v>5521</v>
      </c>
      <c r="F186" s="957" t="s">
        <v>5516</v>
      </c>
      <c r="G186" s="957" t="s">
        <v>5520</v>
      </c>
      <c r="J186" s="963"/>
    </row>
    <row r="187" spans="1:10">
      <c r="A187" s="957" t="s">
        <v>5517</v>
      </c>
      <c r="B187" s="957" t="s">
        <v>5519</v>
      </c>
      <c r="C187" s="957" t="s">
        <v>5518</v>
      </c>
      <c r="D187" s="957" t="str">
        <f t="shared" si="2"/>
        <v>北海道蘂取村</v>
      </c>
      <c r="E187" s="957" t="s">
        <v>5517</v>
      </c>
      <c r="F187" s="957" t="s">
        <v>5516</v>
      </c>
      <c r="G187" s="957" t="s">
        <v>5515</v>
      </c>
      <c r="J187" s="962"/>
    </row>
    <row r="188" spans="1:10">
      <c r="A188" s="960" t="s">
        <v>5513</v>
      </c>
      <c r="B188" s="960" t="s">
        <v>5514</v>
      </c>
      <c r="C188" s="960" t="s">
        <v>5514</v>
      </c>
      <c r="D188" s="960" t="str">
        <f t="shared" si="2"/>
        <v>青森県青森県</v>
      </c>
      <c r="E188" s="960" t="s">
        <v>5513</v>
      </c>
      <c r="F188" s="959" t="s">
        <v>5512</v>
      </c>
      <c r="G188" s="958"/>
      <c r="J188" s="962"/>
    </row>
    <row r="189" spans="1:10">
      <c r="A189" s="957" t="s">
        <v>5510</v>
      </c>
      <c r="B189" s="957" t="s">
        <v>5396</v>
      </c>
      <c r="C189" s="957" t="s">
        <v>5511</v>
      </c>
      <c r="D189" s="957" t="str">
        <f t="shared" si="2"/>
        <v>青森県青森市</v>
      </c>
      <c r="E189" s="957" t="s">
        <v>5510</v>
      </c>
      <c r="F189" s="957" t="s">
        <v>5393</v>
      </c>
      <c r="G189" s="957" t="s">
        <v>5509</v>
      </c>
    </row>
    <row r="190" spans="1:10">
      <c r="A190" s="957" t="s">
        <v>5507</v>
      </c>
      <c r="B190" s="957" t="s">
        <v>5396</v>
      </c>
      <c r="C190" s="957" t="s">
        <v>5508</v>
      </c>
      <c r="D190" s="957" t="str">
        <f t="shared" si="2"/>
        <v>青森県弘前市</v>
      </c>
      <c r="E190" s="957" t="s">
        <v>5507</v>
      </c>
      <c r="F190" s="957" t="s">
        <v>5393</v>
      </c>
      <c r="G190" s="957" t="s">
        <v>5506</v>
      </c>
    </row>
    <row r="191" spans="1:10">
      <c r="A191" s="957" t="s">
        <v>5504</v>
      </c>
      <c r="B191" s="957" t="s">
        <v>5396</v>
      </c>
      <c r="C191" s="957" t="s">
        <v>5505</v>
      </c>
      <c r="D191" s="957" t="str">
        <f t="shared" si="2"/>
        <v>青森県八戸市</v>
      </c>
      <c r="E191" s="957" t="s">
        <v>5504</v>
      </c>
      <c r="F191" s="957" t="s">
        <v>5393</v>
      </c>
      <c r="G191" s="957" t="s">
        <v>5503</v>
      </c>
    </row>
    <row r="192" spans="1:10">
      <c r="A192" s="957" t="s">
        <v>5501</v>
      </c>
      <c r="B192" s="957" t="s">
        <v>5396</v>
      </c>
      <c r="C192" s="957" t="s">
        <v>5502</v>
      </c>
      <c r="D192" s="957" t="str">
        <f t="shared" si="2"/>
        <v>青森県黒石市</v>
      </c>
      <c r="E192" s="957" t="s">
        <v>5501</v>
      </c>
      <c r="F192" s="957" t="s">
        <v>5393</v>
      </c>
      <c r="G192" s="957" t="s">
        <v>5500</v>
      </c>
    </row>
    <row r="193" spans="1:7">
      <c r="A193" s="957" t="s">
        <v>5498</v>
      </c>
      <c r="B193" s="957" t="s">
        <v>5396</v>
      </c>
      <c r="C193" s="957" t="s">
        <v>5499</v>
      </c>
      <c r="D193" s="957" t="str">
        <f t="shared" si="2"/>
        <v>青森県五所川原市</v>
      </c>
      <c r="E193" s="957" t="s">
        <v>5498</v>
      </c>
      <c r="F193" s="957" t="s">
        <v>5393</v>
      </c>
      <c r="G193" s="957" t="s">
        <v>5497</v>
      </c>
    </row>
    <row r="194" spans="1:7">
      <c r="A194" s="957" t="s">
        <v>5495</v>
      </c>
      <c r="B194" s="957" t="s">
        <v>5396</v>
      </c>
      <c r="C194" s="957" t="s">
        <v>5496</v>
      </c>
      <c r="D194" s="957" t="str">
        <f t="shared" si="2"/>
        <v>青森県十和田市</v>
      </c>
      <c r="E194" s="957" t="s">
        <v>5495</v>
      </c>
      <c r="F194" s="957" t="s">
        <v>5393</v>
      </c>
      <c r="G194" s="957" t="s">
        <v>5494</v>
      </c>
    </row>
    <row r="195" spans="1:7">
      <c r="A195" s="957" t="s">
        <v>5492</v>
      </c>
      <c r="B195" s="957" t="s">
        <v>5396</v>
      </c>
      <c r="C195" s="957" t="s">
        <v>5493</v>
      </c>
      <c r="D195" s="957" t="str">
        <f t="shared" ref="D195:D258" si="3">B195&amp;C195</f>
        <v>青森県三沢市</v>
      </c>
      <c r="E195" s="957" t="s">
        <v>5492</v>
      </c>
      <c r="F195" s="957" t="s">
        <v>5393</v>
      </c>
      <c r="G195" s="957" t="s">
        <v>5491</v>
      </c>
    </row>
    <row r="196" spans="1:7">
      <c r="A196" s="957" t="s">
        <v>5489</v>
      </c>
      <c r="B196" s="957" t="s">
        <v>5396</v>
      </c>
      <c r="C196" s="957" t="s">
        <v>5490</v>
      </c>
      <c r="D196" s="957" t="str">
        <f t="shared" si="3"/>
        <v>青森県むつ市</v>
      </c>
      <c r="E196" s="957" t="s">
        <v>5489</v>
      </c>
      <c r="F196" s="957" t="s">
        <v>5393</v>
      </c>
      <c r="G196" s="957" t="s">
        <v>5488</v>
      </c>
    </row>
    <row r="197" spans="1:7">
      <c r="A197" s="957" t="s">
        <v>5486</v>
      </c>
      <c r="B197" s="957" t="s">
        <v>5396</v>
      </c>
      <c r="C197" s="957" t="s">
        <v>5487</v>
      </c>
      <c r="D197" s="957" t="str">
        <f t="shared" si="3"/>
        <v>青森県つがる市</v>
      </c>
      <c r="E197" s="957" t="s">
        <v>5486</v>
      </c>
      <c r="F197" s="957" t="s">
        <v>5393</v>
      </c>
      <c r="G197" s="957" t="s">
        <v>5485</v>
      </c>
    </row>
    <row r="198" spans="1:7">
      <c r="A198" s="957" t="s">
        <v>5483</v>
      </c>
      <c r="B198" s="957" t="s">
        <v>5396</v>
      </c>
      <c r="C198" s="957" t="s">
        <v>5484</v>
      </c>
      <c r="D198" s="957" t="str">
        <f t="shared" si="3"/>
        <v>青森県平川市</v>
      </c>
      <c r="E198" s="957" t="s">
        <v>5483</v>
      </c>
      <c r="F198" s="957" t="s">
        <v>5393</v>
      </c>
      <c r="G198" s="957" t="s">
        <v>5482</v>
      </c>
    </row>
    <row r="199" spans="1:7">
      <c r="A199" s="957" t="s">
        <v>5480</v>
      </c>
      <c r="B199" s="957" t="s">
        <v>5396</v>
      </c>
      <c r="C199" s="957" t="s">
        <v>5481</v>
      </c>
      <c r="D199" s="957" t="str">
        <f t="shared" si="3"/>
        <v>青森県平内町</v>
      </c>
      <c r="E199" s="957" t="s">
        <v>5480</v>
      </c>
      <c r="F199" s="957" t="s">
        <v>5393</v>
      </c>
      <c r="G199" s="957" t="s">
        <v>5479</v>
      </c>
    </row>
    <row r="200" spans="1:7">
      <c r="A200" s="957" t="s">
        <v>5477</v>
      </c>
      <c r="B200" s="957" t="s">
        <v>5396</v>
      </c>
      <c r="C200" s="957" t="s">
        <v>5478</v>
      </c>
      <c r="D200" s="957" t="str">
        <f t="shared" si="3"/>
        <v>青森県今別町</v>
      </c>
      <c r="E200" s="957" t="s">
        <v>5477</v>
      </c>
      <c r="F200" s="957" t="s">
        <v>5393</v>
      </c>
      <c r="G200" s="957" t="s">
        <v>5476</v>
      </c>
    </row>
    <row r="201" spans="1:7">
      <c r="A201" s="957" t="s">
        <v>5474</v>
      </c>
      <c r="B201" s="957" t="s">
        <v>5396</v>
      </c>
      <c r="C201" s="957" t="s">
        <v>5475</v>
      </c>
      <c r="D201" s="957" t="str">
        <f t="shared" si="3"/>
        <v>青森県蓬田村</v>
      </c>
      <c r="E201" s="957" t="s">
        <v>5474</v>
      </c>
      <c r="F201" s="957" t="s">
        <v>5393</v>
      </c>
      <c r="G201" s="957" t="s">
        <v>5473</v>
      </c>
    </row>
    <row r="202" spans="1:7">
      <c r="A202" s="957" t="s">
        <v>5471</v>
      </c>
      <c r="B202" s="957" t="s">
        <v>5396</v>
      </c>
      <c r="C202" s="957" t="s">
        <v>5472</v>
      </c>
      <c r="D202" s="957" t="str">
        <f t="shared" si="3"/>
        <v>青森県外ヶ浜町</v>
      </c>
      <c r="E202" s="957" t="s">
        <v>5471</v>
      </c>
      <c r="F202" s="957" t="s">
        <v>5393</v>
      </c>
      <c r="G202" s="957" t="s">
        <v>5470</v>
      </c>
    </row>
    <row r="203" spans="1:7">
      <c r="A203" s="957" t="s">
        <v>5468</v>
      </c>
      <c r="B203" s="957" t="s">
        <v>5396</v>
      </c>
      <c r="C203" s="957" t="s">
        <v>5469</v>
      </c>
      <c r="D203" s="957" t="str">
        <f t="shared" si="3"/>
        <v>青森県鰺ヶ沢町</v>
      </c>
      <c r="E203" s="957" t="s">
        <v>5468</v>
      </c>
      <c r="F203" s="957" t="s">
        <v>5393</v>
      </c>
      <c r="G203" s="957" t="s">
        <v>5467</v>
      </c>
    </row>
    <row r="204" spans="1:7">
      <c r="A204" s="957" t="s">
        <v>5465</v>
      </c>
      <c r="B204" s="957" t="s">
        <v>5396</v>
      </c>
      <c r="C204" s="957" t="s">
        <v>5466</v>
      </c>
      <c r="D204" s="957" t="str">
        <f t="shared" si="3"/>
        <v>青森県深浦町</v>
      </c>
      <c r="E204" s="957" t="s">
        <v>5465</v>
      </c>
      <c r="F204" s="957" t="s">
        <v>5393</v>
      </c>
      <c r="G204" s="957" t="s">
        <v>5464</v>
      </c>
    </row>
    <row r="205" spans="1:7">
      <c r="A205" s="957" t="s">
        <v>5462</v>
      </c>
      <c r="B205" s="957" t="s">
        <v>5396</v>
      </c>
      <c r="C205" s="957" t="s">
        <v>5463</v>
      </c>
      <c r="D205" s="957" t="str">
        <f t="shared" si="3"/>
        <v>青森県西目屋村</v>
      </c>
      <c r="E205" s="957" t="s">
        <v>5462</v>
      </c>
      <c r="F205" s="957" t="s">
        <v>5393</v>
      </c>
      <c r="G205" s="957" t="s">
        <v>5461</v>
      </c>
    </row>
    <row r="206" spans="1:7">
      <c r="A206" s="957" t="s">
        <v>5459</v>
      </c>
      <c r="B206" s="957" t="s">
        <v>5396</v>
      </c>
      <c r="C206" s="957" t="s">
        <v>5460</v>
      </c>
      <c r="D206" s="957" t="str">
        <f t="shared" si="3"/>
        <v>青森県藤崎町</v>
      </c>
      <c r="E206" s="957" t="s">
        <v>5459</v>
      </c>
      <c r="F206" s="957" t="s">
        <v>5393</v>
      </c>
      <c r="G206" s="957" t="s">
        <v>5458</v>
      </c>
    </row>
    <row r="207" spans="1:7">
      <c r="A207" s="957" t="s">
        <v>5456</v>
      </c>
      <c r="B207" s="957" t="s">
        <v>5396</v>
      </c>
      <c r="C207" s="957" t="s">
        <v>5457</v>
      </c>
      <c r="D207" s="957" t="str">
        <f t="shared" si="3"/>
        <v>青森県大鰐町</v>
      </c>
      <c r="E207" s="957" t="s">
        <v>5456</v>
      </c>
      <c r="F207" s="957" t="s">
        <v>5393</v>
      </c>
      <c r="G207" s="957" t="s">
        <v>5455</v>
      </c>
    </row>
    <row r="208" spans="1:7">
      <c r="A208" s="957" t="s">
        <v>5453</v>
      </c>
      <c r="B208" s="957" t="s">
        <v>5396</v>
      </c>
      <c r="C208" s="957" t="s">
        <v>5454</v>
      </c>
      <c r="D208" s="957" t="str">
        <f t="shared" si="3"/>
        <v>青森県田舎館村</v>
      </c>
      <c r="E208" s="957" t="s">
        <v>5453</v>
      </c>
      <c r="F208" s="957" t="s">
        <v>5393</v>
      </c>
      <c r="G208" s="957" t="s">
        <v>5452</v>
      </c>
    </row>
    <row r="209" spans="1:7">
      <c r="A209" s="957" t="s">
        <v>5450</v>
      </c>
      <c r="B209" s="957" t="s">
        <v>5396</v>
      </c>
      <c r="C209" s="957" t="s">
        <v>5451</v>
      </c>
      <c r="D209" s="957" t="str">
        <f t="shared" si="3"/>
        <v>青森県板柳町</v>
      </c>
      <c r="E209" s="957" t="s">
        <v>5450</v>
      </c>
      <c r="F209" s="957" t="s">
        <v>5393</v>
      </c>
      <c r="G209" s="957" t="s">
        <v>5449</v>
      </c>
    </row>
    <row r="210" spans="1:7">
      <c r="A210" s="957" t="s">
        <v>5447</v>
      </c>
      <c r="B210" s="957" t="s">
        <v>5396</v>
      </c>
      <c r="C210" s="957" t="s">
        <v>5448</v>
      </c>
      <c r="D210" s="957" t="str">
        <f t="shared" si="3"/>
        <v>青森県鶴田町</v>
      </c>
      <c r="E210" s="957" t="s">
        <v>5447</v>
      </c>
      <c r="F210" s="957" t="s">
        <v>5393</v>
      </c>
      <c r="G210" s="957" t="s">
        <v>5446</v>
      </c>
    </row>
    <row r="211" spans="1:7">
      <c r="A211" s="957" t="s">
        <v>5444</v>
      </c>
      <c r="B211" s="957" t="s">
        <v>5396</v>
      </c>
      <c r="C211" s="957" t="s">
        <v>5445</v>
      </c>
      <c r="D211" s="957" t="str">
        <f t="shared" si="3"/>
        <v>青森県中泊町</v>
      </c>
      <c r="E211" s="957" t="s">
        <v>5444</v>
      </c>
      <c r="F211" s="957" t="s">
        <v>5393</v>
      </c>
      <c r="G211" s="957" t="s">
        <v>5443</v>
      </c>
    </row>
    <row r="212" spans="1:7">
      <c r="A212" s="957" t="s">
        <v>5441</v>
      </c>
      <c r="B212" s="957" t="s">
        <v>5396</v>
      </c>
      <c r="C212" s="957" t="s">
        <v>5442</v>
      </c>
      <c r="D212" s="957" t="str">
        <f t="shared" si="3"/>
        <v>青森県野辺地町</v>
      </c>
      <c r="E212" s="957" t="s">
        <v>5441</v>
      </c>
      <c r="F212" s="957" t="s">
        <v>5393</v>
      </c>
      <c r="G212" s="957" t="s">
        <v>5440</v>
      </c>
    </row>
    <row r="213" spans="1:7">
      <c r="A213" s="957" t="s">
        <v>5438</v>
      </c>
      <c r="B213" s="957" t="s">
        <v>5396</v>
      </c>
      <c r="C213" s="957" t="s">
        <v>5439</v>
      </c>
      <c r="D213" s="957" t="str">
        <f t="shared" si="3"/>
        <v>青森県七戸町</v>
      </c>
      <c r="E213" s="957" t="s">
        <v>5438</v>
      </c>
      <c r="F213" s="957" t="s">
        <v>5393</v>
      </c>
      <c r="G213" s="957" t="s">
        <v>5437</v>
      </c>
    </row>
    <row r="214" spans="1:7">
      <c r="A214" s="957" t="s">
        <v>5435</v>
      </c>
      <c r="B214" s="957" t="s">
        <v>5396</v>
      </c>
      <c r="C214" s="957" t="s">
        <v>5436</v>
      </c>
      <c r="D214" s="957" t="str">
        <f t="shared" si="3"/>
        <v>青森県六戸町</v>
      </c>
      <c r="E214" s="957" t="s">
        <v>5435</v>
      </c>
      <c r="F214" s="957" t="s">
        <v>5393</v>
      </c>
      <c r="G214" s="957" t="s">
        <v>5434</v>
      </c>
    </row>
    <row r="215" spans="1:7">
      <c r="A215" s="957" t="s">
        <v>5432</v>
      </c>
      <c r="B215" s="957" t="s">
        <v>5396</v>
      </c>
      <c r="C215" s="957" t="s">
        <v>5433</v>
      </c>
      <c r="D215" s="957" t="str">
        <f t="shared" si="3"/>
        <v>青森県横浜町</v>
      </c>
      <c r="E215" s="957" t="s">
        <v>5432</v>
      </c>
      <c r="F215" s="957" t="s">
        <v>5393</v>
      </c>
      <c r="G215" s="957" t="s">
        <v>5431</v>
      </c>
    </row>
    <row r="216" spans="1:7">
      <c r="A216" s="957" t="s">
        <v>5429</v>
      </c>
      <c r="B216" s="957" t="s">
        <v>5396</v>
      </c>
      <c r="C216" s="957" t="s">
        <v>5430</v>
      </c>
      <c r="D216" s="957" t="str">
        <f t="shared" si="3"/>
        <v>青森県東北町</v>
      </c>
      <c r="E216" s="957" t="s">
        <v>5429</v>
      </c>
      <c r="F216" s="957" t="s">
        <v>5393</v>
      </c>
      <c r="G216" s="957" t="s">
        <v>5428</v>
      </c>
    </row>
    <row r="217" spans="1:7">
      <c r="A217" s="957" t="s">
        <v>5426</v>
      </c>
      <c r="B217" s="957" t="s">
        <v>5396</v>
      </c>
      <c r="C217" s="957" t="s">
        <v>5427</v>
      </c>
      <c r="D217" s="957" t="str">
        <f t="shared" si="3"/>
        <v>青森県六ヶ所村</v>
      </c>
      <c r="E217" s="957" t="s">
        <v>5426</v>
      </c>
      <c r="F217" s="957" t="s">
        <v>5393</v>
      </c>
      <c r="G217" s="957" t="s">
        <v>5425</v>
      </c>
    </row>
    <row r="218" spans="1:7">
      <c r="A218" s="957" t="s">
        <v>5423</v>
      </c>
      <c r="B218" s="957" t="s">
        <v>5396</v>
      </c>
      <c r="C218" s="957" t="s">
        <v>5424</v>
      </c>
      <c r="D218" s="957" t="str">
        <f t="shared" si="3"/>
        <v>青森県おいらせ町</v>
      </c>
      <c r="E218" s="957" t="s">
        <v>5423</v>
      </c>
      <c r="F218" s="957" t="s">
        <v>5393</v>
      </c>
      <c r="G218" s="957" t="s">
        <v>5422</v>
      </c>
    </row>
    <row r="219" spans="1:7">
      <c r="A219" s="957" t="s">
        <v>5420</v>
      </c>
      <c r="B219" s="957" t="s">
        <v>5396</v>
      </c>
      <c r="C219" s="957" t="s">
        <v>5421</v>
      </c>
      <c r="D219" s="957" t="str">
        <f t="shared" si="3"/>
        <v>青森県大間町</v>
      </c>
      <c r="E219" s="957" t="s">
        <v>5420</v>
      </c>
      <c r="F219" s="957" t="s">
        <v>5393</v>
      </c>
      <c r="G219" s="957" t="s">
        <v>5419</v>
      </c>
    </row>
    <row r="220" spans="1:7">
      <c r="A220" s="957" t="s">
        <v>5417</v>
      </c>
      <c r="B220" s="957" t="s">
        <v>5396</v>
      </c>
      <c r="C220" s="957" t="s">
        <v>5418</v>
      </c>
      <c r="D220" s="957" t="str">
        <f t="shared" si="3"/>
        <v>青森県東通村</v>
      </c>
      <c r="E220" s="957" t="s">
        <v>5417</v>
      </c>
      <c r="F220" s="957" t="s">
        <v>5393</v>
      </c>
      <c r="G220" s="957" t="s">
        <v>5416</v>
      </c>
    </row>
    <row r="221" spans="1:7">
      <c r="A221" s="957" t="s">
        <v>5414</v>
      </c>
      <c r="B221" s="957" t="s">
        <v>5396</v>
      </c>
      <c r="C221" s="957" t="s">
        <v>5415</v>
      </c>
      <c r="D221" s="957" t="str">
        <f t="shared" si="3"/>
        <v>青森県風間浦村</v>
      </c>
      <c r="E221" s="957" t="s">
        <v>5414</v>
      </c>
      <c r="F221" s="957" t="s">
        <v>5393</v>
      </c>
      <c r="G221" s="957" t="s">
        <v>5413</v>
      </c>
    </row>
    <row r="222" spans="1:7">
      <c r="A222" s="957" t="s">
        <v>5411</v>
      </c>
      <c r="B222" s="957" t="s">
        <v>5396</v>
      </c>
      <c r="C222" s="957" t="s">
        <v>5412</v>
      </c>
      <c r="D222" s="957" t="str">
        <f t="shared" si="3"/>
        <v>青森県佐井村</v>
      </c>
      <c r="E222" s="957" t="s">
        <v>5411</v>
      </c>
      <c r="F222" s="957" t="s">
        <v>5393</v>
      </c>
      <c r="G222" s="957" t="s">
        <v>5410</v>
      </c>
    </row>
    <row r="223" spans="1:7">
      <c r="A223" s="957" t="s">
        <v>5408</v>
      </c>
      <c r="B223" s="957" t="s">
        <v>5396</v>
      </c>
      <c r="C223" s="957" t="s">
        <v>5409</v>
      </c>
      <c r="D223" s="957" t="str">
        <f t="shared" si="3"/>
        <v>青森県三戸町</v>
      </c>
      <c r="E223" s="957" t="s">
        <v>5408</v>
      </c>
      <c r="F223" s="957" t="s">
        <v>5393</v>
      </c>
      <c r="G223" s="957" t="s">
        <v>5407</v>
      </c>
    </row>
    <row r="224" spans="1:7">
      <c r="A224" s="957" t="s">
        <v>5405</v>
      </c>
      <c r="B224" s="957" t="s">
        <v>5396</v>
      </c>
      <c r="C224" s="957" t="s">
        <v>5406</v>
      </c>
      <c r="D224" s="957" t="str">
        <f t="shared" si="3"/>
        <v>青森県五戸町</v>
      </c>
      <c r="E224" s="957" t="s">
        <v>5405</v>
      </c>
      <c r="F224" s="957" t="s">
        <v>5393</v>
      </c>
      <c r="G224" s="957" t="s">
        <v>5404</v>
      </c>
    </row>
    <row r="225" spans="1:7">
      <c r="A225" s="957" t="s">
        <v>5402</v>
      </c>
      <c r="B225" s="957" t="s">
        <v>5396</v>
      </c>
      <c r="C225" s="957" t="s">
        <v>5403</v>
      </c>
      <c r="D225" s="957" t="str">
        <f t="shared" si="3"/>
        <v>青森県田子町</v>
      </c>
      <c r="E225" s="957" t="s">
        <v>5402</v>
      </c>
      <c r="F225" s="957" t="s">
        <v>5393</v>
      </c>
      <c r="G225" s="957" t="s">
        <v>5401</v>
      </c>
    </row>
    <row r="226" spans="1:7">
      <c r="A226" s="957" t="s">
        <v>5400</v>
      </c>
      <c r="B226" s="957" t="s">
        <v>5396</v>
      </c>
      <c r="C226" s="957" t="s">
        <v>2125</v>
      </c>
      <c r="D226" s="957" t="str">
        <f t="shared" si="3"/>
        <v>青森県南部町</v>
      </c>
      <c r="E226" s="957" t="s">
        <v>5400</v>
      </c>
      <c r="F226" s="957" t="s">
        <v>5393</v>
      </c>
      <c r="G226" s="957" t="s">
        <v>2123</v>
      </c>
    </row>
    <row r="227" spans="1:7">
      <c r="A227" s="957" t="s">
        <v>5398</v>
      </c>
      <c r="B227" s="957" t="s">
        <v>5396</v>
      </c>
      <c r="C227" s="957" t="s">
        <v>5399</v>
      </c>
      <c r="D227" s="957" t="str">
        <f t="shared" si="3"/>
        <v>青森県階上町</v>
      </c>
      <c r="E227" s="957" t="s">
        <v>5398</v>
      </c>
      <c r="F227" s="957" t="s">
        <v>5393</v>
      </c>
      <c r="G227" s="957" t="s">
        <v>5397</v>
      </c>
    </row>
    <row r="228" spans="1:7">
      <c r="A228" s="957" t="s">
        <v>5394</v>
      </c>
      <c r="B228" s="957" t="s">
        <v>5396</v>
      </c>
      <c r="C228" s="957" t="s">
        <v>5395</v>
      </c>
      <c r="D228" s="957" t="str">
        <f t="shared" si="3"/>
        <v>青森県新郷村</v>
      </c>
      <c r="E228" s="957" t="s">
        <v>5394</v>
      </c>
      <c r="F228" s="957" t="s">
        <v>5393</v>
      </c>
      <c r="G228" s="957" t="s">
        <v>5392</v>
      </c>
    </row>
    <row r="229" spans="1:7">
      <c r="A229" s="960" t="s">
        <v>5390</v>
      </c>
      <c r="B229" s="960" t="s">
        <v>5391</v>
      </c>
      <c r="C229" s="960" t="s">
        <v>5391</v>
      </c>
      <c r="D229" s="960" t="str">
        <f t="shared" si="3"/>
        <v>岩手県岩手県</v>
      </c>
      <c r="E229" s="960" t="s">
        <v>5390</v>
      </c>
      <c r="F229" s="959" t="s">
        <v>5389</v>
      </c>
      <c r="G229" s="958"/>
    </row>
    <row r="230" spans="1:7">
      <c r="A230" s="957" t="s">
        <v>5387</v>
      </c>
      <c r="B230" s="957" t="s">
        <v>5292</v>
      </c>
      <c r="C230" s="957" t="s">
        <v>5388</v>
      </c>
      <c r="D230" s="957" t="str">
        <f t="shared" si="3"/>
        <v>岩手県盛岡市</v>
      </c>
      <c r="E230" s="957" t="s">
        <v>5387</v>
      </c>
      <c r="F230" s="957" t="s">
        <v>5289</v>
      </c>
      <c r="G230" s="957" t="s">
        <v>5386</v>
      </c>
    </row>
    <row r="231" spans="1:7">
      <c r="A231" s="957" t="s">
        <v>5384</v>
      </c>
      <c r="B231" s="957" t="s">
        <v>5292</v>
      </c>
      <c r="C231" s="957" t="s">
        <v>5385</v>
      </c>
      <c r="D231" s="957" t="str">
        <f t="shared" si="3"/>
        <v>岩手県宮古市</v>
      </c>
      <c r="E231" s="957" t="s">
        <v>5384</v>
      </c>
      <c r="F231" s="957" t="s">
        <v>5289</v>
      </c>
      <c r="G231" s="957" t="s">
        <v>5383</v>
      </c>
    </row>
    <row r="232" spans="1:7">
      <c r="A232" s="957" t="s">
        <v>5381</v>
      </c>
      <c r="B232" s="957" t="s">
        <v>5292</v>
      </c>
      <c r="C232" s="957" t="s">
        <v>5382</v>
      </c>
      <c r="D232" s="957" t="str">
        <f t="shared" si="3"/>
        <v>岩手県大船渡市</v>
      </c>
      <c r="E232" s="957" t="s">
        <v>5381</v>
      </c>
      <c r="F232" s="957" t="s">
        <v>5289</v>
      </c>
      <c r="G232" s="957" t="s">
        <v>5380</v>
      </c>
    </row>
    <row r="233" spans="1:7">
      <c r="A233" s="957" t="s">
        <v>5378</v>
      </c>
      <c r="B233" s="957" t="s">
        <v>5292</v>
      </c>
      <c r="C233" s="957" t="s">
        <v>5379</v>
      </c>
      <c r="D233" s="957" t="str">
        <f t="shared" si="3"/>
        <v>岩手県花巻市</v>
      </c>
      <c r="E233" s="957" t="s">
        <v>5378</v>
      </c>
      <c r="F233" s="957" t="s">
        <v>5289</v>
      </c>
      <c r="G233" s="957" t="s">
        <v>5377</v>
      </c>
    </row>
    <row r="234" spans="1:7">
      <c r="A234" s="957" t="s">
        <v>5375</v>
      </c>
      <c r="B234" s="957" t="s">
        <v>5292</v>
      </c>
      <c r="C234" s="957" t="s">
        <v>5376</v>
      </c>
      <c r="D234" s="957" t="str">
        <f t="shared" si="3"/>
        <v>岩手県北上市</v>
      </c>
      <c r="E234" s="957" t="s">
        <v>5375</v>
      </c>
      <c r="F234" s="957" t="s">
        <v>5289</v>
      </c>
      <c r="G234" s="957" t="s">
        <v>5374</v>
      </c>
    </row>
    <row r="235" spans="1:7">
      <c r="A235" s="957" t="s">
        <v>5372</v>
      </c>
      <c r="B235" s="957" t="s">
        <v>5292</v>
      </c>
      <c r="C235" s="957" t="s">
        <v>5373</v>
      </c>
      <c r="D235" s="957" t="str">
        <f t="shared" si="3"/>
        <v>岩手県久慈市</v>
      </c>
      <c r="E235" s="957" t="s">
        <v>5372</v>
      </c>
      <c r="F235" s="957" t="s">
        <v>5289</v>
      </c>
      <c r="G235" s="957" t="s">
        <v>5371</v>
      </c>
    </row>
    <row r="236" spans="1:7">
      <c r="A236" s="957" t="s">
        <v>5369</v>
      </c>
      <c r="B236" s="957" t="s">
        <v>5292</v>
      </c>
      <c r="C236" s="957" t="s">
        <v>5370</v>
      </c>
      <c r="D236" s="957" t="str">
        <f t="shared" si="3"/>
        <v>岩手県遠野市</v>
      </c>
      <c r="E236" s="957" t="s">
        <v>5369</v>
      </c>
      <c r="F236" s="957" t="s">
        <v>5289</v>
      </c>
      <c r="G236" s="957" t="s">
        <v>5368</v>
      </c>
    </row>
    <row r="237" spans="1:7">
      <c r="A237" s="957" t="s">
        <v>5366</v>
      </c>
      <c r="B237" s="957" t="s">
        <v>5292</v>
      </c>
      <c r="C237" s="957" t="s">
        <v>5367</v>
      </c>
      <c r="D237" s="957" t="str">
        <f t="shared" si="3"/>
        <v>岩手県一関市</v>
      </c>
      <c r="E237" s="957" t="s">
        <v>5366</v>
      </c>
      <c r="F237" s="957" t="s">
        <v>5289</v>
      </c>
      <c r="G237" s="957" t="s">
        <v>5365</v>
      </c>
    </row>
    <row r="238" spans="1:7">
      <c r="A238" s="957" t="s">
        <v>5363</v>
      </c>
      <c r="B238" s="957" t="s">
        <v>5292</v>
      </c>
      <c r="C238" s="957" t="s">
        <v>5364</v>
      </c>
      <c r="D238" s="957" t="str">
        <f t="shared" si="3"/>
        <v>岩手県陸前高田市</v>
      </c>
      <c r="E238" s="957" t="s">
        <v>5363</v>
      </c>
      <c r="F238" s="957" t="s">
        <v>5289</v>
      </c>
      <c r="G238" s="957" t="s">
        <v>5362</v>
      </c>
    </row>
    <row r="239" spans="1:7">
      <c r="A239" s="957" t="s">
        <v>5360</v>
      </c>
      <c r="B239" s="957" t="s">
        <v>5292</v>
      </c>
      <c r="C239" s="957" t="s">
        <v>5361</v>
      </c>
      <c r="D239" s="957" t="str">
        <f t="shared" si="3"/>
        <v>岩手県釜石市</v>
      </c>
      <c r="E239" s="957" t="s">
        <v>5360</v>
      </c>
      <c r="F239" s="957" t="s">
        <v>5289</v>
      </c>
      <c r="G239" s="957" t="s">
        <v>5359</v>
      </c>
    </row>
    <row r="240" spans="1:7">
      <c r="A240" s="957" t="s">
        <v>5357</v>
      </c>
      <c r="B240" s="957" t="s">
        <v>5292</v>
      </c>
      <c r="C240" s="957" t="s">
        <v>5358</v>
      </c>
      <c r="D240" s="957" t="str">
        <f t="shared" si="3"/>
        <v>岩手県二戸市</v>
      </c>
      <c r="E240" s="957" t="s">
        <v>5357</v>
      </c>
      <c r="F240" s="957" t="s">
        <v>5289</v>
      </c>
      <c r="G240" s="957" t="s">
        <v>5356</v>
      </c>
    </row>
    <row r="241" spans="1:7">
      <c r="A241" s="957" t="s">
        <v>5354</v>
      </c>
      <c r="B241" s="957" t="s">
        <v>5292</v>
      </c>
      <c r="C241" s="957" t="s">
        <v>5355</v>
      </c>
      <c r="D241" s="957" t="str">
        <f t="shared" si="3"/>
        <v>岩手県八幡平市</v>
      </c>
      <c r="E241" s="957" t="s">
        <v>5354</v>
      </c>
      <c r="F241" s="957" t="s">
        <v>5289</v>
      </c>
      <c r="G241" s="957" t="s">
        <v>5353</v>
      </c>
    </row>
    <row r="242" spans="1:7">
      <c r="A242" s="957" t="s">
        <v>5351</v>
      </c>
      <c r="B242" s="957" t="s">
        <v>5292</v>
      </c>
      <c r="C242" s="957" t="s">
        <v>5352</v>
      </c>
      <c r="D242" s="957" t="str">
        <f t="shared" si="3"/>
        <v>岩手県奥州市</v>
      </c>
      <c r="E242" s="957" t="s">
        <v>5351</v>
      </c>
      <c r="F242" s="957" t="s">
        <v>5289</v>
      </c>
      <c r="G242" s="957" t="s">
        <v>5350</v>
      </c>
    </row>
    <row r="243" spans="1:7">
      <c r="A243" s="957" t="s">
        <v>5348</v>
      </c>
      <c r="B243" s="957" t="s">
        <v>5292</v>
      </c>
      <c r="C243" s="957" t="s">
        <v>5349</v>
      </c>
      <c r="D243" s="957" t="str">
        <f t="shared" si="3"/>
        <v>岩手県滝沢市</v>
      </c>
      <c r="E243" s="957" t="s">
        <v>5348</v>
      </c>
      <c r="F243" s="957" t="s">
        <v>5289</v>
      </c>
      <c r="G243" s="957" t="s">
        <v>5347</v>
      </c>
    </row>
    <row r="244" spans="1:7">
      <c r="A244" s="957" t="s">
        <v>5345</v>
      </c>
      <c r="B244" s="957" t="s">
        <v>5292</v>
      </c>
      <c r="C244" s="957" t="s">
        <v>5346</v>
      </c>
      <c r="D244" s="957" t="str">
        <f t="shared" si="3"/>
        <v>岩手県雫石町</v>
      </c>
      <c r="E244" s="957" t="s">
        <v>5345</v>
      </c>
      <c r="F244" s="957" t="s">
        <v>5289</v>
      </c>
      <c r="G244" s="957" t="s">
        <v>5344</v>
      </c>
    </row>
    <row r="245" spans="1:7">
      <c r="A245" s="957" t="s">
        <v>5342</v>
      </c>
      <c r="B245" s="957" t="s">
        <v>5292</v>
      </c>
      <c r="C245" s="957" t="s">
        <v>5343</v>
      </c>
      <c r="D245" s="957" t="str">
        <f t="shared" si="3"/>
        <v>岩手県葛巻町</v>
      </c>
      <c r="E245" s="957" t="s">
        <v>5342</v>
      </c>
      <c r="F245" s="957" t="s">
        <v>5289</v>
      </c>
      <c r="G245" s="957" t="s">
        <v>5341</v>
      </c>
    </row>
    <row r="246" spans="1:7">
      <c r="A246" s="957" t="s">
        <v>5339</v>
      </c>
      <c r="B246" s="957" t="s">
        <v>5292</v>
      </c>
      <c r="C246" s="957" t="s">
        <v>5340</v>
      </c>
      <c r="D246" s="957" t="str">
        <f t="shared" si="3"/>
        <v>岩手県岩手町</v>
      </c>
      <c r="E246" s="957" t="s">
        <v>5339</v>
      </c>
      <c r="F246" s="957" t="s">
        <v>5289</v>
      </c>
      <c r="G246" s="957" t="s">
        <v>5338</v>
      </c>
    </row>
    <row r="247" spans="1:7">
      <c r="A247" s="957" t="s">
        <v>5336</v>
      </c>
      <c r="B247" s="957" t="s">
        <v>5292</v>
      </c>
      <c r="C247" s="957" t="s">
        <v>5337</v>
      </c>
      <c r="D247" s="957" t="str">
        <f t="shared" si="3"/>
        <v>岩手県紫波町</v>
      </c>
      <c r="E247" s="957" t="s">
        <v>5336</v>
      </c>
      <c r="F247" s="957" t="s">
        <v>5289</v>
      </c>
      <c r="G247" s="957" t="s">
        <v>5335</v>
      </c>
    </row>
    <row r="248" spans="1:7">
      <c r="A248" s="957" t="s">
        <v>5333</v>
      </c>
      <c r="B248" s="957" t="s">
        <v>5292</v>
      </c>
      <c r="C248" s="957" t="s">
        <v>5334</v>
      </c>
      <c r="D248" s="957" t="str">
        <f t="shared" si="3"/>
        <v>岩手県矢巾町</v>
      </c>
      <c r="E248" s="957" t="s">
        <v>5333</v>
      </c>
      <c r="F248" s="957" t="s">
        <v>5289</v>
      </c>
      <c r="G248" s="957" t="s">
        <v>5332</v>
      </c>
    </row>
    <row r="249" spans="1:7">
      <c r="A249" s="957" t="s">
        <v>5330</v>
      </c>
      <c r="B249" s="957" t="s">
        <v>5292</v>
      </c>
      <c r="C249" s="957" t="s">
        <v>5331</v>
      </c>
      <c r="D249" s="957" t="str">
        <f t="shared" si="3"/>
        <v>岩手県西和賀町</v>
      </c>
      <c r="E249" s="957" t="s">
        <v>5330</v>
      </c>
      <c r="F249" s="957" t="s">
        <v>5289</v>
      </c>
      <c r="G249" s="957" t="s">
        <v>5329</v>
      </c>
    </row>
    <row r="250" spans="1:7">
      <c r="A250" s="957" t="s">
        <v>5327</v>
      </c>
      <c r="B250" s="957" t="s">
        <v>5292</v>
      </c>
      <c r="C250" s="957" t="s">
        <v>5328</v>
      </c>
      <c r="D250" s="957" t="str">
        <f t="shared" si="3"/>
        <v>岩手県金ケ崎町</v>
      </c>
      <c r="E250" s="957" t="s">
        <v>5327</v>
      </c>
      <c r="F250" s="957" t="s">
        <v>5289</v>
      </c>
      <c r="G250" s="957" t="s">
        <v>5326</v>
      </c>
    </row>
    <row r="251" spans="1:7">
      <c r="A251" s="957" t="s">
        <v>5324</v>
      </c>
      <c r="B251" s="957" t="s">
        <v>5292</v>
      </c>
      <c r="C251" s="957" t="s">
        <v>5325</v>
      </c>
      <c r="D251" s="957" t="str">
        <f t="shared" si="3"/>
        <v>岩手県平泉町</v>
      </c>
      <c r="E251" s="957" t="s">
        <v>5324</v>
      </c>
      <c r="F251" s="957" t="s">
        <v>5289</v>
      </c>
      <c r="G251" s="957" t="s">
        <v>5323</v>
      </c>
    </row>
    <row r="252" spans="1:7">
      <c r="A252" s="957" t="s">
        <v>5321</v>
      </c>
      <c r="B252" s="957" t="s">
        <v>5292</v>
      </c>
      <c r="C252" s="957" t="s">
        <v>5322</v>
      </c>
      <c r="D252" s="957" t="str">
        <f t="shared" si="3"/>
        <v>岩手県住田町</v>
      </c>
      <c r="E252" s="957" t="s">
        <v>5321</v>
      </c>
      <c r="F252" s="957" t="s">
        <v>5289</v>
      </c>
      <c r="G252" s="957" t="s">
        <v>5320</v>
      </c>
    </row>
    <row r="253" spans="1:7">
      <c r="A253" s="957" t="s">
        <v>5318</v>
      </c>
      <c r="B253" s="957" t="s">
        <v>5292</v>
      </c>
      <c r="C253" s="957" t="s">
        <v>5319</v>
      </c>
      <c r="D253" s="957" t="str">
        <f t="shared" si="3"/>
        <v>岩手県大槌町</v>
      </c>
      <c r="E253" s="957" t="s">
        <v>5318</v>
      </c>
      <c r="F253" s="957" t="s">
        <v>5289</v>
      </c>
      <c r="G253" s="957" t="s">
        <v>5317</v>
      </c>
    </row>
    <row r="254" spans="1:7">
      <c r="A254" s="957" t="s">
        <v>5315</v>
      </c>
      <c r="B254" s="957" t="s">
        <v>5292</v>
      </c>
      <c r="C254" s="957" t="s">
        <v>5316</v>
      </c>
      <c r="D254" s="957" t="str">
        <f t="shared" si="3"/>
        <v>岩手県山田町</v>
      </c>
      <c r="E254" s="957" t="s">
        <v>5315</v>
      </c>
      <c r="F254" s="957" t="s">
        <v>5289</v>
      </c>
      <c r="G254" s="957" t="s">
        <v>5314</v>
      </c>
    </row>
    <row r="255" spans="1:7">
      <c r="A255" s="957" t="s">
        <v>5312</v>
      </c>
      <c r="B255" s="957" t="s">
        <v>5292</v>
      </c>
      <c r="C255" s="957" t="s">
        <v>5313</v>
      </c>
      <c r="D255" s="957" t="str">
        <f t="shared" si="3"/>
        <v>岩手県岩泉町</v>
      </c>
      <c r="E255" s="957" t="s">
        <v>5312</v>
      </c>
      <c r="F255" s="957" t="s">
        <v>5289</v>
      </c>
      <c r="G255" s="957" t="s">
        <v>5311</v>
      </c>
    </row>
    <row r="256" spans="1:7">
      <c r="A256" s="957" t="s">
        <v>5309</v>
      </c>
      <c r="B256" s="957" t="s">
        <v>5292</v>
      </c>
      <c r="C256" s="957" t="s">
        <v>5310</v>
      </c>
      <c r="D256" s="957" t="str">
        <f t="shared" si="3"/>
        <v>岩手県田野畑村</v>
      </c>
      <c r="E256" s="957" t="s">
        <v>5309</v>
      </c>
      <c r="F256" s="957" t="s">
        <v>5289</v>
      </c>
      <c r="G256" s="957" t="s">
        <v>5308</v>
      </c>
    </row>
    <row r="257" spans="1:7">
      <c r="A257" s="957" t="s">
        <v>5306</v>
      </c>
      <c r="B257" s="957" t="s">
        <v>5292</v>
      </c>
      <c r="C257" s="957" t="s">
        <v>5307</v>
      </c>
      <c r="D257" s="957" t="str">
        <f t="shared" si="3"/>
        <v>岩手県普代村</v>
      </c>
      <c r="E257" s="957" t="s">
        <v>5306</v>
      </c>
      <c r="F257" s="957" t="s">
        <v>5289</v>
      </c>
      <c r="G257" s="957" t="s">
        <v>5305</v>
      </c>
    </row>
    <row r="258" spans="1:7">
      <c r="A258" s="957" t="s">
        <v>5303</v>
      </c>
      <c r="B258" s="957" t="s">
        <v>5292</v>
      </c>
      <c r="C258" s="957" t="s">
        <v>5304</v>
      </c>
      <c r="D258" s="957" t="str">
        <f t="shared" si="3"/>
        <v>岩手県軽米町</v>
      </c>
      <c r="E258" s="957" t="s">
        <v>5303</v>
      </c>
      <c r="F258" s="957" t="s">
        <v>5289</v>
      </c>
      <c r="G258" s="957" t="s">
        <v>5302</v>
      </c>
    </row>
    <row r="259" spans="1:7">
      <c r="A259" s="957" t="s">
        <v>5300</v>
      </c>
      <c r="B259" s="957" t="s">
        <v>5292</v>
      </c>
      <c r="C259" s="957" t="s">
        <v>5301</v>
      </c>
      <c r="D259" s="957" t="str">
        <f t="shared" ref="D259:D322" si="4">B259&amp;C259</f>
        <v>岩手県野田村</v>
      </c>
      <c r="E259" s="957" t="s">
        <v>5300</v>
      </c>
      <c r="F259" s="957" t="s">
        <v>5289</v>
      </c>
      <c r="G259" s="957" t="s">
        <v>5299</v>
      </c>
    </row>
    <row r="260" spans="1:7">
      <c r="A260" s="957" t="s">
        <v>5297</v>
      </c>
      <c r="B260" s="957" t="s">
        <v>5292</v>
      </c>
      <c r="C260" s="957" t="s">
        <v>5298</v>
      </c>
      <c r="D260" s="957" t="str">
        <f t="shared" si="4"/>
        <v>岩手県九戸村</v>
      </c>
      <c r="E260" s="957" t="s">
        <v>5297</v>
      </c>
      <c r="F260" s="957" t="s">
        <v>5289</v>
      </c>
      <c r="G260" s="957" t="s">
        <v>5296</v>
      </c>
    </row>
    <row r="261" spans="1:7">
      <c r="A261" s="957" t="s">
        <v>5294</v>
      </c>
      <c r="B261" s="957" t="s">
        <v>5292</v>
      </c>
      <c r="C261" s="957" t="s">
        <v>5295</v>
      </c>
      <c r="D261" s="957" t="str">
        <f t="shared" si="4"/>
        <v>岩手県洋野町</v>
      </c>
      <c r="E261" s="957" t="s">
        <v>5294</v>
      </c>
      <c r="F261" s="957" t="s">
        <v>5289</v>
      </c>
      <c r="G261" s="957" t="s">
        <v>5293</v>
      </c>
    </row>
    <row r="262" spans="1:7">
      <c r="A262" s="957" t="s">
        <v>5290</v>
      </c>
      <c r="B262" s="957" t="s">
        <v>5292</v>
      </c>
      <c r="C262" s="957" t="s">
        <v>5291</v>
      </c>
      <c r="D262" s="957" t="str">
        <f t="shared" si="4"/>
        <v>岩手県一戸町</v>
      </c>
      <c r="E262" s="957" t="s">
        <v>5290</v>
      </c>
      <c r="F262" s="957" t="s">
        <v>5289</v>
      </c>
      <c r="G262" s="957" t="s">
        <v>5288</v>
      </c>
    </row>
    <row r="263" spans="1:7">
      <c r="A263" s="960" t="s">
        <v>5286</v>
      </c>
      <c r="B263" s="960" t="s">
        <v>5287</v>
      </c>
      <c r="C263" s="960" t="s">
        <v>5287</v>
      </c>
      <c r="D263" s="960" t="str">
        <f t="shared" si="4"/>
        <v>宮城県宮城県</v>
      </c>
      <c r="E263" s="960" t="s">
        <v>5286</v>
      </c>
      <c r="F263" s="959" t="s">
        <v>5285</v>
      </c>
      <c r="G263" s="958"/>
    </row>
    <row r="264" spans="1:7">
      <c r="A264" s="957" t="s">
        <v>5283</v>
      </c>
      <c r="B264" s="957" t="s">
        <v>5186</v>
      </c>
      <c r="C264" s="957" t="s">
        <v>5284</v>
      </c>
      <c r="D264" s="957" t="str">
        <f t="shared" si="4"/>
        <v>宮城県仙台市</v>
      </c>
      <c r="E264" s="957" t="s">
        <v>5283</v>
      </c>
      <c r="F264" s="957" t="s">
        <v>5183</v>
      </c>
      <c r="G264" s="957" t="s">
        <v>5282</v>
      </c>
    </row>
    <row r="265" spans="1:7">
      <c r="A265" s="957" t="s">
        <v>5280</v>
      </c>
      <c r="B265" s="957" t="s">
        <v>5186</v>
      </c>
      <c r="C265" s="957" t="s">
        <v>5281</v>
      </c>
      <c r="D265" s="957" t="str">
        <f t="shared" si="4"/>
        <v>宮城県石巻市</v>
      </c>
      <c r="E265" s="957" t="s">
        <v>5280</v>
      </c>
      <c r="F265" s="957" t="s">
        <v>5183</v>
      </c>
      <c r="G265" s="957" t="s">
        <v>5279</v>
      </c>
    </row>
    <row r="266" spans="1:7">
      <c r="A266" s="957" t="s">
        <v>5277</v>
      </c>
      <c r="B266" s="957" t="s">
        <v>5186</v>
      </c>
      <c r="C266" s="957" t="s">
        <v>5278</v>
      </c>
      <c r="D266" s="957" t="str">
        <f t="shared" si="4"/>
        <v>宮城県塩竈市</v>
      </c>
      <c r="E266" s="957" t="s">
        <v>5277</v>
      </c>
      <c r="F266" s="957" t="s">
        <v>5183</v>
      </c>
      <c r="G266" s="957" t="s">
        <v>5276</v>
      </c>
    </row>
    <row r="267" spans="1:7">
      <c r="A267" s="957" t="s">
        <v>5274</v>
      </c>
      <c r="B267" s="957" t="s">
        <v>5186</v>
      </c>
      <c r="C267" s="957" t="s">
        <v>5275</v>
      </c>
      <c r="D267" s="957" t="str">
        <f t="shared" si="4"/>
        <v>宮城県気仙沼市</v>
      </c>
      <c r="E267" s="957" t="s">
        <v>5274</v>
      </c>
      <c r="F267" s="957" t="s">
        <v>5183</v>
      </c>
      <c r="G267" s="957" t="s">
        <v>5273</v>
      </c>
    </row>
    <row r="268" spans="1:7">
      <c r="A268" s="957" t="s">
        <v>5271</v>
      </c>
      <c r="B268" s="957" t="s">
        <v>5186</v>
      </c>
      <c r="C268" s="957" t="s">
        <v>5272</v>
      </c>
      <c r="D268" s="957" t="str">
        <f t="shared" si="4"/>
        <v>宮城県白石市</v>
      </c>
      <c r="E268" s="957" t="s">
        <v>5271</v>
      </c>
      <c r="F268" s="957" t="s">
        <v>5183</v>
      </c>
      <c r="G268" s="957" t="s">
        <v>5270</v>
      </c>
    </row>
    <row r="269" spans="1:7">
      <c r="A269" s="957" t="s">
        <v>5268</v>
      </c>
      <c r="B269" s="957" t="s">
        <v>5186</v>
      </c>
      <c r="C269" s="957" t="s">
        <v>5269</v>
      </c>
      <c r="D269" s="957" t="str">
        <f t="shared" si="4"/>
        <v>宮城県名取市</v>
      </c>
      <c r="E269" s="957" t="s">
        <v>5268</v>
      </c>
      <c r="F269" s="957" t="s">
        <v>5183</v>
      </c>
      <c r="G269" s="957" t="s">
        <v>5267</v>
      </c>
    </row>
    <row r="270" spans="1:7">
      <c r="A270" s="957" t="s">
        <v>5265</v>
      </c>
      <c r="B270" s="957" t="s">
        <v>5186</v>
      </c>
      <c r="C270" s="957" t="s">
        <v>5266</v>
      </c>
      <c r="D270" s="957" t="str">
        <f t="shared" si="4"/>
        <v>宮城県角田市</v>
      </c>
      <c r="E270" s="957" t="s">
        <v>5265</v>
      </c>
      <c r="F270" s="957" t="s">
        <v>5183</v>
      </c>
      <c r="G270" s="957" t="s">
        <v>5264</v>
      </c>
    </row>
    <row r="271" spans="1:7">
      <c r="A271" s="957" t="s">
        <v>5262</v>
      </c>
      <c r="B271" s="957" t="s">
        <v>5186</v>
      </c>
      <c r="C271" s="957" t="s">
        <v>5263</v>
      </c>
      <c r="D271" s="957" t="str">
        <f t="shared" si="4"/>
        <v>宮城県多賀城市</v>
      </c>
      <c r="E271" s="957" t="s">
        <v>5262</v>
      </c>
      <c r="F271" s="957" t="s">
        <v>5183</v>
      </c>
      <c r="G271" s="957" t="s">
        <v>5261</v>
      </c>
    </row>
    <row r="272" spans="1:7">
      <c r="A272" s="957" t="s">
        <v>5259</v>
      </c>
      <c r="B272" s="957" t="s">
        <v>5186</v>
      </c>
      <c r="C272" s="957" t="s">
        <v>5260</v>
      </c>
      <c r="D272" s="957" t="str">
        <f t="shared" si="4"/>
        <v>宮城県岩沼市</v>
      </c>
      <c r="E272" s="957" t="s">
        <v>5259</v>
      </c>
      <c r="F272" s="957" t="s">
        <v>5183</v>
      </c>
      <c r="G272" s="957" t="s">
        <v>5258</v>
      </c>
    </row>
    <row r="273" spans="1:7">
      <c r="A273" s="957" t="s">
        <v>5256</v>
      </c>
      <c r="B273" s="957" t="s">
        <v>5186</v>
      </c>
      <c r="C273" s="957" t="s">
        <v>5257</v>
      </c>
      <c r="D273" s="957" t="str">
        <f t="shared" si="4"/>
        <v>宮城県登米市</v>
      </c>
      <c r="E273" s="957" t="s">
        <v>5256</v>
      </c>
      <c r="F273" s="957" t="s">
        <v>5183</v>
      </c>
      <c r="G273" s="957" t="s">
        <v>5255</v>
      </c>
    </row>
    <row r="274" spans="1:7">
      <c r="A274" s="957" t="s">
        <v>5253</v>
      </c>
      <c r="B274" s="957" t="s">
        <v>5186</v>
      </c>
      <c r="C274" s="957" t="s">
        <v>5254</v>
      </c>
      <c r="D274" s="957" t="str">
        <f t="shared" si="4"/>
        <v>宮城県栗原市</v>
      </c>
      <c r="E274" s="957" t="s">
        <v>5253</v>
      </c>
      <c r="F274" s="957" t="s">
        <v>5183</v>
      </c>
      <c r="G274" s="957" t="s">
        <v>5252</v>
      </c>
    </row>
    <row r="275" spans="1:7">
      <c r="A275" s="957" t="s">
        <v>5250</v>
      </c>
      <c r="B275" s="957" t="s">
        <v>5186</v>
      </c>
      <c r="C275" s="957" t="s">
        <v>5251</v>
      </c>
      <c r="D275" s="957" t="str">
        <f t="shared" si="4"/>
        <v>宮城県東松島市</v>
      </c>
      <c r="E275" s="957" t="s">
        <v>5250</v>
      </c>
      <c r="F275" s="957" t="s">
        <v>5183</v>
      </c>
      <c r="G275" s="957" t="s">
        <v>5249</v>
      </c>
    </row>
    <row r="276" spans="1:7">
      <c r="A276" s="957" t="s">
        <v>5247</v>
      </c>
      <c r="B276" s="957" t="s">
        <v>5186</v>
      </c>
      <c r="C276" s="957" t="s">
        <v>5248</v>
      </c>
      <c r="D276" s="957" t="str">
        <f t="shared" si="4"/>
        <v>宮城県大崎市</v>
      </c>
      <c r="E276" s="957" t="s">
        <v>5247</v>
      </c>
      <c r="F276" s="957" t="s">
        <v>5183</v>
      </c>
      <c r="G276" s="957" t="s">
        <v>5246</v>
      </c>
    </row>
    <row r="277" spans="1:7">
      <c r="A277" s="957" t="s">
        <v>5244</v>
      </c>
      <c r="B277" s="957" t="s">
        <v>5186</v>
      </c>
      <c r="C277" s="957" t="s">
        <v>5245</v>
      </c>
      <c r="D277" s="957" t="str">
        <f t="shared" si="4"/>
        <v>宮城県富谷市</v>
      </c>
      <c r="E277" s="957" t="s">
        <v>5244</v>
      </c>
      <c r="F277" s="957" t="s">
        <v>5183</v>
      </c>
      <c r="G277" s="957" t="s">
        <v>5243</v>
      </c>
    </row>
    <row r="278" spans="1:7">
      <c r="A278" s="957" t="s">
        <v>5241</v>
      </c>
      <c r="B278" s="957" t="s">
        <v>5186</v>
      </c>
      <c r="C278" s="957" t="s">
        <v>5242</v>
      </c>
      <c r="D278" s="957" t="str">
        <f t="shared" si="4"/>
        <v>宮城県蔵王町</v>
      </c>
      <c r="E278" s="957" t="s">
        <v>5241</v>
      </c>
      <c r="F278" s="957" t="s">
        <v>5183</v>
      </c>
      <c r="G278" s="957" t="s">
        <v>5240</v>
      </c>
    </row>
    <row r="279" spans="1:7">
      <c r="A279" s="957" t="s">
        <v>5238</v>
      </c>
      <c r="B279" s="957" t="s">
        <v>5186</v>
      </c>
      <c r="C279" s="957" t="s">
        <v>5239</v>
      </c>
      <c r="D279" s="957" t="str">
        <f t="shared" si="4"/>
        <v>宮城県七ヶ宿町</v>
      </c>
      <c r="E279" s="957" t="s">
        <v>5238</v>
      </c>
      <c r="F279" s="957" t="s">
        <v>5183</v>
      </c>
      <c r="G279" s="957" t="s">
        <v>5237</v>
      </c>
    </row>
    <row r="280" spans="1:7">
      <c r="A280" s="957" t="s">
        <v>5235</v>
      </c>
      <c r="B280" s="957" t="s">
        <v>5186</v>
      </c>
      <c r="C280" s="957" t="s">
        <v>5236</v>
      </c>
      <c r="D280" s="957" t="str">
        <f t="shared" si="4"/>
        <v>宮城県大河原町</v>
      </c>
      <c r="E280" s="957" t="s">
        <v>5235</v>
      </c>
      <c r="F280" s="957" t="s">
        <v>5183</v>
      </c>
      <c r="G280" s="957" t="s">
        <v>5234</v>
      </c>
    </row>
    <row r="281" spans="1:7">
      <c r="A281" s="957" t="s">
        <v>5232</v>
      </c>
      <c r="B281" s="957" t="s">
        <v>5186</v>
      </c>
      <c r="C281" s="957" t="s">
        <v>5233</v>
      </c>
      <c r="D281" s="957" t="str">
        <f t="shared" si="4"/>
        <v>宮城県村田町</v>
      </c>
      <c r="E281" s="957" t="s">
        <v>5232</v>
      </c>
      <c r="F281" s="957" t="s">
        <v>5183</v>
      </c>
      <c r="G281" s="957" t="s">
        <v>5231</v>
      </c>
    </row>
    <row r="282" spans="1:7">
      <c r="A282" s="957" t="s">
        <v>5229</v>
      </c>
      <c r="B282" s="957" t="s">
        <v>5186</v>
      </c>
      <c r="C282" s="957" t="s">
        <v>5230</v>
      </c>
      <c r="D282" s="957" t="str">
        <f t="shared" si="4"/>
        <v>宮城県柴田町</v>
      </c>
      <c r="E282" s="957" t="s">
        <v>5229</v>
      </c>
      <c r="F282" s="957" t="s">
        <v>5183</v>
      </c>
      <c r="G282" s="957" t="s">
        <v>5228</v>
      </c>
    </row>
    <row r="283" spans="1:7">
      <c r="A283" s="957" t="s">
        <v>5227</v>
      </c>
      <c r="B283" s="957" t="s">
        <v>5186</v>
      </c>
      <c r="C283" s="957" t="s">
        <v>1366</v>
      </c>
      <c r="D283" s="957" t="str">
        <f t="shared" si="4"/>
        <v>宮城県川崎町</v>
      </c>
      <c r="E283" s="957" t="s">
        <v>5227</v>
      </c>
      <c r="F283" s="957" t="s">
        <v>5183</v>
      </c>
      <c r="G283" s="957" t="s">
        <v>1364</v>
      </c>
    </row>
    <row r="284" spans="1:7">
      <c r="A284" s="957" t="s">
        <v>5225</v>
      </c>
      <c r="B284" s="957" t="s">
        <v>5186</v>
      </c>
      <c r="C284" s="957" t="s">
        <v>5226</v>
      </c>
      <c r="D284" s="957" t="str">
        <f t="shared" si="4"/>
        <v>宮城県丸森町</v>
      </c>
      <c r="E284" s="957" t="s">
        <v>5225</v>
      </c>
      <c r="F284" s="957" t="s">
        <v>5183</v>
      </c>
      <c r="G284" s="957" t="s">
        <v>5224</v>
      </c>
    </row>
    <row r="285" spans="1:7">
      <c r="A285" s="957" t="s">
        <v>5222</v>
      </c>
      <c r="B285" s="957" t="s">
        <v>5186</v>
      </c>
      <c r="C285" s="957" t="s">
        <v>5223</v>
      </c>
      <c r="D285" s="957" t="str">
        <f t="shared" si="4"/>
        <v>宮城県亘理町</v>
      </c>
      <c r="E285" s="957" t="s">
        <v>5222</v>
      </c>
      <c r="F285" s="957" t="s">
        <v>5183</v>
      </c>
      <c r="G285" s="957" t="s">
        <v>5221</v>
      </c>
    </row>
    <row r="286" spans="1:7">
      <c r="A286" s="957" t="s">
        <v>5219</v>
      </c>
      <c r="B286" s="957" t="s">
        <v>5186</v>
      </c>
      <c r="C286" s="957" t="s">
        <v>5220</v>
      </c>
      <c r="D286" s="957" t="str">
        <f t="shared" si="4"/>
        <v>宮城県山元町</v>
      </c>
      <c r="E286" s="957" t="s">
        <v>5219</v>
      </c>
      <c r="F286" s="957" t="s">
        <v>5183</v>
      </c>
      <c r="G286" s="957" t="s">
        <v>5218</v>
      </c>
    </row>
    <row r="287" spans="1:7">
      <c r="A287" s="957" t="s">
        <v>5216</v>
      </c>
      <c r="B287" s="957" t="s">
        <v>5186</v>
      </c>
      <c r="C287" s="957" t="s">
        <v>5217</v>
      </c>
      <c r="D287" s="957" t="str">
        <f t="shared" si="4"/>
        <v>宮城県松島町</v>
      </c>
      <c r="E287" s="957" t="s">
        <v>5216</v>
      </c>
      <c r="F287" s="957" t="s">
        <v>5183</v>
      </c>
      <c r="G287" s="957" t="s">
        <v>5215</v>
      </c>
    </row>
    <row r="288" spans="1:7">
      <c r="A288" s="957" t="s">
        <v>5213</v>
      </c>
      <c r="B288" s="957" t="s">
        <v>5186</v>
      </c>
      <c r="C288" s="957" t="s">
        <v>5214</v>
      </c>
      <c r="D288" s="957" t="str">
        <f t="shared" si="4"/>
        <v>宮城県七ヶ浜町</v>
      </c>
      <c r="E288" s="957" t="s">
        <v>5213</v>
      </c>
      <c r="F288" s="957" t="s">
        <v>5183</v>
      </c>
      <c r="G288" s="957" t="s">
        <v>5212</v>
      </c>
    </row>
    <row r="289" spans="1:7">
      <c r="A289" s="957" t="s">
        <v>5210</v>
      </c>
      <c r="B289" s="957" t="s">
        <v>5186</v>
      </c>
      <c r="C289" s="957" t="s">
        <v>5211</v>
      </c>
      <c r="D289" s="957" t="str">
        <f t="shared" si="4"/>
        <v>宮城県利府町</v>
      </c>
      <c r="E289" s="957" t="s">
        <v>5210</v>
      </c>
      <c r="F289" s="957" t="s">
        <v>5183</v>
      </c>
      <c r="G289" s="957" t="s">
        <v>5209</v>
      </c>
    </row>
    <row r="290" spans="1:7">
      <c r="A290" s="957" t="s">
        <v>5207</v>
      </c>
      <c r="B290" s="957" t="s">
        <v>5186</v>
      </c>
      <c r="C290" s="957" t="s">
        <v>5208</v>
      </c>
      <c r="D290" s="957" t="str">
        <f t="shared" si="4"/>
        <v>宮城県大和町</v>
      </c>
      <c r="E290" s="957" t="s">
        <v>5207</v>
      </c>
      <c r="F290" s="957" t="s">
        <v>5183</v>
      </c>
      <c r="G290" s="957" t="s">
        <v>5206</v>
      </c>
    </row>
    <row r="291" spans="1:7">
      <c r="A291" s="957" t="s">
        <v>5204</v>
      </c>
      <c r="B291" s="957" t="s">
        <v>5186</v>
      </c>
      <c r="C291" s="957" t="s">
        <v>5205</v>
      </c>
      <c r="D291" s="957" t="str">
        <f t="shared" si="4"/>
        <v>宮城県大郷町</v>
      </c>
      <c r="E291" s="957" t="s">
        <v>5204</v>
      </c>
      <c r="F291" s="957" t="s">
        <v>5183</v>
      </c>
      <c r="G291" s="957" t="s">
        <v>5203</v>
      </c>
    </row>
    <row r="292" spans="1:7">
      <c r="A292" s="957" t="s">
        <v>5201</v>
      </c>
      <c r="B292" s="957" t="s">
        <v>5186</v>
      </c>
      <c r="C292" s="957" t="s">
        <v>5202</v>
      </c>
      <c r="D292" s="957" t="str">
        <f t="shared" si="4"/>
        <v>宮城県大衡村</v>
      </c>
      <c r="E292" s="957" t="s">
        <v>5201</v>
      </c>
      <c r="F292" s="957" t="s">
        <v>5183</v>
      </c>
      <c r="G292" s="957" t="s">
        <v>5200</v>
      </c>
    </row>
    <row r="293" spans="1:7">
      <c r="A293" s="957" t="s">
        <v>5198</v>
      </c>
      <c r="B293" s="957" t="s">
        <v>5186</v>
      </c>
      <c r="C293" s="957" t="s">
        <v>5199</v>
      </c>
      <c r="D293" s="957" t="str">
        <f t="shared" si="4"/>
        <v>宮城県色麻町</v>
      </c>
      <c r="E293" s="957" t="s">
        <v>5198</v>
      </c>
      <c r="F293" s="957" t="s">
        <v>5183</v>
      </c>
      <c r="G293" s="957" t="s">
        <v>5197</v>
      </c>
    </row>
    <row r="294" spans="1:7">
      <c r="A294" s="957" t="s">
        <v>5195</v>
      </c>
      <c r="B294" s="957" t="s">
        <v>5186</v>
      </c>
      <c r="C294" s="957" t="s">
        <v>5196</v>
      </c>
      <c r="D294" s="957" t="str">
        <f t="shared" si="4"/>
        <v>宮城県加美町</v>
      </c>
      <c r="E294" s="957" t="s">
        <v>5195</v>
      </c>
      <c r="F294" s="957" t="s">
        <v>5183</v>
      </c>
      <c r="G294" s="957" t="s">
        <v>5194</v>
      </c>
    </row>
    <row r="295" spans="1:7">
      <c r="A295" s="957" t="s">
        <v>5192</v>
      </c>
      <c r="B295" s="957" t="s">
        <v>5186</v>
      </c>
      <c r="C295" s="957" t="s">
        <v>5193</v>
      </c>
      <c r="D295" s="957" t="str">
        <f t="shared" si="4"/>
        <v>宮城県涌谷町</v>
      </c>
      <c r="E295" s="957" t="s">
        <v>5192</v>
      </c>
      <c r="F295" s="957" t="s">
        <v>5183</v>
      </c>
      <c r="G295" s="957" t="s">
        <v>5191</v>
      </c>
    </row>
    <row r="296" spans="1:7">
      <c r="A296" s="957" t="s">
        <v>5190</v>
      </c>
      <c r="B296" s="957" t="s">
        <v>5186</v>
      </c>
      <c r="C296" s="957" t="s">
        <v>1159</v>
      </c>
      <c r="D296" s="957" t="str">
        <f t="shared" si="4"/>
        <v>宮城県美里町</v>
      </c>
      <c r="E296" s="957" t="s">
        <v>5190</v>
      </c>
      <c r="F296" s="957" t="s">
        <v>5183</v>
      </c>
      <c r="G296" s="957" t="s">
        <v>1157</v>
      </c>
    </row>
    <row r="297" spans="1:7">
      <c r="A297" s="957" t="s">
        <v>5188</v>
      </c>
      <c r="B297" s="957" t="s">
        <v>5186</v>
      </c>
      <c r="C297" s="957" t="s">
        <v>5189</v>
      </c>
      <c r="D297" s="957" t="str">
        <f t="shared" si="4"/>
        <v>宮城県女川町</v>
      </c>
      <c r="E297" s="957" t="s">
        <v>5188</v>
      </c>
      <c r="F297" s="957" t="s">
        <v>5183</v>
      </c>
      <c r="G297" s="957" t="s">
        <v>5187</v>
      </c>
    </row>
    <row r="298" spans="1:7">
      <c r="A298" s="957" t="s">
        <v>5184</v>
      </c>
      <c r="B298" s="957" t="s">
        <v>5186</v>
      </c>
      <c r="C298" s="957" t="s">
        <v>5185</v>
      </c>
      <c r="D298" s="957" t="str">
        <f t="shared" si="4"/>
        <v>宮城県南三陸町</v>
      </c>
      <c r="E298" s="957" t="s">
        <v>5184</v>
      </c>
      <c r="F298" s="957" t="s">
        <v>5183</v>
      </c>
      <c r="G298" s="957" t="s">
        <v>5182</v>
      </c>
    </row>
    <row r="299" spans="1:7">
      <c r="A299" s="960" t="s">
        <v>5180</v>
      </c>
      <c r="B299" s="960" t="s">
        <v>5181</v>
      </c>
      <c r="C299" s="960" t="s">
        <v>5181</v>
      </c>
      <c r="D299" s="960" t="str">
        <f t="shared" si="4"/>
        <v>秋田県秋田県</v>
      </c>
      <c r="E299" s="960" t="s">
        <v>5180</v>
      </c>
      <c r="F299" s="959" t="s">
        <v>5179</v>
      </c>
      <c r="G299" s="958"/>
    </row>
    <row r="300" spans="1:7">
      <c r="A300" s="957" t="s">
        <v>5177</v>
      </c>
      <c r="B300" s="957" t="s">
        <v>5108</v>
      </c>
      <c r="C300" s="957" t="s">
        <v>5178</v>
      </c>
      <c r="D300" s="957" t="str">
        <f t="shared" si="4"/>
        <v>秋田県秋田市</v>
      </c>
      <c r="E300" s="957" t="s">
        <v>5177</v>
      </c>
      <c r="F300" s="957" t="s">
        <v>5105</v>
      </c>
      <c r="G300" s="957" t="s">
        <v>5176</v>
      </c>
    </row>
    <row r="301" spans="1:7">
      <c r="A301" s="957" t="s">
        <v>5174</v>
      </c>
      <c r="B301" s="957" t="s">
        <v>5108</v>
      </c>
      <c r="C301" s="957" t="s">
        <v>5175</v>
      </c>
      <c r="D301" s="957" t="str">
        <f t="shared" si="4"/>
        <v>秋田県能代市</v>
      </c>
      <c r="E301" s="957" t="s">
        <v>5174</v>
      </c>
      <c r="F301" s="957" t="s">
        <v>5105</v>
      </c>
      <c r="G301" s="957" t="s">
        <v>5173</v>
      </c>
    </row>
    <row r="302" spans="1:7">
      <c r="A302" s="957" t="s">
        <v>5171</v>
      </c>
      <c r="B302" s="957" t="s">
        <v>5108</v>
      </c>
      <c r="C302" s="957" t="s">
        <v>5172</v>
      </c>
      <c r="D302" s="957" t="str">
        <f t="shared" si="4"/>
        <v>秋田県横手市</v>
      </c>
      <c r="E302" s="957" t="s">
        <v>5171</v>
      </c>
      <c r="F302" s="957" t="s">
        <v>5105</v>
      </c>
      <c r="G302" s="957" t="s">
        <v>5170</v>
      </c>
    </row>
    <row r="303" spans="1:7">
      <c r="A303" s="957" t="s">
        <v>5168</v>
      </c>
      <c r="B303" s="957" t="s">
        <v>5108</v>
      </c>
      <c r="C303" s="957" t="s">
        <v>5169</v>
      </c>
      <c r="D303" s="957" t="str">
        <f t="shared" si="4"/>
        <v>秋田県大館市</v>
      </c>
      <c r="E303" s="957" t="s">
        <v>5168</v>
      </c>
      <c r="F303" s="957" t="s">
        <v>5105</v>
      </c>
      <c r="G303" s="957" t="s">
        <v>5167</v>
      </c>
    </row>
    <row r="304" spans="1:7">
      <c r="A304" s="957" t="s">
        <v>5165</v>
      </c>
      <c r="B304" s="957" t="s">
        <v>5108</v>
      </c>
      <c r="C304" s="957" t="s">
        <v>5166</v>
      </c>
      <c r="D304" s="957" t="str">
        <f t="shared" si="4"/>
        <v>秋田県男鹿市</v>
      </c>
      <c r="E304" s="957" t="s">
        <v>5165</v>
      </c>
      <c r="F304" s="957" t="s">
        <v>5105</v>
      </c>
      <c r="G304" s="957" t="s">
        <v>5164</v>
      </c>
    </row>
    <row r="305" spans="1:7">
      <c r="A305" s="957" t="s">
        <v>5162</v>
      </c>
      <c r="B305" s="957" t="s">
        <v>5108</v>
      </c>
      <c r="C305" s="957" t="s">
        <v>5163</v>
      </c>
      <c r="D305" s="957" t="str">
        <f t="shared" si="4"/>
        <v>秋田県湯沢市</v>
      </c>
      <c r="E305" s="957" t="s">
        <v>5162</v>
      </c>
      <c r="F305" s="957" t="s">
        <v>5105</v>
      </c>
      <c r="G305" s="957" t="s">
        <v>5161</v>
      </c>
    </row>
    <row r="306" spans="1:7">
      <c r="A306" s="957" t="s">
        <v>5159</v>
      </c>
      <c r="B306" s="957" t="s">
        <v>5108</v>
      </c>
      <c r="C306" s="957" t="s">
        <v>5160</v>
      </c>
      <c r="D306" s="957" t="str">
        <f t="shared" si="4"/>
        <v>秋田県鹿角市</v>
      </c>
      <c r="E306" s="957" t="s">
        <v>5159</v>
      </c>
      <c r="F306" s="957" t="s">
        <v>5105</v>
      </c>
      <c r="G306" s="957" t="s">
        <v>5158</v>
      </c>
    </row>
    <row r="307" spans="1:7">
      <c r="A307" s="957" t="s">
        <v>5156</v>
      </c>
      <c r="B307" s="957" t="s">
        <v>5108</v>
      </c>
      <c r="C307" s="957" t="s">
        <v>5157</v>
      </c>
      <c r="D307" s="957" t="str">
        <f t="shared" si="4"/>
        <v>秋田県由利本荘市</v>
      </c>
      <c r="E307" s="957" t="s">
        <v>5156</v>
      </c>
      <c r="F307" s="957" t="s">
        <v>5105</v>
      </c>
      <c r="G307" s="957" t="s">
        <v>5155</v>
      </c>
    </row>
    <row r="308" spans="1:7">
      <c r="A308" s="957" t="s">
        <v>5153</v>
      </c>
      <c r="B308" s="957" t="s">
        <v>5108</v>
      </c>
      <c r="C308" s="957" t="s">
        <v>5154</v>
      </c>
      <c r="D308" s="957" t="str">
        <f t="shared" si="4"/>
        <v>秋田県潟上市</v>
      </c>
      <c r="E308" s="957" t="s">
        <v>5153</v>
      </c>
      <c r="F308" s="957" t="s">
        <v>5105</v>
      </c>
      <c r="G308" s="957" t="s">
        <v>5152</v>
      </c>
    </row>
    <row r="309" spans="1:7">
      <c r="A309" s="957" t="s">
        <v>5150</v>
      </c>
      <c r="B309" s="957" t="s">
        <v>5108</v>
      </c>
      <c r="C309" s="957" t="s">
        <v>5151</v>
      </c>
      <c r="D309" s="957" t="str">
        <f t="shared" si="4"/>
        <v>秋田県大仙市</v>
      </c>
      <c r="E309" s="957" t="s">
        <v>5150</v>
      </c>
      <c r="F309" s="957" t="s">
        <v>5105</v>
      </c>
      <c r="G309" s="957" t="s">
        <v>5149</v>
      </c>
    </row>
    <row r="310" spans="1:7">
      <c r="A310" s="957" t="s">
        <v>5147</v>
      </c>
      <c r="B310" s="957" t="s">
        <v>5108</v>
      </c>
      <c r="C310" s="957" t="s">
        <v>5148</v>
      </c>
      <c r="D310" s="957" t="str">
        <f t="shared" si="4"/>
        <v>秋田県北秋田市</v>
      </c>
      <c r="E310" s="957" t="s">
        <v>5147</v>
      </c>
      <c r="F310" s="957" t="s">
        <v>5105</v>
      </c>
      <c r="G310" s="957" t="s">
        <v>5146</v>
      </c>
    </row>
    <row r="311" spans="1:7">
      <c r="A311" s="957" t="s">
        <v>5144</v>
      </c>
      <c r="B311" s="957" t="s">
        <v>5108</v>
      </c>
      <c r="C311" s="957" t="s">
        <v>5145</v>
      </c>
      <c r="D311" s="957" t="str">
        <f t="shared" si="4"/>
        <v>秋田県にかほ市</v>
      </c>
      <c r="E311" s="957" t="s">
        <v>5144</v>
      </c>
      <c r="F311" s="957" t="s">
        <v>5105</v>
      </c>
      <c r="G311" s="957" t="s">
        <v>5143</v>
      </c>
    </row>
    <row r="312" spans="1:7">
      <c r="A312" s="957" t="s">
        <v>5141</v>
      </c>
      <c r="B312" s="957" t="s">
        <v>5108</v>
      </c>
      <c r="C312" s="957" t="s">
        <v>5142</v>
      </c>
      <c r="D312" s="957" t="str">
        <f t="shared" si="4"/>
        <v>秋田県仙北市</v>
      </c>
      <c r="E312" s="957" t="s">
        <v>5141</v>
      </c>
      <c r="F312" s="957" t="s">
        <v>5105</v>
      </c>
      <c r="G312" s="957" t="s">
        <v>5140</v>
      </c>
    </row>
    <row r="313" spans="1:7">
      <c r="A313" s="957" t="s">
        <v>5138</v>
      </c>
      <c r="B313" s="957" t="s">
        <v>5108</v>
      </c>
      <c r="C313" s="957" t="s">
        <v>5139</v>
      </c>
      <c r="D313" s="957" t="str">
        <f t="shared" si="4"/>
        <v>秋田県小坂町</v>
      </c>
      <c r="E313" s="957" t="s">
        <v>5138</v>
      </c>
      <c r="F313" s="957" t="s">
        <v>5105</v>
      </c>
      <c r="G313" s="957" t="s">
        <v>5137</v>
      </c>
    </row>
    <row r="314" spans="1:7">
      <c r="A314" s="957" t="s">
        <v>5135</v>
      </c>
      <c r="B314" s="957" t="s">
        <v>5108</v>
      </c>
      <c r="C314" s="957" t="s">
        <v>5136</v>
      </c>
      <c r="D314" s="957" t="str">
        <f t="shared" si="4"/>
        <v>秋田県上小阿仁村</v>
      </c>
      <c r="E314" s="957" t="s">
        <v>5135</v>
      </c>
      <c r="F314" s="957" t="s">
        <v>5105</v>
      </c>
      <c r="G314" s="957" t="s">
        <v>5134</v>
      </c>
    </row>
    <row r="315" spans="1:7">
      <c r="A315" s="957" t="s">
        <v>5132</v>
      </c>
      <c r="B315" s="957" t="s">
        <v>5108</v>
      </c>
      <c r="C315" s="957" t="s">
        <v>5133</v>
      </c>
      <c r="D315" s="957" t="str">
        <f t="shared" si="4"/>
        <v>秋田県藤里町</v>
      </c>
      <c r="E315" s="957" t="s">
        <v>5132</v>
      </c>
      <c r="F315" s="957" t="s">
        <v>5105</v>
      </c>
      <c r="G315" s="957" t="s">
        <v>5131</v>
      </c>
    </row>
    <row r="316" spans="1:7">
      <c r="A316" s="957" t="s">
        <v>5129</v>
      </c>
      <c r="B316" s="957" t="s">
        <v>5108</v>
      </c>
      <c r="C316" s="957" t="s">
        <v>5130</v>
      </c>
      <c r="D316" s="957" t="str">
        <f t="shared" si="4"/>
        <v>秋田県三種町</v>
      </c>
      <c r="E316" s="957" t="s">
        <v>5129</v>
      </c>
      <c r="F316" s="957" t="s">
        <v>5105</v>
      </c>
      <c r="G316" s="957" t="s">
        <v>5128</v>
      </c>
    </row>
    <row r="317" spans="1:7">
      <c r="A317" s="957" t="s">
        <v>5126</v>
      </c>
      <c r="B317" s="957" t="s">
        <v>5108</v>
      </c>
      <c r="C317" s="957" t="s">
        <v>5127</v>
      </c>
      <c r="D317" s="957" t="str">
        <f t="shared" si="4"/>
        <v>秋田県八峰町</v>
      </c>
      <c r="E317" s="957" t="s">
        <v>5126</v>
      </c>
      <c r="F317" s="957" t="s">
        <v>5105</v>
      </c>
      <c r="G317" s="957" t="s">
        <v>5125</v>
      </c>
    </row>
    <row r="318" spans="1:7">
      <c r="A318" s="957" t="s">
        <v>5123</v>
      </c>
      <c r="B318" s="957" t="s">
        <v>5108</v>
      </c>
      <c r="C318" s="957" t="s">
        <v>5124</v>
      </c>
      <c r="D318" s="957" t="str">
        <f t="shared" si="4"/>
        <v>秋田県五城目町</v>
      </c>
      <c r="E318" s="957" t="s">
        <v>5123</v>
      </c>
      <c r="F318" s="957" t="s">
        <v>5105</v>
      </c>
      <c r="G318" s="957" t="s">
        <v>5122</v>
      </c>
    </row>
    <row r="319" spans="1:7">
      <c r="A319" s="957" t="s">
        <v>5120</v>
      </c>
      <c r="B319" s="957" t="s">
        <v>5108</v>
      </c>
      <c r="C319" s="957" t="s">
        <v>5121</v>
      </c>
      <c r="D319" s="957" t="str">
        <f t="shared" si="4"/>
        <v>秋田県八郎潟町</v>
      </c>
      <c r="E319" s="957" t="s">
        <v>5120</v>
      </c>
      <c r="F319" s="957" t="s">
        <v>5105</v>
      </c>
      <c r="G319" s="957" t="s">
        <v>5119</v>
      </c>
    </row>
    <row r="320" spans="1:7">
      <c r="A320" s="957" t="s">
        <v>5117</v>
      </c>
      <c r="B320" s="957" t="s">
        <v>5108</v>
      </c>
      <c r="C320" s="957" t="s">
        <v>5118</v>
      </c>
      <c r="D320" s="957" t="str">
        <f t="shared" si="4"/>
        <v>秋田県井川町</v>
      </c>
      <c r="E320" s="957" t="s">
        <v>5117</v>
      </c>
      <c r="F320" s="957" t="s">
        <v>5105</v>
      </c>
      <c r="G320" s="957" t="s">
        <v>5116</v>
      </c>
    </row>
    <row r="321" spans="1:7">
      <c r="A321" s="957" t="s">
        <v>5114</v>
      </c>
      <c r="B321" s="957" t="s">
        <v>5108</v>
      </c>
      <c r="C321" s="957" t="s">
        <v>5115</v>
      </c>
      <c r="D321" s="957" t="str">
        <f t="shared" si="4"/>
        <v>秋田県大潟村</v>
      </c>
      <c r="E321" s="957" t="s">
        <v>5114</v>
      </c>
      <c r="F321" s="957" t="s">
        <v>5105</v>
      </c>
      <c r="G321" s="957" t="s">
        <v>5113</v>
      </c>
    </row>
    <row r="322" spans="1:7">
      <c r="A322" s="957" t="s">
        <v>5112</v>
      </c>
      <c r="B322" s="957" t="s">
        <v>5108</v>
      </c>
      <c r="C322" s="957" t="s">
        <v>936</v>
      </c>
      <c r="D322" s="957" t="str">
        <f t="shared" si="4"/>
        <v>秋田県美郷町</v>
      </c>
      <c r="E322" s="957" t="s">
        <v>5112</v>
      </c>
      <c r="F322" s="957" t="s">
        <v>5105</v>
      </c>
      <c r="G322" s="957" t="s">
        <v>934</v>
      </c>
    </row>
    <row r="323" spans="1:7">
      <c r="A323" s="957" t="s">
        <v>5110</v>
      </c>
      <c r="B323" s="957" t="s">
        <v>5108</v>
      </c>
      <c r="C323" s="957" t="s">
        <v>5111</v>
      </c>
      <c r="D323" s="957" t="str">
        <f t="shared" ref="D323:D386" si="5">B323&amp;C323</f>
        <v>秋田県羽後町</v>
      </c>
      <c r="E323" s="957" t="s">
        <v>5110</v>
      </c>
      <c r="F323" s="957" t="s">
        <v>5105</v>
      </c>
      <c r="G323" s="957" t="s">
        <v>5109</v>
      </c>
    </row>
    <row r="324" spans="1:7">
      <c r="A324" s="957" t="s">
        <v>5106</v>
      </c>
      <c r="B324" s="957" t="s">
        <v>5108</v>
      </c>
      <c r="C324" s="957" t="s">
        <v>5107</v>
      </c>
      <c r="D324" s="957" t="str">
        <f t="shared" si="5"/>
        <v>秋田県東成瀬村</v>
      </c>
      <c r="E324" s="957" t="s">
        <v>5106</v>
      </c>
      <c r="F324" s="957" t="s">
        <v>5105</v>
      </c>
      <c r="G324" s="957" t="s">
        <v>5104</v>
      </c>
    </row>
    <row r="325" spans="1:7">
      <c r="A325" s="960" t="s">
        <v>5102</v>
      </c>
      <c r="B325" s="960" t="s">
        <v>5103</v>
      </c>
      <c r="C325" s="960" t="s">
        <v>5103</v>
      </c>
      <c r="D325" s="960" t="str">
        <f t="shared" si="5"/>
        <v>山形県山形県</v>
      </c>
      <c r="E325" s="960" t="s">
        <v>5102</v>
      </c>
      <c r="F325" s="959" t="s">
        <v>5101</v>
      </c>
      <c r="G325" s="958"/>
    </row>
    <row r="326" spans="1:7">
      <c r="A326" s="957" t="s">
        <v>5099</v>
      </c>
      <c r="B326" s="957" t="s">
        <v>5006</v>
      </c>
      <c r="C326" s="957" t="s">
        <v>5100</v>
      </c>
      <c r="D326" s="957" t="str">
        <f t="shared" si="5"/>
        <v>山形県山形市</v>
      </c>
      <c r="E326" s="957" t="s">
        <v>5099</v>
      </c>
      <c r="F326" s="957" t="s">
        <v>5003</v>
      </c>
      <c r="G326" s="957" t="s">
        <v>3232</v>
      </c>
    </row>
    <row r="327" spans="1:7">
      <c r="A327" s="957" t="s">
        <v>5097</v>
      </c>
      <c r="B327" s="957" t="s">
        <v>5006</v>
      </c>
      <c r="C327" s="957" t="s">
        <v>5098</v>
      </c>
      <c r="D327" s="957" t="str">
        <f t="shared" si="5"/>
        <v>山形県米沢市</v>
      </c>
      <c r="E327" s="957" t="s">
        <v>5097</v>
      </c>
      <c r="F327" s="957" t="s">
        <v>5003</v>
      </c>
      <c r="G327" s="957" t="s">
        <v>5096</v>
      </c>
    </row>
    <row r="328" spans="1:7">
      <c r="A328" s="957" t="s">
        <v>5094</v>
      </c>
      <c r="B328" s="957" t="s">
        <v>5006</v>
      </c>
      <c r="C328" s="957" t="s">
        <v>5095</v>
      </c>
      <c r="D328" s="957" t="str">
        <f t="shared" si="5"/>
        <v>山形県鶴岡市</v>
      </c>
      <c r="E328" s="957" t="s">
        <v>5094</v>
      </c>
      <c r="F328" s="957" t="s">
        <v>5003</v>
      </c>
      <c r="G328" s="957" t="s">
        <v>5093</v>
      </c>
    </row>
    <row r="329" spans="1:7">
      <c r="A329" s="957" t="s">
        <v>5091</v>
      </c>
      <c r="B329" s="957" t="s">
        <v>5006</v>
      </c>
      <c r="C329" s="957" t="s">
        <v>5092</v>
      </c>
      <c r="D329" s="957" t="str">
        <f t="shared" si="5"/>
        <v>山形県酒田市</v>
      </c>
      <c r="E329" s="957" t="s">
        <v>5091</v>
      </c>
      <c r="F329" s="957" t="s">
        <v>5003</v>
      </c>
      <c r="G329" s="957" t="s">
        <v>5090</v>
      </c>
    </row>
    <row r="330" spans="1:7">
      <c r="A330" s="957" t="s">
        <v>5088</v>
      </c>
      <c r="B330" s="957" t="s">
        <v>5006</v>
      </c>
      <c r="C330" s="957" t="s">
        <v>5089</v>
      </c>
      <c r="D330" s="957" t="str">
        <f t="shared" si="5"/>
        <v>山形県新庄市</v>
      </c>
      <c r="E330" s="957" t="s">
        <v>5088</v>
      </c>
      <c r="F330" s="957" t="s">
        <v>5003</v>
      </c>
      <c r="G330" s="957" t="s">
        <v>5087</v>
      </c>
    </row>
    <row r="331" spans="1:7">
      <c r="A331" s="957" t="s">
        <v>5085</v>
      </c>
      <c r="B331" s="957" t="s">
        <v>5006</v>
      </c>
      <c r="C331" s="957" t="s">
        <v>5086</v>
      </c>
      <c r="D331" s="957" t="str">
        <f t="shared" si="5"/>
        <v>山形県寒河江市</v>
      </c>
      <c r="E331" s="957" t="s">
        <v>5085</v>
      </c>
      <c r="F331" s="957" t="s">
        <v>5003</v>
      </c>
      <c r="G331" s="957" t="s">
        <v>5084</v>
      </c>
    </row>
    <row r="332" spans="1:7">
      <c r="A332" s="957" t="s">
        <v>5082</v>
      </c>
      <c r="B332" s="957" t="s">
        <v>5006</v>
      </c>
      <c r="C332" s="957" t="s">
        <v>5083</v>
      </c>
      <c r="D332" s="957" t="str">
        <f t="shared" si="5"/>
        <v>山形県上山市</v>
      </c>
      <c r="E332" s="957" t="s">
        <v>5082</v>
      </c>
      <c r="F332" s="957" t="s">
        <v>5003</v>
      </c>
      <c r="G332" s="957" t="s">
        <v>5081</v>
      </c>
    </row>
    <row r="333" spans="1:7">
      <c r="A333" s="957" t="s">
        <v>5079</v>
      </c>
      <c r="B333" s="957" t="s">
        <v>5006</v>
      </c>
      <c r="C333" s="957" t="s">
        <v>5080</v>
      </c>
      <c r="D333" s="957" t="str">
        <f t="shared" si="5"/>
        <v>山形県村山市</v>
      </c>
      <c r="E333" s="957" t="s">
        <v>5079</v>
      </c>
      <c r="F333" s="957" t="s">
        <v>5003</v>
      </c>
      <c r="G333" s="957" t="s">
        <v>5078</v>
      </c>
    </row>
    <row r="334" spans="1:7">
      <c r="A334" s="957" t="s">
        <v>5076</v>
      </c>
      <c r="B334" s="957" t="s">
        <v>5006</v>
      </c>
      <c r="C334" s="957" t="s">
        <v>5077</v>
      </c>
      <c r="D334" s="957" t="str">
        <f t="shared" si="5"/>
        <v>山形県長井市</v>
      </c>
      <c r="E334" s="957" t="s">
        <v>5076</v>
      </c>
      <c r="F334" s="957" t="s">
        <v>5003</v>
      </c>
      <c r="G334" s="957" t="s">
        <v>5075</v>
      </c>
    </row>
    <row r="335" spans="1:7">
      <c r="A335" s="957" t="s">
        <v>5073</v>
      </c>
      <c r="B335" s="957" t="s">
        <v>5006</v>
      </c>
      <c r="C335" s="957" t="s">
        <v>5074</v>
      </c>
      <c r="D335" s="957" t="str">
        <f t="shared" si="5"/>
        <v>山形県天童市</v>
      </c>
      <c r="E335" s="957" t="s">
        <v>5073</v>
      </c>
      <c r="F335" s="957" t="s">
        <v>5003</v>
      </c>
      <c r="G335" s="957" t="s">
        <v>5072</v>
      </c>
    </row>
    <row r="336" spans="1:7">
      <c r="A336" s="957" t="s">
        <v>5070</v>
      </c>
      <c r="B336" s="957" t="s">
        <v>5006</v>
      </c>
      <c r="C336" s="957" t="s">
        <v>5071</v>
      </c>
      <c r="D336" s="957" t="str">
        <f t="shared" si="5"/>
        <v>山形県東根市</v>
      </c>
      <c r="E336" s="957" t="s">
        <v>5070</v>
      </c>
      <c r="F336" s="957" t="s">
        <v>5003</v>
      </c>
      <c r="G336" s="957" t="s">
        <v>5069</v>
      </c>
    </row>
    <row r="337" spans="1:7">
      <c r="A337" s="957" t="s">
        <v>5067</v>
      </c>
      <c r="B337" s="957" t="s">
        <v>5006</v>
      </c>
      <c r="C337" s="957" t="s">
        <v>5068</v>
      </c>
      <c r="D337" s="957" t="str">
        <f t="shared" si="5"/>
        <v>山形県尾花沢市</v>
      </c>
      <c r="E337" s="957" t="s">
        <v>5067</v>
      </c>
      <c r="F337" s="957" t="s">
        <v>5003</v>
      </c>
      <c r="G337" s="957" t="s">
        <v>5066</v>
      </c>
    </row>
    <row r="338" spans="1:7">
      <c r="A338" s="957" t="s">
        <v>5064</v>
      </c>
      <c r="B338" s="957" t="s">
        <v>5006</v>
      </c>
      <c r="C338" s="957" t="s">
        <v>5065</v>
      </c>
      <c r="D338" s="957" t="str">
        <f t="shared" si="5"/>
        <v>山形県南陽市</v>
      </c>
      <c r="E338" s="957" t="s">
        <v>5064</v>
      </c>
      <c r="F338" s="957" t="s">
        <v>5003</v>
      </c>
      <c r="G338" s="957" t="s">
        <v>5063</v>
      </c>
    </row>
    <row r="339" spans="1:7">
      <c r="A339" s="957" t="s">
        <v>5061</v>
      </c>
      <c r="B339" s="957" t="s">
        <v>5006</v>
      </c>
      <c r="C339" s="957" t="s">
        <v>5062</v>
      </c>
      <c r="D339" s="957" t="str">
        <f t="shared" si="5"/>
        <v>山形県山辺町</v>
      </c>
      <c r="E339" s="957" t="s">
        <v>5061</v>
      </c>
      <c r="F339" s="957" t="s">
        <v>5003</v>
      </c>
      <c r="G339" s="957" t="s">
        <v>5060</v>
      </c>
    </row>
    <row r="340" spans="1:7">
      <c r="A340" s="957" t="s">
        <v>5058</v>
      </c>
      <c r="B340" s="957" t="s">
        <v>5006</v>
      </c>
      <c r="C340" s="957" t="s">
        <v>5059</v>
      </c>
      <c r="D340" s="957" t="str">
        <f t="shared" si="5"/>
        <v>山形県中山町</v>
      </c>
      <c r="E340" s="957" t="s">
        <v>5058</v>
      </c>
      <c r="F340" s="957" t="s">
        <v>5003</v>
      </c>
      <c r="G340" s="957" t="s">
        <v>5057</v>
      </c>
    </row>
    <row r="341" spans="1:7">
      <c r="A341" s="957" t="s">
        <v>5055</v>
      </c>
      <c r="B341" s="957" t="s">
        <v>5006</v>
      </c>
      <c r="C341" s="957" t="s">
        <v>5056</v>
      </c>
      <c r="D341" s="957" t="str">
        <f t="shared" si="5"/>
        <v>山形県河北町</v>
      </c>
      <c r="E341" s="957" t="s">
        <v>5055</v>
      </c>
      <c r="F341" s="957" t="s">
        <v>5003</v>
      </c>
      <c r="G341" s="957" t="s">
        <v>5054</v>
      </c>
    </row>
    <row r="342" spans="1:7">
      <c r="A342" s="957" t="s">
        <v>5052</v>
      </c>
      <c r="B342" s="957" t="s">
        <v>5006</v>
      </c>
      <c r="C342" s="957" t="s">
        <v>5053</v>
      </c>
      <c r="D342" s="957" t="str">
        <f t="shared" si="5"/>
        <v>山形県西川町</v>
      </c>
      <c r="E342" s="957" t="s">
        <v>5052</v>
      </c>
      <c r="F342" s="957" t="s">
        <v>5003</v>
      </c>
      <c r="G342" s="957" t="s">
        <v>5051</v>
      </c>
    </row>
    <row r="343" spans="1:7">
      <c r="A343" s="957" t="s">
        <v>5050</v>
      </c>
      <c r="B343" s="957" t="s">
        <v>5006</v>
      </c>
      <c r="C343" s="957" t="s">
        <v>2822</v>
      </c>
      <c r="D343" s="957" t="str">
        <f t="shared" si="5"/>
        <v>山形県朝日町</v>
      </c>
      <c r="E343" s="957" t="s">
        <v>5050</v>
      </c>
      <c r="F343" s="957" t="s">
        <v>5003</v>
      </c>
      <c r="G343" s="957" t="s">
        <v>3707</v>
      </c>
    </row>
    <row r="344" spans="1:7">
      <c r="A344" s="957" t="s">
        <v>5048</v>
      </c>
      <c r="B344" s="957" t="s">
        <v>5006</v>
      </c>
      <c r="C344" s="957" t="s">
        <v>5049</v>
      </c>
      <c r="D344" s="957" t="str">
        <f t="shared" si="5"/>
        <v>山形県大江町</v>
      </c>
      <c r="E344" s="957" t="s">
        <v>5048</v>
      </c>
      <c r="F344" s="957" t="s">
        <v>5003</v>
      </c>
      <c r="G344" s="957" t="s">
        <v>5047</v>
      </c>
    </row>
    <row r="345" spans="1:7">
      <c r="A345" s="957" t="s">
        <v>5045</v>
      </c>
      <c r="B345" s="957" t="s">
        <v>5006</v>
      </c>
      <c r="C345" s="957" t="s">
        <v>5046</v>
      </c>
      <c r="D345" s="957" t="str">
        <f t="shared" si="5"/>
        <v>山形県大石田町</v>
      </c>
      <c r="E345" s="957" t="s">
        <v>5045</v>
      </c>
      <c r="F345" s="957" t="s">
        <v>5003</v>
      </c>
      <c r="G345" s="957" t="s">
        <v>5044</v>
      </c>
    </row>
    <row r="346" spans="1:7">
      <c r="A346" s="957" t="s">
        <v>5043</v>
      </c>
      <c r="B346" s="957" t="s">
        <v>5006</v>
      </c>
      <c r="C346" s="957" t="s">
        <v>4905</v>
      </c>
      <c r="D346" s="957" t="str">
        <f t="shared" si="5"/>
        <v>山形県金山町</v>
      </c>
      <c r="E346" s="957" t="s">
        <v>5043</v>
      </c>
      <c r="F346" s="957" t="s">
        <v>5003</v>
      </c>
      <c r="G346" s="957" t="s">
        <v>4903</v>
      </c>
    </row>
    <row r="347" spans="1:7">
      <c r="A347" s="957" t="s">
        <v>5041</v>
      </c>
      <c r="B347" s="957" t="s">
        <v>5006</v>
      </c>
      <c r="C347" s="957" t="s">
        <v>5042</v>
      </c>
      <c r="D347" s="957" t="str">
        <f t="shared" si="5"/>
        <v>山形県最上町</v>
      </c>
      <c r="E347" s="957" t="s">
        <v>5041</v>
      </c>
      <c r="F347" s="957" t="s">
        <v>5003</v>
      </c>
      <c r="G347" s="957" t="s">
        <v>5040</v>
      </c>
    </row>
    <row r="348" spans="1:7">
      <c r="A348" s="957" t="s">
        <v>5038</v>
      </c>
      <c r="B348" s="957" t="s">
        <v>5006</v>
      </c>
      <c r="C348" s="957" t="s">
        <v>5039</v>
      </c>
      <c r="D348" s="957" t="str">
        <f t="shared" si="5"/>
        <v>山形県舟形町</v>
      </c>
      <c r="E348" s="957" t="s">
        <v>5038</v>
      </c>
      <c r="F348" s="957" t="s">
        <v>5003</v>
      </c>
      <c r="G348" s="957" t="s">
        <v>5037</v>
      </c>
    </row>
    <row r="349" spans="1:7">
      <c r="A349" s="957" t="s">
        <v>5035</v>
      </c>
      <c r="B349" s="957" t="s">
        <v>5006</v>
      </c>
      <c r="C349" s="957" t="s">
        <v>5036</v>
      </c>
      <c r="D349" s="957" t="str">
        <f t="shared" si="5"/>
        <v>山形県真室川町</v>
      </c>
      <c r="E349" s="957" t="s">
        <v>5035</v>
      </c>
      <c r="F349" s="957" t="s">
        <v>5003</v>
      </c>
      <c r="G349" s="957" t="s">
        <v>5034</v>
      </c>
    </row>
    <row r="350" spans="1:7">
      <c r="A350" s="957" t="s">
        <v>5032</v>
      </c>
      <c r="B350" s="957" t="s">
        <v>5006</v>
      </c>
      <c r="C350" s="957" t="s">
        <v>5033</v>
      </c>
      <c r="D350" s="957" t="str">
        <f t="shared" si="5"/>
        <v>山形県大蔵村</v>
      </c>
      <c r="E350" s="957" t="s">
        <v>5032</v>
      </c>
      <c r="F350" s="957" t="s">
        <v>5003</v>
      </c>
      <c r="G350" s="957" t="s">
        <v>5031</v>
      </c>
    </row>
    <row r="351" spans="1:7">
      <c r="A351" s="957" t="s">
        <v>5029</v>
      </c>
      <c r="B351" s="957" t="s">
        <v>5006</v>
      </c>
      <c r="C351" s="957" t="s">
        <v>5030</v>
      </c>
      <c r="D351" s="957" t="str">
        <f t="shared" si="5"/>
        <v>山形県鮭川村</v>
      </c>
      <c r="E351" s="957" t="s">
        <v>5029</v>
      </c>
      <c r="F351" s="957" t="s">
        <v>5003</v>
      </c>
      <c r="G351" s="957" t="s">
        <v>5028</v>
      </c>
    </row>
    <row r="352" spans="1:7">
      <c r="A352" s="957" t="s">
        <v>5026</v>
      </c>
      <c r="B352" s="957" t="s">
        <v>5006</v>
      </c>
      <c r="C352" s="957" t="s">
        <v>5027</v>
      </c>
      <c r="D352" s="957" t="str">
        <f t="shared" si="5"/>
        <v>山形県戸沢村</v>
      </c>
      <c r="E352" s="957" t="s">
        <v>5026</v>
      </c>
      <c r="F352" s="957" t="s">
        <v>5003</v>
      </c>
      <c r="G352" s="957" t="s">
        <v>5025</v>
      </c>
    </row>
    <row r="353" spans="1:7">
      <c r="A353" s="957" t="s">
        <v>5023</v>
      </c>
      <c r="B353" s="957" t="s">
        <v>5006</v>
      </c>
      <c r="C353" s="957" t="s">
        <v>5024</v>
      </c>
      <c r="D353" s="957" t="str">
        <f t="shared" si="5"/>
        <v>山形県高畠町</v>
      </c>
      <c r="E353" s="957" t="s">
        <v>5023</v>
      </c>
      <c r="F353" s="957" t="s">
        <v>5003</v>
      </c>
      <c r="G353" s="957" t="s">
        <v>5022</v>
      </c>
    </row>
    <row r="354" spans="1:7">
      <c r="A354" s="957" t="s">
        <v>5021</v>
      </c>
      <c r="B354" s="957" t="s">
        <v>5006</v>
      </c>
      <c r="C354" s="957" t="s">
        <v>2332</v>
      </c>
      <c r="D354" s="957" t="str">
        <f t="shared" si="5"/>
        <v>山形県川西町</v>
      </c>
      <c r="E354" s="957" t="s">
        <v>5021</v>
      </c>
      <c r="F354" s="957" t="s">
        <v>5003</v>
      </c>
      <c r="G354" s="957" t="s">
        <v>5020</v>
      </c>
    </row>
    <row r="355" spans="1:7">
      <c r="A355" s="957" t="s">
        <v>5019</v>
      </c>
      <c r="B355" s="957" t="s">
        <v>5006</v>
      </c>
      <c r="C355" s="957" t="s">
        <v>1135</v>
      </c>
      <c r="D355" s="957" t="str">
        <f t="shared" si="5"/>
        <v>山形県小国町</v>
      </c>
      <c r="E355" s="957" t="s">
        <v>5019</v>
      </c>
      <c r="F355" s="957" t="s">
        <v>5003</v>
      </c>
      <c r="G355" s="957" t="s">
        <v>1133</v>
      </c>
    </row>
    <row r="356" spans="1:7">
      <c r="A356" s="957" t="s">
        <v>5017</v>
      </c>
      <c r="B356" s="957" t="s">
        <v>5006</v>
      </c>
      <c r="C356" s="957" t="s">
        <v>5018</v>
      </c>
      <c r="D356" s="957" t="str">
        <f t="shared" si="5"/>
        <v>山形県白鷹町</v>
      </c>
      <c r="E356" s="957" t="s">
        <v>5017</v>
      </c>
      <c r="F356" s="957" t="s">
        <v>5003</v>
      </c>
      <c r="G356" s="957" t="s">
        <v>5016</v>
      </c>
    </row>
    <row r="357" spans="1:7">
      <c r="A357" s="957" t="s">
        <v>5014</v>
      </c>
      <c r="B357" s="957" t="s">
        <v>5006</v>
      </c>
      <c r="C357" s="957" t="s">
        <v>5015</v>
      </c>
      <c r="D357" s="957" t="str">
        <f t="shared" si="5"/>
        <v>山形県飯豊町</v>
      </c>
      <c r="E357" s="957" t="s">
        <v>5014</v>
      </c>
      <c r="F357" s="957" t="s">
        <v>5003</v>
      </c>
      <c r="G357" s="957" t="s">
        <v>5013</v>
      </c>
    </row>
    <row r="358" spans="1:7">
      <c r="A358" s="957" t="s">
        <v>5011</v>
      </c>
      <c r="B358" s="957" t="s">
        <v>5006</v>
      </c>
      <c r="C358" s="957" t="s">
        <v>5012</v>
      </c>
      <c r="D358" s="957" t="str">
        <f t="shared" si="5"/>
        <v>山形県三川町</v>
      </c>
      <c r="E358" s="957" t="s">
        <v>5011</v>
      </c>
      <c r="F358" s="957" t="s">
        <v>5003</v>
      </c>
      <c r="G358" s="957" t="s">
        <v>5010</v>
      </c>
    </row>
    <row r="359" spans="1:7">
      <c r="A359" s="957" t="s">
        <v>5008</v>
      </c>
      <c r="B359" s="957" t="s">
        <v>5006</v>
      </c>
      <c r="C359" s="957" t="s">
        <v>5009</v>
      </c>
      <c r="D359" s="957" t="str">
        <f t="shared" si="5"/>
        <v>山形県庄内町</v>
      </c>
      <c r="E359" s="957" t="s">
        <v>5008</v>
      </c>
      <c r="F359" s="957" t="s">
        <v>5003</v>
      </c>
      <c r="G359" s="957" t="s">
        <v>5007</v>
      </c>
    </row>
    <row r="360" spans="1:7">
      <c r="A360" s="957" t="s">
        <v>5004</v>
      </c>
      <c r="B360" s="957" t="s">
        <v>5006</v>
      </c>
      <c r="C360" s="957" t="s">
        <v>5005</v>
      </c>
      <c r="D360" s="957" t="str">
        <f t="shared" si="5"/>
        <v>山形県遊佐町</v>
      </c>
      <c r="E360" s="957" t="s">
        <v>5004</v>
      </c>
      <c r="F360" s="957" t="s">
        <v>5003</v>
      </c>
      <c r="G360" s="957" t="s">
        <v>5002</v>
      </c>
    </row>
    <row r="361" spans="1:7">
      <c r="A361" s="960" t="s">
        <v>5000</v>
      </c>
      <c r="B361" s="960" t="s">
        <v>5001</v>
      </c>
      <c r="C361" s="960" t="s">
        <v>5001</v>
      </c>
      <c r="D361" s="960" t="str">
        <f t="shared" si="5"/>
        <v>福島県福島県</v>
      </c>
      <c r="E361" s="960" t="s">
        <v>5000</v>
      </c>
      <c r="F361" s="959" t="s">
        <v>4999</v>
      </c>
      <c r="G361" s="958"/>
    </row>
    <row r="362" spans="1:7">
      <c r="A362" s="957" t="s">
        <v>4997</v>
      </c>
      <c r="B362" s="957" t="s">
        <v>4826</v>
      </c>
      <c r="C362" s="957" t="s">
        <v>4998</v>
      </c>
      <c r="D362" s="957" t="str">
        <f t="shared" si="5"/>
        <v>福島県福島市</v>
      </c>
      <c r="E362" s="957" t="s">
        <v>4997</v>
      </c>
      <c r="F362" s="957" t="s">
        <v>4823</v>
      </c>
      <c r="G362" s="957" t="s">
        <v>4996</v>
      </c>
    </row>
    <row r="363" spans="1:7">
      <c r="A363" s="957" t="s">
        <v>4994</v>
      </c>
      <c r="B363" s="957" t="s">
        <v>4826</v>
      </c>
      <c r="C363" s="957" t="s">
        <v>4995</v>
      </c>
      <c r="D363" s="957" t="str">
        <f t="shared" si="5"/>
        <v>福島県会津若松市</v>
      </c>
      <c r="E363" s="957" t="s">
        <v>4994</v>
      </c>
      <c r="F363" s="957" t="s">
        <v>4823</v>
      </c>
      <c r="G363" s="957" t="s">
        <v>4993</v>
      </c>
    </row>
    <row r="364" spans="1:7">
      <c r="A364" s="957" t="s">
        <v>4991</v>
      </c>
      <c r="B364" s="957" t="s">
        <v>4826</v>
      </c>
      <c r="C364" s="957" t="s">
        <v>4992</v>
      </c>
      <c r="D364" s="957" t="str">
        <f t="shared" si="5"/>
        <v>福島県郡山市</v>
      </c>
      <c r="E364" s="957" t="s">
        <v>4991</v>
      </c>
      <c r="F364" s="957" t="s">
        <v>4823</v>
      </c>
      <c r="G364" s="957" t="s">
        <v>4990</v>
      </c>
    </row>
    <row r="365" spans="1:7">
      <c r="A365" s="957" t="s">
        <v>4988</v>
      </c>
      <c r="B365" s="957" t="s">
        <v>4826</v>
      </c>
      <c r="C365" s="957" t="s">
        <v>4989</v>
      </c>
      <c r="D365" s="957" t="str">
        <f t="shared" si="5"/>
        <v>福島県いわき市</v>
      </c>
      <c r="E365" s="957" t="s">
        <v>4988</v>
      </c>
      <c r="F365" s="957" t="s">
        <v>4823</v>
      </c>
      <c r="G365" s="957" t="s">
        <v>4987</v>
      </c>
    </row>
    <row r="366" spans="1:7">
      <c r="A366" s="957" t="s">
        <v>4985</v>
      </c>
      <c r="B366" s="957" t="s">
        <v>4826</v>
      </c>
      <c r="C366" s="957" t="s">
        <v>4986</v>
      </c>
      <c r="D366" s="957" t="str">
        <f t="shared" si="5"/>
        <v>福島県白河市</v>
      </c>
      <c r="E366" s="957" t="s">
        <v>4985</v>
      </c>
      <c r="F366" s="957" t="s">
        <v>4823</v>
      </c>
      <c r="G366" s="957" t="s">
        <v>4984</v>
      </c>
    </row>
    <row r="367" spans="1:7">
      <c r="A367" s="957" t="s">
        <v>4982</v>
      </c>
      <c r="B367" s="957" t="s">
        <v>4826</v>
      </c>
      <c r="C367" s="957" t="s">
        <v>4983</v>
      </c>
      <c r="D367" s="957" t="str">
        <f t="shared" si="5"/>
        <v>福島県須賀川市</v>
      </c>
      <c r="E367" s="957" t="s">
        <v>4982</v>
      </c>
      <c r="F367" s="957" t="s">
        <v>4823</v>
      </c>
      <c r="G367" s="957" t="s">
        <v>4981</v>
      </c>
    </row>
    <row r="368" spans="1:7">
      <c r="A368" s="957" t="s">
        <v>4979</v>
      </c>
      <c r="B368" s="957" t="s">
        <v>4826</v>
      </c>
      <c r="C368" s="957" t="s">
        <v>4980</v>
      </c>
      <c r="D368" s="957" t="str">
        <f t="shared" si="5"/>
        <v>福島県喜多方市</v>
      </c>
      <c r="E368" s="957" t="s">
        <v>4979</v>
      </c>
      <c r="F368" s="957" t="s">
        <v>4823</v>
      </c>
      <c r="G368" s="957" t="s">
        <v>4978</v>
      </c>
    </row>
    <row r="369" spans="1:7">
      <c r="A369" s="957" t="s">
        <v>4976</v>
      </c>
      <c r="B369" s="957" t="s">
        <v>4826</v>
      </c>
      <c r="C369" s="957" t="s">
        <v>4977</v>
      </c>
      <c r="D369" s="957" t="str">
        <f t="shared" si="5"/>
        <v>福島県相馬市</v>
      </c>
      <c r="E369" s="957" t="s">
        <v>4976</v>
      </c>
      <c r="F369" s="957" t="s">
        <v>4823</v>
      </c>
      <c r="G369" s="957" t="s">
        <v>4975</v>
      </c>
    </row>
    <row r="370" spans="1:7">
      <c r="A370" s="957" t="s">
        <v>4973</v>
      </c>
      <c r="B370" s="957" t="s">
        <v>4826</v>
      </c>
      <c r="C370" s="957" t="s">
        <v>4974</v>
      </c>
      <c r="D370" s="957" t="str">
        <f t="shared" si="5"/>
        <v>福島県二本松市</v>
      </c>
      <c r="E370" s="957" t="s">
        <v>4973</v>
      </c>
      <c r="F370" s="957" t="s">
        <v>4823</v>
      </c>
      <c r="G370" s="957" t="s">
        <v>4972</v>
      </c>
    </row>
    <row r="371" spans="1:7">
      <c r="A371" s="957" t="s">
        <v>4970</v>
      </c>
      <c r="B371" s="957" t="s">
        <v>4826</v>
      </c>
      <c r="C371" s="957" t="s">
        <v>4971</v>
      </c>
      <c r="D371" s="957" t="str">
        <f t="shared" si="5"/>
        <v>福島県田村市</v>
      </c>
      <c r="E371" s="957" t="s">
        <v>4970</v>
      </c>
      <c r="F371" s="957" t="s">
        <v>4823</v>
      </c>
      <c r="G371" s="957" t="s">
        <v>4969</v>
      </c>
    </row>
    <row r="372" spans="1:7">
      <c r="A372" s="957" t="s">
        <v>4967</v>
      </c>
      <c r="B372" s="957" t="s">
        <v>4826</v>
      </c>
      <c r="C372" s="957" t="s">
        <v>4968</v>
      </c>
      <c r="D372" s="957" t="str">
        <f t="shared" si="5"/>
        <v>福島県南相馬市</v>
      </c>
      <c r="E372" s="957" t="s">
        <v>4967</v>
      </c>
      <c r="F372" s="957" t="s">
        <v>4823</v>
      </c>
      <c r="G372" s="957" t="s">
        <v>4966</v>
      </c>
    </row>
    <row r="373" spans="1:7">
      <c r="A373" s="957" t="s">
        <v>4964</v>
      </c>
      <c r="B373" s="957" t="s">
        <v>4826</v>
      </c>
      <c r="C373" s="957" t="s">
        <v>4965</v>
      </c>
      <c r="D373" s="957" t="str">
        <f t="shared" si="5"/>
        <v>福島県伊達市</v>
      </c>
      <c r="E373" s="957" t="s">
        <v>4964</v>
      </c>
      <c r="F373" s="957" t="s">
        <v>4823</v>
      </c>
      <c r="G373" s="957" t="s">
        <v>4963</v>
      </c>
    </row>
    <row r="374" spans="1:7">
      <c r="A374" s="957" t="s">
        <v>4961</v>
      </c>
      <c r="B374" s="957" t="s">
        <v>4826</v>
      </c>
      <c r="C374" s="957" t="s">
        <v>4962</v>
      </c>
      <c r="D374" s="957" t="str">
        <f t="shared" si="5"/>
        <v>福島県本宮市</v>
      </c>
      <c r="E374" s="957" t="s">
        <v>4961</v>
      </c>
      <c r="F374" s="957" t="s">
        <v>4823</v>
      </c>
      <c r="G374" s="957" t="s">
        <v>4960</v>
      </c>
    </row>
    <row r="375" spans="1:7">
      <c r="A375" s="957" t="s">
        <v>4958</v>
      </c>
      <c r="B375" s="957" t="s">
        <v>4826</v>
      </c>
      <c r="C375" s="957" t="s">
        <v>4959</v>
      </c>
      <c r="D375" s="957" t="str">
        <f t="shared" si="5"/>
        <v>福島県桑折町</v>
      </c>
      <c r="E375" s="957" t="s">
        <v>4958</v>
      </c>
      <c r="F375" s="957" t="s">
        <v>4823</v>
      </c>
      <c r="G375" s="957" t="s">
        <v>4957</v>
      </c>
    </row>
    <row r="376" spans="1:7">
      <c r="A376" s="957" t="s">
        <v>4955</v>
      </c>
      <c r="B376" s="957" t="s">
        <v>4826</v>
      </c>
      <c r="C376" s="957" t="s">
        <v>4956</v>
      </c>
      <c r="D376" s="957" t="str">
        <f t="shared" si="5"/>
        <v>福島県国見町</v>
      </c>
      <c r="E376" s="957" t="s">
        <v>4955</v>
      </c>
      <c r="F376" s="957" t="s">
        <v>4823</v>
      </c>
      <c r="G376" s="957" t="s">
        <v>4954</v>
      </c>
    </row>
    <row r="377" spans="1:7">
      <c r="A377" s="957" t="s">
        <v>4952</v>
      </c>
      <c r="B377" s="957" t="s">
        <v>4826</v>
      </c>
      <c r="C377" s="957" t="s">
        <v>4953</v>
      </c>
      <c r="D377" s="957" t="str">
        <f t="shared" si="5"/>
        <v>福島県川俣町</v>
      </c>
      <c r="E377" s="957" t="s">
        <v>4952</v>
      </c>
      <c r="F377" s="957" t="s">
        <v>4823</v>
      </c>
      <c r="G377" s="957" t="s">
        <v>4951</v>
      </c>
    </row>
    <row r="378" spans="1:7">
      <c r="A378" s="957" t="s">
        <v>4949</v>
      </c>
      <c r="B378" s="957" t="s">
        <v>4826</v>
      </c>
      <c r="C378" s="957" t="s">
        <v>4950</v>
      </c>
      <c r="D378" s="957" t="str">
        <f t="shared" si="5"/>
        <v>福島県大玉村</v>
      </c>
      <c r="E378" s="957" t="s">
        <v>4949</v>
      </c>
      <c r="F378" s="957" t="s">
        <v>4823</v>
      </c>
      <c r="G378" s="957" t="s">
        <v>4948</v>
      </c>
    </row>
    <row r="379" spans="1:7">
      <c r="A379" s="957" t="s">
        <v>4946</v>
      </c>
      <c r="B379" s="957" t="s">
        <v>4826</v>
      </c>
      <c r="C379" s="957" t="s">
        <v>4947</v>
      </c>
      <c r="D379" s="957" t="str">
        <f t="shared" si="5"/>
        <v>福島県鏡石町</v>
      </c>
      <c r="E379" s="957" t="s">
        <v>4946</v>
      </c>
      <c r="F379" s="957" t="s">
        <v>4823</v>
      </c>
      <c r="G379" s="957" t="s">
        <v>4945</v>
      </c>
    </row>
    <row r="380" spans="1:7">
      <c r="A380" s="957" t="s">
        <v>4943</v>
      </c>
      <c r="B380" s="957" t="s">
        <v>4826</v>
      </c>
      <c r="C380" s="957" t="s">
        <v>4944</v>
      </c>
      <c r="D380" s="957" t="str">
        <f t="shared" si="5"/>
        <v>福島県天栄村</v>
      </c>
      <c r="E380" s="957" t="s">
        <v>4943</v>
      </c>
      <c r="F380" s="957" t="s">
        <v>4823</v>
      </c>
      <c r="G380" s="957" t="s">
        <v>4942</v>
      </c>
    </row>
    <row r="381" spans="1:7">
      <c r="A381" s="957" t="s">
        <v>4940</v>
      </c>
      <c r="B381" s="957" t="s">
        <v>4826</v>
      </c>
      <c r="C381" s="957" t="s">
        <v>4941</v>
      </c>
      <c r="D381" s="957" t="str">
        <f t="shared" si="5"/>
        <v>福島県下郷町</v>
      </c>
      <c r="E381" s="957" t="s">
        <v>4940</v>
      </c>
      <c r="F381" s="957" t="s">
        <v>4823</v>
      </c>
      <c r="G381" s="957" t="s">
        <v>4939</v>
      </c>
    </row>
    <row r="382" spans="1:7">
      <c r="A382" s="957" t="s">
        <v>4937</v>
      </c>
      <c r="B382" s="957" t="s">
        <v>4826</v>
      </c>
      <c r="C382" s="957" t="s">
        <v>4938</v>
      </c>
      <c r="D382" s="957" t="str">
        <f t="shared" si="5"/>
        <v>福島県檜枝岐村</v>
      </c>
      <c r="E382" s="957" t="s">
        <v>4937</v>
      </c>
      <c r="F382" s="957" t="s">
        <v>4823</v>
      </c>
      <c r="G382" s="957" t="s">
        <v>4936</v>
      </c>
    </row>
    <row r="383" spans="1:7">
      <c r="A383" s="957" t="s">
        <v>4934</v>
      </c>
      <c r="B383" s="957" t="s">
        <v>4826</v>
      </c>
      <c r="C383" s="957" t="s">
        <v>4935</v>
      </c>
      <c r="D383" s="957" t="str">
        <f t="shared" si="5"/>
        <v>福島県只見町</v>
      </c>
      <c r="E383" s="957" t="s">
        <v>4934</v>
      </c>
      <c r="F383" s="957" t="s">
        <v>4823</v>
      </c>
      <c r="G383" s="957" t="s">
        <v>4933</v>
      </c>
    </row>
    <row r="384" spans="1:7">
      <c r="A384" s="957" t="s">
        <v>4931</v>
      </c>
      <c r="B384" s="957" t="s">
        <v>4826</v>
      </c>
      <c r="C384" s="957" t="s">
        <v>4932</v>
      </c>
      <c r="D384" s="957" t="str">
        <f t="shared" si="5"/>
        <v>福島県南会津町</v>
      </c>
      <c r="E384" s="957" t="s">
        <v>4931</v>
      </c>
      <c r="F384" s="957" t="s">
        <v>4823</v>
      </c>
      <c r="G384" s="957" t="s">
        <v>4930</v>
      </c>
    </row>
    <row r="385" spans="1:7">
      <c r="A385" s="957" t="s">
        <v>4928</v>
      </c>
      <c r="B385" s="957" t="s">
        <v>4826</v>
      </c>
      <c r="C385" s="957" t="s">
        <v>4929</v>
      </c>
      <c r="D385" s="957" t="str">
        <f t="shared" si="5"/>
        <v>福島県北塩原村</v>
      </c>
      <c r="E385" s="957" t="s">
        <v>4928</v>
      </c>
      <c r="F385" s="957" t="s">
        <v>4823</v>
      </c>
      <c r="G385" s="957" t="s">
        <v>4927</v>
      </c>
    </row>
    <row r="386" spans="1:7">
      <c r="A386" s="957" t="s">
        <v>4925</v>
      </c>
      <c r="B386" s="957" t="s">
        <v>4826</v>
      </c>
      <c r="C386" s="957" t="s">
        <v>4926</v>
      </c>
      <c r="D386" s="957" t="str">
        <f t="shared" si="5"/>
        <v>福島県西会津町</v>
      </c>
      <c r="E386" s="957" t="s">
        <v>4925</v>
      </c>
      <c r="F386" s="957" t="s">
        <v>4823</v>
      </c>
      <c r="G386" s="957" t="s">
        <v>4924</v>
      </c>
    </row>
    <row r="387" spans="1:7">
      <c r="A387" s="957" t="s">
        <v>4922</v>
      </c>
      <c r="B387" s="957" t="s">
        <v>4826</v>
      </c>
      <c r="C387" s="957" t="s">
        <v>4923</v>
      </c>
      <c r="D387" s="957" t="str">
        <f t="shared" ref="D387:D450" si="6">B387&amp;C387</f>
        <v>福島県磐梯町</v>
      </c>
      <c r="E387" s="957" t="s">
        <v>4922</v>
      </c>
      <c r="F387" s="957" t="s">
        <v>4823</v>
      </c>
      <c r="G387" s="957" t="s">
        <v>4921</v>
      </c>
    </row>
    <row r="388" spans="1:7">
      <c r="A388" s="957" t="s">
        <v>4919</v>
      </c>
      <c r="B388" s="957" t="s">
        <v>4826</v>
      </c>
      <c r="C388" s="957" t="s">
        <v>4920</v>
      </c>
      <c r="D388" s="957" t="str">
        <f t="shared" si="6"/>
        <v>福島県猪苗代町</v>
      </c>
      <c r="E388" s="957" t="s">
        <v>4919</v>
      </c>
      <c r="F388" s="957" t="s">
        <v>4823</v>
      </c>
      <c r="G388" s="957" t="s">
        <v>4918</v>
      </c>
    </row>
    <row r="389" spans="1:7">
      <c r="A389" s="957" t="s">
        <v>4916</v>
      </c>
      <c r="B389" s="957" t="s">
        <v>4826</v>
      </c>
      <c r="C389" s="957" t="s">
        <v>4917</v>
      </c>
      <c r="D389" s="957" t="str">
        <f t="shared" si="6"/>
        <v>福島県会津坂下町</v>
      </c>
      <c r="E389" s="957" t="s">
        <v>4916</v>
      </c>
      <c r="F389" s="957" t="s">
        <v>4823</v>
      </c>
      <c r="G389" s="957" t="s">
        <v>4915</v>
      </c>
    </row>
    <row r="390" spans="1:7">
      <c r="A390" s="957" t="s">
        <v>4913</v>
      </c>
      <c r="B390" s="957" t="s">
        <v>4826</v>
      </c>
      <c r="C390" s="957" t="s">
        <v>4914</v>
      </c>
      <c r="D390" s="957" t="str">
        <f t="shared" si="6"/>
        <v>福島県湯川村</v>
      </c>
      <c r="E390" s="957" t="s">
        <v>4913</v>
      </c>
      <c r="F390" s="957" t="s">
        <v>4823</v>
      </c>
      <c r="G390" s="957" t="s">
        <v>4912</v>
      </c>
    </row>
    <row r="391" spans="1:7">
      <c r="A391" s="957" t="s">
        <v>4910</v>
      </c>
      <c r="B391" s="957" t="s">
        <v>4826</v>
      </c>
      <c r="C391" s="957" t="s">
        <v>4911</v>
      </c>
      <c r="D391" s="957" t="str">
        <f t="shared" si="6"/>
        <v>福島県柳津町</v>
      </c>
      <c r="E391" s="957" t="s">
        <v>4910</v>
      </c>
      <c r="F391" s="957" t="s">
        <v>4823</v>
      </c>
      <c r="G391" s="957" t="s">
        <v>4909</v>
      </c>
    </row>
    <row r="392" spans="1:7">
      <c r="A392" s="957" t="s">
        <v>4907</v>
      </c>
      <c r="B392" s="957" t="s">
        <v>4826</v>
      </c>
      <c r="C392" s="957" t="s">
        <v>4908</v>
      </c>
      <c r="D392" s="957" t="str">
        <f t="shared" si="6"/>
        <v>福島県三島町</v>
      </c>
      <c r="E392" s="957" t="s">
        <v>4907</v>
      </c>
      <c r="F392" s="957" t="s">
        <v>4823</v>
      </c>
      <c r="G392" s="957" t="s">
        <v>4906</v>
      </c>
    </row>
    <row r="393" spans="1:7">
      <c r="A393" s="957" t="s">
        <v>4904</v>
      </c>
      <c r="B393" s="957" t="s">
        <v>4826</v>
      </c>
      <c r="C393" s="957" t="s">
        <v>4905</v>
      </c>
      <c r="D393" s="957" t="str">
        <f t="shared" si="6"/>
        <v>福島県金山町</v>
      </c>
      <c r="E393" s="957" t="s">
        <v>4904</v>
      </c>
      <c r="F393" s="957" t="s">
        <v>4823</v>
      </c>
      <c r="G393" s="957" t="s">
        <v>4903</v>
      </c>
    </row>
    <row r="394" spans="1:7">
      <c r="A394" s="957" t="s">
        <v>4902</v>
      </c>
      <c r="B394" s="957" t="s">
        <v>4826</v>
      </c>
      <c r="C394" s="957" t="s">
        <v>4526</v>
      </c>
      <c r="D394" s="957" t="str">
        <f t="shared" si="6"/>
        <v>福島県昭和村</v>
      </c>
      <c r="E394" s="957" t="s">
        <v>4902</v>
      </c>
      <c r="F394" s="957" t="s">
        <v>4823</v>
      </c>
      <c r="G394" s="957" t="s">
        <v>4524</v>
      </c>
    </row>
    <row r="395" spans="1:7">
      <c r="A395" s="957" t="s">
        <v>4900</v>
      </c>
      <c r="B395" s="957" t="s">
        <v>4826</v>
      </c>
      <c r="C395" s="957" t="s">
        <v>4901</v>
      </c>
      <c r="D395" s="957" t="str">
        <f t="shared" si="6"/>
        <v>福島県会津美里町</v>
      </c>
      <c r="E395" s="957" t="s">
        <v>4900</v>
      </c>
      <c r="F395" s="957" t="s">
        <v>4823</v>
      </c>
      <c r="G395" s="957" t="s">
        <v>4899</v>
      </c>
    </row>
    <row r="396" spans="1:7">
      <c r="A396" s="957" t="s">
        <v>4897</v>
      </c>
      <c r="B396" s="957" t="s">
        <v>4826</v>
      </c>
      <c r="C396" s="957" t="s">
        <v>4898</v>
      </c>
      <c r="D396" s="957" t="str">
        <f t="shared" si="6"/>
        <v>福島県西郷村</v>
      </c>
      <c r="E396" s="957" t="s">
        <v>4897</v>
      </c>
      <c r="F396" s="957" t="s">
        <v>4823</v>
      </c>
      <c r="G396" s="957" t="s">
        <v>4896</v>
      </c>
    </row>
    <row r="397" spans="1:7">
      <c r="A397" s="957" t="s">
        <v>4894</v>
      </c>
      <c r="B397" s="957" t="s">
        <v>4826</v>
      </c>
      <c r="C397" s="957" t="s">
        <v>4895</v>
      </c>
      <c r="D397" s="957" t="str">
        <f t="shared" si="6"/>
        <v>福島県泉崎村</v>
      </c>
      <c r="E397" s="957" t="s">
        <v>4894</v>
      </c>
      <c r="F397" s="957" t="s">
        <v>4823</v>
      </c>
      <c r="G397" s="957" t="s">
        <v>4893</v>
      </c>
    </row>
    <row r="398" spans="1:7">
      <c r="A398" s="957" t="s">
        <v>4891</v>
      </c>
      <c r="B398" s="957" t="s">
        <v>4826</v>
      </c>
      <c r="C398" s="957" t="s">
        <v>4892</v>
      </c>
      <c r="D398" s="957" t="str">
        <f t="shared" si="6"/>
        <v>福島県中島村</v>
      </c>
      <c r="E398" s="957" t="s">
        <v>4891</v>
      </c>
      <c r="F398" s="957" t="s">
        <v>4823</v>
      </c>
      <c r="G398" s="957" t="s">
        <v>4890</v>
      </c>
    </row>
    <row r="399" spans="1:7">
      <c r="A399" s="957" t="s">
        <v>4888</v>
      </c>
      <c r="B399" s="957" t="s">
        <v>4826</v>
      </c>
      <c r="C399" s="957" t="s">
        <v>4889</v>
      </c>
      <c r="D399" s="957" t="str">
        <f t="shared" si="6"/>
        <v>福島県矢吹町</v>
      </c>
      <c r="E399" s="957" t="s">
        <v>4888</v>
      </c>
      <c r="F399" s="957" t="s">
        <v>4823</v>
      </c>
      <c r="G399" s="957" t="s">
        <v>4887</v>
      </c>
    </row>
    <row r="400" spans="1:7">
      <c r="A400" s="957" t="s">
        <v>4885</v>
      </c>
      <c r="B400" s="957" t="s">
        <v>4826</v>
      </c>
      <c r="C400" s="957" t="s">
        <v>4886</v>
      </c>
      <c r="D400" s="957" t="str">
        <f t="shared" si="6"/>
        <v>福島県棚倉町</v>
      </c>
      <c r="E400" s="957" t="s">
        <v>4885</v>
      </c>
      <c r="F400" s="957" t="s">
        <v>4823</v>
      </c>
      <c r="G400" s="957" t="s">
        <v>4884</v>
      </c>
    </row>
    <row r="401" spans="1:7">
      <c r="A401" s="957" t="s">
        <v>4882</v>
      </c>
      <c r="B401" s="957" t="s">
        <v>4826</v>
      </c>
      <c r="C401" s="957" t="s">
        <v>4883</v>
      </c>
      <c r="D401" s="957" t="str">
        <f t="shared" si="6"/>
        <v>福島県矢祭町</v>
      </c>
      <c r="E401" s="957" t="s">
        <v>4882</v>
      </c>
      <c r="F401" s="957" t="s">
        <v>4823</v>
      </c>
      <c r="G401" s="957" t="s">
        <v>4881</v>
      </c>
    </row>
    <row r="402" spans="1:7">
      <c r="A402" s="957" t="s">
        <v>4879</v>
      </c>
      <c r="B402" s="957" t="s">
        <v>4826</v>
      </c>
      <c r="C402" s="957" t="s">
        <v>4880</v>
      </c>
      <c r="D402" s="957" t="str">
        <f t="shared" si="6"/>
        <v>福島県塙町</v>
      </c>
      <c r="E402" s="957" t="s">
        <v>4879</v>
      </c>
      <c r="F402" s="957" t="s">
        <v>4823</v>
      </c>
      <c r="G402" s="957" t="s">
        <v>4878</v>
      </c>
    </row>
    <row r="403" spans="1:7">
      <c r="A403" s="957" t="s">
        <v>4876</v>
      </c>
      <c r="B403" s="957" t="s">
        <v>4826</v>
      </c>
      <c r="C403" s="957" t="s">
        <v>4877</v>
      </c>
      <c r="D403" s="957" t="str">
        <f t="shared" si="6"/>
        <v>福島県鮫川村</v>
      </c>
      <c r="E403" s="957" t="s">
        <v>4876</v>
      </c>
      <c r="F403" s="957" t="s">
        <v>4823</v>
      </c>
      <c r="G403" s="957" t="s">
        <v>4875</v>
      </c>
    </row>
    <row r="404" spans="1:7">
      <c r="A404" s="957" t="s">
        <v>4873</v>
      </c>
      <c r="B404" s="957" t="s">
        <v>4826</v>
      </c>
      <c r="C404" s="957" t="s">
        <v>4874</v>
      </c>
      <c r="D404" s="957" t="str">
        <f t="shared" si="6"/>
        <v>福島県石川町</v>
      </c>
      <c r="E404" s="957" t="s">
        <v>4873</v>
      </c>
      <c r="F404" s="957" t="s">
        <v>4823</v>
      </c>
      <c r="G404" s="957" t="s">
        <v>4872</v>
      </c>
    </row>
    <row r="405" spans="1:7">
      <c r="A405" s="957" t="s">
        <v>4870</v>
      </c>
      <c r="B405" s="957" t="s">
        <v>4826</v>
      </c>
      <c r="C405" s="957" t="s">
        <v>4871</v>
      </c>
      <c r="D405" s="957" t="str">
        <f t="shared" si="6"/>
        <v>福島県玉川村</v>
      </c>
      <c r="E405" s="957" t="s">
        <v>4870</v>
      </c>
      <c r="F405" s="957" t="s">
        <v>4823</v>
      </c>
      <c r="G405" s="957" t="s">
        <v>4869</v>
      </c>
    </row>
    <row r="406" spans="1:7">
      <c r="A406" s="957" t="s">
        <v>4867</v>
      </c>
      <c r="B406" s="957" t="s">
        <v>4826</v>
      </c>
      <c r="C406" s="957" t="s">
        <v>4868</v>
      </c>
      <c r="D406" s="957" t="str">
        <f t="shared" si="6"/>
        <v>福島県平田村</v>
      </c>
      <c r="E406" s="957" t="s">
        <v>4867</v>
      </c>
      <c r="F406" s="957" t="s">
        <v>4823</v>
      </c>
      <c r="G406" s="957" t="s">
        <v>4866</v>
      </c>
    </row>
    <row r="407" spans="1:7">
      <c r="A407" s="957" t="s">
        <v>4864</v>
      </c>
      <c r="B407" s="957" t="s">
        <v>4826</v>
      </c>
      <c r="C407" s="957" t="s">
        <v>4865</v>
      </c>
      <c r="D407" s="957" t="str">
        <f t="shared" si="6"/>
        <v>福島県浅川町</v>
      </c>
      <c r="E407" s="957" t="s">
        <v>4864</v>
      </c>
      <c r="F407" s="957" t="s">
        <v>4823</v>
      </c>
      <c r="G407" s="957" t="s">
        <v>4863</v>
      </c>
    </row>
    <row r="408" spans="1:7">
      <c r="A408" s="957" t="s">
        <v>4861</v>
      </c>
      <c r="B408" s="957" t="s">
        <v>4826</v>
      </c>
      <c r="C408" s="957" t="s">
        <v>4862</v>
      </c>
      <c r="D408" s="957" t="str">
        <f t="shared" si="6"/>
        <v>福島県古殿町</v>
      </c>
      <c r="E408" s="957" t="s">
        <v>4861</v>
      </c>
      <c r="F408" s="957" t="s">
        <v>4823</v>
      </c>
      <c r="G408" s="957" t="s">
        <v>4860</v>
      </c>
    </row>
    <row r="409" spans="1:7">
      <c r="A409" s="957" t="s">
        <v>4858</v>
      </c>
      <c r="B409" s="957" t="s">
        <v>4826</v>
      </c>
      <c r="C409" s="957" t="s">
        <v>4859</v>
      </c>
      <c r="D409" s="957" t="str">
        <f t="shared" si="6"/>
        <v>福島県三春町</v>
      </c>
      <c r="E409" s="957" t="s">
        <v>4858</v>
      </c>
      <c r="F409" s="957" t="s">
        <v>4823</v>
      </c>
      <c r="G409" s="957" t="s">
        <v>4857</v>
      </c>
    </row>
    <row r="410" spans="1:7">
      <c r="A410" s="957" t="s">
        <v>4855</v>
      </c>
      <c r="B410" s="957" t="s">
        <v>4826</v>
      </c>
      <c r="C410" s="957" t="s">
        <v>4856</v>
      </c>
      <c r="D410" s="957" t="str">
        <f t="shared" si="6"/>
        <v>福島県小野町</v>
      </c>
      <c r="E410" s="957" t="s">
        <v>4855</v>
      </c>
      <c r="F410" s="957" t="s">
        <v>4823</v>
      </c>
      <c r="G410" s="957" t="s">
        <v>4854</v>
      </c>
    </row>
    <row r="411" spans="1:7">
      <c r="A411" s="957" t="s">
        <v>4852</v>
      </c>
      <c r="B411" s="957" t="s">
        <v>4826</v>
      </c>
      <c r="C411" s="957" t="s">
        <v>4853</v>
      </c>
      <c r="D411" s="957" t="str">
        <f t="shared" si="6"/>
        <v>福島県広野町</v>
      </c>
      <c r="E411" s="957" t="s">
        <v>4852</v>
      </c>
      <c r="F411" s="957" t="s">
        <v>4823</v>
      </c>
      <c r="G411" s="957" t="s">
        <v>4851</v>
      </c>
    </row>
    <row r="412" spans="1:7">
      <c r="A412" s="957" t="s">
        <v>4849</v>
      </c>
      <c r="B412" s="957" t="s">
        <v>4826</v>
      </c>
      <c r="C412" s="957" t="s">
        <v>4850</v>
      </c>
      <c r="D412" s="957" t="str">
        <f t="shared" si="6"/>
        <v>福島県楢葉町</v>
      </c>
      <c r="E412" s="957" t="s">
        <v>4849</v>
      </c>
      <c r="F412" s="957" t="s">
        <v>4823</v>
      </c>
      <c r="G412" s="957" t="s">
        <v>4848</v>
      </c>
    </row>
    <row r="413" spans="1:7">
      <c r="A413" s="957" t="s">
        <v>4846</v>
      </c>
      <c r="B413" s="957" t="s">
        <v>4826</v>
      </c>
      <c r="C413" s="957" t="s">
        <v>4847</v>
      </c>
      <c r="D413" s="957" t="str">
        <f t="shared" si="6"/>
        <v>福島県富岡町</v>
      </c>
      <c r="E413" s="957" t="s">
        <v>4846</v>
      </c>
      <c r="F413" s="957" t="s">
        <v>4823</v>
      </c>
      <c r="G413" s="957" t="s">
        <v>4845</v>
      </c>
    </row>
    <row r="414" spans="1:7">
      <c r="A414" s="957" t="s">
        <v>4843</v>
      </c>
      <c r="B414" s="957" t="s">
        <v>4826</v>
      </c>
      <c r="C414" s="957" t="s">
        <v>4844</v>
      </c>
      <c r="D414" s="957" t="str">
        <f t="shared" si="6"/>
        <v>福島県川内村</v>
      </c>
      <c r="E414" s="957" t="s">
        <v>4843</v>
      </c>
      <c r="F414" s="957" t="s">
        <v>4823</v>
      </c>
      <c r="G414" s="957" t="s">
        <v>4842</v>
      </c>
    </row>
    <row r="415" spans="1:7">
      <c r="A415" s="957" t="s">
        <v>4840</v>
      </c>
      <c r="B415" s="957" t="s">
        <v>4826</v>
      </c>
      <c r="C415" s="957" t="s">
        <v>4841</v>
      </c>
      <c r="D415" s="957" t="str">
        <f t="shared" si="6"/>
        <v>福島県大熊町</v>
      </c>
      <c r="E415" s="957" t="s">
        <v>4840</v>
      </c>
      <c r="F415" s="957" t="s">
        <v>4823</v>
      </c>
      <c r="G415" s="957" t="s">
        <v>4839</v>
      </c>
    </row>
    <row r="416" spans="1:7">
      <c r="A416" s="957" t="s">
        <v>4837</v>
      </c>
      <c r="B416" s="957" t="s">
        <v>4826</v>
      </c>
      <c r="C416" s="957" t="s">
        <v>4838</v>
      </c>
      <c r="D416" s="957" t="str">
        <f t="shared" si="6"/>
        <v>福島県双葉町</v>
      </c>
      <c r="E416" s="957" t="s">
        <v>4837</v>
      </c>
      <c r="F416" s="957" t="s">
        <v>4823</v>
      </c>
      <c r="G416" s="957" t="s">
        <v>4836</v>
      </c>
    </row>
    <row r="417" spans="1:7">
      <c r="A417" s="957" t="s">
        <v>4834</v>
      </c>
      <c r="B417" s="957" t="s">
        <v>4826</v>
      </c>
      <c r="C417" s="957" t="s">
        <v>4835</v>
      </c>
      <c r="D417" s="957" t="str">
        <f t="shared" si="6"/>
        <v>福島県浪江町</v>
      </c>
      <c r="E417" s="957" t="s">
        <v>4834</v>
      </c>
      <c r="F417" s="957" t="s">
        <v>4823</v>
      </c>
      <c r="G417" s="957" t="s">
        <v>4833</v>
      </c>
    </row>
    <row r="418" spans="1:7">
      <c r="A418" s="957" t="s">
        <v>4831</v>
      </c>
      <c r="B418" s="957" t="s">
        <v>4826</v>
      </c>
      <c r="C418" s="957" t="s">
        <v>4832</v>
      </c>
      <c r="D418" s="957" t="str">
        <f t="shared" si="6"/>
        <v>福島県葛尾村</v>
      </c>
      <c r="E418" s="957" t="s">
        <v>4831</v>
      </c>
      <c r="F418" s="957" t="s">
        <v>4823</v>
      </c>
      <c r="G418" s="957" t="s">
        <v>4830</v>
      </c>
    </row>
    <row r="419" spans="1:7">
      <c r="A419" s="957" t="s">
        <v>4828</v>
      </c>
      <c r="B419" s="957" t="s">
        <v>4826</v>
      </c>
      <c r="C419" s="957" t="s">
        <v>4829</v>
      </c>
      <c r="D419" s="957" t="str">
        <f t="shared" si="6"/>
        <v>福島県新地町</v>
      </c>
      <c r="E419" s="957" t="s">
        <v>4828</v>
      </c>
      <c r="F419" s="957" t="s">
        <v>4823</v>
      </c>
      <c r="G419" s="957" t="s">
        <v>4827</v>
      </c>
    </row>
    <row r="420" spans="1:7">
      <c r="A420" s="957" t="s">
        <v>4824</v>
      </c>
      <c r="B420" s="957" t="s">
        <v>4826</v>
      </c>
      <c r="C420" s="957" t="s">
        <v>4825</v>
      </c>
      <c r="D420" s="957" t="str">
        <f t="shared" si="6"/>
        <v>福島県飯舘村</v>
      </c>
      <c r="E420" s="957" t="s">
        <v>4824</v>
      </c>
      <c r="F420" s="957" t="s">
        <v>4823</v>
      </c>
      <c r="G420" s="957" t="s">
        <v>4822</v>
      </c>
    </row>
    <row r="421" spans="1:7">
      <c r="A421" s="960" t="s">
        <v>4820</v>
      </c>
      <c r="B421" s="960" t="s">
        <v>4821</v>
      </c>
      <c r="C421" s="960" t="s">
        <v>4821</v>
      </c>
      <c r="D421" s="960" t="str">
        <f t="shared" si="6"/>
        <v>茨城県茨城県</v>
      </c>
      <c r="E421" s="960" t="s">
        <v>4820</v>
      </c>
      <c r="F421" s="959" t="s">
        <v>4819</v>
      </c>
      <c r="G421" s="958"/>
    </row>
    <row r="422" spans="1:7">
      <c r="A422" s="957" t="s">
        <v>4817</v>
      </c>
      <c r="B422" s="957" t="s">
        <v>4691</v>
      </c>
      <c r="C422" s="957" t="s">
        <v>4818</v>
      </c>
      <c r="D422" s="957" t="str">
        <f t="shared" si="6"/>
        <v>茨城県水戸市</v>
      </c>
      <c r="E422" s="957" t="s">
        <v>4817</v>
      </c>
      <c r="F422" s="957" t="s">
        <v>4688</v>
      </c>
      <c r="G422" s="957" t="s">
        <v>4816</v>
      </c>
    </row>
    <row r="423" spans="1:7">
      <c r="A423" s="957" t="s">
        <v>4814</v>
      </c>
      <c r="B423" s="957" t="s">
        <v>4691</v>
      </c>
      <c r="C423" s="957" t="s">
        <v>4815</v>
      </c>
      <c r="D423" s="957" t="str">
        <f t="shared" si="6"/>
        <v>茨城県日立市</v>
      </c>
      <c r="E423" s="957" t="s">
        <v>4814</v>
      </c>
      <c r="F423" s="957" t="s">
        <v>4688</v>
      </c>
      <c r="G423" s="957" t="s">
        <v>4813</v>
      </c>
    </row>
    <row r="424" spans="1:7">
      <c r="A424" s="957" t="s">
        <v>4811</v>
      </c>
      <c r="B424" s="957" t="s">
        <v>4691</v>
      </c>
      <c r="C424" s="957" t="s">
        <v>4812</v>
      </c>
      <c r="D424" s="957" t="str">
        <f t="shared" si="6"/>
        <v>茨城県土浦市</v>
      </c>
      <c r="E424" s="957" t="s">
        <v>4811</v>
      </c>
      <c r="F424" s="957" t="s">
        <v>4688</v>
      </c>
      <c r="G424" s="957" t="s">
        <v>4810</v>
      </c>
    </row>
    <row r="425" spans="1:7">
      <c r="A425" s="957" t="s">
        <v>4808</v>
      </c>
      <c r="B425" s="957" t="s">
        <v>4691</v>
      </c>
      <c r="C425" s="957" t="s">
        <v>4809</v>
      </c>
      <c r="D425" s="957" t="str">
        <f t="shared" si="6"/>
        <v>茨城県古河市</v>
      </c>
      <c r="E425" s="957" t="s">
        <v>4808</v>
      </c>
      <c r="F425" s="957" t="s">
        <v>4688</v>
      </c>
      <c r="G425" s="957" t="s">
        <v>1459</v>
      </c>
    </row>
    <row r="426" spans="1:7">
      <c r="A426" s="957" t="s">
        <v>4806</v>
      </c>
      <c r="B426" s="957" t="s">
        <v>4691</v>
      </c>
      <c r="C426" s="957" t="s">
        <v>4807</v>
      </c>
      <c r="D426" s="957" t="str">
        <f t="shared" si="6"/>
        <v>茨城県石岡市</v>
      </c>
      <c r="E426" s="957" t="s">
        <v>4806</v>
      </c>
      <c r="F426" s="957" t="s">
        <v>4688</v>
      </c>
      <c r="G426" s="957" t="s">
        <v>4805</v>
      </c>
    </row>
    <row r="427" spans="1:7">
      <c r="A427" s="957" t="s">
        <v>4803</v>
      </c>
      <c r="B427" s="957" t="s">
        <v>4691</v>
      </c>
      <c r="C427" s="957" t="s">
        <v>4804</v>
      </c>
      <c r="D427" s="957" t="str">
        <f t="shared" si="6"/>
        <v>茨城県結城市</v>
      </c>
      <c r="E427" s="957" t="s">
        <v>4803</v>
      </c>
      <c r="F427" s="957" t="s">
        <v>4688</v>
      </c>
      <c r="G427" s="957" t="s">
        <v>4802</v>
      </c>
    </row>
    <row r="428" spans="1:7">
      <c r="A428" s="957" t="s">
        <v>4800</v>
      </c>
      <c r="B428" s="957" t="s">
        <v>4691</v>
      </c>
      <c r="C428" s="957" t="s">
        <v>4801</v>
      </c>
      <c r="D428" s="957" t="str">
        <f t="shared" si="6"/>
        <v>茨城県龍ケ崎市</v>
      </c>
      <c r="E428" s="957" t="s">
        <v>4800</v>
      </c>
      <c r="F428" s="957" t="s">
        <v>4688</v>
      </c>
      <c r="G428" s="957" t="s">
        <v>4799</v>
      </c>
    </row>
    <row r="429" spans="1:7">
      <c r="A429" s="957" t="s">
        <v>4797</v>
      </c>
      <c r="B429" s="957" t="s">
        <v>4691</v>
      </c>
      <c r="C429" s="957" t="s">
        <v>4798</v>
      </c>
      <c r="D429" s="957" t="str">
        <f t="shared" si="6"/>
        <v>茨城県下妻市</v>
      </c>
      <c r="E429" s="957" t="s">
        <v>4797</v>
      </c>
      <c r="F429" s="957" t="s">
        <v>4688</v>
      </c>
      <c r="G429" s="957" t="s">
        <v>4796</v>
      </c>
    </row>
    <row r="430" spans="1:7">
      <c r="A430" s="957" t="s">
        <v>4794</v>
      </c>
      <c r="B430" s="957" t="s">
        <v>4691</v>
      </c>
      <c r="C430" s="957" t="s">
        <v>4795</v>
      </c>
      <c r="D430" s="957" t="str">
        <f t="shared" si="6"/>
        <v>茨城県常総市</v>
      </c>
      <c r="E430" s="957" t="s">
        <v>4794</v>
      </c>
      <c r="F430" s="957" t="s">
        <v>4688</v>
      </c>
      <c r="G430" s="957" t="s">
        <v>4793</v>
      </c>
    </row>
    <row r="431" spans="1:7">
      <c r="A431" s="957" t="s">
        <v>4791</v>
      </c>
      <c r="B431" s="957" t="s">
        <v>4691</v>
      </c>
      <c r="C431" s="957" t="s">
        <v>4792</v>
      </c>
      <c r="D431" s="957" t="str">
        <f t="shared" si="6"/>
        <v>茨城県常陸太田市</v>
      </c>
      <c r="E431" s="957" t="s">
        <v>4791</v>
      </c>
      <c r="F431" s="957" t="s">
        <v>4688</v>
      </c>
      <c r="G431" s="957" t="s">
        <v>4790</v>
      </c>
    </row>
    <row r="432" spans="1:7">
      <c r="A432" s="957" t="s">
        <v>4788</v>
      </c>
      <c r="B432" s="957" t="s">
        <v>4691</v>
      </c>
      <c r="C432" s="957" t="s">
        <v>4789</v>
      </c>
      <c r="D432" s="957" t="str">
        <f t="shared" si="6"/>
        <v>茨城県高萩市</v>
      </c>
      <c r="E432" s="957" t="s">
        <v>4788</v>
      </c>
      <c r="F432" s="957" t="s">
        <v>4688</v>
      </c>
      <c r="G432" s="957" t="s">
        <v>4787</v>
      </c>
    </row>
    <row r="433" spans="1:7">
      <c r="A433" s="957" t="s">
        <v>4785</v>
      </c>
      <c r="B433" s="957" t="s">
        <v>4691</v>
      </c>
      <c r="C433" s="957" t="s">
        <v>4786</v>
      </c>
      <c r="D433" s="957" t="str">
        <f t="shared" si="6"/>
        <v>茨城県北茨城市</v>
      </c>
      <c r="E433" s="957" t="s">
        <v>4785</v>
      </c>
      <c r="F433" s="957" t="s">
        <v>4688</v>
      </c>
      <c r="G433" s="957" t="s">
        <v>4784</v>
      </c>
    </row>
    <row r="434" spans="1:7">
      <c r="A434" s="957" t="s">
        <v>4782</v>
      </c>
      <c r="B434" s="957" t="s">
        <v>4691</v>
      </c>
      <c r="C434" s="957" t="s">
        <v>4783</v>
      </c>
      <c r="D434" s="957" t="str">
        <f t="shared" si="6"/>
        <v>茨城県笠間市</v>
      </c>
      <c r="E434" s="957" t="s">
        <v>4782</v>
      </c>
      <c r="F434" s="957" t="s">
        <v>4688</v>
      </c>
      <c r="G434" s="957" t="s">
        <v>4781</v>
      </c>
    </row>
    <row r="435" spans="1:7">
      <c r="A435" s="957" t="s">
        <v>4779</v>
      </c>
      <c r="B435" s="957" t="s">
        <v>4691</v>
      </c>
      <c r="C435" s="957" t="s">
        <v>4780</v>
      </c>
      <c r="D435" s="957" t="str">
        <f t="shared" si="6"/>
        <v>茨城県取手市</v>
      </c>
      <c r="E435" s="957" t="s">
        <v>4779</v>
      </c>
      <c r="F435" s="957" t="s">
        <v>4688</v>
      </c>
      <c r="G435" s="957" t="s">
        <v>4778</v>
      </c>
    </row>
    <row r="436" spans="1:7">
      <c r="A436" s="957" t="s">
        <v>4776</v>
      </c>
      <c r="B436" s="957" t="s">
        <v>4691</v>
      </c>
      <c r="C436" s="957" t="s">
        <v>4777</v>
      </c>
      <c r="D436" s="957" t="str">
        <f t="shared" si="6"/>
        <v>茨城県牛久市</v>
      </c>
      <c r="E436" s="957" t="s">
        <v>4776</v>
      </c>
      <c r="F436" s="957" t="s">
        <v>4688</v>
      </c>
      <c r="G436" s="957" t="s">
        <v>4775</v>
      </c>
    </row>
    <row r="437" spans="1:7">
      <c r="A437" s="957" t="s">
        <v>4773</v>
      </c>
      <c r="B437" s="957" t="s">
        <v>4691</v>
      </c>
      <c r="C437" s="957" t="s">
        <v>4774</v>
      </c>
      <c r="D437" s="957" t="str">
        <f t="shared" si="6"/>
        <v>茨城県つくば市</v>
      </c>
      <c r="E437" s="957" t="s">
        <v>4773</v>
      </c>
      <c r="F437" s="957" t="s">
        <v>4688</v>
      </c>
      <c r="G437" s="957" t="s">
        <v>4772</v>
      </c>
    </row>
    <row r="438" spans="1:7">
      <c r="A438" s="957" t="s">
        <v>4770</v>
      </c>
      <c r="B438" s="957" t="s">
        <v>4691</v>
      </c>
      <c r="C438" s="957" t="s">
        <v>4771</v>
      </c>
      <c r="D438" s="957" t="str">
        <f t="shared" si="6"/>
        <v>茨城県ひたちなか市</v>
      </c>
      <c r="E438" s="957" t="s">
        <v>4770</v>
      </c>
      <c r="F438" s="957" t="s">
        <v>4688</v>
      </c>
      <c r="G438" s="957" t="s">
        <v>4769</v>
      </c>
    </row>
    <row r="439" spans="1:7">
      <c r="A439" s="957" t="s">
        <v>4767</v>
      </c>
      <c r="B439" s="957" t="s">
        <v>4691</v>
      </c>
      <c r="C439" s="957" t="s">
        <v>4768</v>
      </c>
      <c r="D439" s="957" t="str">
        <f t="shared" si="6"/>
        <v>茨城県鹿嶋市</v>
      </c>
      <c r="E439" s="957" t="s">
        <v>4767</v>
      </c>
      <c r="F439" s="957" t="s">
        <v>4688</v>
      </c>
      <c r="G439" s="957" t="s">
        <v>1314</v>
      </c>
    </row>
    <row r="440" spans="1:7">
      <c r="A440" s="957" t="s">
        <v>4765</v>
      </c>
      <c r="B440" s="957" t="s">
        <v>4691</v>
      </c>
      <c r="C440" s="957" t="s">
        <v>4766</v>
      </c>
      <c r="D440" s="957" t="str">
        <f t="shared" si="6"/>
        <v>茨城県潮来市</v>
      </c>
      <c r="E440" s="957" t="s">
        <v>4765</v>
      </c>
      <c r="F440" s="957" t="s">
        <v>4688</v>
      </c>
      <c r="G440" s="957" t="s">
        <v>4764</v>
      </c>
    </row>
    <row r="441" spans="1:7">
      <c r="A441" s="957" t="s">
        <v>4762</v>
      </c>
      <c r="B441" s="957" t="s">
        <v>4691</v>
      </c>
      <c r="C441" s="957" t="s">
        <v>4763</v>
      </c>
      <c r="D441" s="957" t="str">
        <f t="shared" si="6"/>
        <v>茨城県守谷市</v>
      </c>
      <c r="E441" s="957" t="s">
        <v>4762</v>
      </c>
      <c r="F441" s="957" t="s">
        <v>4688</v>
      </c>
      <c r="G441" s="957" t="s">
        <v>4761</v>
      </c>
    </row>
    <row r="442" spans="1:7">
      <c r="A442" s="957" t="s">
        <v>4759</v>
      </c>
      <c r="B442" s="957" t="s">
        <v>4691</v>
      </c>
      <c r="C442" s="957" t="s">
        <v>4760</v>
      </c>
      <c r="D442" s="957" t="str">
        <f t="shared" si="6"/>
        <v>茨城県常陸大宮市</v>
      </c>
      <c r="E442" s="957" t="s">
        <v>4759</v>
      </c>
      <c r="F442" s="957" t="s">
        <v>4688</v>
      </c>
      <c r="G442" s="957" t="s">
        <v>4758</v>
      </c>
    </row>
    <row r="443" spans="1:7">
      <c r="A443" s="957" t="s">
        <v>4756</v>
      </c>
      <c r="B443" s="957" t="s">
        <v>4691</v>
      </c>
      <c r="C443" s="957" t="s">
        <v>4757</v>
      </c>
      <c r="D443" s="957" t="str">
        <f t="shared" si="6"/>
        <v>茨城県那珂市</v>
      </c>
      <c r="E443" s="957" t="s">
        <v>4756</v>
      </c>
      <c r="F443" s="957" t="s">
        <v>4688</v>
      </c>
      <c r="G443" s="957" t="s">
        <v>4755</v>
      </c>
    </row>
    <row r="444" spans="1:7">
      <c r="A444" s="957" t="s">
        <v>4753</v>
      </c>
      <c r="B444" s="957" t="s">
        <v>4691</v>
      </c>
      <c r="C444" s="957" t="s">
        <v>4754</v>
      </c>
      <c r="D444" s="957" t="str">
        <f t="shared" si="6"/>
        <v>茨城県筑西市</v>
      </c>
      <c r="E444" s="957" t="s">
        <v>4753</v>
      </c>
      <c r="F444" s="957" t="s">
        <v>4688</v>
      </c>
      <c r="G444" s="957" t="s">
        <v>4752</v>
      </c>
    </row>
    <row r="445" spans="1:7">
      <c r="A445" s="957" t="s">
        <v>4750</v>
      </c>
      <c r="B445" s="957" t="s">
        <v>4691</v>
      </c>
      <c r="C445" s="957" t="s">
        <v>4751</v>
      </c>
      <c r="D445" s="957" t="str">
        <f t="shared" si="6"/>
        <v>茨城県坂東市</v>
      </c>
      <c r="E445" s="957" t="s">
        <v>4750</v>
      </c>
      <c r="F445" s="957" t="s">
        <v>4688</v>
      </c>
      <c r="G445" s="957" t="s">
        <v>4749</v>
      </c>
    </row>
    <row r="446" spans="1:7">
      <c r="A446" s="957" t="s">
        <v>4747</v>
      </c>
      <c r="B446" s="957" t="s">
        <v>4691</v>
      </c>
      <c r="C446" s="957" t="s">
        <v>4748</v>
      </c>
      <c r="D446" s="957" t="str">
        <f t="shared" si="6"/>
        <v>茨城県稲敷市</v>
      </c>
      <c r="E446" s="957" t="s">
        <v>4747</v>
      </c>
      <c r="F446" s="957" t="s">
        <v>4688</v>
      </c>
      <c r="G446" s="957" t="s">
        <v>4746</v>
      </c>
    </row>
    <row r="447" spans="1:7">
      <c r="A447" s="957" t="s">
        <v>4744</v>
      </c>
      <c r="B447" s="957" t="s">
        <v>4691</v>
      </c>
      <c r="C447" s="957" t="s">
        <v>4745</v>
      </c>
      <c r="D447" s="957" t="str">
        <f t="shared" si="6"/>
        <v>茨城県かすみがうら市</v>
      </c>
      <c r="E447" s="957" t="s">
        <v>4744</v>
      </c>
      <c r="F447" s="957" t="s">
        <v>4688</v>
      </c>
      <c r="G447" s="957" t="s">
        <v>4743</v>
      </c>
    </row>
    <row r="448" spans="1:7">
      <c r="A448" s="957" t="s">
        <v>4741</v>
      </c>
      <c r="B448" s="957" t="s">
        <v>4691</v>
      </c>
      <c r="C448" s="957" t="s">
        <v>4742</v>
      </c>
      <c r="D448" s="957" t="str">
        <f t="shared" si="6"/>
        <v>茨城県桜川市</v>
      </c>
      <c r="E448" s="957" t="s">
        <v>4741</v>
      </c>
      <c r="F448" s="957" t="s">
        <v>4688</v>
      </c>
      <c r="G448" s="957" t="s">
        <v>4740</v>
      </c>
    </row>
    <row r="449" spans="1:7">
      <c r="A449" s="957" t="s">
        <v>4738</v>
      </c>
      <c r="B449" s="957" t="s">
        <v>4691</v>
      </c>
      <c r="C449" s="957" t="s">
        <v>4739</v>
      </c>
      <c r="D449" s="957" t="str">
        <f t="shared" si="6"/>
        <v>茨城県神栖市</v>
      </c>
      <c r="E449" s="957" t="s">
        <v>4738</v>
      </c>
      <c r="F449" s="957" t="s">
        <v>4688</v>
      </c>
      <c r="G449" s="957" t="s">
        <v>4737</v>
      </c>
    </row>
    <row r="450" spans="1:7">
      <c r="A450" s="957" t="s">
        <v>4735</v>
      </c>
      <c r="B450" s="957" t="s">
        <v>4691</v>
      </c>
      <c r="C450" s="957" t="s">
        <v>4736</v>
      </c>
      <c r="D450" s="957" t="str">
        <f t="shared" si="6"/>
        <v>茨城県行方市</v>
      </c>
      <c r="E450" s="957" t="s">
        <v>4735</v>
      </c>
      <c r="F450" s="957" t="s">
        <v>4688</v>
      </c>
      <c r="G450" s="957" t="s">
        <v>4734</v>
      </c>
    </row>
    <row r="451" spans="1:7">
      <c r="A451" s="957" t="s">
        <v>4732</v>
      </c>
      <c r="B451" s="957" t="s">
        <v>4691</v>
      </c>
      <c r="C451" s="957" t="s">
        <v>4733</v>
      </c>
      <c r="D451" s="957" t="str">
        <f t="shared" ref="D451:D514" si="7">B451&amp;C451</f>
        <v>茨城県鉾田市</v>
      </c>
      <c r="E451" s="957" t="s">
        <v>4732</v>
      </c>
      <c r="F451" s="957" t="s">
        <v>4688</v>
      </c>
      <c r="G451" s="957" t="s">
        <v>4731</v>
      </c>
    </row>
    <row r="452" spans="1:7">
      <c r="A452" s="957" t="s">
        <v>4729</v>
      </c>
      <c r="B452" s="957" t="s">
        <v>4691</v>
      </c>
      <c r="C452" s="957" t="s">
        <v>4730</v>
      </c>
      <c r="D452" s="957" t="str">
        <f t="shared" si="7"/>
        <v>茨城県つくばみらい市</v>
      </c>
      <c r="E452" s="957" t="s">
        <v>4729</v>
      </c>
      <c r="F452" s="957" t="s">
        <v>4688</v>
      </c>
      <c r="G452" s="957" t="s">
        <v>4728</v>
      </c>
    </row>
    <row r="453" spans="1:7">
      <c r="A453" s="957" t="s">
        <v>4726</v>
      </c>
      <c r="B453" s="957" t="s">
        <v>4691</v>
      </c>
      <c r="C453" s="957" t="s">
        <v>4727</v>
      </c>
      <c r="D453" s="957" t="str">
        <f t="shared" si="7"/>
        <v>茨城県小美玉市</v>
      </c>
      <c r="E453" s="957" t="s">
        <v>4726</v>
      </c>
      <c r="F453" s="957" t="s">
        <v>4688</v>
      </c>
      <c r="G453" s="957" t="s">
        <v>4725</v>
      </c>
    </row>
    <row r="454" spans="1:7">
      <c r="A454" s="957" t="s">
        <v>4723</v>
      </c>
      <c r="B454" s="957" t="s">
        <v>4691</v>
      </c>
      <c r="C454" s="957" t="s">
        <v>4724</v>
      </c>
      <c r="D454" s="957" t="str">
        <f t="shared" si="7"/>
        <v>茨城県茨城町</v>
      </c>
      <c r="E454" s="957" t="s">
        <v>4723</v>
      </c>
      <c r="F454" s="957" t="s">
        <v>4688</v>
      </c>
      <c r="G454" s="957" t="s">
        <v>4722</v>
      </c>
    </row>
    <row r="455" spans="1:7">
      <c r="A455" s="957" t="s">
        <v>4720</v>
      </c>
      <c r="B455" s="957" t="s">
        <v>4691</v>
      </c>
      <c r="C455" s="957" t="s">
        <v>4721</v>
      </c>
      <c r="D455" s="957" t="str">
        <f t="shared" si="7"/>
        <v>茨城県大洗町</v>
      </c>
      <c r="E455" s="957" t="s">
        <v>4720</v>
      </c>
      <c r="F455" s="957" t="s">
        <v>4688</v>
      </c>
      <c r="G455" s="957" t="s">
        <v>4719</v>
      </c>
    </row>
    <row r="456" spans="1:7">
      <c r="A456" s="957" t="s">
        <v>4717</v>
      </c>
      <c r="B456" s="957" t="s">
        <v>4691</v>
      </c>
      <c r="C456" s="957" t="s">
        <v>4718</v>
      </c>
      <c r="D456" s="957" t="str">
        <f t="shared" si="7"/>
        <v>茨城県城里町</v>
      </c>
      <c r="E456" s="957" t="s">
        <v>4717</v>
      </c>
      <c r="F456" s="957" t="s">
        <v>4688</v>
      </c>
      <c r="G456" s="957" t="s">
        <v>4716</v>
      </c>
    </row>
    <row r="457" spans="1:7">
      <c r="A457" s="957" t="s">
        <v>4714</v>
      </c>
      <c r="B457" s="957" t="s">
        <v>4691</v>
      </c>
      <c r="C457" s="957" t="s">
        <v>4715</v>
      </c>
      <c r="D457" s="957" t="str">
        <f t="shared" si="7"/>
        <v>茨城県東海村</v>
      </c>
      <c r="E457" s="957" t="s">
        <v>4714</v>
      </c>
      <c r="F457" s="957" t="s">
        <v>4688</v>
      </c>
      <c r="G457" s="957" t="s">
        <v>4713</v>
      </c>
    </row>
    <row r="458" spans="1:7">
      <c r="A458" s="957" t="s">
        <v>4711</v>
      </c>
      <c r="B458" s="957" t="s">
        <v>4691</v>
      </c>
      <c r="C458" s="957" t="s">
        <v>4712</v>
      </c>
      <c r="D458" s="957" t="str">
        <f t="shared" si="7"/>
        <v>茨城県大子町</v>
      </c>
      <c r="E458" s="957" t="s">
        <v>4711</v>
      </c>
      <c r="F458" s="957" t="s">
        <v>4688</v>
      </c>
      <c r="G458" s="957" t="s">
        <v>4710</v>
      </c>
    </row>
    <row r="459" spans="1:7">
      <c r="A459" s="957" t="s">
        <v>4708</v>
      </c>
      <c r="B459" s="957" t="s">
        <v>4691</v>
      </c>
      <c r="C459" s="957" t="s">
        <v>4709</v>
      </c>
      <c r="D459" s="957" t="str">
        <f t="shared" si="7"/>
        <v>茨城県美浦村</v>
      </c>
      <c r="E459" s="957" t="s">
        <v>4708</v>
      </c>
      <c r="F459" s="957" t="s">
        <v>4688</v>
      </c>
      <c r="G459" s="957" t="s">
        <v>4707</v>
      </c>
    </row>
    <row r="460" spans="1:7">
      <c r="A460" s="957" t="s">
        <v>4705</v>
      </c>
      <c r="B460" s="957" t="s">
        <v>4691</v>
      </c>
      <c r="C460" s="957" t="s">
        <v>4706</v>
      </c>
      <c r="D460" s="957" t="str">
        <f t="shared" si="7"/>
        <v>茨城県阿見町</v>
      </c>
      <c r="E460" s="957" t="s">
        <v>4705</v>
      </c>
      <c r="F460" s="957" t="s">
        <v>4688</v>
      </c>
      <c r="G460" s="957" t="s">
        <v>4704</v>
      </c>
    </row>
    <row r="461" spans="1:7">
      <c r="A461" s="957" t="s">
        <v>4702</v>
      </c>
      <c r="B461" s="957" t="s">
        <v>4691</v>
      </c>
      <c r="C461" s="957" t="s">
        <v>4703</v>
      </c>
      <c r="D461" s="957" t="str">
        <f t="shared" si="7"/>
        <v>茨城県河内町</v>
      </c>
      <c r="E461" s="957" t="s">
        <v>4702</v>
      </c>
      <c r="F461" s="957" t="s">
        <v>4688</v>
      </c>
      <c r="G461" s="957" t="s">
        <v>4701</v>
      </c>
    </row>
    <row r="462" spans="1:7">
      <c r="A462" s="957" t="s">
        <v>4699</v>
      </c>
      <c r="B462" s="957" t="s">
        <v>4691</v>
      </c>
      <c r="C462" s="957" t="s">
        <v>4700</v>
      </c>
      <c r="D462" s="957" t="str">
        <f t="shared" si="7"/>
        <v>茨城県八千代町</v>
      </c>
      <c r="E462" s="957" t="s">
        <v>4699</v>
      </c>
      <c r="F462" s="957" t="s">
        <v>4688</v>
      </c>
      <c r="G462" s="957" t="s">
        <v>4698</v>
      </c>
    </row>
    <row r="463" spans="1:7">
      <c r="A463" s="957" t="s">
        <v>4696</v>
      </c>
      <c r="B463" s="957" t="s">
        <v>4691</v>
      </c>
      <c r="C463" s="957" t="s">
        <v>4697</v>
      </c>
      <c r="D463" s="957" t="str">
        <f t="shared" si="7"/>
        <v>茨城県五霞町</v>
      </c>
      <c r="E463" s="957" t="s">
        <v>4696</v>
      </c>
      <c r="F463" s="957" t="s">
        <v>4688</v>
      </c>
      <c r="G463" s="957" t="s">
        <v>4695</v>
      </c>
    </row>
    <row r="464" spans="1:7">
      <c r="A464" s="957" t="s">
        <v>4693</v>
      </c>
      <c r="B464" s="957" t="s">
        <v>4691</v>
      </c>
      <c r="C464" s="957" t="s">
        <v>4694</v>
      </c>
      <c r="D464" s="957" t="str">
        <f t="shared" si="7"/>
        <v>茨城県境町</v>
      </c>
      <c r="E464" s="957" t="s">
        <v>4693</v>
      </c>
      <c r="F464" s="957" t="s">
        <v>4688</v>
      </c>
      <c r="G464" s="957" t="s">
        <v>4692</v>
      </c>
    </row>
    <row r="465" spans="1:7">
      <c r="A465" s="957" t="s">
        <v>4689</v>
      </c>
      <c r="B465" s="957" t="s">
        <v>4691</v>
      </c>
      <c r="C465" s="957" t="s">
        <v>4690</v>
      </c>
      <c r="D465" s="957" t="str">
        <f t="shared" si="7"/>
        <v>茨城県利根町</v>
      </c>
      <c r="E465" s="957" t="s">
        <v>4689</v>
      </c>
      <c r="F465" s="957" t="s">
        <v>4688</v>
      </c>
      <c r="G465" s="957" t="s">
        <v>4687</v>
      </c>
    </row>
    <row r="466" spans="1:7">
      <c r="A466" s="960" t="s">
        <v>4685</v>
      </c>
      <c r="B466" s="960" t="s">
        <v>4686</v>
      </c>
      <c r="C466" s="960" t="s">
        <v>4686</v>
      </c>
      <c r="D466" s="960" t="str">
        <f t="shared" si="7"/>
        <v>栃木県栃木県</v>
      </c>
      <c r="E466" s="960" t="s">
        <v>4685</v>
      </c>
      <c r="F466" s="959" t="s">
        <v>4684</v>
      </c>
      <c r="G466" s="958"/>
    </row>
    <row r="467" spans="1:7">
      <c r="A467" s="957" t="s">
        <v>4682</v>
      </c>
      <c r="B467" s="957" t="s">
        <v>4612</v>
      </c>
      <c r="C467" s="957" t="s">
        <v>4683</v>
      </c>
      <c r="D467" s="957" t="str">
        <f t="shared" si="7"/>
        <v>栃木県宇都宮市</v>
      </c>
      <c r="E467" s="957" t="s">
        <v>4682</v>
      </c>
      <c r="F467" s="957" t="s">
        <v>4609</v>
      </c>
      <c r="G467" s="957" t="s">
        <v>4681</v>
      </c>
    </row>
    <row r="468" spans="1:7">
      <c r="A468" s="957" t="s">
        <v>4679</v>
      </c>
      <c r="B468" s="957" t="s">
        <v>4612</v>
      </c>
      <c r="C468" s="957" t="s">
        <v>4680</v>
      </c>
      <c r="D468" s="957" t="str">
        <f t="shared" si="7"/>
        <v>栃木県足利市</v>
      </c>
      <c r="E468" s="957" t="s">
        <v>4679</v>
      </c>
      <c r="F468" s="957" t="s">
        <v>4609</v>
      </c>
      <c r="G468" s="957" t="s">
        <v>4678</v>
      </c>
    </row>
    <row r="469" spans="1:7">
      <c r="A469" s="957" t="s">
        <v>4676</v>
      </c>
      <c r="B469" s="957" t="s">
        <v>4612</v>
      </c>
      <c r="C469" s="957" t="s">
        <v>4677</v>
      </c>
      <c r="D469" s="957" t="str">
        <f t="shared" si="7"/>
        <v>栃木県栃木市</v>
      </c>
      <c r="E469" s="957" t="s">
        <v>4676</v>
      </c>
      <c r="F469" s="957" t="s">
        <v>4609</v>
      </c>
      <c r="G469" s="957" t="s">
        <v>4675</v>
      </c>
    </row>
    <row r="470" spans="1:7">
      <c r="A470" s="957" t="s">
        <v>4673</v>
      </c>
      <c r="B470" s="957" t="s">
        <v>4612</v>
      </c>
      <c r="C470" s="957" t="s">
        <v>4674</v>
      </c>
      <c r="D470" s="957" t="str">
        <f t="shared" si="7"/>
        <v>栃木県佐野市</v>
      </c>
      <c r="E470" s="957" t="s">
        <v>4673</v>
      </c>
      <c r="F470" s="957" t="s">
        <v>4609</v>
      </c>
      <c r="G470" s="957" t="s">
        <v>4672</v>
      </c>
    </row>
    <row r="471" spans="1:7">
      <c r="A471" s="957" t="s">
        <v>4670</v>
      </c>
      <c r="B471" s="957" t="s">
        <v>4612</v>
      </c>
      <c r="C471" s="957" t="s">
        <v>4671</v>
      </c>
      <c r="D471" s="957" t="str">
        <f t="shared" si="7"/>
        <v>栃木県鹿沼市</v>
      </c>
      <c r="E471" s="957" t="s">
        <v>4670</v>
      </c>
      <c r="F471" s="957" t="s">
        <v>4609</v>
      </c>
      <c r="G471" s="957" t="s">
        <v>4669</v>
      </c>
    </row>
    <row r="472" spans="1:7">
      <c r="A472" s="957" t="s">
        <v>4667</v>
      </c>
      <c r="B472" s="957" t="s">
        <v>4612</v>
      </c>
      <c r="C472" s="957" t="s">
        <v>4668</v>
      </c>
      <c r="D472" s="957" t="str">
        <f t="shared" si="7"/>
        <v>栃木県日光市</v>
      </c>
      <c r="E472" s="957" t="s">
        <v>4667</v>
      </c>
      <c r="F472" s="957" t="s">
        <v>4609</v>
      </c>
      <c r="G472" s="957" t="s">
        <v>4666</v>
      </c>
    </row>
    <row r="473" spans="1:7">
      <c r="A473" s="957" t="s">
        <v>4664</v>
      </c>
      <c r="B473" s="957" t="s">
        <v>4612</v>
      </c>
      <c r="C473" s="957" t="s">
        <v>4665</v>
      </c>
      <c r="D473" s="957" t="str">
        <f t="shared" si="7"/>
        <v>栃木県小山市</v>
      </c>
      <c r="E473" s="957" t="s">
        <v>4664</v>
      </c>
      <c r="F473" s="957" t="s">
        <v>4609</v>
      </c>
      <c r="G473" s="957" t="s">
        <v>4663</v>
      </c>
    </row>
    <row r="474" spans="1:7">
      <c r="A474" s="957" t="s">
        <v>4661</v>
      </c>
      <c r="B474" s="957" t="s">
        <v>4612</v>
      </c>
      <c r="C474" s="957" t="s">
        <v>4662</v>
      </c>
      <c r="D474" s="957" t="str">
        <f t="shared" si="7"/>
        <v>栃木県真岡市</v>
      </c>
      <c r="E474" s="957" t="s">
        <v>4661</v>
      </c>
      <c r="F474" s="957" t="s">
        <v>4609</v>
      </c>
      <c r="G474" s="957" t="s">
        <v>4660</v>
      </c>
    </row>
    <row r="475" spans="1:7">
      <c r="A475" s="957" t="s">
        <v>4658</v>
      </c>
      <c r="B475" s="957" t="s">
        <v>4612</v>
      </c>
      <c r="C475" s="957" t="s">
        <v>4659</v>
      </c>
      <c r="D475" s="957" t="str">
        <f t="shared" si="7"/>
        <v>栃木県大田原市</v>
      </c>
      <c r="E475" s="957" t="s">
        <v>4658</v>
      </c>
      <c r="F475" s="957" t="s">
        <v>4609</v>
      </c>
      <c r="G475" s="957" t="s">
        <v>4657</v>
      </c>
    </row>
    <row r="476" spans="1:7">
      <c r="A476" s="957" t="s">
        <v>4655</v>
      </c>
      <c r="B476" s="957" t="s">
        <v>4612</v>
      </c>
      <c r="C476" s="957" t="s">
        <v>4656</v>
      </c>
      <c r="D476" s="957" t="str">
        <f t="shared" si="7"/>
        <v>栃木県矢板市</v>
      </c>
      <c r="E476" s="957" t="s">
        <v>4655</v>
      </c>
      <c r="F476" s="957" t="s">
        <v>4609</v>
      </c>
      <c r="G476" s="957" t="s">
        <v>4654</v>
      </c>
    </row>
    <row r="477" spans="1:7">
      <c r="A477" s="957" t="s">
        <v>4652</v>
      </c>
      <c r="B477" s="957" t="s">
        <v>4612</v>
      </c>
      <c r="C477" s="957" t="s">
        <v>4653</v>
      </c>
      <c r="D477" s="957" t="str">
        <f t="shared" si="7"/>
        <v>栃木県那須塩原市</v>
      </c>
      <c r="E477" s="957" t="s">
        <v>4652</v>
      </c>
      <c r="F477" s="957" t="s">
        <v>4609</v>
      </c>
      <c r="G477" s="957" t="s">
        <v>4651</v>
      </c>
    </row>
    <row r="478" spans="1:7">
      <c r="A478" s="957" t="s">
        <v>4649</v>
      </c>
      <c r="B478" s="957" t="s">
        <v>4612</v>
      </c>
      <c r="C478" s="957" t="s">
        <v>4650</v>
      </c>
      <c r="D478" s="957" t="str">
        <f t="shared" si="7"/>
        <v>栃木県さくら市</v>
      </c>
      <c r="E478" s="957" t="s">
        <v>4649</v>
      </c>
      <c r="F478" s="957" t="s">
        <v>4609</v>
      </c>
      <c r="G478" s="957" t="s">
        <v>4274</v>
      </c>
    </row>
    <row r="479" spans="1:7">
      <c r="A479" s="957" t="s">
        <v>4647</v>
      </c>
      <c r="B479" s="957" t="s">
        <v>4612</v>
      </c>
      <c r="C479" s="957" t="s">
        <v>4648</v>
      </c>
      <c r="D479" s="957" t="str">
        <f t="shared" si="7"/>
        <v>栃木県那須烏山市</v>
      </c>
      <c r="E479" s="957" t="s">
        <v>4647</v>
      </c>
      <c r="F479" s="957" t="s">
        <v>4609</v>
      </c>
      <c r="G479" s="957" t="s">
        <v>4646</v>
      </c>
    </row>
    <row r="480" spans="1:7">
      <c r="A480" s="957" t="s">
        <v>4644</v>
      </c>
      <c r="B480" s="957" t="s">
        <v>4612</v>
      </c>
      <c r="C480" s="957" t="s">
        <v>4645</v>
      </c>
      <c r="D480" s="957" t="str">
        <f t="shared" si="7"/>
        <v>栃木県下野市</v>
      </c>
      <c r="E480" s="957" t="s">
        <v>4644</v>
      </c>
      <c r="F480" s="957" t="s">
        <v>4609</v>
      </c>
      <c r="G480" s="957" t="s">
        <v>4643</v>
      </c>
    </row>
    <row r="481" spans="1:7">
      <c r="A481" s="957" t="s">
        <v>4641</v>
      </c>
      <c r="B481" s="957" t="s">
        <v>4612</v>
      </c>
      <c r="C481" s="957" t="s">
        <v>4642</v>
      </c>
      <c r="D481" s="957" t="str">
        <f t="shared" si="7"/>
        <v>栃木県上三川町</v>
      </c>
      <c r="E481" s="957" t="s">
        <v>4641</v>
      </c>
      <c r="F481" s="957" t="s">
        <v>4609</v>
      </c>
      <c r="G481" s="957" t="s">
        <v>4640</v>
      </c>
    </row>
    <row r="482" spans="1:7">
      <c r="A482" s="957" t="s">
        <v>4638</v>
      </c>
      <c r="B482" s="957" t="s">
        <v>4612</v>
      </c>
      <c r="C482" s="957" t="s">
        <v>4639</v>
      </c>
      <c r="D482" s="957" t="str">
        <f t="shared" si="7"/>
        <v>栃木県益子町</v>
      </c>
      <c r="E482" s="957" t="s">
        <v>4638</v>
      </c>
      <c r="F482" s="957" t="s">
        <v>4609</v>
      </c>
      <c r="G482" s="957" t="s">
        <v>4637</v>
      </c>
    </row>
    <row r="483" spans="1:7">
      <c r="A483" s="957" t="s">
        <v>4635</v>
      </c>
      <c r="B483" s="957" t="s">
        <v>4612</v>
      </c>
      <c r="C483" s="957" t="s">
        <v>4636</v>
      </c>
      <c r="D483" s="957" t="str">
        <f t="shared" si="7"/>
        <v>栃木県茂木町</v>
      </c>
      <c r="E483" s="957" t="s">
        <v>4635</v>
      </c>
      <c r="F483" s="957" t="s">
        <v>4609</v>
      </c>
      <c r="G483" s="957" t="s">
        <v>4634</v>
      </c>
    </row>
    <row r="484" spans="1:7">
      <c r="A484" s="957" t="s">
        <v>4632</v>
      </c>
      <c r="B484" s="957" t="s">
        <v>4612</v>
      </c>
      <c r="C484" s="957" t="s">
        <v>4633</v>
      </c>
      <c r="D484" s="957" t="str">
        <f t="shared" si="7"/>
        <v>栃木県市貝町</v>
      </c>
      <c r="E484" s="957" t="s">
        <v>4632</v>
      </c>
      <c r="F484" s="957" t="s">
        <v>4609</v>
      </c>
      <c r="G484" s="957" t="s">
        <v>4631</v>
      </c>
    </row>
    <row r="485" spans="1:7">
      <c r="A485" s="957" t="s">
        <v>4629</v>
      </c>
      <c r="B485" s="957" t="s">
        <v>4612</v>
      </c>
      <c r="C485" s="957" t="s">
        <v>4630</v>
      </c>
      <c r="D485" s="957" t="str">
        <f t="shared" si="7"/>
        <v>栃木県芳賀町</v>
      </c>
      <c r="E485" s="957" t="s">
        <v>4629</v>
      </c>
      <c r="F485" s="957" t="s">
        <v>4609</v>
      </c>
      <c r="G485" s="957" t="s">
        <v>4628</v>
      </c>
    </row>
    <row r="486" spans="1:7">
      <c r="A486" s="957" t="s">
        <v>4626</v>
      </c>
      <c r="B486" s="957" t="s">
        <v>4612</v>
      </c>
      <c r="C486" s="957" t="s">
        <v>4627</v>
      </c>
      <c r="D486" s="957" t="str">
        <f t="shared" si="7"/>
        <v>栃木県壬生町</v>
      </c>
      <c r="E486" s="957" t="s">
        <v>4626</v>
      </c>
      <c r="F486" s="957" t="s">
        <v>4609</v>
      </c>
      <c r="G486" s="957" t="s">
        <v>4625</v>
      </c>
    </row>
    <row r="487" spans="1:7">
      <c r="A487" s="957" t="s">
        <v>4623</v>
      </c>
      <c r="B487" s="957" t="s">
        <v>4612</v>
      </c>
      <c r="C487" s="957" t="s">
        <v>4624</v>
      </c>
      <c r="D487" s="957" t="str">
        <f t="shared" si="7"/>
        <v>栃木県野木町</v>
      </c>
      <c r="E487" s="957" t="s">
        <v>4623</v>
      </c>
      <c r="F487" s="957" t="s">
        <v>4609</v>
      </c>
      <c r="G487" s="957" t="s">
        <v>4622</v>
      </c>
    </row>
    <row r="488" spans="1:7">
      <c r="A488" s="957" t="s">
        <v>4620</v>
      </c>
      <c r="B488" s="957" t="s">
        <v>4612</v>
      </c>
      <c r="C488" s="957" t="s">
        <v>4621</v>
      </c>
      <c r="D488" s="957" t="str">
        <f t="shared" si="7"/>
        <v>栃木県塩谷町</v>
      </c>
      <c r="E488" s="957" t="s">
        <v>4620</v>
      </c>
      <c r="F488" s="957" t="s">
        <v>4609</v>
      </c>
      <c r="G488" s="957" t="s">
        <v>4619</v>
      </c>
    </row>
    <row r="489" spans="1:7">
      <c r="A489" s="957" t="s">
        <v>4617</v>
      </c>
      <c r="B489" s="957" t="s">
        <v>4612</v>
      </c>
      <c r="C489" s="957" t="s">
        <v>4618</v>
      </c>
      <c r="D489" s="957" t="str">
        <f t="shared" si="7"/>
        <v>栃木県高根沢町</v>
      </c>
      <c r="E489" s="957" t="s">
        <v>4617</v>
      </c>
      <c r="F489" s="957" t="s">
        <v>4609</v>
      </c>
      <c r="G489" s="957" t="s">
        <v>4616</v>
      </c>
    </row>
    <row r="490" spans="1:7">
      <c r="A490" s="957" t="s">
        <v>4614</v>
      </c>
      <c r="B490" s="957" t="s">
        <v>4612</v>
      </c>
      <c r="C490" s="957" t="s">
        <v>4615</v>
      </c>
      <c r="D490" s="957" t="str">
        <f t="shared" si="7"/>
        <v>栃木県那須町</v>
      </c>
      <c r="E490" s="957" t="s">
        <v>4614</v>
      </c>
      <c r="F490" s="957" t="s">
        <v>4609</v>
      </c>
      <c r="G490" s="957" t="s">
        <v>4613</v>
      </c>
    </row>
    <row r="491" spans="1:7">
      <c r="A491" s="957" t="s">
        <v>4610</v>
      </c>
      <c r="B491" s="957" t="s">
        <v>4612</v>
      </c>
      <c r="C491" s="957" t="s">
        <v>4611</v>
      </c>
      <c r="D491" s="957" t="str">
        <f t="shared" si="7"/>
        <v>栃木県那珂川町</v>
      </c>
      <c r="E491" s="957" t="s">
        <v>4610</v>
      </c>
      <c r="F491" s="957" t="s">
        <v>4609</v>
      </c>
      <c r="G491" s="957" t="s">
        <v>4608</v>
      </c>
    </row>
    <row r="492" spans="1:7">
      <c r="A492" s="960" t="s">
        <v>4606</v>
      </c>
      <c r="B492" s="960" t="s">
        <v>4607</v>
      </c>
      <c r="C492" s="960" t="s">
        <v>4607</v>
      </c>
      <c r="D492" s="960" t="str">
        <f t="shared" si="7"/>
        <v>群馬県群馬県</v>
      </c>
      <c r="E492" s="960" t="s">
        <v>4606</v>
      </c>
      <c r="F492" s="959" t="s">
        <v>4605</v>
      </c>
      <c r="G492" s="958"/>
    </row>
    <row r="493" spans="1:7">
      <c r="A493" s="957" t="s">
        <v>4603</v>
      </c>
      <c r="B493" s="957" t="s">
        <v>4506</v>
      </c>
      <c r="C493" s="957" t="s">
        <v>4604</v>
      </c>
      <c r="D493" s="957" t="str">
        <f t="shared" si="7"/>
        <v>群馬県前橋市</v>
      </c>
      <c r="E493" s="957" t="s">
        <v>4603</v>
      </c>
      <c r="F493" s="957" t="s">
        <v>4503</v>
      </c>
      <c r="G493" s="957" t="s">
        <v>4602</v>
      </c>
    </row>
    <row r="494" spans="1:7">
      <c r="A494" s="957" t="s">
        <v>4600</v>
      </c>
      <c r="B494" s="957" t="s">
        <v>4506</v>
      </c>
      <c r="C494" s="957" t="s">
        <v>4601</v>
      </c>
      <c r="D494" s="957" t="str">
        <f t="shared" si="7"/>
        <v>群馬県高崎市</v>
      </c>
      <c r="E494" s="957" t="s">
        <v>4600</v>
      </c>
      <c r="F494" s="957" t="s">
        <v>4503</v>
      </c>
      <c r="G494" s="957" t="s">
        <v>4599</v>
      </c>
    </row>
    <row r="495" spans="1:7">
      <c r="A495" s="957" t="s">
        <v>4597</v>
      </c>
      <c r="B495" s="957" t="s">
        <v>4506</v>
      </c>
      <c r="C495" s="957" t="s">
        <v>4598</v>
      </c>
      <c r="D495" s="957" t="str">
        <f t="shared" si="7"/>
        <v>群馬県桐生市</v>
      </c>
      <c r="E495" s="957" t="s">
        <v>4597</v>
      </c>
      <c r="F495" s="957" t="s">
        <v>4503</v>
      </c>
      <c r="G495" s="957" t="s">
        <v>4596</v>
      </c>
    </row>
    <row r="496" spans="1:7">
      <c r="A496" s="957" t="s">
        <v>4594</v>
      </c>
      <c r="B496" s="957" t="s">
        <v>4506</v>
      </c>
      <c r="C496" s="957" t="s">
        <v>4595</v>
      </c>
      <c r="D496" s="957" t="str">
        <f t="shared" si="7"/>
        <v>群馬県伊勢崎市</v>
      </c>
      <c r="E496" s="957" t="s">
        <v>4594</v>
      </c>
      <c r="F496" s="957" t="s">
        <v>4503</v>
      </c>
      <c r="G496" s="957" t="s">
        <v>4593</v>
      </c>
    </row>
    <row r="497" spans="1:7">
      <c r="A497" s="957" t="s">
        <v>4591</v>
      </c>
      <c r="B497" s="957" t="s">
        <v>4506</v>
      </c>
      <c r="C497" s="957" t="s">
        <v>4592</v>
      </c>
      <c r="D497" s="957" t="str">
        <f t="shared" si="7"/>
        <v>群馬県太田市</v>
      </c>
      <c r="E497" s="957" t="s">
        <v>4591</v>
      </c>
      <c r="F497" s="957" t="s">
        <v>4503</v>
      </c>
      <c r="G497" s="957" t="s">
        <v>4590</v>
      </c>
    </row>
    <row r="498" spans="1:7">
      <c r="A498" s="957" t="s">
        <v>4588</v>
      </c>
      <c r="B498" s="957" t="s">
        <v>4506</v>
      </c>
      <c r="C498" s="957" t="s">
        <v>4589</v>
      </c>
      <c r="D498" s="957" t="str">
        <f t="shared" si="7"/>
        <v>群馬県沼田市</v>
      </c>
      <c r="E498" s="957" t="s">
        <v>4588</v>
      </c>
      <c r="F498" s="957" t="s">
        <v>4503</v>
      </c>
      <c r="G498" s="957" t="s">
        <v>4587</v>
      </c>
    </row>
    <row r="499" spans="1:7">
      <c r="A499" s="957" t="s">
        <v>4585</v>
      </c>
      <c r="B499" s="957" t="s">
        <v>4506</v>
      </c>
      <c r="C499" s="957" t="s">
        <v>4586</v>
      </c>
      <c r="D499" s="957" t="str">
        <f t="shared" si="7"/>
        <v>群馬県館林市</v>
      </c>
      <c r="E499" s="957" t="s">
        <v>4585</v>
      </c>
      <c r="F499" s="957" t="s">
        <v>4503</v>
      </c>
      <c r="G499" s="957" t="s">
        <v>4584</v>
      </c>
    </row>
    <row r="500" spans="1:7">
      <c r="A500" s="957" t="s">
        <v>4582</v>
      </c>
      <c r="B500" s="957" t="s">
        <v>4506</v>
      </c>
      <c r="C500" s="957" t="s">
        <v>4583</v>
      </c>
      <c r="D500" s="957" t="str">
        <f t="shared" si="7"/>
        <v>群馬県渋川市</v>
      </c>
      <c r="E500" s="957" t="s">
        <v>4582</v>
      </c>
      <c r="F500" s="957" t="s">
        <v>4503</v>
      </c>
      <c r="G500" s="957" t="s">
        <v>4581</v>
      </c>
    </row>
    <row r="501" spans="1:7">
      <c r="A501" s="957" t="s">
        <v>4579</v>
      </c>
      <c r="B501" s="957" t="s">
        <v>4506</v>
      </c>
      <c r="C501" s="957" t="s">
        <v>4580</v>
      </c>
      <c r="D501" s="957" t="str">
        <f t="shared" si="7"/>
        <v>群馬県藤岡市</v>
      </c>
      <c r="E501" s="957" t="s">
        <v>4579</v>
      </c>
      <c r="F501" s="957" t="s">
        <v>4503</v>
      </c>
      <c r="G501" s="957" t="s">
        <v>4578</v>
      </c>
    </row>
    <row r="502" spans="1:7">
      <c r="A502" s="957" t="s">
        <v>4576</v>
      </c>
      <c r="B502" s="957" t="s">
        <v>4506</v>
      </c>
      <c r="C502" s="957" t="s">
        <v>4577</v>
      </c>
      <c r="D502" s="957" t="str">
        <f t="shared" si="7"/>
        <v>群馬県富岡市</v>
      </c>
      <c r="E502" s="957" t="s">
        <v>4576</v>
      </c>
      <c r="F502" s="957" t="s">
        <v>4503</v>
      </c>
      <c r="G502" s="957" t="s">
        <v>4575</v>
      </c>
    </row>
    <row r="503" spans="1:7">
      <c r="A503" s="957" t="s">
        <v>4573</v>
      </c>
      <c r="B503" s="957" t="s">
        <v>4506</v>
      </c>
      <c r="C503" s="957" t="s">
        <v>4574</v>
      </c>
      <c r="D503" s="957" t="str">
        <f t="shared" si="7"/>
        <v>群馬県安中市</v>
      </c>
      <c r="E503" s="957" t="s">
        <v>4573</v>
      </c>
      <c r="F503" s="957" t="s">
        <v>4503</v>
      </c>
      <c r="G503" s="957" t="s">
        <v>4572</v>
      </c>
    </row>
    <row r="504" spans="1:7">
      <c r="A504" s="957" t="s">
        <v>4570</v>
      </c>
      <c r="B504" s="957" t="s">
        <v>4506</v>
      </c>
      <c r="C504" s="957" t="s">
        <v>4571</v>
      </c>
      <c r="D504" s="957" t="str">
        <f t="shared" si="7"/>
        <v>群馬県みどり市</v>
      </c>
      <c r="E504" s="957" t="s">
        <v>4570</v>
      </c>
      <c r="F504" s="957" t="s">
        <v>4503</v>
      </c>
      <c r="G504" s="957" t="s">
        <v>4569</v>
      </c>
    </row>
    <row r="505" spans="1:7">
      <c r="A505" s="957" t="s">
        <v>4567</v>
      </c>
      <c r="B505" s="957" t="s">
        <v>4506</v>
      </c>
      <c r="C505" s="957" t="s">
        <v>4568</v>
      </c>
      <c r="D505" s="957" t="str">
        <f t="shared" si="7"/>
        <v>群馬県榛東村</v>
      </c>
      <c r="E505" s="957" t="s">
        <v>4567</v>
      </c>
      <c r="F505" s="957" t="s">
        <v>4503</v>
      </c>
      <c r="G505" s="957" t="s">
        <v>4566</v>
      </c>
    </row>
    <row r="506" spans="1:7">
      <c r="A506" s="957" t="s">
        <v>4564</v>
      </c>
      <c r="B506" s="957" t="s">
        <v>4506</v>
      </c>
      <c r="C506" s="957" t="s">
        <v>4565</v>
      </c>
      <c r="D506" s="957" t="str">
        <f t="shared" si="7"/>
        <v>群馬県吉岡町</v>
      </c>
      <c r="E506" s="957" t="s">
        <v>4564</v>
      </c>
      <c r="F506" s="957" t="s">
        <v>4503</v>
      </c>
      <c r="G506" s="957" t="s">
        <v>4563</v>
      </c>
    </row>
    <row r="507" spans="1:7">
      <c r="A507" s="957" t="s">
        <v>4561</v>
      </c>
      <c r="B507" s="957" t="s">
        <v>4506</v>
      </c>
      <c r="C507" s="957" t="s">
        <v>4562</v>
      </c>
      <c r="D507" s="957" t="str">
        <f t="shared" si="7"/>
        <v>群馬県上野村</v>
      </c>
      <c r="E507" s="957" t="s">
        <v>4561</v>
      </c>
      <c r="F507" s="957" t="s">
        <v>4503</v>
      </c>
      <c r="G507" s="957" t="s">
        <v>4560</v>
      </c>
    </row>
    <row r="508" spans="1:7">
      <c r="A508" s="957" t="s">
        <v>4558</v>
      </c>
      <c r="B508" s="957" t="s">
        <v>4506</v>
      </c>
      <c r="C508" s="957" t="s">
        <v>4559</v>
      </c>
      <c r="D508" s="957" t="str">
        <f t="shared" si="7"/>
        <v>群馬県神流町</v>
      </c>
      <c r="E508" s="957" t="s">
        <v>4558</v>
      </c>
      <c r="F508" s="957" t="s">
        <v>4503</v>
      </c>
      <c r="G508" s="957" t="s">
        <v>4557</v>
      </c>
    </row>
    <row r="509" spans="1:7">
      <c r="A509" s="957" t="s">
        <v>4555</v>
      </c>
      <c r="B509" s="957" t="s">
        <v>4506</v>
      </c>
      <c r="C509" s="957" t="s">
        <v>4556</v>
      </c>
      <c r="D509" s="957" t="str">
        <f t="shared" si="7"/>
        <v>群馬県下仁田町</v>
      </c>
      <c r="E509" s="957" t="s">
        <v>4555</v>
      </c>
      <c r="F509" s="957" t="s">
        <v>4503</v>
      </c>
      <c r="G509" s="957" t="s">
        <v>4554</v>
      </c>
    </row>
    <row r="510" spans="1:7">
      <c r="A510" s="957" t="s">
        <v>4553</v>
      </c>
      <c r="B510" s="957" t="s">
        <v>4506</v>
      </c>
      <c r="C510" s="957" t="s">
        <v>3446</v>
      </c>
      <c r="D510" s="957" t="str">
        <f t="shared" si="7"/>
        <v>群馬県南牧村</v>
      </c>
      <c r="E510" s="957" t="s">
        <v>4553</v>
      </c>
      <c r="F510" s="957" t="s">
        <v>4503</v>
      </c>
      <c r="G510" s="957" t="s">
        <v>4552</v>
      </c>
    </row>
    <row r="511" spans="1:7">
      <c r="A511" s="957" t="s">
        <v>4550</v>
      </c>
      <c r="B511" s="957" t="s">
        <v>4506</v>
      </c>
      <c r="C511" s="957" t="s">
        <v>4551</v>
      </c>
      <c r="D511" s="957" t="str">
        <f t="shared" si="7"/>
        <v>群馬県甘楽町</v>
      </c>
      <c r="E511" s="957" t="s">
        <v>4550</v>
      </c>
      <c r="F511" s="957" t="s">
        <v>4503</v>
      </c>
      <c r="G511" s="957" t="s">
        <v>4549</v>
      </c>
    </row>
    <row r="512" spans="1:7">
      <c r="A512" s="957" t="s">
        <v>4547</v>
      </c>
      <c r="B512" s="957" t="s">
        <v>4506</v>
      </c>
      <c r="C512" s="957" t="s">
        <v>4548</v>
      </c>
      <c r="D512" s="957" t="str">
        <f t="shared" si="7"/>
        <v>群馬県中之条町</v>
      </c>
      <c r="E512" s="957" t="s">
        <v>4547</v>
      </c>
      <c r="F512" s="957" t="s">
        <v>4503</v>
      </c>
      <c r="G512" s="957" t="s">
        <v>4546</v>
      </c>
    </row>
    <row r="513" spans="1:7">
      <c r="A513" s="957" t="s">
        <v>4544</v>
      </c>
      <c r="B513" s="957" t="s">
        <v>4506</v>
      </c>
      <c r="C513" s="957" t="s">
        <v>4545</v>
      </c>
      <c r="D513" s="957" t="str">
        <f t="shared" si="7"/>
        <v>群馬県長野原町</v>
      </c>
      <c r="E513" s="957" t="s">
        <v>4544</v>
      </c>
      <c r="F513" s="957" t="s">
        <v>4503</v>
      </c>
      <c r="G513" s="957" t="s">
        <v>4543</v>
      </c>
    </row>
    <row r="514" spans="1:7">
      <c r="A514" s="957" t="s">
        <v>4541</v>
      </c>
      <c r="B514" s="957" t="s">
        <v>4506</v>
      </c>
      <c r="C514" s="957" t="s">
        <v>4542</v>
      </c>
      <c r="D514" s="957" t="str">
        <f t="shared" si="7"/>
        <v>群馬県嬬恋村</v>
      </c>
      <c r="E514" s="957" t="s">
        <v>4541</v>
      </c>
      <c r="F514" s="957" t="s">
        <v>4503</v>
      </c>
      <c r="G514" s="957" t="s">
        <v>4540</v>
      </c>
    </row>
    <row r="515" spans="1:7">
      <c r="A515" s="957" t="s">
        <v>4538</v>
      </c>
      <c r="B515" s="957" t="s">
        <v>4506</v>
      </c>
      <c r="C515" s="957" t="s">
        <v>4539</v>
      </c>
      <c r="D515" s="957" t="str">
        <f t="shared" ref="D515:D578" si="8">B515&amp;C515</f>
        <v>群馬県草津町</v>
      </c>
      <c r="E515" s="957" t="s">
        <v>4538</v>
      </c>
      <c r="F515" s="957" t="s">
        <v>4503</v>
      </c>
      <c r="G515" s="957" t="s">
        <v>4537</v>
      </c>
    </row>
    <row r="516" spans="1:7">
      <c r="A516" s="957" t="s">
        <v>4536</v>
      </c>
      <c r="B516" s="957" t="s">
        <v>4506</v>
      </c>
      <c r="C516" s="957" t="s">
        <v>3305</v>
      </c>
      <c r="D516" s="957" t="str">
        <f t="shared" si="8"/>
        <v>群馬県高山村</v>
      </c>
      <c r="E516" s="957" t="s">
        <v>4536</v>
      </c>
      <c r="F516" s="957" t="s">
        <v>4503</v>
      </c>
      <c r="G516" s="957" t="s">
        <v>3303</v>
      </c>
    </row>
    <row r="517" spans="1:7">
      <c r="A517" s="957" t="s">
        <v>4534</v>
      </c>
      <c r="B517" s="957" t="s">
        <v>4506</v>
      </c>
      <c r="C517" s="957" t="s">
        <v>4535</v>
      </c>
      <c r="D517" s="957" t="str">
        <f t="shared" si="8"/>
        <v>群馬県東吾妻町</v>
      </c>
      <c r="E517" s="957" t="s">
        <v>4534</v>
      </c>
      <c r="F517" s="957" t="s">
        <v>4503</v>
      </c>
      <c r="G517" s="957" t="s">
        <v>4533</v>
      </c>
    </row>
    <row r="518" spans="1:7">
      <c r="A518" s="957" t="s">
        <v>4531</v>
      </c>
      <c r="B518" s="957" t="s">
        <v>4506</v>
      </c>
      <c r="C518" s="957" t="s">
        <v>4532</v>
      </c>
      <c r="D518" s="957" t="str">
        <f t="shared" si="8"/>
        <v>群馬県片品村</v>
      </c>
      <c r="E518" s="957" t="s">
        <v>4531</v>
      </c>
      <c r="F518" s="957" t="s">
        <v>4503</v>
      </c>
      <c r="G518" s="957" t="s">
        <v>4530</v>
      </c>
    </row>
    <row r="519" spans="1:7">
      <c r="A519" s="957" t="s">
        <v>4528</v>
      </c>
      <c r="B519" s="957" t="s">
        <v>4506</v>
      </c>
      <c r="C519" s="957" t="s">
        <v>4529</v>
      </c>
      <c r="D519" s="957" t="str">
        <f t="shared" si="8"/>
        <v>群馬県川場村</v>
      </c>
      <c r="E519" s="957" t="s">
        <v>4528</v>
      </c>
      <c r="F519" s="957" t="s">
        <v>4503</v>
      </c>
      <c r="G519" s="957" t="s">
        <v>4527</v>
      </c>
    </row>
    <row r="520" spans="1:7">
      <c r="A520" s="957" t="s">
        <v>4525</v>
      </c>
      <c r="B520" s="957" t="s">
        <v>4506</v>
      </c>
      <c r="C520" s="957" t="s">
        <v>4526</v>
      </c>
      <c r="D520" s="957" t="str">
        <f t="shared" si="8"/>
        <v>群馬県昭和村</v>
      </c>
      <c r="E520" s="957" t="s">
        <v>4525</v>
      </c>
      <c r="F520" s="957" t="s">
        <v>4503</v>
      </c>
      <c r="G520" s="957" t="s">
        <v>4524</v>
      </c>
    </row>
    <row r="521" spans="1:7">
      <c r="A521" s="957" t="s">
        <v>4522</v>
      </c>
      <c r="B521" s="957" t="s">
        <v>4506</v>
      </c>
      <c r="C521" s="957" t="s">
        <v>4523</v>
      </c>
      <c r="D521" s="957" t="str">
        <f t="shared" si="8"/>
        <v>群馬県みなかみ町</v>
      </c>
      <c r="E521" s="957" t="s">
        <v>4522</v>
      </c>
      <c r="F521" s="957" t="s">
        <v>4503</v>
      </c>
      <c r="G521" s="957" t="s">
        <v>4521</v>
      </c>
    </row>
    <row r="522" spans="1:7">
      <c r="A522" s="957" t="s">
        <v>4519</v>
      </c>
      <c r="B522" s="957" t="s">
        <v>4506</v>
      </c>
      <c r="C522" s="957" t="s">
        <v>4520</v>
      </c>
      <c r="D522" s="957" t="str">
        <f t="shared" si="8"/>
        <v>群馬県玉村町</v>
      </c>
      <c r="E522" s="957" t="s">
        <v>4519</v>
      </c>
      <c r="F522" s="957" t="s">
        <v>4503</v>
      </c>
      <c r="G522" s="957" t="s">
        <v>4518</v>
      </c>
    </row>
    <row r="523" spans="1:7">
      <c r="A523" s="957" t="s">
        <v>4516</v>
      </c>
      <c r="B523" s="957" t="s">
        <v>4506</v>
      </c>
      <c r="C523" s="957" t="s">
        <v>4517</v>
      </c>
      <c r="D523" s="957" t="str">
        <f t="shared" si="8"/>
        <v>群馬県板倉町</v>
      </c>
      <c r="E523" s="957" t="s">
        <v>4516</v>
      </c>
      <c r="F523" s="957" t="s">
        <v>4503</v>
      </c>
      <c r="G523" s="957" t="s">
        <v>4515</v>
      </c>
    </row>
    <row r="524" spans="1:7">
      <c r="A524" s="957" t="s">
        <v>4514</v>
      </c>
      <c r="B524" s="957" t="s">
        <v>4506</v>
      </c>
      <c r="C524" s="957" t="s">
        <v>2813</v>
      </c>
      <c r="D524" s="957" t="str">
        <f t="shared" si="8"/>
        <v>群馬県明和町</v>
      </c>
      <c r="E524" s="957" t="s">
        <v>4514</v>
      </c>
      <c r="F524" s="957" t="s">
        <v>4503</v>
      </c>
      <c r="G524" s="957" t="s">
        <v>4513</v>
      </c>
    </row>
    <row r="525" spans="1:7">
      <c r="A525" s="957" t="s">
        <v>4511</v>
      </c>
      <c r="B525" s="957" t="s">
        <v>4506</v>
      </c>
      <c r="C525" s="957" t="s">
        <v>4512</v>
      </c>
      <c r="D525" s="957" t="str">
        <f t="shared" si="8"/>
        <v>群馬県千代田町</v>
      </c>
      <c r="E525" s="957" t="s">
        <v>4511</v>
      </c>
      <c r="F525" s="957" t="s">
        <v>4503</v>
      </c>
      <c r="G525" s="957" t="s">
        <v>4510</v>
      </c>
    </row>
    <row r="526" spans="1:7">
      <c r="A526" s="957" t="s">
        <v>4508</v>
      </c>
      <c r="B526" s="957" t="s">
        <v>4506</v>
      </c>
      <c r="C526" s="957" t="s">
        <v>4509</v>
      </c>
      <c r="D526" s="957" t="str">
        <f t="shared" si="8"/>
        <v>群馬県大泉町</v>
      </c>
      <c r="E526" s="957" t="s">
        <v>4508</v>
      </c>
      <c r="F526" s="957" t="s">
        <v>4503</v>
      </c>
      <c r="G526" s="957" t="s">
        <v>4507</v>
      </c>
    </row>
    <row r="527" spans="1:7">
      <c r="A527" s="957" t="s">
        <v>4504</v>
      </c>
      <c r="B527" s="957" t="s">
        <v>4506</v>
      </c>
      <c r="C527" s="957" t="s">
        <v>4505</v>
      </c>
      <c r="D527" s="957" t="str">
        <f t="shared" si="8"/>
        <v>群馬県邑楽町</v>
      </c>
      <c r="E527" s="957" t="s">
        <v>4504</v>
      </c>
      <c r="F527" s="957" t="s">
        <v>4503</v>
      </c>
      <c r="G527" s="957" t="s">
        <v>4502</v>
      </c>
    </row>
    <row r="528" spans="1:7">
      <c r="A528" s="960" t="s">
        <v>4501</v>
      </c>
      <c r="B528" s="960" t="s">
        <v>4379</v>
      </c>
      <c r="C528" s="960" t="s">
        <v>4379</v>
      </c>
      <c r="D528" s="960" t="str">
        <f t="shared" si="8"/>
        <v>埼玉県埼玉県</v>
      </c>
      <c r="E528" s="960" t="s">
        <v>4501</v>
      </c>
      <c r="F528" s="959" t="s">
        <v>4381</v>
      </c>
      <c r="G528" s="958"/>
    </row>
    <row r="529" spans="1:7">
      <c r="A529" s="957" t="s">
        <v>4499</v>
      </c>
      <c r="B529" s="957" t="s">
        <v>4314</v>
      </c>
      <c r="C529" s="957" t="s">
        <v>4500</v>
      </c>
      <c r="D529" s="957" t="str">
        <f t="shared" si="8"/>
        <v>埼玉県さいたま市</v>
      </c>
      <c r="E529" s="957" t="s">
        <v>4499</v>
      </c>
      <c r="F529" s="957" t="s">
        <v>4311</v>
      </c>
      <c r="G529" s="957" t="s">
        <v>4498</v>
      </c>
    </row>
    <row r="530" spans="1:7">
      <c r="A530" s="957" t="s">
        <v>4496</v>
      </c>
      <c r="B530" s="957" t="s">
        <v>4314</v>
      </c>
      <c r="C530" s="957" t="s">
        <v>4497</v>
      </c>
      <c r="D530" s="957" t="str">
        <f t="shared" si="8"/>
        <v>埼玉県川越市</v>
      </c>
      <c r="E530" s="957" t="s">
        <v>4496</v>
      </c>
      <c r="F530" s="957" t="s">
        <v>4311</v>
      </c>
      <c r="G530" s="957" t="s">
        <v>4495</v>
      </c>
    </row>
    <row r="531" spans="1:7">
      <c r="A531" s="957" t="s">
        <v>4493</v>
      </c>
      <c r="B531" s="957" t="s">
        <v>4314</v>
      </c>
      <c r="C531" s="957" t="s">
        <v>4494</v>
      </c>
      <c r="D531" s="957" t="str">
        <f t="shared" si="8"/>
        <v>埼玉県熊谷市</v>
      </c>
      <c r="E531" s="957" t="s">
        <v>4493</v>
      </c>
      <c r="F531" s="957" t="s">
        <v>4311</v>
      </c>
      <c r="G531" s="957" t="s">
        <v>4492</v>
      </c>
    </row>
    <row r="532" spans="1:7">
      <c r="A532" s="957" t="s">
        <v>4490</v>
      </c>
      <c r="B532" s="957" t="s">
        <v>4314</v>
      </c>
      <c r="C532" s="957" t="s">
        <v>4491</v>
      </c>
      <c r="D532" s="957" t="str">
        <f t="shared" si="8"/>
        <v>埼玉県川口市</v>
      </c>
      <c r="E532" s="957" t="s">
        <v>4490</v>
      </c>
      <c r="F532" s="957" t="s">
        <v>4311</v>
      </c>
      <c r="G532" s="957" t="s">
        <v>4489</v>
      </c>
    </row>
    <row r="533" spans="1:7">
      <c r="A533" s="957" t="s">
        <v>4487</v>
      </c>
      <c r="B533" s="957" t="s">
        <v>4314</v>
      </c>
      <c r="C533" s="957" t="s">
        <v>4488</v>
      </c>
      <c r="D533" s="957" t="str">
        <f t="shared" si="8"/>
        <v>埼玉県行田市</v>
      </c>
      <c r="E533" s="957" t="s">
        <v>4487</v>
      </c>
      <c r="F533" s="957" t="s">
        <v>4311</v>
      </c>
      <c r="G533" s="957" t="s">
        <v>4486</v>
      </c>
    </row>
    <row r="534" spans="1:7">
      <c r="A534" s="957" t="s">
        <v>4484</v>
      </c>
      <c r="B534" s="957" t="s">
        <v>4314</v>
      </c>
      <c r="C534" s="957" t="s">
        <v>4485</v>
      </c>
      <c r="D534" s="957" t="str">
        <f t="shared" si="8"/>
        <v>埼玉県秩父市</v>
      </c>
      <c r="E534" s="957" t="s">
        <v>4484</v>
      </c>
      <c r="F534" s="957" t="s">
        <v>4311</v>
      </c>
      <c r="G534" s="957" t="s">
        <v>4483</v>
      </c>
    </row>
    <row r="535" spans="1:7">
      <c r="A535" s="957" t="s">
        <v>4481</v>
      </c>
      <c r="B535" s="957" t="s">
        <v>4314</v>
      </c>
      <c r="C535" s="957" t="s">
        <v>4482</v>
      </c>
      <c r="D535" s="957" t="str">
        <f t="shared" si="8"/>
        <v>埼玉県所沢市</v>
      </c>
      <c r="E535" s="957" t="s">
        <v>4481</v>
      </c>
      <c r="F535" s="957" t="s">
        <v>4311</v>
      </c>
      <c r="G535" s="957" t="s">
        <v>4480</v>
      </c>
    </row>
    <row r="536" spans="1:7">
      <c r="A536" s="957" t="s">
        <v>4478</v>
      </c>
      <c r="B536" s="957" t="s">
        <v>4314</v>
      </c>
      <c r="C536" s="957" t="s">
        <v>4479</v>
      </c>
      <c r="D536" s="957" t="str">
        <f t="shared" si="8"/>
        <v>埼玉県飯能市</v>
      </c>
      <c r="E536" s="957" t="s">
        <v>4478</v>
      </c>
      <c r="F536" s="957" t="s">
        <v>4311</v>
      </c>
      <c r="G536" s="957" t="s">
        <v>4477</v>
      </c>
    </row>
    <row r="537" spans="1:7">
      <c r="A537" s="957" t="s">
        <v>4475</v>
      </c>
      <c r="B537" s="957" t="s">
        <v>4314</v>
      </c>
      <c r="C537" s="957" t="s">
        <v>4476</v>
      </c>
      <c r="D537" s="957" t="str">
        <f t="shared" si="8"/>
        <v>埼玉県加須市</v>
      </c>
      <c r="E537" s="957" t="s">
        <v>4475</v>
      </c>
      <c r="F537" s="957" t="s">
        <v>4311</v>
      </c>
      <c r="G537" s="957" t="s">
        <v>4474</v>
      </c>
    </row>
    <row r="538" spans="1:7">
      <c r="A538" s="957" t="s">
        <v>4472</v>
      </c>
      <c r="B538" s="957" t="s">
        <v>4314</v>
      </c>
      <c r="C538" s="957" t="s">
        <v>4473</v>
      </c>
      <c r="D538" s="957" t="str">
        <f t="shared" si="8"/>
        <v>埼玉県本庄市</v>
      </c>
      <c r="E538" s="957" t="s">
        <v>4472</v>
      </c>
      <c r="F538" s="957" t="s">
        <v>4311</v>
      </c>
      <c r="G538" s="957" t="s">
        <v>4471</v>
      </c>
    </row>
    <row r="539" spans="1:7">
      <c r="A539" s="957" t="s">
        <v>4469</v>
      </c>
      <c r="B539" s="957" t="s">
        <v>4314</v>
      </c>
      <c r="C539" s="957" t="s">
        <v>4470</v>
      </c>
      <c r="D539" s="957" t="str">
        <f t="shared" si="8"/>
        <v>埼玉県東松山市</v>
      </c>
      <c r="E539" s="957" t="s">
        <v>4469</v>
      </c>
      <c r="F539" s="957" t="s">
        <v>4311</v>
      </c>
      <c r="G539" s="957" t="s">
        <v>4468</v>
      </c>
    </row>
    <row r="540" spans="1:7">
      <c r="A540" s="957" t="s">
        <v>4466</v>
      </c>
      <c r="B540" s="957" t="s">
        <v>4314</v>
      </c>
      <c r="C540" s="957" t="s">
        <v>4467</v>
      </c>
      <c r="D540" s="957" t="str">
        <f t="shared" si="8"/>
        <v>埼玉県春日部市</v>
      </c>
      <c r="E540" s="957" t="s">
        <v>4466</v>
      </c>
      <c r="F540" s="957" t="s">
        <v>4311</v>
      </c>
      <c r="G540" s="957" t="s">
        <v>4465</v>
      </c>
    </row>
    <row r="541" spans="1:7">
      <c r="A541" s="957" t="s">
        <v>4463</v>
      </c>
      <c r="B541" s="957" t="s">
        <v>4314</v>
      </c>
      <c r="C541" s="957" t="s">
        <v>4464</v>
      </c>
      <c r="D541" s="957" t="str">
        <f t="shared" si="8"/>
        <v>埼玉県狭山市</v>
      </c>
      <c r="E541" s="957" t="s">
        <v>4463</v>
      </c>
      <c r="F541" s="957" t="s">
        <v>4311</v>
      </c>
      <c r="G541" s="957" t="s">
        <v>4462</v>
      </c>
    </row>
    <row r="542" spans="1:7">
      <c r="A542" s="957" t="s">
        <v>4460</v>
      </c>
      <c r="B542" s="957" t="s">
        <v>4314</v>
      </c>
      <c r="C542" s="957" t="s">
        <v>4461</v>
      </c>
      <c r="D542" s="957" t="str">
        <f t="shared" si="8"/>
        <v>埼玉県羽生市</v>
      </c>
      <c r="E542" s="957" t="s">
        <v>4460</v>
      </c>
      <c r="F542" s="957" t="s">
        <v>4311</v>
      </c>
      <c r="G542" s="957" t="s">
        <v>4459</v>
      </c>
    </row>
    <row r="543" spans="1:7">
      <c r="A543" s="957" t="s">
        <v>4457</v>
      </c>
      <c r="B543" s="957" t="s">
        <v>4314</v>
      </c>
      <c r="C543" s="957" t="s">
        <v>4458</v>
      </c>
      <c r="D543" s="957" t="str">
        <f t="shared" si="8"/>
        <v>埼玉県鴻巣市</v>
      </c>
      <c r="E543" s="957" t="s">
        <v>4457</v>
      </c>
      <c r="F543" s="957" t="s">
        <v>4311</v>
      </c>
      <c r="G543" s="957" t="s">
        <v>4456</v>
      </c>
    </row>
    <row r="544" spans="1:7">
      <c r="A544" s="957" t="s">
        <v>4454</v>
      </c>
      <c r="B544" s="957" t="s">
        <v>4314</v>
      </c>
      <c r="C544" s="957" t="s">
        <v>4455</v>
      </c>
      <c r="D544" s="957" t="str">
        <f t="shared" si="8"/>
        <v>埼玉県深谷市</v>
      </c>
      <c r="E544" s="957" t="s">
        <v>4454</v>
      </c>
      <c r="F544" s="957" t="s">
        <v>4311</v>
      </c>
      <c r="G544" s="957" t="s">
        <v>4453</v>
      </c>
    </row>
    <row r="545" spans="1:7">
      <c r="A545" s="957" t="s">
        <v>4451</v>
      </c>
      <c r="B545" s="957" t="s">
        <v>4314</v>
      </c>
      <c r="C545" s="957" t="s">
        <v>4452</v>
      </c>
      <c r="D545" s="957" t="str">
        <f t="shared" si="8"/>
        <v>埼玉県上尾市</v>
      </c>
      <c r="E545" s="957" t="s">
        <v>4451</v>
      </c>
      <c r="F545" s="957" t="s">
        <v>4311</v>
      </c>
      <c r="G545" s="957" t="s">
        <v>4450</v>
      </c>
    </row>
    <row r="546" spans="1:7">
      <c r="A546" s="957" t="s">
        <v>4448</v>
      </c>
      <c r="B546" s="957" t="s">
        <v>4314</v>
      </c>
      <c r="C546" s="957" t="s">
        <v>4449</v>
      </c>
      <c r="D546" s="957" t="str">
        <f t="shared" si="8"/>
        <v>埼玉県草加市</v>
      </c>
      <c r="E546" s="957" t="s">
        <v>4448</v>
      </c>
      <c r="F546" s="957" t="s">
        <v>4311</v>
      </c>
      <c r="G546" s="957" t="s">
        <v>4447</v>
      </c>
    </row>
    <row r="547" spans="1:7">
      <c r="A547" s="957" t="s">
        <v>4445</v>
      </c>
      <c r="B547" s="957" t="s">
        <v>4314</v>
      </c>
      <c r="C547" s="957" t="s">
        <v>4446</v>
      </c>
      <c r="D547" s="957" t="str">
        <f t="shared" si="8"/>
        <v>埼玉県越谷市</v>
      </c>
      <c r="E547" s="957" t="s">
        <v>4445</v>
      </c>
      <c r="F547" s="957" t="s">
        <v>4311</v>
      </c>
      <c r="G547" s="957" t="s">
        <v>4444</v>
      </c>
    </row>
    <row r="548" spans="1:7">
      <c r="A548" s="957" t="s">
        <v>4442</v>
      </c>
      <c r="B548" s="957" t="s">
        <v>4314</v>
      </c>
      <c r="C548" s="957" t="s">
        <v>4443</v>
      </c>
      <c r="D548" s="957" t="str">
        <f t="shared" si="8"/>
        <v>埼玉県蕨市</v>
      </c>
      <c r="E548" s="957" t="s">
        <v>4442</v>
      </c>
      <c r="F548" s="957" t="s">
        <v>4311</v>
      </c>
      <c r="G548" s="957" t="s">
        <v>4441</v>
      </c>
    </row>
    <row r="549" spans="1:7">
      <c r="A549" s="957" t="s">
        <v>4439</v>
      </c>
      <c r="B549" s="957" t="s">
        <v>4314</v>
      </c>
      <c r="C549" s="957" t="s">
        <v>4440</v>
      </c>
      <c r="D549" s="957" t="str">
        <f t="shared" si="8"/>
        <v>埼玉県戸田市</v>
      </c>
      <c r="E549" s="957" t="s">
        <v>4439</v>
      </c>
      <c r="F549" s="957" t="s">
        <v>4311</v>
      </c>
      <c r="G549" s="957" t="s">
        <v>4438</v>
      </c>
    </row>
    <row r="550" spans="1:7">
      <c r="A550" s="957" t="s">
        <v>4436</v>
      </c>
      <c r="B550" s="957" t="s">
        <v>4314</v>
      </c>
      <c r="C550" s="957" t="s">
        <v>4437</v>
      </c>
      <c r="D550" s="957" t="str">
        <f t="shared" si="8"/>
        <v>埼玉県入間市</v>
      </c>
      <c r="E550" s="957" t="s">
        <v>4436</v>
      </c>
      <c r="F550" s="957" t="s">
        <v>4311</v>
      </c>
      <c r="G550" s="957" t="s">
        <v>4435</v>
      </c>
    </row>
    <row r="551" spans="1:7">
      <c r="A551" s="957" t="s">
        <v>4433</v>
      </c>
      <c r="B551" s="957" t="s">
        <v>4314</v>
      </c>
      <c r="C551" s="957" t="s">
        <v>4434</v>
      </c>
      <c r="D551" s="957" t="str">
        <f t="shared" si="8"/>
        <v>埼玉県朝霞市</v>
      </c>
      <c r="E551" s="957" t="s">
        <v>4433</v>
      </c>
      <c r="F551" s="957" t="s">
        <v>4311</v>
      </c>
      <c r="G551" s="957" t="s">
        <v>4432</v>
      </c>
    </row>
    <row r="552" spans="1:7">
      <c r="A552" s="957" t="s">
        <v>4430</v>
      </c>
      <c r="B552" s="957" t="s">
        <v>4314</v>
      </c>
      <c r="C552" s="957" t="s">
        <v>4431</v>
      </c>
      <c r="D552" s="957" t="str">
        <f t="shared" si="8"/>
        <v>埼玉県志木市</v>
      </c>
      <c r="E552" s="957" t="s">
        <v>4430</v>
      </c>
      <c r="F552" s="957" t="s">
        <v>4311</v>
      </c>
      <c r="G552" s="957" t="s">
        <v>4429</v>
      </c>
    </row>
    <row r="553" spans="1:7">
      <c r="A553" s="957" t="s">
        <v>4427</v>
      </c>
      <c r="B553" s="957" t="s">
        <v>4314</v>
      </c>
      <c r="C553" s="957" t="s">
        <v>4428</v>
      </c>
      <c r="D553" s="957" t="str">
        <f t="shared" si="8"/>
        <v>埼玉県和光市</v>
      </c>
      <c r="E553" s="957" t="s">
        <v>4427</v>
      </c>
      <c r="F553" s="957" t="s">
        <v>4311</v>
      </c>
      <c r="G553" s="957" t="s">
        <v>4426</v>
      </c>
    </row>
    <row r="554" spans="1:7">
      <c r="A554" s="957" t="s">
        <v>4424</v>
      </c>
      <c r="B554" s="957" t="s">
        <v>4314</v>
      </c>
      <c r="C554" s="957" t="s">
        <v>4425</v>
      </c>
      <c r="D554" s="957" t="str">
        <f t="shared" si="8"/>
        <v>埼玉県新座市</v>
      </c>
      <c r="E554" s="957" t="s">
        <v>4424</v>
      </c>
      <c r="F554" s="957" t="s">
        <v>4311</v>
      </c>
      <c r="G554" s="957" t="s">
        <v>4423</v>
      </c>
    </row>
    <row r="555" spans="1:7">
      <c r="A555" s="957" t="s">
        <v>4421</v>
      </c>
      <c r="B555" s="957" t="s">
        <v>4314</v>
      </c>
      <c r="C555" s="957" t="s">
        <v>4422</v>
      </c>
      <c r="D555" s="957" t="str">
        <f t="shared" si="8"/>
        <v>埼玉県桶川市</v>
      </c>
      <c r="E555" s="957" t="s">
        <v>4421</v>
      </c>
      <c r="F555" s="957" t="s">
        <v>4311</v>
      </c>
      <c r="G555" s="957" t="s">
        <v>4420</v>
      </c>
    </row>
    <row r="556" spans="1:7">
      <c r="A556" s="957" t="s">
        <v>4418</v>
      </c>
      <c r="B556" s="957" t="s">
        <v>4314</v>
      </c>
      <c r="C556" s="957" t="s">
        <v>4419</v>
      </c>
      <c r="D556" s="957" t="str">
        <f t="shared" si="8"/>
        <v>埼玉県久喜市</v>
      </c>
      <c r="E556" s="957" t="s">
        <v>4418</v>
      </c>
      <c r="F556" s="957" t="s">
        <v>4311</v>
      </c>
      <c r="G556" s="957" t="s">
        <v>4417</v>
      </c>
    </row>
    <row r="557" spans="1:7">
      <c r="A557" s="957" t="s">
        <v>4415</v>
      </c>
      <c r="B557" s="957" t="s">
        <v>4314</v>
      </c>
      <c r="C557" s="957" t="s">
        <v>4416</v>
      </c>
      <c r="D557" s="957" t="str">
        <f t="shared" si="8"/>
        <v>埼玉県北本市</v>
      </c>
      <c r="E557" s="957" t="s">
        <v>4415</v>
      </c>
      <c r="F557" s="957" t="s">
        <v>4311</v>
      </c>
      <c r="G557" s="957" t="s">
        <v>4414</v>
      </c>
    </row>
    <row r="558" spans="1:7">
      <c r="A558" s="957" t="s">
        <v>4412</v>
      </c>
      <c r="B558" s="957" t="s">
        <v>4314</v>
      </c>
      <c r="C558" s="957" t="s">
        <v>4413</v>
      </c>
      <c r="D558" s="957" t="str">
        <f t="shared" si="8"/>
        <v>埼玉県八潮市</v>
      </c>
      <c r="E558" s="957" t="s">
        <v>4412</v>
      </c>
      <c r="F558" s="957" t="s">
        <v>4311</v>
      </c>
      <c r="G558" s="957" t="s">
        <v>4411</v>
      </c>
    </row>
    <row r="559" spans="1:7">
      <c r="A559" s="957" t="s">
        <v>4409</v>
      </c>
      <c r="B559" s="957" t="s">
        <v>4314</v>
      </c>
      <c r="C559" s="957" t="s">
        <v>4410</v>
      </c>
      <c r="D559" s="957" t="str">
        <f t="shared" si="8"/>
        <v>埼玉県富士見市</v>
      </c>
      <c r="E559" s="957" t="s">
        <v>4409</v>
      </c>
      <c r="F559" s="957" t="s">
        <v>4311</v>
      </c>
      <c r="G559" s="957" t="s">
        <v>4408</v>
      </c>
    </row>
    <row r="560" spans="1:7">
      <c r="A560" s="957" t="s">
        <v>4406</v>
      </c>
      <c r="B560" s="957" t="s">
        <v>4314</v>
      </c>
      <c r="C560" s="957" t="s">
        <v>4407</v>
      </c>
      <c r="D560" s="957" t="str">
        <f t="shared" si="8"/>
        <v>埼玉県三郷市</v>
      </c>
      <c r="E560" s="957" t="s">
        <v>4406</v>
      </c>
      <c r="F560" s="957" t="s">
        <v>4311</v>
      </c>
      <c r="G560" s="957" t="s">
        <v>4405</v>
      </c>
    </row>
    <row r="561" spans="1:7">
      <c r="A561" s="957" t="s">
        <v>4403</v>
      </c>
      <c r="B561" s="957" t="s">
        <v>4314</v>
      </c>
      <c r="C561" s="957" t="s">
        <v>4404</v>
      </c>
      <c r="D561" s="957" t="str">
        <f t="shared" si="8"/>
        <v>埼玉県蓮田市</v>
      </c>
      <c r="E561" s="957" t="s">
        <v>4403</v>
      </c>
      <c r="F561" s="957" t="s">
        <v>4311</v>
      </c>
      <c r="G561" s="957" t="s">
        <v>4402</v>
      </c>
    </row>
    <row r="562" spans="1:7">
      <c r="A562" s="957" t="s">
        <v>4400</v>
      </c>
      <c r="B562" s="957" t="s">
        <v>4314</v>
      </c>
      <c r="C562" s="957" t="s">
        <v>4401</v>
      </c>
      <c r="D562" s="957" t="str">
        <f t="shared" si="8"/>
        <v>埼玉県坂戸市</v>
      </c>
      <c r="E562" s="957" t="s">
        <v>4400</v>
      </c>
      <c r="F562" s="957" t="s">
        <v>4311</v>
      </c>
      <c r="G562" s="957" t="s">
        <v>4399</v>
      </c>
    </row>
    <row r="563" spans="1:7">
      <c r="A563" s="957" t="s">
        <v>4397</v>
      </c>
      <c r="B563" s="957" t="s">
        <v>4314</v>
      </c>
      <c r="C563" s="957" t="s">
        <v>4398</v>
      </c>
      <c r="D563" s="957" t="str">
        <f t="shared" si="8"/>
        <v>埼玉県幸手市</v>
      </c>
      <c r="E563" s="957" t="s">
        <v>4397</v>
      </c>
      <c r="F563" s="957" t="s">
        <v>4311</v>
      </c>
      <c r="G563" s="957" t="s">
        <v>4396</v>
      </c>
    </row>
    <row r="564" spans="1:7">
      <c r="A564" s="957" t="s">
        <v>4394</v>
      </c>
      <c r="B564" s="957" t="s">
        <v>4314</v>
      </c>
      <c r="C564" s="957" t="s">
        <v>4395</v>
      </c>
      <c r="D564" s="957" t="str">
        <f t="shared" si="8"/>
        <v>埼玉県鶴ヶ島市</v>
      </c>
      <c r="E564" s="957" t="s">
        <v>4394</v>
      </c>
      <c r="F564" s="957" t="s">
        <v>4311</v>
      </c>
      <c r="G564" s="957" t="s">
        <v>4393</v>
      </c>
    </row>
    <row r="565" spans="1:7">
      <c r="A565" s="957" t="s">
        <v>4391</v>
      </c>
      <c r="B565" s="957" t="s">
        <v>4314</v>
      </c>
      <c r="C565" s="957" t="s">
        <v>4392</v>
      </c>
      <c r="D565" s="957" t="str">
        <f t="shared" si="8"/>
        <v>埼玉県日高市</v>
      </c>
      <c r="E565" s="957" t="s">
        <v>4391</v>
      </c>
      <c r="F565" s="957" t="s">
        <v>4311</v>
      </c>
      <c r="G565" s="957" t="s">
        <v>4390</v>
      </c>
    </row>
    <row r="566" spans="1:7">
      <c r="A566" s="957" t="s">
        <v>4388</v>
      </c>
      <c r="B566" s="957" t="s">
        <v>4314</v>
      </c>
      <c r="C566" s="957" t="s">
        <v>4389</v>
      </c>
      <c r="D566" s="957" t="str">
        <f t="shared" si="8"/>
        <v>埼玉県吉川市</v>
      </c>
      <c r="E566" s="957" t="s">
        <v>4388</v>
      </c>
      <c r="F566" s="957" t="s">
        <v>4311</v>
      </c>
      <c r="G566" s="957" t="s">
        <v>4387</v>
      </c>
    </row>
    <row r="567" spans="1:7">
      <c r="A567" s="957" t="s">
        <v>4385</v>
      </c>
      <c r="B567" s="957" t="s">
        <v>4314</v>
      </c>
      <c r="C567" s="957" t="s">
        <v>4386</v>
      </c>
      <c r="D567" s="957" t="str">
        <f t="shared" si="8"/>
        <v>埼玉県ふじみ野市</v>
      </c>
      <c r="E567" s="957" t="s">
        <v>4385</v>
      </c>
      <c r="F567" s="957" t="s">
        <v>4311</v>
      </c>
      <c r="G567" s="957" t="s">
        <v>4384</v>
      </c>
    </row>
    <row r="568" spans="1:7">
      <c r="A568" s="957" t="s">
        <v>4382</v>
      </c>
      <c r="B568" s="957" t="s">
        <v>4379</v>
      </c>
      <c r="C568" s="957" t="s">
        <v>4383</v>
      </c>
      <c r="D568" s="957" t="str">
        <f t="shared" si="8"/>
        <v>埼玉県白岡市</v>
      </c>
      <c r="E568" s="957" t="s">
        <v>4382</v>
      </c>
      <c r="F568" s="957" t="s">
        <v>4381</v>
      </c>
      <c r="G568" s="957" t="s">
        <v>4380</v>
      </c>
    </row>
    <row r="569" spans="1:7">
      <c r="A569" s="957" t="s">
        <v>4377</v>
      </c>
      <c r="B569" s="957" t="s">
        <v>4379</v>
      </c>
      <c r="C569" s="957" t="s">
        <v>4378</v>
      </c>
      <c r="D569" s="957" t="str">
        <f t="shared" si="8"/>
        <v>埼玉県伊奈町</v>
      </c>
      <c r="E569" s="957" t="s">
        <v>4377</v>
      </c>
      <c r="F569" s="957" t="s">
        <v>4311</v>
      </c>
      <c r="G569" s="957" t="s">
        <v>4376</v>
      </c>
    </row>
    <row r="570" spans="1:7">
      <c r="A570" s="957" t="s">
        <v>4374</v>
      </c>
      <c r="B570" s="957" t="s">
        <v>4314</v>
      </c>
      <c r="C570" s="957" t="s">
        <v>4375</v>
      </c>
      <c r="D570" s="957" t="str">
        <f t="shared" si="8"/>
        <v>埼玉県三芳町</v>
      </c>
      <c r="E570" s="957" t="s">
        <v>4374</v>
      </c>
      <c r="F570" s="957" t="s">
        <v>4311</v>
      </c>
      <c r="G570" s="957" t="s">
        <v>4373</v>
      </c>
    </row>
    <row r="571" spans="1:7">
      <c r="A571" s="957" t="s">
        <v>4371</v>
      </c>
      <c r="B571" s="957" t="s">
        <v>4314</v>
      </c>
      <c r="C571" s="957" t="s">
        <v>4372</v>
      </c>
      <c r="D571" s="957" t="str">
        <f t="shared" si="8"/>
        <v>埼玉県毛呂山町</v>
      </c>
      <c r="E571" s="957" t="s">
        <v>4371</v>
      </c>
      <c r="F571" s="957" t="s">
        <v>4311</v>
      </c>
      <c r="G571" s="957" t="s">
        <v>4370</v>
      </c>
    </row>
    <row r="572" spans="1:7">
      <c r="A572" s="957" t="s">
        <v>4368</v>
      </c>
      <c r="B572" s="957" t="s">
        <v>4314</v>
      </c>
      <c r="C572" s="957" t="s">
        <v>4369</v>
      </c>
      <c r="D572" s="957" t="str">
        <f t="shared" si="8"/>
        <v>埼玉県越生町</v>
      </c>
      <c r="E572" s="957" t="s">
        <v>4368</v>
      </c>
      <c r="F572" s="957" t="s">
        <v>4311</v>
      </c>
      <c r="G572" s="957" t="s">
        <v>4367</v>
      </c>
    </row>
    <row r="573" spans="1:7">
      <c r="A573" s="957" t="s">
        <v>4365</v>
      </c>
      <c r="B573" s="957" t="s">
        <v>4314</v>
      </c>
      <c r="C573" s="957" t="s">
        <v>4366</v>
      </c>
      <c r="D573" s="957" t="str">
        <f t="shared" si="8"/>
        <v>埼玉県滑川町</v>
      </c>
      <c r="E573" s="957" t="s">
        <v>4365</v>
      </c>
      <c r="F573" s="957" t="s">
        <v>4311</v>
      </c>
      <c r="G573" s="957" t="s">
        <v>4364</v>
      </c>
    </row>
    <row r="574" spans="1:7">
      <c r="A574" s="957" t="s">
        <v>4362</v>
      </c>
      <c r="B574" s="957" t="s">
        <v>4314</v>
      </c>
      <c r="C574" s="957" t="s">
        <v>4363</v>
      </c>
      <c r="D574" s="957" t="str">
        <f t="shared" si="8"/>
        <v>埼玉県嵐山町</v>
      </c>
      <c r="E574" s="957" t="s">
        <v>4362</v>
      </c>
      <c r="F574" s="957" t="s">
        <v>4311</v>
      </c>
      <c r="G574" s="957" t="s">
        <v>4361</v>
      </c>
    </row>
    <row r="575" spans="1:7">
      <c r="A575" s="957" t="s">
        <v>4359</v>
      </c>
      <c r="B575" s="957" t="s">
        <v>4314</v>
      </c>
      <c r="C575" s="957" t="s">
        <v>4360</v>
      </c>
      <c r="D575" s="957" t="str">
        <f t="shared" si="8"/>
        <v>埼玉県小川町</v>
      </c>
      <c r="E575" s="957" t="s">
        <v>4359</v>
      </c>
      <c r="F575" s="957" t="s">
        <v>4311</v>
      </c>
      <c r="G575" s="957" t="s">
        <v>4358</v>
      </c>
    </row>
    <row r="576" spans="1:7">
      <c r="A576" s="957" t="s">
        <v>4356</v>
      </c>
      <c r="B576" s="957" t="s">
        <v>4314</v>
      </c>
      <c r="C576" s="957" t="s">
        <v>4357</v>
      </c>
      <c r="D576" s="957" t="str">
        <f t="shared" si="8"/>
        <v>埼玉県川島町</v>
      </c>
      <c r="E576" s="957" t="s">
        <v>4356</v>
      </c>
      <c r="F576" s="957" t="s">
        <v>4311</v>
      </c>
      <c r="G576" s="957" t="s">
        <v>4355</v>
      </c>
    </row>
    <row r="577" spans="1:7">
      <c r="A577" s="957" t="s">
        <v>4353</v>
      </c>
      <c r="B577" s="957" t="s">
        <v>4314</v>
      </c>
      <c r="C577" s="957" t="s">
        <v>4354</v>
      </c>
      <c r="D577" s="957" t="str">
        <f t="shared" si="8"/>
        <v>埼玉県吉見町</v>
      </c>
      <c r="E577" s="957" t="s">
        <v>4353</v>
      </c>
      <c r="F577" s="957" t="s">
        <v>4311</v>
      </c>
      <c r="G577" s="957" t="s">
        <v>4352</v>
      </c>
    </row>
    <row r="578" spans="1:7">
      <c r="A578" s="957" t="s">
        <v>4350</v>
      </c>
      <c r="B578" s="957" t="s">
        <v>4314</v>
      </c>
      <c r="C578" s="957" t="s">
        <v>4351</v>
      </c>
      <c r="D578" s="957" t="str">
        <f t="shared" si="8"/>
        <v>埼玉県鳩山町</v>
      </c>
      <c r="E578" s="957" t="s">
        <v>4350</v>
      </c>
      <c r="F578" s="957" t="s">
        <v>4311</v>
      </c>
      <c r="G578" s="957" t="s">
        <v>4349</v>
      </c>
    </row>
    <row r="579" spans="1:7">
      <c r="A579" s="957" t="s">
        <v>4347</v>
      </c>
      <c r="B579" s="957" t="s">
        <v>4314</v>
      </c>
      <c r="C579" s="957" t="s">
        <v>4348</v>
      </c>
      <c r="D579" s="957" t="str">
        <f t="shared" ref="D579:D642" si="9">B579&amp;C579</f>
        <v>埼玉県ときがわ町</v>
      </c>
      <c r="E579" s="957" t="s">
        <v>4347</v>
      </c>
      <c r="F579" s="957" t="s">
        <v>4311</v>
      </c>
      <c r="G579" s="957" t="s">
        <v>4346</v>
      </c>
    </row>
    <row r="580" spans="1:7">
      <c r="A580" s="957" t="s">
        <v>4344</v>
      </c>
      <c r="B580" s="957" t="s">
        <v>4314</v>
      </c>
      <c r="C580" s="957" t="s">
        <v>4345</v>
      </c>
      <c r="D580" s="957" t="str">
        <f t="shared" si="9"/>
        <v>埼玉県横瀬町</v>
      </c>
      <c r="E580" s="957" t="s">
        <v>4344</v>
      </c>
      <c r="F580" s="957" t="s">
        <v>4311</v>
      </c>
      <c r="G580" s="957" t="s">
        <v>4343</v>
      </c>
    </row>
    <row r="581" spans="1:7">
      <c r="A581" s="957" t="s">
        <v>4341</v>
      </c>
      <c r="B581" s="957" t="s">
        <v>4314</v>
      </c>
      <c r="C581" s="957" t="s">
        <v>4342</v>
      </c>
      <c r="D581" s="957" t="str">
        <f t="shared" si="9"/>
        <v>埼玉県皆野町</v>
      </c>
      <c r="E581" s="957" t="s">
        <v>4341</v>
      </c>
      <c r="F581" s="957" t="s">
        <v>4311</v>
      </c>
      <c r="G581" s="957" t="s">
        <v>4340</v>
      </c>
    </row>
    <row r="582" spans="1:7">
      <c r="A582" s="957" t="s">
        <v>4338</v>
      </c>
      <c r="B582" s="957" t="s">
        <v>4314</v>
      </c>
      <c r="C582" s="957" t="s">
        <v>4339</v>
      </c>
      <c r="D582" s="957" t="str">
        <f t="shared" si="9"/>
        <v>埼玉県長瀞町</v>
      </c>
      <c r="E582" s="957" t="s">
        <v>4338</v>
      </c>
      <c r="F582" s="957" t="s">
        <v>4311</v>
      </c>
      <c r="G582" s="957" t="s">
        <v>4337</v>
      </c>
    </row>
    <row r="583" spans="1:7">
      <c r="A583" s="957" t="s">
        <v>4335</v>
      </c>
      <c r="B583" s="957" t="s">
        <v>4314</v>
      </c>
      <c r="C583" s="957" t="s">
        <v>4336</v>
      </c>
      <c r="D583" s="957" t="str">
        <f t="shared" si="9"/>
        <v>埼玉県小鹿野町</v>
      </c>
      <c r="E583" s="957" t="s">
        <v>4335</v>
      </c>
      <c r="F583" s="957" t="s">
        <v>4311</v>
      </c>
      <c r="G583" s="957" t="s">
        <v>4334</v>
      </c>
    </row>
    <row r="584" spans="1:7">
      <c r="A584" s="957" t="s">
        <v>4332</v>
      </c>
      <c r="B584" s="957" t="s">
        <v>4314</v>
      </c>
      <c r="C584" s="957" t="s">
        <v>4333</v>
      </c>
      <c r="D584" s="957" t="str">
        <f t="shared" si="9"/>
        <v>埼玉県東秩父村</v>
      </c>
      <c r="E584" s="957" t="s">
        <v>4332</v>
      </c>
      <c r="F584" s="957" t="s">
        <v>4311</v>
      </c>
      <c r="G584" s="957" t="s">
        <v>4331</v>
      </c>
    </row>
    <row r="585" spans="1:7">
      <c r="A585" s="957" t="s">
        <v>4330</v>
      </c>
      <c r="B585" s="957" t="s">
        <v>4314</v>
      </c>
      <c r="C585" s="957" t="s">
        <v>1159</v>
      </c>
      <c r="D585" s="957" t="str">
        <f t="shared" si="9"/>
        <v>埼玉県美里町</v>
      </c>
      <c r="E585" s="957" t="s">
        <v>4330</v>
      </c>
      <c r="F585" s="957" t="s">
        <v>4311</v>
      </c>
      <c r="G585" s="957" t="s">
        <v>1157</v>
      </c>
    </row>
    <row r="586" spans="1:7">
      <c r="A586" s="957" t="s">
        <v>4328</v>
      </c>
      <c r="B586" s="957" t="s">
        <v>4314</v>
      </c>
      <c r="C586" s="957" t="s">
        <v>4329</v>
      </c>
      <c r="D586" s="957" t="str">
        <f t="shared" si="9"/>
        <v>埼玉県神川町</v>
      </c>
      <c r="E586" s="957" t="s">
        <v>4328</v>
      </c>
      <c r="F586" s="957" t="s">
        <v>4311</v>
      </c>
      <c r="G586" s="957" t="s">
        <v>4327</v>
      </c>
    </row>
    <row r="587" spans="1:7">
      <c r="A587" s="957" t="s">
        <v>4325</v>
      </c>
      <c r="B587" s="957" t="s">
        <v>4314</v>
      </c>
      <c r="C587" s="957" t="s">
        <v>4326</v>
      </c>
      <c r="D587" s="957" t="str">
        <f t="shared" si="9"/>
        <v>埼玉県上里町</v>
      </c>
      <c r="E587" s="957" t="s">
        <v>4325</v>
      </c>
      <c r="F587" s="957" t="s">
        <v>4311</v>
      </c>
      <c r="G587" s="957" t="s">
        <v>4324</v>
      </c>
    </row>
    <row r="588" spans="1:7">
      <c r="A588" s="957" t="s">
        <v>4322</v>
      </c>
      <c r="B588" s="957" t="s">
        <v>4314</v>
      </c>
      <c r="C588" s="957" t="s">
        <v>4323</v>
      </c>
      <c r="D588" s="957" t="str">
        <f t="shared" si="9"/>
        <v>埼玉県寄居町</v>
      </c>
      <c r="E588" s="957" t="s">
        <v>4322</v>
      </c>
      <c r="F588" s="957" t="s">
        <v>4311</v>
      </c>
      <c r="G588" s="957" t="s">
        <v>4321</v>
      </c>
    </row>
    <row r="589" spans="1:7">
      <c r="A589" s="957" t="s">
        <v>4319</v>
      </c>
      <c r="B589" s="957" t="s">
        <v>4314</v>
      </c>
      <c r="C589" s="957" t="s">
        <v>4320</v>
      </c>
      <c r="D589" s="957" t="str">
        <f t="shared" si="9"/>
        <v>埼玉県宮代町</v>
      </c>
      <c r="E589" s="957" t="s">
        <v>4319</v>
      </c>
      <c r="F589" s="957" t="s">
        <v>4311</v>
      </c>
      <c r="G589" s="957" t="s">
        <v>4318</v>
      </c>
    </row>
    <row r="590" spans="1:7">
      <c r="A590" s="957" t="s">
        <v>4316</v>
      </c>
      <c r="B590" s="957" t="s">
        <v>4314</v>
      </c>
      <c r="C590" s="957" t="s">
        <v>4317</v>
      </c>
      <c r="D590" s="957" t="str">
        <f t="shared" si="9"/>
        <v>埼玉県杉戸町</v>
      </c>
      <c r="E590" s="957" t="s">
        <v>4316</v>
      </c>
      <c r="F590" s="957" t="s">
        <v>4311</v>
      </c>
      <c r="G590" s="957" t="s">
        <v>4315</v>
      </c>
    </row>
    <row r="591" spans="1:7">
      <c r="A591" s="957" t="s">
        <v>4312</v>
      </c>
      <c r="B591" s="957" t="s">
        <v>4314</v>
      </c>
      <c r="C591" s="957" t="s">
        <v>4313</v>
      </c>
      <c r="D591" s="957" t="str">
        <f t="shared" si="9"/>
        <v>埼玉県松伏町</v>
      </c>
      <c r="E591" s="957" t="s">
        <v>4312</v>
      </c>
      <c r="F591" s="957" t="s">
        <v>4311</v>
      </c>
      <c r="G591" s="957" t="s">
        <v>4310</v>
      </c>
    </row>
    <row r="592" spans="1:7">
      <c r="A592" s="960" t="s">
        <v>4308</v>
      </c>
      <c r="B592" s="960" t="s">
        <v>4309</v>
      </c>
      <c r="C592" s="960" t="s">
        <v>4309</v>
      </c>
      <c r="D592" s="960" t="str">
        <f t="shared" si="9"/>
        <v>千葉県千葉県</v>
      </c>
      <c r="E592" s="960" t="s">
        <v>4308</v>
      </c>
      <c r="F592" s="959" t="s">
        <v>4307</v>
      </c>
      <c r="G592" s="958"/>
    </row>
    <row r="593" spans="1:7">
      <c r="A593" s="957" t="s">
        <v>4305</v>
      </c>
      <c r="B593" s="957" t="s">
        <v>4147</v>
      </c>
      <c r="C593" s="957" t="s">
        <v>4306</v>
      </c>
      <c r="D593" s="957" t="str">
        <f t="shared" si="9"/>
        <v>千葉県千葉市</v>
      </c>
      <c r="E593" s="957" t="s">
        <v>4305</v>
      </c>
      <c r="F593" s="957" t="s">
        <v>4144</v>
      </c>
      <c r="G593" s="957" t="s">
        <v>4304</v>
      </c>
    </row>
    <row r="594" spans="1:7">
      <c r="A594" s="957" t="s">
        <v>4302</v>
      </c>
      <c r="B594" s="957" t="s">
        <v>4147</v>
      </c>
      <c r="C594" s="957" t="s">
        <v>4303</v>
      </c>
      <c r="D594" s="957" t="str">
        <f t="shared" si="9"/>
        <v>千葉県銚子市</v>
      </c>
      <c r="E594" s="957" t="s">
        <v>4302</v>
      </c>
      <c r="F594" s="957" t="s">
        <v>4144</v>
      </c>
      <c r="G594" s="957" t="s">
        <v>4301</v>
      </c>
    </row>
    <row r="595" spans="1:7">
      <c r="A595" s="957" t="s">
        <v>4299</v>
      </c>
      <c r="B595" s="957" t="s">
        <v>4147</v>
      </c>
      <c r="C595" s="957" t="s">
        <v>4300</v>
      </c>
      <c r="D595" s="957" t="str">
        <f t="shared" si="9"/>
        <v>千葉県市川市</v>
      </c>
      <c r="E595" s="957" t="s">
        <v>4299</v>
      </c>
      <c r="F595" s="957" t="s">
        <v>4144</v>
      </c>
      <c r="G595" s="957" t="s">
        <v>4298</v>
      </c>
    </row>
    <row r="596" spans="1:7">
      <c r="A596" s="957" t="s">
        <v>4296</v>
      </c>
      <c r="B596" s="957" t="s">
        <v>4147</v>
      </c>
      <c r="C596" s="957" t="s">
        <v>4297</v>
      </c>
      <c r="D596" s="957" t="str">
        <f t="shared" si="9"/>
        <v>千葉県船橋市</v>
      </c>
      <c r="E596" s="957" t="s">
        <v>4296</v>
      </c>
      <c r="F596" s="957" t="s">
        <v>4144</v>
      </c>
      <c r="G596" s="957" t="s">
        <v>4295</v>
      </c>
    </row>
    <row r="597" spans="1:7">
      <c r="A597" s="957" t="s">
        <v>4293</v>
      </c>
      <c r="B597" s="957" t="s">
        <v>4147</v>
      </c>
      <c r="C597" s="957" t="s">
        <v>4294</v>
      </c>
      <c r="D597" s="957" t="str">
        <f t="shared" si="9"/>
        <v>千葉県館山市</v>
      </c>
      <c r="E597" s="957" t="s">
        <v>4293</v>
      </c>
      <c r="F597" s="957" t="s">
        <v>4144</v>
      </c>
      <c r="G597" s="957" t="s">
        <v>4292</v>
      </c>
    </row>
    <row r="598" spans="1:7">
      <c r="A598" s="957" t="s">
        <v>4290</v>
      </c>
      <c r="B598" s="957" t="s">
        <v>4147</v>
      </c>
      <c r="C598" s="957" t="s">
        <v>4291</v>
      </c>
      <c r="D598" s="957" t="str">
        <f t="shared" si="9"/>
        <v>千葉県木更津市</v>
      </c>
      <c r="E598" s="957" t="s">
        <v>4290</v>
      </c>
      <c r="F598" s="957" t="s">
        <v>4144</v>
      </c>
      <c r="G598" s="957" t="s">
        <v>4289</v>
      </c>
    </row>
    <row r="599" spans="1:7">
      <c r="A599" s="957" t="s">
        <v>4287</v>
      </c>
      <c r="B599" s="957" t="s">
        <v>4147</v>
      </c>
      <c r="C599" s="957" t="s">
        <v>4288</v>
      </c>
      <c r="D599" s="957" t="str">
        <f t="shared" si="9"/>
        <v>千葉県松戸市</v>
      </c>
      <c r="E599" s="957" t="s">
        <v>4287</v>
      </c>
      <c r="F599" s="957" t="s">
        <v>4144</v>
      </c>
      <c r="G599" s="957" t="s">
        <v>4286</v>
      </c>
    </row>
    <row r="600" spans="1:7">
      <c r="A600" s="957" t="s">
        <v>4284</v>
      </c>
      <c r="B600" s="957" t="s">
        <v>4147</v>
      </c>
      <c r="C600" s="957" t="s">
        <v>4285</v>
      </c>
      <c r="D600" s="957" t="str">
        <f t="shared" si="9"/>
        <v>千葉県野田市</v>
      </c>
      <c r="E600" s="957" t="s">
        <v>4284</v>
      </c>
      <c r="F600" s="957" t="s">
        <v>4144</v>
      </c>
      <c r="G600" s="957" t="s">
        <v>4283</v>
      </c>
    </row>
    <row r="601" spans="1:7">
      <c r="A601" s="957" t="s">
        <v>4281</v>
      </c>
      <c r="B601" s="957" t="s">
        <v>4147</v>
      </c>
      <c r="C601" s="957" t="s">
        <v>4282</v>
      </c>
      <c r="D601" s="957" t="str">
        <f t="shared" si="9"/>
        <v>千葉県茂原市</v>
      </c>
      <c r="E601" s="957" t="s">
        <v>4281</v>
      </c>
      <c r="F601" s="957" t="s">
        <v>4144</v>
      </c>
      <c r="G601" s="957" t="s">
        <v>4280</v>
      </c>
    </row>
    <row r="602" spans="1:7">
      <c r="A602" s="957" t="s">
        <v>4278</v>
      </c>
      <c r="B602" s="957" t="s">
        <v>4147</v>
      </c>
      <c r="C602" s="957" t="s">
        <v>4279</v>
      </c>
      <c r="D602" s="957" t="str">
        <f t="shared" si="9"/>
        <v>千葉県成田市</v>
      </c>
      <c r="E602" s="957" t="s">
        <v>4278</v>
      </c>
      <c r="F602" s="957" t="s">
        <v>4144</v>
      </c>
      <c r="G602" s="957" t="s">
        <v>4277</v>
      </c>
    </row>
    <row r="603" spans="1:7">
      <c r="A603" s="957" t="s">
        <v>4275</v>
      </c>
      <c r="B603" s="957" t="s">
        <v>4147</v>
      </c>
      <c r="C603" s="957" t="s">
        <v>4276</v>
      </c>
      <c r="D603" s="957" t="str">
        <f t="shared" si="9"/>
        <v>千葉県佐倉市</v>
      </c>
      <c r="E603" s="957" t="s">
        <v>4275</v>
      </c>
      <c r="F603" s="957" t="s">
        <v>4144</v>
      </c>
      <c r="G603" s="957" t="s">
        <v>4274</v>
      </c>
    </row>
    <row r="604" spans="1:7">
      <c r="A604" s="957" t="s">
        <v>4272</v>
      </c>
      <c r="B604" s="957" t="s">
        <v>4147</v>
      </c>
      <c r="C604" s="957" t="s">
        <v>4273</v>
      </c>
      <c r="D604" s="957" t="str">
        <f t="shared" si="9"/>
        <v>千葉県東金市</v>
      </c>
      <c r="E604" s="957" t="s">
        <v>4272</v>
      </c>
      <c r="F604" s="957" t="s">
        <v>4144</v>
      </c>
      <c r="G604" s="957" t="s">
        <v>4271</v>
      </c>
    </row>
    <row r="605" spans="1:7">
      <c r="A605" s="957" t="s">
        <v>4269</v>
      </c>
      <c r="B605" s="957" t="s">
        <v>4147</v>
      </c>
      <c r="C605" s="957" t="s">
        <v>4270</v>
      </c>
      <c r="D605" s="957" t="str">
        <f t="shared" si="9"/>
        <v>千葉県旭市</v>
      </c>
      <c r="E605" s="957" t="s">
        <v>4269</v>
      </c>
      <c r="F605" s="957" t="s">
        <v>4144</v>
      </c>
      <c r="G605" s="957" t="s">
        <v>4268</v>
      </c>
    </row>
    <row r="606" spans="1:7">
      <c r="A606" s="957" t="s">
        <v>4266</v>
      </c>
      <c r="B606" s="957" t="s">
        <v>4147</v>
      </c>
      <c r="C606" s="957" t="s">
        <v>4267</v>
      </c>
      <c r="D606" s="957" t="str">
        <f t="shared" si="9"/>
        <v>千葉県習志野市</v>
      </c>
      <c r="E606" s="957" t="s">
        <v>4266</v>
      </c>
      <c r="F606" s="957" t="s">
        <v>4144</v>
      </c>
      <c r="G606" s="957" t="s">
        <v>4265</v>
      </c>
    </row>
    <row r="607" spans="1:7">
      <c r="A607" s="957" t="s">
        <v>4263</v>
      </c>
      <c r="B607" s="957" t="s">
        <v>4147</v>
      </c>
      <c r="C607" s="957" t="s">
        <v>4264</v>
      </c>
      <c r="D607" s="957" t="str">
        <f t="shared" si="9"/>
        <v>千葉県柏市</v>
      </c>
      <c r="E607" s="957" t="s">
        <v>4263</v>
      </c>
      <c r="F607" s="957" t="s">
        <v>4144</v>
      </c>
      <c r="G607" s="957" t="s">
        <v>4262</v>
      </c>
    </row>
    <row r="608" spans="1:7">
      <c r="A608" s="957" t="s">
        <v>4260</v>
      </c>
      <c r="B608" s="957" t="s">
        <v>4147</v>
      </c>
      <c r="C608" s="957" t="s">
        <v>4261</v>
      </c>
      <c r="D608" s="957" t="str">
        <f t="shared" si="9"/>
        <v>千葉県勝浦市</v>
      </c>
      <c r="E608" s="957" t="s">
        <v>4260</v>
      </c>
      <c r="F608" s="957" t="s">
        <v>4144</v>
      </c>
      <c r="G608" s="957" t="s">
        <v>4259</v>
      </c>
    </row>
    <row r="609" spans="1:7">
      <c r="A609" s="957" t="s">
        <v>4257</v>
      </c>
      <c r="B609" s="957" t="s">
        <v>4147</v>
      </c>
      <c r="C609" s="957" t="s">
        <v>4258</v>
      </c>
      <c r="D609" s="957" t="str">
        <f t="shared" si="9"/>
        <v>千葉県市原市</v>
      </c>
      <c r="E609" s="957" t="s">
        <v>4257</v>
      </c>
      <c r="F609" s="957" t="s">
        <v>4144</v>
      </c>
      <c r="G609" s="957" t="s">
        <v>4256</v>
      </c>
    </row>
    <row r="610" spans="1:7">
      <c r="A610" s="957" t="s">
        <v>4254</v>
      </c>
      <c r="B610" s="957" t="s">
        <v>4147</v>
      </c>
      <c r="C610" s="957" t="s">
        <v>4255</v>
      </c>
      <c r="D610" s="957" t="str">
        <f t="shared" si="9"/>
        <v>千葉県流山市</v>
      </c>
      <c r="E610" s="957" t="s">
        <v>4254</v>
      </c>
      <c r="F610" s="957" t="s">
        <v>4144</v>
      </c>
      <c r="G610" s="957" t="s">
        <v>4253</v>
      </c>
    </row>
    <row r="611" spans="1:7">
      <c r="A611" s="957" t="s">
        <v>4251</v>
      </c>
      <c r="B611" s="957" t="s">
        <v>4147</v>
      </c>
      <c r="C611" s="957" t="s">
        <v>4252</v>
      </c>
      <c r="D611" s="957" t="str">
        <f t="shared" si="9"/>
        <v>千葉県八千代市</v>
      </c>
      <c r="E611" s="957" t="s">
        <v>4251</v>
      </c>
      <c r="F611" s="957" t="s">
        <v>4144</v>
      </c>
      <c r="G611" s="957" t="s">
        <v>4250</v>
      </c>
    </row>
    <row r="612" spans="1:7">
      <c r="A612" s="957" t="s">
        <v>4248</v>
      </c>
      <c r="B612" s="957" t="s">
        <v>4147</v>
      </c>
      <c r="C612" s="957" t="s">
        <v>4249</v>
      </c>
      <c r="D612" s="957" t="str">
        <f t="shared" si="9"/>
        <v>千葉県我孫子市</v>
      </c>
      <c r="E612" s="957" t="s">
        <v>4248</v>
      </c>
      <c r="F612" s="957" t="s">
        <v>4144</v>
      </c>
      <c r="G612" s="957" t="s">
        <v>4247</v>
      </c>
    </row>
    <row r="613" spans="1:7">
      <c r="A613" s="957" t="s">
        <v>4245</v>
      </c>
      <c r="B613" s="957" t="s">
        <v>4147</v>
      </c>
      <c r="C613" s="957" t="s">
        <v>4246</v>
      </c>
      <c r="D613" s="957" t="str">
        <f t="shared" si="9"/>
        <v>千葉県鴨川市</v>
      </c>
      <c r="E613" s="957" t="s">
        <v>4245</v>
      </c>
      <c r="F613" s="957" t="s">
        <v>4144</v>
      </c>
      <c r="G613" s="957" t="s">
        <v>4244</v>
      </c>
    </row>
    <row r="614" spans="1:7">
      <c r="A614" s="957" t="s">
        <v>4242</v>
      </c>
      <c r="B614" s="957" t="s">
        <v>4147</v>
      </c>
      <c r="C614" s="957" t="s">
        <v>4243</v>
      </c>
      <c r="D614" s="957" t="str">
        <f t="shared" si="9"/>
        <v>千葉県鎌ケ谷市</v>
      </c>
      <c r="E614" s="957" t="s">
        <v>4242</v>
      </c>
      <c r="F614" s="957" t="s">
        <v>4144</v>
      </c>
      <c r="G614" s="957" t="s">
        <v>4241</v>
      </c>
    </row>
    <row r="615" spans="1:7">
      <c r="A615" s="957" t="s">
        <v>4239</v>
      </c>
      <c r="B615" s="957" t="s">
        <v>4147</v>
      </c>
      <c r="C615" s="957" t="s">
        <v>4240</v>
      </c>
      <c r="D615" s="957" t="str">
        <f t="shared" si="9"/>
        <v>千葉県君津市</v>
      </c>
      <c r="E615" s="957" t="s">
        <v>4239</v>
      </c>
      <c r="F615" s="957" t="s">
        <v>4144</v>
      </c>
      <c r="G615" s="957" t="s">
        <v>4238</v>
      </c>
    </row>
    <row r="616" spans="1:7">
      <c r="A616" s="957" t="s">
        <v>4236</v>
      </c>
      <c r="B616" s="957" t="s">
        <v>4147</v>
      </c>
      <c r="C616" s="957" t="s">
        <v>4237</v>
      </c>
      <c r="D616" s="957" t="str">
        <f t="shared" si="9"/>
        <v>千葉県富津市</v>
      </c>
      <c r="E616" s="957" t="s">
        <v>4236</v>
      </c>
      <c r="F616" s="957" t="s">
        <v>4144</v>
      </c>
      <c r="G616" s="957" t="s">
        <v>4235</v>
      </c>
    </row>
    <row r="617" spans="1:7">
      <c r="A617" s="957" t="s">
        <v>4233</v>
      </c>
      <c r="B617" s="957" t="s">
        <v>4147</v>
      </c>
      <c r="C617" s="957" t="s">
        <v>4234</v>
      </c>
      <c r="D617" s="957" t="str">
        <f t="shared" si="9"/>
        <v>千葉県浦安市</v>
      </c>
      <c r="E617" s="957" t="s">
        <v>4233</v>
      </c>
      <c r="F617" s="957" t="s">
        <v>4144</v>
      </c>
      <c r="G617" s="957" t="s">
        <v>4232</v>
      </c>
    </row>
    <row r="618" spans="1:7">
      <c r="A618" s="957" t="s">
        <v>4230</v>
      </c>
      <c r="B618" s="957" t="s">
        <v>4147</v>
      </c>
      <c r="C618" s="957" t="s">
        <v>4231</v>
      </c>
      <c r="D618" s="957" t="str">
        <f t="shared" si="9"/>
        <v>千葉県四街道市</v>
      </c>
      <c r="E618" s="957" t="s">
        <v>4230</v>
      </c>
      <c r="F618" s="957" t="s">
        <v>4144</v>
      </c>
      <c r="G618" s="957" t="s">
        <v>4229</v>
      </c>
    </row>
    <row r="619" spans="1:7">
      <c r="A619" s="957" t="s">
        <v>4227</v>
      </c>
      <c r="B619" s="957" t="s">
        <v>4147</v>
      </c>
      <c r="C619" s="957" t="s">
        <v>4228</v>
      </c>
      <c r="D619" s="957" t="str">
        <f t="shared" si="9"/>
        <v>千葉県袖ケ浦市</v>
      </c>
      <c r="E619" s="957" t="s">
        <v>4227</v>
      </c>
      <c r="F619" s="957" t="s">
        <v>4144</v>
      </c>
      <c r="G619" s="957" t="s">
        <v>4226</v>
      </c>
    </row>
    <row r="620" spans="1:7">
      <c r="A620" s="957" t="s">
        <v>4224</v>
      </c>
      <c r="B620" s="957" t="s">
        <v>4147</v>
      </c>
      <c r="C620" s="957" t="s">
        <v>4225</v>
      </c>
      <c r="D620" s="957" t="str">
        <f t="shared" si="9"/>
        <v>千葉県八街市</v>
      </c>
      <c r="E620" s="957" t="s">
        <v>4224</v>
      </c>
      <c r="F620" s="957" t="s">
        <v>4144</v>
      </c>
      <c r="G620" s="957" t="s">
        <v>4223</v>
      </c>
    </row>
    <row r="621" spans="1:7">
      <c r="A621" s="957" t="s">
        <v>4221</v>
      </c>
      <c r="B621" s="957" t="s">
        <v>4147</v>
      </c>
      <c r="C621" s="957" t="s">
        <v>4222</v>
      </c>
      <c r="D621" s="957" t="str">
        <f t="shared" si="9"/>
        <v>千葉県印西市</v>
      </c>
      <c r="E621" s="957" t="s">
        <v>4221</v>
      </c>
      <c r="F621" s="957" t="s">
        <v>4144</v>
      </c>
      <c r="G621" s="957" t="s">
        <v>4220</v>
      </c>
    </row>
    <row r="622" spans="1:7">
      <c r="A622" s="957" t="s">
        <v>4218</v>
      </c>
      <c r="B622" s="957" t="s">
        <v>4147</v>
      </c>
      <c r="C622" s="957" t="s">
        <v>4219</v>
      </c>
      <c r="D622" s="957" t="str">
        <f t="shared" si="9"/>
        <v>千葉県白井市</v>
      </c>
      <c r="E622" s="957" t="s">
        <v>4218</v>
      </c>
      <c r="F622" s="957" t="s">
        <v>4144</v>
      </c>
      <c r="G622" s="957" t="s">
        <v>4217</v>
      </c>
    </row>
    <row r="623" spans="1:7">
      <c r="A623" s="957" t="s">
        <v>4215</v>
      </c>
      <c r="B623" s="957" t="s">
        <v>4147</v>
      </c>
      <c r="C623" s="957" t="s">
        <v>4216</v>
      </c>
      <c r="D623" s="957" t="str">
        <f t="shared" si="9"/>
        <v>千葉県富里市</v>
      </c>
      <c r="E623" s="957" t="s">
        <v>4215</v>
      </c>
      <c r="F623" s="957" t="s">
        <v>4144</v>
      </c>
      <c r="G623" s="957" t="s">
        <v>4214</v>
      </c>
    </row>
    <row r="624" spans="1:7">
      <c r="A624" s="957" t="s">
        <v>4212</v>
      </c>
      <c r="B624" s="957" t="s">
        <v>4147</v>
      </c>
      <c r="C624" s="957" t="s">
        <v>4213</v>
      </c>
      <c r="D624" s="957" t="str">
        <f t="shared" si="9"/>
        <v>千葉県南房総市</v>
      </c>
      <c r="E624" s="957" t="s">
        <v>4212</v>
      </c>
      <c r="F624" s="957" t="s">
        <v>4144</v>
      </c>
      <c r="G624" s="957" t="s">
        <v>4211</v>
      </c>
    </row>
    <row r="625" spans="1:7">
      <c r="A625" s="957" t="s">
        <v>4209</v>
      </c>
      <c r="B625" s="957" t="s">
        <v>4147</v>
      </c>
      <c r="C625" s="957" t="s">
        <v>4210</v>
      </c>
      <c r="D625" s="957" t="str">
        <f t="shared" si="9"/>
        <v>千葉県匝瑳市</v>
      </c>
      <c r="E625" s="957" t="s">
        <v>4209</v>
      </c>
      <c r="F625" s="957" t="s">
        <v>4144</v>
      </c>
      <c r="G625" s="957" t="s">
        <v>4208</v>
      </c>
    </row>
    <row r="626" spans="1:7">
      <c r="A626" s="957" t="s">
        <v>4206</v>
      </c>
      <c r="B626" s="957" t="s">
        <v>4147</v>
      </c>
      <c r="C626" s="957" t="s">
        <v>4207</v>
      </c>
      <c r="D626" s="957" t="str">
        <f t="shared" si="9"/>
        <v>千葉県香取市</v>
      </c>
      <c r="E626" s="957" t="s">
        <v>4206</v>
      </c>
      <c r="F626" s="957" t="s">
        <v>4144</v>
      </c>
      <c r="G626" s="957" t="s">
        <v>4205</v>
      </c>
    </row>
    <row r="627" spans="1:7">
      <c r="A627" s="957" t="s">
        <v>4203</v>
      </c>
      <c r="B627" s="957" t="s">
        <v>4147</v>
      </c>
      <c r="C627" s="957" t="s">
        <v>4204</v>
      </c>
      <c r="D627" s="957" t="str">
        <f t="shared" si="9"/>
        <v>千葉県山武市</v>
      </c>
      <c r="E627" s="957" t="s">
        <v>4203</v>
      </c>
      <c r="F627" s="957" t="s">
        <v>4144</v>
      </c>
      <c r="G627" s="957" t="s">
        <v>4202</v>
      </c>
    </row>
    <row r="628" spans="1:7">
      <c r="A628" s="957" t="s">
        <v>4200</v>
      </c>
      <c r="B628" s="957" t="s">
        <v>4147</v>
      </c>
      <c r="C628" s="957" t="s">
        <v>4201</v>
      </c>
      <c r="D628" s="957" t="str">
        <f t="shared" si="9"/>
        <v>千葉県いすみ市</v>
      </c>
      <c r="E628" s="957" t="s">
        <v>4200</v>
      </c>
      <c r="F628" s="957" t="s">
        <v>4144</v>
      </c>
      <c r="G628" s="957" t="s">
        <v>4199</v>
      </c>
    </row>
    <row r="629" spans="1:7">
      <c r="A629" s="957" t="s">
        <v>4197</v>
      </c>
      <c r="B629" s="957" t="s">
        <v>4147</v>
      </c>
      <c r="C629" s="957" t="s">
        <v>4198</v>
      </c>
      <c r="D629" s="957" t="str">
        <f t="shared" si="9"/>
        <v>千葉県大網白里市</v>
      </c>
      <c r="E629" s="957" t="s">
        <v>4197</v>
      </c>
      <c r="F629" s="957" t="s">
        <v>4144</v>
      </c>
      <c r="G629" s="957" t="s">
        <v>4196</v>
      </c>
    </row>
    <row r="630" spans="1:7">
      <c r="A630" s="957" t="s">
        <v>4194</v>
      </c>
      <c r="B630" s="957" t="s">
        <v>4147</v>
      </c>
      <c r="C630" s="957" t="s">
        <v>4195</v>
      </c>
      <c r="D630" s="957" t="str">
        <f t="shared" si="9"/>
        <v>千葉県酒々井町</v>
      </c>
      <c r="E630" s="957" t="s">
        <v>4194</v>
      </c>
      <c r="F630" s="957" t="s">
        <v>4144</v>
      </c>
      <c r="G630" s="957" t="s">
        <v>4193</v>
      </c>
    </row>
    <row r="631" spans="1:7">
      <c r="A631" s="957" t="s">
        <v>4191</v>
      </c>
      <c r="B631" s="957" t="s">
        <v>4147</v>
      </c>
      <c r="C631" s="957" t="s">
        <v>4192</v>
      </c>
      <c r="D631" s="957" t="str">
        <f t="shared" si="9"/>
        <v>千葉県栄町</v>
      </c>
      <c r="E631" s="957" t="s">
        <v>4191</v>
      </c>
      <c r="F631" s="957" t="s">
        <v>4144</v>
      </c>
      <c r="G631" s="957" t="s">
        <v>4190</v>
      </c>
    </row>
    <row r="632" spans="1:7">
      <c r="A632" s="957" t="s">
        <v>4188</v>
      </c>
      <c r="B632" s="957" t="s">
        <v>4147</v>
      </c>
      <c r="C632" s="957" t="s">
        <v>4189</v>
      </c>
      <c r="D632" s="957" t="str">
        <f t="shared" si="9"/>
        <v>千葉県神崎町</v>
      </c>
      <c r="E632" s="957" t="s">
        <v>4188</v>
      </c>
      <c r="F632" s="957" t="s">
        <v>4144</v>
      </c>
      <c r="G632" s="957" t="s">
        <v>4187</v>
      </c>
    </row>
    <row r="633" spans="1:7">
      <c r="A633" s="957" t="s">
        <v>4185</v>
      </c>
      <c r="B633" s="957" t="s">
        <v>4147</v>
      </c>
      <c r="C633" s="957" t="s">
        <v>4186</v>
      </c>
      <c r="D633" s="957" t="str">
        <f t="shared" si="9"/>
        <v>千葉県多古町</v>
      </c>
      <c r="E633" s="957" t="s">
        <v>4185</v>
      </c>
      <c r="F633" s="957" t="s">
        <v>4144</v>
      </c>
      <c r="G633" s="957" t="s">
        <v>4184</v>
      </c>
    </row>
    <row r="634" spans="1:7">
      <c r="A634" s="957" t="s">
        <v>4182</v>
      </c>
      <c r="B634" s="957" t="s">
        <v>4147</v>
      </c>
      <c r="C634" s="957" t="s">
        <v>4183</v>
      </c>
      <c r="D634" s="957" t="str">
        <f t="shared" si="9"/>
        <v>千葉県東庄町</v>
      </c>
      <c r="E634" s="957" t="s">
        <v>4182</v>
      </c>
      <c r="F634" s="957" t="s">
        <v>4144</v>
      </c>
      <c r="G634" s="957" t="s">
        <v>4181</v>
      </c>
    </row>
    <row r="635" spans="1:7">
      <c r="A635" s="957" t="s">
        <v>4179</v>
      </c>
      <c r="B635" s="957" t="s">
        <v>4147</v>
      </c>
      <c r="C635" s="957" t="s">
        <v>4180</v>
      </c>
      <c r="D635" s="957" t="str">
        <f t="shared" si="9"/>
        <v>千葉県九十九里町</v>
      </c>
      <c r="E635" s="957" t="s">
        <v>4179</v>
      </c>
      <c r="F635" s="957" t="s">
        <v>4144</v>
      </c>
      <c r="G635" s="957" t="s">
        <v>4178</v>
      </c>
    </row>
    <row r="636" spans="1:7">
      <c r="A636" s="957" t="s">
        <v>4176</v>
      </c>
      <c r="B636" s="957" t="s">
        <v>4147</v>
      </c>
      <c r="C636" s="957" t="s">
        <v>4177</v>
      </c>
      <c r="D636" s="957" t="str">
        <f t="shared" si="9"/>
        <v>千葉県芝山町</v>
      </c>
      <c r="E636" s="957" t="s">
        <v>4176</v>
      </c>
      <c r="F636" s="957" t="s">
        <v>4144</v>
      </c>
      <c r="G636" s="957" t="s">
        <v>4175</v>
      </c>
    </row>
    <row r="637" spans="1:7">
      <c r="A637" s="957" t="s">
        <v>4173</v>
      </c>
      <c r="B637" s="957" t="s">
        <v>4147</v>
      </c>
      <c r="C637" s="957" t="s">
        <v>4174</v>
      </c>
      <c r="D637" s="957" t="str">
        <f t="shared" si="9"/>
        <v>千葉県横芝光町</v>
      </c>
      <c r="E637" s="957" t="s">
        <v>4173</v>
      </c>
      <c r="F637" s="957" t="s">
        <v>4144</v>
      </c>
      <c r="G637" s="957" t="s">
        <v>4172</v>
      </c>
    </row>
    <row r="638" spans="1:7">
      <c r="A638" s="957" t="s">
        <v>4170</v>
      </c>
      <c r="B638" s="957" t="s">
        <v>4147</v>
      </c>
      <c r="C638" s="957" t="s">
        <v>4171</v>
      </c>
      <c r="D638" s="957" t="str">
        <f t="shared" si="9"/>
        <v>千葉県一宮町</v>
      </c>
      <c r="E638" s="957" t="s">
        <v>4170</v>
      </c>
      <c r="F638" s="957" t="s">
        <v>4144</v>
      </c>
      <c r="G638" s="957" t="s">
        <v>4169</v>
      </c>
    </row>
    <row r="639" spans="1:7">
      <c r="A639" s="957" t="s">
        <v>4167</v>
      </c>
      <c r="B639" s="957" t="s">
        <v>4147</v>
      </c>
      <c r="C639" s="957" t="s">
        <v>4168</v>
      </c>
      <c r="D639" s="957" t="str">
        <f t="shared" si="9"/>
        <v>千葉県睦沢町</v>
      </c>
      <c r="E639" s="957" t="s">
        <v>4167</v>
      </c>
      <c r="F639" s="957" t="s">
        <v>4144</v>
      </c>
      <c r="G639" s="957" t="s">
        <v>4166</v>
      </c>
    </row>
    <row r="640" spans="1:7">
      <c r="A640" s="957" t="s">
        <v>4164</v>
      </c>
      <c r="B640" s="957" t="s">
        <v>4147</v>
      </c>
      <c r="C640" s="957" t="s">
        <v>4165</v>
      </c>
      <c r="D640" s="957" t="str">
        <f t="shared" si="9"/>
        <v>千葉県長生村</v>
      </c>
      <c r="E640" s="957" t="s">
        <v>4164</v>
      </c>
      <c r="F640" s="957" t="s">
        <v>4144</v>
      </c>
      <c r="G640" s="957" t="s">
        <v>4163</v>
      </c>
    </row>
    <row r="641" spans="1:7">
      <c r="A641" s="957" t="s">
        <v>4161</v>
      </c>
      <c r="B641" s="957" t="s">
        <v>4147</v>
      </c>
      <c r="C641" s="957" t="s">
        <v>4162</v>
      </c>
      <c r="D641" s="957" t="str">
        <f t="shared" si="9"/>
        <v>千葉県白子町</v>
      </c>
      <c r="E641" s="957" t="s">
        <v>4161</v>
      </c>
      <c r="F641" s="957" t="s">
        <v>4144</v>
      </c>
      <c r="G641" s="957" t="s">
        <v>4160</v>
      </c>
    </row>
    <row r="642" spans="1:7">
      <c r="A642" s="957" t="s">
        <v>4158</v>
      </c>
      <c r="B642" s="957" t="s">
        <v>4147</v>
      </c>
      <c r="C642" s="957" t="s">
        <v>4159</v>
      </c>
      <c r="D642" s="957" t="str">
        <f t="shared" si="9"/>
        <v>千葉県長柄町</v>
      </c>
      <c r="E642" s="957" t="s">
        <v>4158</v>
      </c>
      <c r="F642" s="957" t="s">
        <v>4144</v>
      </c>
      <c r="G642" s="957" t="s">
        <v>4157</v>
      </c>
    </row>
    <row r="643" spans="1:7">
      <c r="A643" s="957" t="s">
        <v>4155</v>
      </c>
      <c r="B643" s="957" t="s">
        <v>4147</v>
      </c>
      <c r="C643" s="957" t="s">
        <v>4156</v>
      </c>
      <c r="D643" s="957" t="str">
        <f t="shared" ref="D643:D706" si="10">B643&amp;C643</f>
        <v>千葉県長南町</v>
      </c>
      <c r="E643" s="957" t="s">
        <v>4155</v>
      </c>
      <c r="F643" s="957" t="s">
        <v>4144</v>
      </c>
      <c r="G643" s="957" t="s">
        <v>4154</v>
      </c>
    </row>
    <row r="644" spans="1:7">
      <c r="A644" s="957" t="s">
        <v>4152</v>
      </c>
      <c r="B644" s="957" t="s">
        <v>4147</v>
      </c>
      <c r="C644" s="957" t="s">
        <v>4153</v>
      </c>
      <c r="D644" s="957" t="str">
        <f t="shared" si="10"/>
        <v>千葉県大多喜町</v>
      </c>
      <c r="E644" s="957" t="s">
        <v>4152</v>
      </c>
      <c r="F644" s="957" t="s">
        <v>4144</v>
      </c>
      <c r="G644" s="957" t="s">
        <v>4151</v>
      </c>
    </row>
    <row r="645" spans="1:7">
      <c r="A645" s="957" t="s">
        <v>4149</v>
      </c>
      <c r="B645" s="957" t="s">
        <v>4147</v>
      </c>
      <c r="C645" s="957" t="s">
        <v>4150</v>
      </c>
      <c r="D645" s="957" t="str">
        <f t="shared" si="10"/>
        <v>千葉県御宿町</v>
      </c>
      <c r="E645" s="957" t="s">
        <v>4149</v>
      </c>
      <c r="F645" s="957" t="s">
        <v>4144</v>
      </c>
      <c r="G645" s="957" t="s">
        <v>4148</v>
      </c>
    </row>
    <row r="646" spans="1:7">
      <c r="A646" s="957" t="s">
        <v>4145</v>
      </c>
      <c r="B646" s="957" t="s">
        <v>4147</v>
      </c>
      <c r="C646" s="957" t="s">
        <v>4146</v>
      </c>
      <c r="D646" s="957" t="str">
        <f t="shared" si="10"/>
        <v>千葉県鋸南町</v>
      </c>
      <c r="E646" s="957" t="s">
        <v>4145</v>
      </c>
      <c r="F646" s="957" t="s">
        <v>4144</v>
      </c>
      <c r="G646" s="957" t="s">
        <v>4143</v>
      </c>
    </row>
    <row r="647" spans="1:7">
      <c r="A647" s="960" t="s">
        <v>4141</v>
      </c>
      <c r="B647" s="960" t="s">
        <v>4142</v>
      </c>
      <c r="C647" s="960" t="s">
        <v>4142</v>
      </c>
      <c r="D647" s="960" t="str">
        <f t="shared" si="10"/>
        <v>東京都東京都</v>
      </c>
      <c r="E647" s="960" t="s">
        <v>4141</v>
      </c>
      <c r="F647" s="959" t="s">
        <v>4140</v>
      </c>
      <c r="G647" s="958"/>
    </row>
    <row r="648" spans="1:7">
      <c r="A648" s="957" t="s">
        <v>4138</v>
      </c>
      <c r="B648" s="957" t="s">
        <v>3959</v>
      </c>
      <c r="C648" s="957" t="s">
        <v>4139</v>
      </c>
      <c r="D648" s="957" t="str">
        <f t="shared" si="10"/>
        <v>東京都千代田区</v>
      </c>
      <c r="E648" s="957" t="s">
        <v>4138</v>
      </c>
      <c r="F648" s="957" t="s">
        <v>3956</v>
      </c>
      <c r="G648" s="957" t="s">
        <v>4137</v>
      </c>
    </row>
    <row r="649" spans="1:7">
      <c r="A649" s="957" t="s">
        <v>4135</v>
      </c>
      <c r="B649" s="957" t="s">
        <v>3959</v>
      </c>
      <c r="C649" s="957" t="s">
        <v>4136</v>
      </c>
      <c r="D649" s="957" t="str">
        <f t="shared" si="10"/>
        <v>東京都中央区</v>
      </c>
      <c r="E649" s="957" t="s">
        <v>4135</v>
      </c>
      <c r="F649" s="957" t="s">
        <v>3956</v>
      </c>
      <c r="G649" s="957" t="s">
        <v>4134</v>
      </c>
    </row>
    <row r="650" spans="1:7">
      <c r="A650" s="957" t="s">
        <v>4132</v>
      </c>
      <c r="B650" s="957" t="s">
        <v>3959</v>
      </c>
      <c r="C650" s="957" t="s">
        <v>4133</v>
      </c>
      <c r="D650" s="957" t="str">
        <f t="shared" si="10"/>
        <v>東京都港区</v>
      </c>
      <c r="E650" s="957" t="s">
        <v>4132</v>
      </c>
      <c r="F650" s="957" t="s">
        <v>3956</v>
      </c>
      <c r="G650" s="957" t="s">
        <v>4131</v>
      </c>
    </row>
    <row r="651" spans="1:7">
      <c r="A651" s="957" t="s">
        <v>4129</v>
      </c>
      <c r="B651" s="957" t="s">
        <v>3959</v>
      </c>
      <c r="C651" s="957" t="s">
        <v>4130</v>
      </c>
      <c r="D651" s="957" t="str">
        <f t="shared" si="10"/>
        <v>東京都新宿区</v>
      </c>
      <c r="E651" s="957" t="s">
        <v>4129</v>
      </c>
      <c r="F651" s="957" t="s">
        <v>3956</v>
      </c>
      <c r="G651" s="957" t="s">
        <v>4128</v>
      </c>
    </row>
    <row r="652" spans="1:7">
      <c r="A652" s="957" t="s">
        <v>4126</v>
      </c>
      <c r="B652" s="957" t="s">
        <v>3959</v>
      </c>
      <c r="C652" s="957" t="s">
        <v>4127</v>
      </c>
      <c r="D652" s="957" t="str">
        <f t="shared" si="10"/>
        <v>東京都文京区</v>
      </c>
      <c r="E652" s="957" t="s">
        <v>4126</v>
      </c>
      <c r="F652" s="957" t="s">
        <v>3956</v>
      </c>
      <c r="G652" s="957" t="s">
        <v>4125</v>
      </c>
    </row>
    <row r="653" spans="1:7">
      <c r="A653" s="957" t="s">
        <v>4123</v>
      </c>
      <c r="B653" s="957" t="s">
        <v>3959</v>
      </c>
      <c r="C653" s="957" t="s">
        <v>4124</v>
      </c>
      <c r="D653" s="957" t="str">
        <f t="shared" si="10"/>
        <v>東京都台東区</v>
      </c>
      <c r="E653" s="957" t="s">
        <v>4123</v>
      </c>
      <c r="F653" s="957" t="s">
        <v>3956</v>
      </c>
      <c r="G653" s="957" t="s">
        <v>4122</v>
      </c>
    </row>
    <row r="654" spans="1:7">
      <c r="A654" s="957" t="s">
        <v>4120</v>
      </c>
      <c r="B654" s="957" t="s">
        <v>3959</v>
      </c>
      <c r="C654" s="957" t="s">
        <v>4121</v>
      </c>
      <c r="D654" s="957" t="str">
        <f t="shared" si="10"/>
        <v>東京都墨田区</v>
      </c>
      <c r="E654" s="957" t="s">
        <v>4120</v>
      </c>
      <c r="F654" s="957" t="s">
        <v>3956</v>
      </c>
      <c r="G654" s="957" t="s">
        <v>4119</v>
      </c>
    </row>
    <row r="655" spans="1:7">
      <c r="A655" s="957" t="s">
        <v>4117</v>
      </c>
      <c r="B655" s="957" t="s">
        <v>3959</v>
      </c>
      <c r="C655" s="957" t="s">
        <v>4118</v>
      </c>
      <c r="D655" s="957" t="str">
        <f t="shared" si="10"/>
        <v>東京都江東区</v>
      </c>
      <c r="E655" s="957" t="s">
        <v>4117</v>
      </c>
      <c r="F655" s="957" t="s">
        <v>3956</v>
      </c>
      <c r="G655" s="957" t="s">
        <v>4116</v>
      </c>
    </row>
    <row r="656" spans="1:7">
      <c r="A656" s="957" t="s">
        <v>4114</v>
      </c>
      <c r="B656" s="957" t="s">
        <v>3959</v>
      </c>
      <c r="C656" s="957" t="s">
        <v>4115</v>
      </c>
      <c r="D656" s="957" t="str">
        <f t="shared" si="10"/>
        <v>東京都品川区</v>
      </c>
      <c r="E656" s="957" t="s">
        <v>4114</v>
      </c>
      <c r="F656" s="957" t="s">
        <v>3956</v>
      </c>
      <c r="G656" s="957" t="s">
        <v>4113</v>
      </c>
    </row>
    <row r="657" spans="1:7">
      <c r="A657" s="957" t="s">
        <v>4111</v>
      </c>
      <c r="B657" s="957" t="s">
        <v>3959</v>
      </c>
      <c r="C657" s="957" t="s">
        <v>4112</v>
      </c>
      <c r="D657" s="957" t="str">
        <f t="shared" si="10"/>
        <v>東京都目黒区</v>
      </c>
      <c r="E657" s="957" t="s">
        <v>4111</v>
      </c>
      <c r="F657" s="957" t="s">
        <v>3956</v>
      </c>
      <c r="G657" s="957" t="s">
        <v>4110</v>
      </c>
    </row>
    <row r="658" spans="1:7">
      <c r="A658" s="957" t="s">
        <v>4108</v>
      </c>
      <c r="B658" s="957" t="s">
        <v>3959</v>
      </c>
      <c r="C658" s="957" t="s">
        <v>4109</v>
      </c>
      <c r="D658" s="957" t="str">
        <f t="shared" si="10"/>
        <v>東京都大田区</v>
      </c>
      <c r="E658" s="957" t="s">
        <v>4108</v>
      </c>
      <c r="F658" s="957" t="s">
        <v>3956</v>
      </c>
      <c r="G658" s="957" t="s">
        <v>4107</v>
      </c>
    </row>
    <row r="659" spans="1:7">
      <c r="A659" s="957" t="s">
        <v>4105</v>
      </c>
      <c r="B659" s="957" t="s">
        <v>3959</v>
      </c>
      <c r="C659" s="957" t="s">
        <v>4106</v>
      </c>
      <c r="D659" s="957" t="str">
        <f t="shared" si="10"/>
        <v>東京都世田谷区</v>
      </c>
      <c r="E659" s="957" t="s">
        <v>4105</v>
      </c>
      <c r="F659" s="957" t="s">
        <v>3956</v>
      </c>
      <c r="G659" s="957" t="s">
        <v>4104</v>
      </c>
    </row>
    <row r="660" spans="1:7">
      <c r="A660" s="957" t="s">
        <v>4102</v>
      </c>
      <c r="B660" s="957" t="s">
        <v>3959</v>
      </c>
      <c r="C660" s="957" t="s">
        <v>4103</v>
      </c>
      <c r="D660" s="957" t="str">
        <f t="shared" si="10"/>
        <v>東京都渋谷区</v>
      </c>
      <c r="E660" s="957" t="s">
        <v>4102</v>
      </c>
      <c r="F660" s="957" t="s">
        <v>3956</v>
      </c>
      <c r="G660" s="957" t="s">
        <v>4101</v>
      </c>
    </row>
    <row r="661" spans="1:7">
      <c r="A661" s="957" t="s">
        <v>4099</v>
      </c>
      <c r="B661" s="957" t="s">
        <v>3959</v>
      </c>
      <c r="C661" s="957" t="s">
        <v>4100</v>
      </c>
      <c r="D661" s="957" t="str">
        <f t="shared" si="10"/>
        <v>東京都中野区</v>
      </c>
      <c r="E661" s="957" t="s">
        <v>4099</v>
      </c>
      <c r="F661" s="957" t="s">
        <v>3956</v>
      </c>
      <c r="G661" s="957" t="s">
        <v>4098</v>
      </c>
    </row>
    <row r="662" spans="1:7">
      <c r="A662" s="957" t="s">
        <v>4096</v>
      </c>
      <c r="B662" s="957" t="s">
        <v>3959</v>
      </c>
      <c r="C662" s="957" t="s">
        <v>4097</v>
      </c>
      <c r="D662" s="957" t="str">
        <f t="shared" si="10"/>
        <v>東京都杉並区</v>
      </c>
      <c r="E662" s="957" t="s">
        <v>4096</v>
      </c>
      <c r="F662" s="957" t="s">
        <v>3956</v>
      </c>
      <c r="G662" s="957" t="s">
        <v>4095</v>
      </c>
    </row>
    <row r="663" spans="1:7">
      <c r="A663" s="957" t="s">
        <v>4093</v>
      </c>
      <c r="B663" s="957" t="s">
        <v>3959</v>
      </c>
      <c r="C663" s="957" t="s">
        <v>4094</v>
      </c>
      <c r="D663" s="957" t="str">
        <f t="shared" si="10"/>
        <v>東京都豊島区</v>
      </c>
      <c r="E663" s="957" t="s">
        <v>4093</v>
      </c>
      <c r="F663" s="957" t="s">
        <v>3956</v>
      </c>
      <c r="G663" s="957" t="s">
        <v>4092</v>
      </c>
    </row>
    <row r="664" spans="1:7">
      <c r="A664" s="957" t="s">
        <v>4090</v>
      </c>
      <c r="B664" s="957" t="s">
        <v>3959</v>
      </c>
      <c r="C664" s="957" t="s">
        <v>4091</v>
      </c>
      <c r="D664" s="957" t="str">
        <f t="shared" si="10"/>
        <v>東京都北区</v>
      </c>
      <c r="E664" s="957" t="s">
        <v>4090</v>
      </c>
      <c r="F664" s="957" t="s">
        <v>3956</v>
      </c>
      <c r="G664" s="957" t="s">
        <v>4089</v>
      </c>
    </row>
    <row r="665" spans="1:7">
      <c r="A665" s="957" t="s">
        <v>4087</v>
      </c>
      <c r="B665" s="957" t="s">
        <v>3959</v>
      </c>
      <c r="C665" s="957" t="s">
        <v>4088</v>
      </c>
      <c r="D665" s="957" t="str">
        <f t="shared" si="10"/>
        <v>東京都荒川区</v>
      </c>
      <c r="E665" s="957" t="s">
        <v>4087</v>
      </c>
      <c r="F665" s="957" t="s">
        <v>3956</v>
      </c>
      <c r="G665" s="957" t="s">
        <v>4086</v>
      </c>
    </row>
    <row r="666" spans="1:7">
      <c r="A666" s="957" t="s">
        <v>4084</v>
      </c>
      <c r="B666" s="957" t="s">
        <v>3959</v>
      </c>
      <c r="C666" s="957" t="s">
        <v>4085</v>
      </c>
      <c r="D666" s="957" t="str">
        <f t="shared" si="10"/>
        <v>東京都板橋区</v>
      </c>
      <c r="E666" s="957" t="s">
        <v>4084</v>
      </c>
      <c r="F666" s="957" t="s">
        <v>3956</v>
      </c>
      <c r="G666" s="957" t="s">
        <v>4083</v>
      </c>
    </row>
    <row r="667" spans="1:7">
      <c r="A667" s="957" t="s">
        <v>4081</v>
      </c>
      <c r="B667" s="957" t="s">
        <v>3959</v>
      </c>
      <c r="C667" s="957" t="s">
        <v>4082</v>
      </c>
      <c r="D667" s="957" t="str">
        <f t="shared" si="10"/>
        <v>東京都練馬区</v>
      </c>
      <c r="E667" s="957" t="s">
        <v>4081</v>
      </c>
      <c r="F667" s="957" t="s">
        <v>3956</v>
      </c>
      <c r="G667" s="957" t="s">
        <v>4080</v>
      </c>
    </row>
    <row r="668" spans="1:7">
      <c r="A668" s="957" t="s">
        <v>4078</v>
      </c>
      <c r="B668" s="957" t="s">
        <v>3959</v>
      </c>
      <c r="C668" s="957" t="s">
        <v>4079</v>
      </c>
      <c r="D668" s="957" t="str">
        <f t="shared" si="10"/>
        <v>東京都足立区</v>
      </c>
      <c r="E668" s="957" t="s">
        <v>4078</v>
      </c>
      <c r="F668" s="957" t="s">
        <v>3956</v>
      </c>
      <c r="G668" s="957" t="s">
        <v>4077</v>
      </c>
    </row>
    <row r="669" spans="1:7">
      <c r="A669" s="957" t="s">
        <v>4075</v>
      </c>
      <c r="B669" s="957" t="s">
        <v>3959</v>
      </c>
      <c r="C669" s="957" t="s">
        <v>4076</v>
      </c>
      <c r="D669" s="957" t="str">
        <f t="shared" si="10"/>
        <v>東京都葛飾区</v>
      </c>
      <c r="E669" s="957" t="s">
        <v>4075</v>
      </c>
      <c r="F669" s="957" t="s">
        <v>3956</v>
      </c>
      <c r="G669" s="957" t="s">
        <v>4074</v>
      </c>
    </row>
    <row r="670" spans="1:7">
      <c r="A670" s="957" t="s">
        <v>4072</v>
      </c>
      <c r="B670" s="957" t="s">
        <v>3959</v>
      </c>
      <c r="C670" s="957" t="s">
        <v>4073</v>
      </c>
      <c r="D670" s="957" t="str">
        <f t="shared" si="10"/>
        <v>東京都江戸川区</v>
      </c>
      <c r="E670" s="957" t="s">
        <v>4072</v>
      </c>
      <c r="F670" s="957" t="s">
        <v>3956</v>
      </c>
      <c r="G670" s="957" t="s">
        <v>4071</v>
      </c>
    </row>
    <row r="671" spans="1:7">
      <c r="A671" s="957" t="s">
        <v>4069</v>
      </c>
      <c r="B671" s="957" t="s">
        <v>3959</v>
      </c>
      <c r="C671" s="957" t="s">
        <v>4070</v>
      </c>
      <c r="D671" s="957" t="str">
        <f t="shared" si="10"/>
        <v>東京都八王子市</v>
      </c>
      <c r="E671" s="957" t="s">
        <v>4069</v>
      </c>
      <c r="F671" s="957" t="s">
        <v>3956</v>
      </c>
      <c r="G671" s="957" t="s">
        <v>4068</v>
      </c>
    </row>
    <row r="672" spans="1:7">
      <c r="A672" s="957" t="s">
        <v>4066</v>
      </c>
      <c r="B672" s="957" t="s">
        <v>3959</v>
      </c>
      <c r="C672" s="957" t="s">
        <v>4067</v>
      </c>
      <c r="D672" s="957" t="str">
        <f t="shared" si="10"/>
        <v>東京都立川市</v>
      </c>
      <c r="E672" s="957" t="s">
        <v>4066</v>
      </c>
      <c r="F672" s="957" t="s">
        <v>3956</v>
      </c>
      <c r="G672" s="957" t="s">
        <v>4065</v>
      </c>
    </row>
    <row r="673" spans="1:9">
      <c r="A673" s="957" t="s">
        <v>4063</v>
      </c>
      <c r="B673" s="957" t="s">
        <v>3959</v>
      </c>
      <c r="C673" s="957" t="s">
        <v>4064</v>
      </c>
      <c r="D673" s="957" t="str">
        <f t="shared" si="10"/>
        <v>東京都武蔵野市</v>
      </c>
      <c r="E673" s="957" t="s">
        <v>4063</v>
      </c>
      <c r="F673" s="957" t="s">
        <v>3956</v>
      </c>
      <c r="G673" s="957" t="s">
        <v>4062</v>
      </c>
    </row>
    <row r="674" spans="1:9">
      <c r="A674" s="957" t="s">
        <v>4060</v>
      </c>
      <c r="B674" s="957" t="s">
        <v>3959</v>
      </c>
      <c r="C674" s="957" t="s">
        <v>4061</v>
      </c>
      <c r="D674" s="957" t="str">
        <f t="shared" si="10"/>
        <v>東京都三鷹市</v>
      </c>
      <c r="E674" s="957" t="s">
        <v>4060</v>
      </c>
      <c r="F674" s="957" t="s">
        <v>3956</v>
      </c>
      <c r="G674" s="957" t="s">
        <v>4059</v>
      </c>
    </row>
    <row r="675" spans="1:9">
      <c r="A675" s="957" t="s">
        <v>4057</v>
      </c>
      <c r="B675" s="957" t="s">
        <v>3959</v>
      </c>
      <c r="C675" s="957" t="s">
        <v>4058</v>
      </c>
      <c r="D675" s="957" t="str">
        <f t="shared" si="10"/>
        <v>東京都青梅市</v>
      </c>
      <c r="E675" s="957" t="s">
        <v>4057</v>
      </c>
      <c r="F675" s="957" t="s">
        <v>3956</v>
      </c>
      <c r="G675" s="957" t="s">
        <v>4056</v>
      </c>
    </row>
    <row r="676" spans="1:9">
      <c r="A676" s="957" t="s">
        <v>4055</v>
      </c>
      <c r="B676" s="957" t="s">
        <v>3959</v>
      </c>
      <c r="C676" s="957" t="s">
        <v>1941</v>
      </c>
      <c r="D676" s="957" t="str">
        <f t="shared" si="10"/>
        <v>東京都府中市</v>
      </c>
      <c r="E676" s="957" t="s">
        <v>4055</v>
      </c>
      <c r="F676" s="957" t="s">
        <v>3956</v>
      </c>
      <c r="G676" s="957" t="s">
        <v>1939</v>
      </c>
    </row>
    <row r="677" spans="1:9">
      <c r="A677" s="957" t="s">
        <v>4053</v>
      </c>
      <c r="B677" s="957" t="s">
        <v>3959</v>
      </c>
      <c r="C677" s="957" t="s">
        <v>4054</v>
      </c>
      <c r="D677" s="957" t="str">
        <f t="shared" si="10"/>
        <v>東京都昭島市</v>
      </c>
      <c r="E677" s="957" t="s">
        <v>4053</v>
      </c>
      <c r="F677" s="957" t="s">
        <v>3956</v>
      </c>
      <c r="G677" s="957" t="s">
        <v>4052</v>
      </c>
    </row>
    <row r="678" spans="1:9">
      <c r="A678" s="957" t="s">
        <v>4050</v>
      </c>
      <c r="B678" s="957" t="s">
        <v>3959</v>
      </c>
      <c r="C678" s="957" t="s">
        <v>4051</v>
      </c>
      <c r="D678" s="957" t="str">
        <f t="shared" si="10"/>
        <v>東京都調布市</v>
      </c>
      <c r="E678" s="957" t="s">
        <v>4050</v>
      </c>
      <c r="F678" s="957" t="s">
        <v>3956</v>
      </c>
      <c r="G678" s="957" t="s">
        <v>4049</v>
      </c>
    </row>
    <row r="679" spans="1:9">
      <c r="A679" s="957" t="s">
        <v>4047</v>
      </c>
      <c r="B679" s="957" t="s">
        <v>3959</v>
      </c>
      <c r="C679" s="957" t="s">
        <v>4048</v>
      </c>
      <c r="D679" s="957" t="str">
        <f t="shared" si="10"/>
        <v>東京都町田市</v>
      </c>
      <c r="E679" s="957" t="s">
        <v>4047</v>
      </c>
      <c r="F679" s="957" t="s">
        <v>3956</v>
      </c>
      <c r="G679" s="957" t="s">
        <v>4046</v>
      </c>
    </row>
    <row r="680" spans="1:9">
      <c r="A680" s="957" t="s">
        <v>4044</v>
      </c>
      <c r="B680" s="957" t="s">
        <v>3959</v>
      </c>
      <c r="C680" s="957" t="s">
        <v>4045</v>
      </c>
      <c r="D680" s="957" t="str">
        <f t="shared" si="10"/>
        <v>東京都小金井市</v>
      </c>
      <c r="E680" s="957" t="s">
        <v>4044</v>
      </c>
      <c r="F680" s="957" t="s">
        <v>3956</v>
      </c>
      <c r="G680" s="957" t="s">
        <v>4043</v>
      </c>
    </row>
    <row r="681" spans="1:9">
      <c r="A681" s="957" t="s">
        <v>4041</v>
      </c>
      <c r="B681" s="957" t="s">
        <v>3959</v>
      </c>
      <c r="C681" s="957" t="s">
        <v>4042</v>
      </c>
      <c r="D681" s="957" t="str">
        <f t="shared" si="10"/>
        <v>東京都小平市</v>
      </c>
      <c r="E681" s="957" t="s">
        <v>4041</v>
      </c>
      <c r="F681" s="957" t="s">
        <v>3956</v>
      </c>
      <c r="G681" s="957" t="s">
        <v>4040</v>
      </c>
    </row>
    <row r="682" spans="1:9">
      <c r="A682" s="957" t="s">
        <v>4038</v>
      </c>
      <c r="B682" s="957" t="s">
        <v>3959</v>
      </c>
      <c r="C682" s="957" t="s">
        <v>4039</v>
      </c>
      <c r="D682" s="957" t="str">
        <f t="shared" si="10"/>
        <v>東京都日野市</v>
      </c>
      <c r="E682" s="957" t="s">
        <v>4038</v>
      </c>
      <c r="F682" s="957" t="s">
        <v>3956</v>
      </c>
      <c r="G682" s="957" t="s">
        <v>4037</v>
      </c>
    </row>
    <row r="683" spans="1:9">
      <c r="A683" s="957" t="s">
        <v>4035</v>
      </c>
      <c r="B683" s="957" t="s">
        <v>3959</v>
      </c>
      <c r="C683" s="957" t="s">
        <v>4036</v>
      </c>
      <c r="D683" s="957" t="str">
        <f t="shared" si="10"/>
        <v>東京都東村山市</v>
      </c>
      <c r="E683" s="957" t="s">
        <v>4035</v>
      </c>
      <c r="F683" s="957" t="s">
        <v>3956</v>
      </c>
      <c r="G683" s="957" t="s">
        <v>4034</v>
      </c>
    </row>
    <row r="684" spans="1:9">
      <c r="A684" s="957" t="s">
        <v>4032</v>
      </c>
      <c r="B684" s="957" t="s">
        <v>3959</v>
      </c>
      <c r="C684" s="957" t="s">
        <v>4033</v>
      </c>
      <c r="D684" s="957" t="str">
        <f t="shared" si="10"/>
        <v>東京都国分寺市</v>
      </c>
      <c r="E684" s="957" t="s">
        <v>4032</v>
      </c>
      <c r="F684" s="957" t="s">
        <v>3956</v>
      </c>
      <c r="G684" s="957" t="s">
        <v>4031</v>
      </c>
    </row>
    <row r="685" spans="1:9">
      <c r="A685" s="957" t="s">
        <v>4029</v>
      </c>
      <c r="B685" s="957" t="s">
        <v>3959</v>
      </c>
      <c r="C685" s="957" t="s">
        <v>4030</v>
      </c>
      <c r="D685" s="957" t="str">
        <f t="shared" si="10"/>
        <v>東京都国立市</v>
      </c>
      <c r="E685" s="957" t="s">
        <v>4029</v>
      </c>
      <c r="F685" s="957" t="s">
        <v>3956</v>
      </c>
      <c r="G685" s="957" t="s">
        <v>4028</v>
      </c>
    </row>
    <row r="686" spans="1:9">
      <c r="A686" s="957" t="s">
        <v>4026</v>
      </c>
      <c r="B686" s="957" t="s">
        <v>3959</v>
      </c>
      <c r="C686" s="957" t="s">
        <v>4027</v>
      </c>
      <c r="D686" s="957" t="str">
        <f t="shared" si="10"/>
        <v>東京都福生市</v>
      </c>
      <c r="E686" s="957" t="s">
        <v>4026</v>
      </c>
      <c r="F686" s="957" t="s">
        <v>3956</v>
      </c>
      <c r="G686" s="957" t="s">
        <v>4025</v>
      </c>
      <c r="I686" s="961"/>
    </row>
    <row r="687" spans="1:9">
      <c r="A687" s="957" t="s">
        <v>4023</v>
      </c>
      <c r="B687" s="957" t="s">
        <v>3959</v>
      </c>
      <c r="C687" s="957" t="s">
        <v>4024</v>
      </c>
      <c r="D687" s="957" t="str">
        <f t="shared" si="10"/>
        <v>東京都狛江市</v>
      </c>
      <c r="E687" s="957" t="s">
        <v>4023</v>
      </c>
      <c r="F687" s="957" t="s">
        <v>3956</v>
      </c>
      <c r="G687" s="957" t="s">
        <v>4022</v>
      </c>
    </row>
    <row r="688" spans="1:9">
      <c r="A688" s="957" t="s">
        <v>4020</v>
      </c>
      <c r="B688" s="957" t="s">
        <v>3959</v>
      </c>
      <c r="C688" s="957" t="s">
        <v>4021</v>
      </c>
      <c r="D688" s="957" t="str">
        <f t="shared" si="10"/>
        <v>東京都東大和市</v>
      </c>
      <c r="E688" s="957" t="s">
        <v>4020</v>
      </c>
      <c r="F688" s="957" t="s">
        <v>3956</v>
      </c>
      <c r="G688" s="957" t="s">
        <v>4019</v>
      </c>
    </row>
    <row r="689" spans="1:7">
      <c r="A689" s="957" t="s">
        <v>4017</v>
      </c>
      <c r="B689" s="957" t="s">
        <v>3959</v>
      </c>
      <c r="C689" s="957" t="s">
        <v>4018</v>
      </c>
      <c r="D689" s="957" t="str">
        <f t="shared" si="10"/>
        <v>東京都清瀬市</v>
      </c>
      <c r="E689" s="957" t="s">
        <v>4017</v>
      </c>
      <c r="F689" s="957" t="s">
        <v>3956</v>
      </c>
      <c r="G689" s="957" t="s">
        <v>4016</v>
      </c>
    </row>
    <row r="690" spans="1:7">
      <c r="A690" s="957" t="s">
        <v>4014</v>
      </c>
      <c r="B690" s="957" t="s">
        <v>3959</v>
      </c>
      <c r="C690" s="957" t="s">
        <v>4015</v>
      </c>
      <c r="D690" s="957" t="str">
        <f t="shared" si="10"/>
        <v>東京都東久留米市</v>
      </c>
      <c r="E690" s="957" t="s">
        <v>4014</v>
      </c>
      <c r="F690" s="957" t="s">
        <v>3956</v>
      </c>
      <c r="G690" s="957" t="s">
        <v>4013</v>
      </c>
    </row>
    <row r="691" spans="1:7">
      <c r="A691" s="957" t="s">
        <v>4011</v>
      </c>
      <c r="B691" s="957" t="s">
        <v>3959</v>
      </c>
      <c r="C691" s="957" t="s">
        <v>4012</v>
      </c>
      <c r="D691" s="957" t="str">
        <f t="shared" si="10"/>
        <v>東京都武蔵村山市</v>
      </c>
      <c r="E691" s="957" t="s">
        <v>4011</v>
      </c>
      <c r="F691" s="957" t="s">
        <v>3956</v>
      </c>
      <c r="G691" s="957" t="s">
        <v>4010</v>
      </c>
    </row>
    <row r="692" spans="1:7">
      <c r="A692" s="957" t="s">
        <v>4008</v>
      </c>
      <c r="B692" s="957" t="s">
        <v>3959</v>
      </c>
      <c r="C692" s="957" t="s">
        <v>4009</v>
      </c>
      <c r="D692" s="957" t="str">
        <f t="shared" si="10"/>
        <v>東京都多摩市</v>
      </c>
      <c r="E692" s="957" t="s">
        <v>4008</v>
      </c>
      <c r="F692" s="957" t="s">
        <v>3956</v>
      </c>
      <c r="G692" s="957" t="s">
        <v>4007</v>
      </c>
    </row>
    <row r="693" spans="1:7">
      <c r="A693" s="957" t="s">
        <v>4005</v>
      </c>
      <c r="B693" s="957" t="s">
        <v>3959</v>
      </c>
      <c r="C693" s="957" t="s">
        <v>4006</v>
      </c>
      <c r="D693" s="957" t="str">
        <f t="shared" si="10"/>
        <v>東京都稲城市</v>
      </c>
      <c r="E693" s="957" t="s">
        <v>4005</v>
      </c>
      <c r="F693" s="957" t="s">
        <v>3956</v>
      </c>
      <c r="G693" s="957" t="s">
        <v>4004</v>
      </c>
    </row>
    <row r="694" spans="1:7">
      <c r="A694" s="957" t="s">
        <v>4002</v>
      </c>
      <c r="B694" s="957" t="s">
        <v>3959</v>
      </c>
      <c r="C694" s="957" t="s">
        <v>4003</v>
      </c>
      <c r="D694" s="957" t="str">
        <f t="shared" si="10"/>
        <v>東京都羽村市</v>
      </c>
      <c r="E694" s="957" t="s">
        <v>4002</v>
      </c>
      <c r="F694" s="957" t="s">
        <v>3956</v>
      </c>
      <c r="G694" s="957" t="s">
        <v>4001</v>
      </c>
    </row>
    <row r="695" spans="1:7">
      <c r="A695" s="957" t="s">
        <v>3999</v>
      </c>
      <c r="B695" s="957" t="s">
        <v>3959</v>
      </c>
      <c r="C695" s="957" t="s">
        <v>4000</v>
      </c>
      <c r="D695" s="957" t="str">
        <f t="shared" si="10"/>
        <v>東京都あきる野市</v>
      </c>
      <c r="E695" s="957" t="s">
        <v>3999</v>
      </c>
      <c r="F695" s="957" t="s">
        <v>3956</v>
      </c>
      <c r="G695" s="957" t="s">
        <v>3998</v>
      </c>
    </row>
    <row r="696" spans="1:7">
      <c r="A696" s="957" t="s">
        <v>3996</v>
      </c>
      <c r="B696" s="957" t="s">
        <v>3959</v>
      </c>
      <c r="C696" s="957" t="s">
        <v>3997</v>
      </c>
      <c r="D696" s="957" t="str">
        <f t="shared" si="10"/>
        <v>東京都西東京市</v>
      </c>
      <c r="E696" s="957" t="s">
        <v>3996</v>
      </c>
      <c r="F696" s="957" t="s">
        <v>3956</v>
      </c>
      <c r="G696" s="957" t="s">
        <v>3995</v>
      </c>
    </row>
    <row r="697" spans="1:7">
      <c r="A697" s="957" t="s">
        <v>3993</v>
      </c>
      <c r="B697" s="957" t="s">
        <v>3959</v>
      </c>
      <c r="C697" s="957" t="s">
        <v>3994</v>
      </c>
      <c r="D697" s="957" t="str">
        <f t="shared" si="10"/>
        <v>東京都瑞穂町</v>
      </c>
      <c r="E697" s="957" t="s">
        <v>3993</v>
      </c>
      <c r="F697" s="957" t="s">
        <v>3956</v>
      </c>
      <c r="G697" s="957" t="s">
        <v>3992</v>
      </c>
    </row>
    <row r="698" spans="1:7">
      <c r="A698" s="957" t="s">
        <v>3990</v>
      </c>
      <c r="B698" s="957" t="s">
        <v>3959</v>
      </c>
      <c r="C698" s="957" t="s">
        <v>3991</v>
      </c>
      <c r="D698" s="957" t="str">
        <f t="shared" si="10"/>
        <v>東京都日の出町</v>
      </c>
      <c r="E698" s="957" t="s">
        <v>3990</v>
      </c>
      <c r="F698" s="957" t="s">
        <v>3956</v>
      </c>
      <c r="G698" s="957" t="s">
        <v>3989</v>
      </c>
    </row>
    <row r="699" spans="1:7">
      <c r="A699" s="957" t="s">
        <v>3987</v>
      </c>
      <c r="B699" s="957" t="s">
        <v>3959</v>
      </c>
      <c r="C699" s="957" t="s">
        <v>3988</v>
      </c>
      <c r="D699" s="957" t="str">
        <f t="shared" si="10"/>
        <v>東京都檜原村</v>
      </c>
      <c r="E699" s="957" t="s">
        <v>3987</v>
      </c>
      <c r="F699" s="957" t="s">
        <v>3956</v>
      </c>
      <c r="G699" s="957" t="s">
        <v>3986</v>
      </c>
    </row>
    <row r="700" spans="1:7">
      <c r="A700" s="957" t="s">
        <v>3984</v>
      </c>
      <c r="B700" s="957" t="s">
        <v>3959</v>
      </c>
      <c r="C700" s="957" t="s">
        <v>3985</v>
      </c>
      <c r="D700" s="957" t="str">
        <f t="shared" si="10"/>
        <v>東京都奥多摩町</v>
      </c>
      <c r="E700" s="957" t="s">
        <v>3984</v>
      </c>
      <c r="F700" s="957" t="s">
        <v>3956</v>
      </c>
      <c r="G700" s="957" t="s">
        <v>3983</v>
      </c>
    </row>
    <row r="701" spans="1:7">
      <c r="A701" s="957" t="s">
        <v>3981</v>
      </c>
      <c r="B701" s="957" t="s">
        <v>3959</v>
      </c>
      <c r="C701" s="957" t="s">
        <v>3982</v>
      </c>
      <c r="D701" s="957" t="str">
        <f t="shared" si="10"/>
        <v>東京都大島町</v>
      </c>
      <c r="E701" s="957" t="s">
        <v>3981</v>
      </c>
      <c r="F701" s="957" t="s">
        <v>3956</v>
      </c>
      <c r="G701" s="957" t="s">
        <v>3980</v>
      </c>
    </row>
    <row r="702" spans="1:7">
      <c r="A702" s="957" t="s">
        <v>3978</v>
      </c>
      <c r="B702" s="957" t="s">
        <v>3959</v>
      </c>
      <c r="C702" s="957" t="s">
        <v>3979</v>
      </c>
      <c r="D702" s="957" t="str">
        <f t="shared" si="10"/>
        <v>東京都利島村</v>
      </c>
      <c r="E702" s="957" t="s">
        <v>3978</v>
      </c>
      <c r="F702" s="957" t="s">
        <v>3956</v>
      </c>
      <c r="G702" s="957" t="s">
        <v>857</v>
      </c>
    </row>
    <row r="703" spans="1:7">
      <c r="A703" s="957" t="s">
        <v>3976</v>
      </c>
      <c r="B703" s="957" t="s">
        <v>3959</v>
      </c>
      <c r="C703" s="957" t="s">
        <v>3977</v>
      </c>
      <c r="D703" s="957" t="str">
        <f t="shared" si="10"/>
        <v>東京都新島村</v>
      </c>
      <c r="E703" s="957" t="s">
        <v>3976</v>
      </c>
      <c r="F703" s="957" t="s">
        <v>3956</v>
      </c>
      <c r="G703" s="957" t="s">
        <v>3975</v>
      </c>
    </row>
    <row r="704" spans="1:7">
      <c r="A704" s="957" t="s">
        <v>3973</v>
      </c>
      <c r="B704" s="957" t="s">
        <v>3959</v>
      </c>
      <c r="C704" s="957" t="s">
        <v>3974</v>
      </c>
      <c r="D704" s="957" t="str">
        <f t="shared" si="10"/>
        <v>東京都神津島村</v>
      </c>
      <c r="E704" s="957" t="s">
        <v>3973</v>
      </c>
      <c r="F704" s="957" t="s">
        <v>3956</v>
      </c>
      <c r="G704" s="957" t="s">
        <v>3972</v>
      </c>
    </row>
    <row r="705" spans="1:7">
      <c r="A705" s="957" t="s">
        <v>3970</v>
      </c>
      <c r="B705" s="957" t="s">
        <v>3959</v>
      </c>
      <c r="C705" s="957" t="s">
        <v>3971</v>
      </c>
      <c r="D705" s="957" t="str">
        <f t="shared" si="10"/>
        <v>東京都三宅村</v>
      </c>
      <c r="E705" s="957" t="s">
        <v>3970</v>
      </c>
      <c r="F705" s="957" t="s">
        <v>3956</v>
      </c>
      <c r="G705" s="957" t="s">
        <v>3969</v>
      </c>
    </row>
    <row r="706" spans="1:7">
      <c r="A706" s="957" t="s">
        <v>3967</v>
      </c>
      <c r="B706" s="957" t="s">
        <v>3959</v>
      </c>
      <c r="C706" s="957" t="s">
        <v>3968</v>
      </c>
      <c r="D706" s="957" t="str">
        <f t="shared" si="10"/>
        <v>東京都御蔵島村</v>
      </c>
      <c r="E706" s="957" t="s">
        <v>3967</v>
      </c>
      <c r="F706" s="957" t="s">
        <v>3956</v>
      </c>
      <c r="G706" s="957" t="s">
        <v>3966</v>
      </c>
    </row>
    <row r="707" spans="1:7">
      <c r="A707" s="957" t="s">
        <v>3964</v>
      </c>
      <c r="B707" s="957" t="s">
        <v>3959</v>
      </c>
      <c r="C707" s="957" t="s">
        <v>3965</v>
      </c>
      <c r="D707" s="957" t="str">
        <f t="shared" ref="D707:D770" si="11">B707&amp;C707</f>
        <v>東京都八丈町</v>
      </c>
      <c r="E707" s="957" t="s">
        <v>3964</v>
      </c>
      <c r="F707" s="957" t="s">
        <v>3956</v>
      </c>
      <c r="G707" s="957" t="s">
        <v>3963</v>
      </c>
    </row>
    <row r="708" spans="1:7">
      <c r="A708" s="957" t="s">
        <v>3961</v>
      </c>
      <c r="B708" s="957" t="s">
        <v>3959</v>
      </c>
      <c r="C708" s="957" t="s">
        <v>3962</v>
      </c>
      <c r="D708" s="957" t="str">
        <f t="shared" si="11"/>
        <v>東京都青ヶ島村</v>
      </c>
      <c r="E708" s="957" t="s">
        <v>3961</v>
      </c>
      <c r="F708" s="957" t="s">
        <v>3956</v>
      </c>
      <c r="G708" s="957" t="s">
        <v>3960</v>
      </c>
    </row>
    <row r="709" spans="1:7">
      <c r="A709" s="957" t="s">
        <v>3957</v>
      </c>
      <c r="B709" s="957" t="s">
        <v>3959</v>
      </c>
      <c r="C709" s="957" t="s">
        <v>3958</v>
      </c>
      <c r="D709" s="957" t="str">
        <f t="shared" si="11"/>
        <v>東京都小笠原村</v>
      </c>
      <c r="E709" s="957" t="s">
        <v>3957</v>
      </c>
      <c r="F709" s="957" t="s">
        <v>3956</v>
      </c>
      <c r="G709" s="957" t="s">
        <v>3955</v>
      </c>
    </row>
    <row r="710" spans="1:7">
      <c r="A710" s="960" t="s">
        <v>3953</v>
      </c>
      <c r="B710" s="960" t="s">
        <v>3954</v>
      </c>
      <c r="C710" s="960" t="s">
        <v>3954</v>
      </c>
      <c r="D710" s="960" t="str">
        <f t="shared" si="11"/>
        <v>神奈川県神奈川県</v>
      </c>
      <c r="E710" s="960" t="s">
        <v>3953</v>
      </c>
      <c r="F710" s="959" t="s">
        <v>3952</v>
      </c>
      <c r="G710" s="958"/>
    </row>
    <row r="711" spans="1:7">
      <c r="A711" s="957" t="s">
        <v>3950</v>
      </c>
      <c r="B711" s="957" t="s">
        <v>3855</v>
      </c>
      <c r="C711" s="957" t="s">
        <v>3951</v>
      </c>
      <c r="D711" s="957" t="str">
        <f t="shared" si="11"/>
        <v>神奈川県横浜市</v>
      </c>
      <c r="E711" s="957" t="s">
        <v>3950</v>
      </c>
      <c r="F711" s="957" t="s">
        <v>3852</v>
      </c>
      <c r="G711" s="957" t="s">
        <v>3949</v>
      </c>
    </row>
    <row r="712" spans="1:7">
      <c r="A712" s="957" t="s">
        <v>3947</v>
      </c>
      <c r="B712" s="957" t="s">
        <v>3855</v>
      </c>
      <c r="C712" s="957" t="s">
        <v>3948</v>
      </c>
      <c r="D712" s="957" t="str">
        <f t="shared" si="11"/>
        <v>神奈川県川崎市</v>
      </c>
      <c r="E712" s="957" t="s">
        <v>3947</v>
      </c>
      <c r="F712" s="957" t="s">
        <v>3852</v>
      </c>
      <c r="G712" s="957" t="s">
        <v>3946</v>
      </c>
    </row>
    <row r="713" spans="1:7">
      <c r="A713" s="957" t="s">
        <v>3944</v>
      </c>
      <c r="B713" s="957" t="s">
        <v>3855</v>
      </c>
      <c r="C713" s="957" t="s">
        <v>3945</v>
      </c>
      <c r="D713" s="957" t="str">
        <f t="shared" si="11"/>
        <v>神奈川県相模原市</v>
      </c>
      <c r="E713" s="957" t="s">
        <v>3944</v>
      </c>
      <c r="F713" s="957" t="s">
        <v>3852</v>
      </c>
      <c r="G713" s="957" t="s">
        <v>3943</v>
      </c>
    </row>
    <row r="714" spans="1:7">
      <c r="A714" s="957" t="s">
        <v>3941</v>
      </c>
      <c r="B714" s="957" t="s">
        <v>3855</v>
      </c>
      <c r="C714" s="957" t="s">
        <v>3942</v>
      </c>
      <c r="D714" s="957" t="str">
        <f t="shared" si="11"/>
        <v>神奈川県横須賀市</v>
      </c>
      <c r="E714" s="957" t="s">
        <v>3941</v>
      </c>
      <c r="F714" s="957" t="s">
        <v>3852</v>
      </c>
      <c r="G714" s="957" t="s">
        <v>3940</v>
      </c>
    </row>
    <row r="715" spans="1:7">
      <c r="A715" s="957" t="s">
        <v>3938</v>
      </c>
      <c r="B715" s="957" t="s">
        <v>3855</v>
      </c>
      <c r="C715" s="957" t="s">
        <v>3939</v>
      </c>
      <c r="D715" s="957" t="str">
        <f t="shared" si="11"/>
        <v>神奈川県平塚市</v>
      </c>
      <c r="E715" s="957" t="s">
        <v>3938</v>
      </c>
      <c r="F715" s="957" t="s">
        <v>3852</v>
      </c>
      <c r="G715" s="957" t="s">
        <v>3937</v>
      </c>
    </row>
    <row r="716" spans="1:7">
      <c r="A716" s="957" t="s">
        <v>3935</v>
      </c>
      <c r="B716" s="957" t="s">
        <v>3855</v>
      </c>
      <c r="C716" s="957" t="s">
        <v>3936</v>
      </c>
      <c r="D716" s="957" t="str">
        <f t="shared" si="11"/>
        <v>神奈川県鎌倉市</v>
      </c>
      <c r="E716" s="957" t="s">
        <v>3935</v>
      </c>
      <c r="F716" s="957" t="s">
        <v>3852</v>
      </c>
      <c r="G716" s="957" t="s">
        <v>3934</v>
      </c>
    </row>
    <row r="717" spans="1:7">
      <c r="A717" s="957" t="s">
        <v>3932</v>
      </c>
      <c r="B717" s="957" t="s">
        <v>3855</v>
      </c>
      <c r="C717" s="957" t="s">
        <v>3933</v>
      </c>
      <c r="D717" s="957" t="str">
        <f t="shared" si="11"/>
        <v>神奈川県藤沢市</v>
      </c>
      <c r="E717" s="957" t="s">
        <v>3932</v>
      </c>
      <c r="F717" s="957" t="s">
        <v>3852</v>
      </c>
      <c r="G717" s="957" t="s">
        <v>3931</v>
      </c>
    </row>
    <row r="718" spans="1:7">
      <c r="A718" s="957" t="s">
        <v>3929</v>
      </c>
      <c r="B718" s="957" t="s">
        <v>3855</v>
      </c>
      <c r="C718" s="957" t="s">
        <v>3930</v>
      </c>
      <c r="D718" s="957" t="str">
        <f t="shared" si="11"/>
        <v>神奈川県小田原市</v>
      </c>
      <c r="E718" s="957" t="s">
        <v>3929</v>
      </c>
      <c r="F718" s="957" t="s">
        <v>3852</v>
      </c>
      <c r="G718" s="957" t="s">
        <v>3928</v>
      </c>
    </row>
    <row r="719" spans="1:7">
      <c r="A719" s="957" t="s">
        <v>3926</v>
      </c>
      <c r="B719" s="957" t="s">
        <v>3855</v>
      </c>
      <c r="C719" s="957" t="s">
        <v>3927</v>
      </c>
      <c r="D719" s="957" t="str">
        <f t="shared" si="11"/>
        <v>神奈川県茅ヶ崎市</v>
      </c>
      <c r="E719" s="957" t="s">
        <v>3926</v>
      </c>
      <c r="F719" s="957" t="s">
        <v>3852</v>
      </c>
      <c r="G719" s="957" t="s">
        <v>3925</v>
      </c>
    </row>
    <row r="720" spans="1:7">
      <c r="A720" s="957" t="s">
        <v>3923</v>
      </c>
      <c r="B720" s="957" t="s">
        <v>3855</v>
      </c>
      <c r="C720" s="957" t="s">
        <v>3924</v>
      </c>
      <c r="D720" s="957" t="str">
        <f t="shared" si="11"/>
        <v>神奈川県逗子市</v>
      </c>
      <c r="E720" s="957" t="s">
        <v>3923</v>
      </c>
      <c r="F720" s="957" t="s">
        <v>3852</v>
      </c>
      <c r="G720" s="957" t="s">
        <v>3922</v>
      </c>
    </row>
    <row r="721" spans="1:7">
      <c r="A721" s="957" t="s">
        <v>3920</v>
      </c>
      <c r="B721" s="957" t="s">
        <v>3855</v>
      </c>
      <c r="C721" s="957" t="s">
        <v>3921</v>
      </c>
      <c r="D721" s="957" t="str">
        <f t="shared" si="11"/>
        <v>神奈川県三浦市</v>
      </c>
      <c r="E721" s="957" t="s">
        <v>3920</v>
      </c>
      <c r="F721" s="957" t="s">
        <v>3852</v>
      </c>
      <c r="G721" s="957" t="s">
        <v>3919</v>
      </c>
    </row>
    <row r="722" spans="1:7">
      <c r="A722" s="957" t="s">
        <v>3917</v>
      </c>
      <c r="B722" s="957" t="s">
        <v>3855</v>
      </c>
      <c r="C722" s="957" t="s">
        <v>3918</v>
      </c>
      <c r="D722" s="957" t="str">
        <f t="shared" si="11"/>
        <v>神奈川県秦野市</v>
      </c>
      <c r="E722" s="957" t="s">
        <v>3917</v>
      </c>
      <c r="F722" s="957" t="s">
        <v>3852</v>
      </c>
      <c r="G722" s="957" t="s">
        <v>3916</v>
      </c>
    </row>
    <row r="723" spans="1:7">
      <c r="A723" s="957" t="s">
        <v>3914</v>
      </c>
      <c r="B723" s="957" t="s">
        <v>3855</v>
      </c>
      <c r="C723" s="957" t="s">
        <v>3915</v>
      </c>
      <c r="D723" s="957" t="str">
        <f t="shared" si="11"/>
        <v>神奈川県厚木市</v>
      </c>
      <c r="E723" s="957" t="s">
        <v>3914</v>
      </c>
      <c r="F723" s="957" t="s">
        <v>3852</v>
      </c>
      <c r="G723" s="957" t="s">
        <v>3913</v>
      </c>
    </row>
    <row r="724" spans="1:7">
      <c r="A724" s="957" t="s">
        <v>3911</v>
      </c>
      <c r="B724" s="957" t="s">
        <v>3855</v>
      </c>
      <c r="C724" s="957" t="s">
        <v>3912</v>
      </c>
      <c r="D724" s="957" t="str">
        <f t="shared" si="11"/>
        <v>神奈川県大和市</v>
      </c>
      <c r="E724" s="957" t="s">
        <v>3911</v>
      </c>
      <c r="F724" s="957" t="s">
        <v>3852</v>
      </c>
      <c r="G724" s="957" t="s">
        <v>3910</v>
      </c>
    </row>
    <row r="725" spans="1:7">
      <c r="A725" s="957" t="s">
        <v>3908</v>
      </c>
      <c r="B725" s="957" t="s">
        <v>3855</v>
      </c>
      <c r="C725" s="957" t="s">
        <v>3909</v>
      </c>
      <c r="D725" s="957" t="str">
        <f t="shared" si="11"/>
        <v>神奈川県伊勢原市</v>
      </c>
      <c r="E725" s="957" t="s">
        <v>3908</v>
      </c>
      <c r="F725" s="957" t="s">
        <v>3852</v>
      </c>
      <c r="G725" s="957" t="s">
        <v>3907</v>
      </c>
    </row>
    <row r="726" spans="1:7">
      <c r="A726" s="957" t="s">
        <v>3905</v>
      </c>
      <c r="B726" s="957" t="s">
        <v>3855</v>
      </c>
      <c r="C726" s="957" t="s">
        <v>3906</v>
      </c>
      <c r="D726" s="957" t="str">
        <f t="shared" si="11"/>
        <v>神奈川県海老名市</v>
      </c>
      <c r="E726" s="957" t="s">
        <v>3905</v>
      </c>
      <c r="F726" s="957" t="s">
        <v>3852</v>
      </c>
      <c r="G726" s="957" t="s">
        <v>3904</v>
      </c>
    </row>
    <row r="727" spans="1:7">
      <c r="A727" s="957" t="s">
        <v>3902</v>
      </c>
      <c r="B727" s="957" t="s">
        <v>3855</v>
      </c>
      <c r="C727" s="957" t="s">
        <v>3903</v>
      </c>
      <c r="D727" s="957" t="str">
        <f t="shared" si="11"/>
        <v>神奈川県座間市</v>
      </c>
      <c r="E727" s="957" t="s">
        <v>3902</v>
      </c>
      <c r="F727" s="957" t="s">
        <v>3852</v>
      </c>
      <c r="G727" s="957" t="s">
        <v>3901</v>
      </c>
    </row>
    <row r="728" spans="1:7">
      <c r="A728" s="957" t="s">
        <v>3899</v>
      </c>
      <c r="B728" s="957" t="s">
        <v>3855</v>
      </c>
      <c r="C728" s="957" t="s">
        <v>3900</v>
      </c>
      <c r="D728" s="957" t="str">
        <f t="shared" si="11"/>
        <v>神奈川県南足柄市</v>
      </c>
      <c r="E728" s="957" t="s">
        <v>3899</v>
      </c>
      <c r="F728" s="957" t="s">
        <v>3852</v>
      </c>
      <c r="G728" s="957" t="s">
        <v>3898</v>
      </c>
    </row>
    <row r="729" spans="1:7">
      <c r="A729" s="957" t="s">
        <v>3896</v>
      </c>
      <c r="B729" s="957" t="s">
        <v>3855</v>
      </c>
      <c r="C729" s="957" t="s">
        <v>3897</v>
      </c>
      <c r="D729" s="957" t="str">
        <f t="shared" si="11"/>
        <v>神奈川県綾瀬市</v>
      </c>
      <c r="E729" s="957" t="s">
        <v>3896</v>
      </c>
      <c r="F729" s="957" t="s">
        <v>3852</v>
      </c>
      <c r="G729" s="957" t="s">
        <v>3895</v>
      </c>
    </row>
    <row r="730" spans="1:7">
      <c r="A730" s="957" t="s">
        <v>3893</v>
      </c>
      <c r="B730" s="957" t="s">
        <v>3855</v>
      </c>
      <c r="C730" s="957" t="s">
        <v>3894</v>
      </c>
      <c r="D730" s="957" t="str">
        <f t="shared" si="11"/>
        <v>神奈川県葉山町</v>
      </c>
      <c r="E730" s="957" t="s">
        <v>3893</v>
      </c>
      <c r="F730" s="957" t="s">
        <v>3852</v>
      </c>
      <c r="G730" s="957" t="s">
        <v>3892</v>
      </c>
    </row>
    <row r="731" spans="1:7">
      <c r="A731" s="957" t="s">
        <v>3890</v>
      </c>
      <c r="B731" s="957" t="s">
        <v>3855</v>
      </c>
      <c r="C731" s="957" t="s">
        <v>3891</v>
      </c>
      <c r="D731" s="957" t="str">
        <f t="shared" si="11"/>
        <v>神奈川県寒川町</v>
      </c>
      <c r="E731" s="957" t="s">
        <v>3890</v>
      </c>
      <c r="F731" s="957" t="s">
        <v>3852</v>
      </c>
      <c r="G731" s="957" t="s">
        <v>3889</v>
      </c>
    </row>
    <row r="732" spans="1:7">
      <c r="A732" s="957" t="s">
        <v>3887</v>
      </c>
      <c r="B732" s="957" t="s">
        <v>3855</v>
      </c>
      <c r="C732" s="957" t="s">
        <v>3888</v>
      </c>
      <c r="D732" s="957" t="str">
        <f t="shared" si="11"/>
        <v>神奈川県大磯町</v>
      </c>
      <c r="E732" s="957" t="s">
        <v>3887</v>
      </c>
      <c r="F732" s="957" t="s">
        <v>3852</v>
      </c>
      <c r="G732" s="957" t="s">
        <v>3886</v>
      </c>
    </row>
    <row r="733" spans="1:7">
      <c r="A733" s="957" t="s">
        <v>3884</v>
      </c>
      <c r="B733" s="957" t="s">
        <v>3855</v>
      </c>
      <c r="C733" s="957" t="s">
        <v>3885</v>
      </c>
      <c r="D733" s="957" t="str">
        <f t="shared" si="11"/>
        <v>神奈川県二宮町</v>
      </c>
      <c r="E733" s="957" t="s">
        <v>3884</v>
      </c>
      <c r="F733" s="957" t="s">
        <v>3852</v>
      </c>
      <c r="G733" s="957" t="s">
        <v>3883</v>
      </c>
    </row>
    <row r="734" spans="1:7">
      <c r="A734" s="957" t="s">
        <v>3881</v>
      </c>
      <c r="B734" s="957" t="s">
        <v>3855</v>
      </c>
      <c r="C734" s="957" t="s">
        <v>3882</v>
      </c>
      <c r="D734" s="957" t="str">
        <f t="shared" si="11"/>
        <v>神奈川県中井町</v>
      </c>
      <c r="E734" s="957" t="s">
        <v>3881</v>
      </c>
      <c r="F734" s="957" t="s">
        <v>3852</v>
      </c>
      <c r="G734" s="957" t="s">
        <v>3880</v>
      </c>
    </row>
    <row r="735" spans="1:7">
      <c r="A735" s="957" t="s">
        <v>3878</v>
      </c>
      <c r="B735" s="957" t="s">
        <v>3855</v>
      </c>
      <c r="C735" s="957" t="s">
        <v>3879</v>
      </c>
      <c r="D735" s="957" t="str">
        <f t="shared" si="11"/>
        <v>神奈川県大井町</v>
      </c>
      <c r="E735" s="957" t="s">
        <v>3878</v>
      </c>
      <c r="F735" s="957" t="s">
        <v>3852</v>
      </c>
      <c r="G735" s="957" t="s">
        <v>3877</v>
      </c>
    </row>
    <row r="736" spans="1:7">
      <c r="A736" s="957" t="s">
        <v>3875</v>
      </c>
      <c r="B736" s="957" t="s">
        <v>3855</v>
      </c>
      <c r="C736" s="957" t="s">
        <v>3876</v>
      </c>
      <c r="D736" s="957" t="str">
        <f t="shared" si="11"/>
        <v>神奈川県松田町</v>
      </c>
      <c r="E736" s="957" t="s">
        <v>3875</v>
      </c>
      <c r="F736" s="957" t="s">
        <v>3852</v>
      </c>
      <c r="G736" s="957" t="s">
        <v>3874</v>
      </c>
    </row>
    <row r="737" spans="1:7">
      <c r="A737" s="957" t="s">
        <v>3872</v>
      </c>
      <c r="B737" s="957" t="s">
        <v>3855</v>
      </c>
      <c r="C737" s="957" t="s">
        <v>3873</v>
      </c>
      <c r="D737" s="957" t="str">
        <f t="shared" si="11"/>
        <v>神奈川県山北町</v>
      </c>
      <c r="E737" s="957" t="s">
        <v>3872</v>
      </c>
      <c r="F737" s="957" t="s">
        <v>3852</v>
      </c>
      <c r="G737" s="957" t="s">
        <v>3871</v>
      </c>
    </row>
    <row r="738" spans="1:7">
      <c r="A738" s="957" t="s">
        <v>3869</v>
      </c>
      <c r="B738" s="957" t="s">
        <v>3855</v>
      </c>
      <c r="C738" s="957" t="s">
        <v>3870</v>
      </c>
      <c r="D738" s="957" t="str">
        <f t="shared" si="11"/>
        <v>神奈川県開成町</v>
      </c>
      <c r="E738" s="957" t="s">
        <v>3869</v>
      </c>
      <c r="F738" s="957" t="s">
        <v>3852</v>
      </c>
      <c r="G738" s="957" t="s">
        <v>3868</v>
      </c>
    </row>
    <row r="739" spans="1:7">
      <c r="A739" s="957" t="s">
        <v>3866</v>
      </c>
      <c r="B739" s="957" t="s">
        <v>3855</v>
      </c>
      <c r="C739" s="957" t="s">
        <v>3867</v>
      </c>
      <c r="D739" s="957" t="str">
        <f t="shared" si="11"/>
        <v>神奈川県箱根町</v>
      </c>
      <c r="E739" s="957" t="s">
        <v>3866</v>
      </c>
      <c r="F739" s="957" t="s">
        <v>3852</v>
      </c>
      <c r="G739" s="957" t="s">
        <v>3865</v>
      </c>
    </row>
    <row r="740" spans="1:7">
      <c r="A740" s="957" t="s">
        <v>3863</v>
      </c>
      <c r="B740" s="957" t="s">
        <v>3855</v>
      </c>
      <c r="C740" s="957" t="s">
        <v>3864</v>
      </c>
      <c r="D740" s="957" t="str">
        <f t="shared" si="11"/>
        <v>神奈川県真鶴町</v>
      </c>
      <c r="E740" s="957" t="s">
        <v>3863</v>
      </c>
      <c r="F740" s="957" t="s">
        <v>3852</v>
      </c>
      <c r="G740" s="957" t="s">
        <v>3862</v>
      </c>
    </row>
    <row r="741" spans="1:7">
      <c r="A741" s="957" t="s">
        <v>3860</v>
      </c>
      <c r="B741" s="957" t="s">
        <v>3855</v>
      </c>
      <c r="C741" s="957" t="s">
        <v>3861</v>
      </c>
      <c r="D741" s="957" t="str">
        <f t="shared" si="11"/>
        <v>神奈川県湯河原町</v>
      </c>
      <c r="E741" s="957" t="s">
        <v>3860</v>
      </c>
      <c r="F741" s="957" t="s">
        <v>3852</v>
      </c>
      <c r="G741" s="957" t="s">
        <v>3859</v>
      </c>
    </row>
    <row r="742" spans="1:7">
      <c r="A742" s="957" t="s">
        <v>3857</v>
      </c>
      <c r="B742" s="957" t="s">
        <v>3855</v>
      </c>
      <c r="C742" s="957" t="s">
        <v>3858</v>
      </c>
      <c r="D742" s="957" t="str">
        <f t="shared" si="11"/>
        <v>神奈川県愛川町</v>
      </c>
      <c r="E742" s="957" t="s">
        <v>3857</v>
      </c>
      <c r="F742" s="957" t="s">
        <v>3852</v>
      </c>
      <c r="G742" s="957" t="s">
        <v>3856</v>
      </c>
    </row>
    <row r="743" spans="1:7">
      <c r="A743" s="957" t="s">
        <v>3853</v>
      </c>
      <c r="B743" s="957" t="s">
        <v>3855</v>
      </c>
      <c r="C743" s="957" t="s">
        <v>3854</v>
      </c>
      <c r="D743" s="957" t="str">
        <f t="shared" si="11"/>
        <v>神奈川県清川村</v>
      </c>
      <c r="E743" s="957" t="s">
        <v>3853</v>
      </c>
      <c r="F743" s="957" t="s">
        <v>3852</v>
      </c>
      <c r="G743" s="957" t="s">
        <v>3851</v>
      </c>
    </row>
    <row r="744" spans="1:7">
      <c r="A744" s="960" t="s">
        <v>3849</v>
      </c>
      <c r="B744" s="960" t="s">
        <v>3850</v>
      </c>
      <c r="C744" s="960" t="s">
        <v>3850</v>
      </c>
      <c r="D744" s="960" t="str">
        <f t="shared" si="11"/>
        <v>新潟県新潟県</v>
      </c>
      <c r="E744" s="960" t="s">
        <v>3849</v>
      </c>
      <c r="F744" s="959" t="s">
        <v>3848</v>
      </c>
      <c r="G744" s="958"/>
    </row>
    <row r="745" spans="1:7">
      <c r="A745" s="957" t="s">
        <v>3846</v>
      </c>
      <c r="B745" s="957" t="s">
        <v>3760</v>
      </c>
      <c r="C745" s="957" t="s">
        <v>3847</v>
      </c>
      <c r="D745" s="957" t="str">
        <f t="shared" si="11"/>
        <v>新潟県新潟市</v>
      </c>
      <c r="E745" s="957" t="s">
        <v>3846</v>
      </c>
      <c r="F745" s="957" t="s">
        <v>3757</v>
      </c>
      <c r="G745" s="957" t="s">
        <v>3845</v>
      </c>
    </row>
    <row r="746" spans="1:7">
      <c r="A746" s="957" t="s">
        <v>3843</v>
      </c>
      <c r="B746" s="957" t="s">
        <v>3760</v>
      </c>
      <c r="C746" s="957" t="s">
        <v>3844</v>
      </c>
      <c r="D746" s="957" t="str">
        <f t="shared" si="11"/>
        <v>新潟県長岡市</v>
      </c>
      <c r="E746" s="957" t="s">
        <v>3843</v>
      </c>
      <c r="F746" s="957" t="s">
        <v>3757</v>
      </c>
      <c r="G746" s="957" t="s">
        <v>3842</v>
      </c>
    </row>
    <row r="747" spans="1:7">
      <c r="A747" s="957" t="s">
        <v>3840</v>
      </c>
      <c r="B747" s="957" t="s">
        <v>3760</v>
      </c>
      <c r="C747" s="957" t="s">
        <v>3841</v>
      </c>
      <c r="D747" s="957" t="str">
        <f t="shared" si="11"/>
        <v>新潟県三条市</v>
      </c>
      <c r="E747" s="957" t="s">
        <v>3840</v>
      </c>
      <c r="F747" s="957" t="s">
        <v>3757</v>
      </c>
      <c r="G747" s="957" t="s">
        <v>3839</v>
      </c>
    </row>
    <row r="748" spans="1:7">
      <c r="A748" s="957" t="s">
        <v>3837</v>
      </c>
      <c r="B748" s="957" t="s">
        <v>3760</v>
      </c>
      <c r="C748" s="957" t="s">
        <v>3838</v>
      </c>
      <c r="D748" s="957" t="str">
        <f t="shared" si="11"/>
        <v>新潟県柏崎市</v>
      </c>
      <c r="E748" s="957" t="s">
        <v>3837</v>
      </c>
      <c r="F748" s="957" t="s">
        <v>3757</v>
      </c>
      <c r="G748" s="957" t="s">
        <v>3836</v>
      </c>
    </row>
    <row r="749" spans="1:7">
      <c r="A749" s="957" t="s">
        <v>3834</v>
      </c>
      <c r="B749" s="957" t="s">
        <v>3760</v>
      </c>
      <c r="C749" s="957" t="s">
        <v>3835</v>
      </c>
      <c r="D749" s="957" t="str">
        <f t="shared" si="11"/>
        <v>新潟県新発田市</v>
      </c>
      <c r="E749" s="957" t="s">
        <v>3834</v>
      </c>
      <c r="F749" s="957" t="s">
        <v>3757</v>
      </c>
      <c r="G749" s="957" t="s">
        <v>3833</v>
      </c>
    </row>
    <row r="750" spans="1:7">
      <c r="A750" s="957" t="s">
        <v>3831</v>
      </c>
      <c r="B750" s="957" t="s">
        <v>3760</v>
      </c>
      <c r="C750" s="957" t="s">
        <v>3832</v>
      </c>
      <c r="D750" s="957" t="str">
        <f t="shared" si="11"/>
        <v>新潟県小千谷市</v>
      </c>
      <c r="E750" s="957" t="s">
        <v>3831</v>
      </c>
      <c r="F750" s="957" t="s">
        <v>3757</v>
      </c>
      <c r="G750" s="957" t="s">
        <v>3830</v>
      </c>
    </row>
    <row r="751" spans="1:7">
      <c r="A751" s="957" t="s">
        <v>3828</v>
      </c>
      <c r="B751" s="957" t="s">
        <v>3760</v>
      </c>
      <c r="C751" s="957" t="s">
        <v>3829</v>
      </c>
      <c r="D751" s="957" t="str">
        <f t="shared" si="11"/>
        <v>新潟県加茂市</v>
      </c>
      <c r="E751" s="957" t="s">
        <v>3828</v>
      </c>
      <c r="F751" s="957" t="s">
        <v>3757</v>
      </c>
      <c r="G751" s="957" t="s">
        <v>3827</v>
      </c>
    </row>
    <row r="752" spans="1:7">
      <c r="A752" s="957" t="s">
        <v>3825</v>
      </c>
      <c r="B752" s="957" t="s">
        <v>3760</v>
      </c>
      <c r="C752" s="957" t="s">
        <v>3826</v>
      </c>
      <c r="D752" s="957" t="str">
        <f t="shared" si="11"/>
        <v>新潟県十日町市</v>
      </c>
      <c r="E752" s="957" t="s">
        <v>3825</v>
      </c>
      <c r="F752" s="957" t="s">
        <v>3757</v>
      </c>
      <c r="G752" s="957" t="s">
        <v>3824</v>
      </c>
    </row>
    <row r="753" spans="1:7">
      <c r="A753" s="957" t="s">
        <v>3822</v>
      </c>
      <c r="B753" s="957" t="s">
        <v>3760</v>
      </c>
      <c r="C753" s="957" t="s">
        <v>3823</v>
      </c>
      <c r="D753" s="957" t="str">
        <f t="shared" si="11"/>
        <v>新潟県見附市</v>
      </c>
      <c r="E753" s="957" t="s">
        <v>3822</v>
      </c>
      <c r="F753" s="957" t="s">
        <v>3757</v>
      </c>
      <c r="G753" s="957" t="s">
        <v>3821</v>
      </c>
    </row>
    <row r="754" spans="1:7">
      <c r="A754" s="957" t="s">
        <v>3819</v>
      </c>
      <c r="B754" s="957" t="s">
        <v>3760</v>
      </c>
      <c r="C754" s="957" t="s">
        <v>3820</v>
      </c>
      <c r="D754" s="957" t="str">
        <f t="shared" si="11"/>
        <v>新潟県村上市</v>
      </c>
      <c r="E754" s="957" t="s">
        <v>3819</v>
      </c>
      <c r="F754" s="957" t="s">
        <v>3757</v>
      </c>
      <c r="G754" s="957" t="s">
        <v>3818</v>
      </c>
    </row>
    <row r="755" spans="1:7">
      <c r="A755" s="957" t="s">
        <v>3816</v>
      </c>
      <c r="B755" s="957" t="s">
        <v>3760</v>
      </c>
      <c r="C755" s="957" t="s">
        <v>3817</v>
      </c>
      <c r="D755" s="957" t="str">
        <f t="shared" si="11"/>
        <v>新潟県燕市</v>
      </c>
      <c r="E755" s="957" t="s">
        <v>3816</v>
      </c>
      <c r="F755" s="957" t="s">
        <v>3757</v>
      </c>
      <c r="G755" s="957" t="s">
        <v>3815</v>
      </c>
    </row>
    <row r="756" spans="1:7">
      <c r="A756" s="957" t="s">
        <v>3813</v>
      </c>
      <c r="B756" s="957" t="s">
        <v>3760</v>
      </c>
      <c r="C756" s="957" t="s">
        <v>3814</v>
      </c>
      <c r="D756" s="957" t="str">
        <f t="shared" si="11"/>
        <v>新潟県糸魚川市</v>
      </c>
      <c r="E756" s="957" t="s">
        <v>3813</v>
      </c>
      <c r="F756" s="957" t="s">
        <v>3757</v>
      </c>
      <c r="G756" s="957" t="s">
        <v>3812</v>
      </c>
    </row>
    <row r="757" spans="1:7">
      <c r="A757" s="957" t="s">
        <v>3810</v>
      </c>
      <c r="B757" s="957" t="s">
        <v>3760</v>
      </c>
      <c r="C757" s="957" t="s">
        <v>3811</v>
      </c>
      <c r="D757" s="957" t="str">
        <f t="shared" si="11"/>
        <v>新潟県妙高市</v>
      </c>
      <c r="E757" s="957" t="s">
        <v>3810</v>
      </c>
      <c r="F757" s="957" t="s">
        <v>3757</v>
      </c>
      <c r="G757" s="957" t="s">
        <v>3809</v>
      </c>
    </row>
    <row r="758" spans="1:7">
      <c r="A758" s="957" t="s">
        <v>3807</v>
      </c>
      <c r="B758" s="957" t="s">
        <v>3760</v>
      </c>
      <c r="C758" s="957" t="s">
        <v>3808</v>
      </c>
      <c r="D758" s="957" t="str">
        <f t="shared" si="11"/>
        <v>新潟県五泉市</v>
      </c>
      <c r="E758" s="957" t="s">
        <v>3807</v>
      </c>
      <c r="F758" s="957" t="s">
        <v>3757</v>
      </c>
      <c r="G758" s="957" t="s">
        <v>3806</v>
      </c>
    </row>
    <row r="759" spans="1:7">
      <c r="A759" s="957" t="s">
        <v>3804</v>
      </c>
      <c r="B759" s="957" t="s">
        <v>3760</v>
      </c>
      <c r="C759" s="957" t="s">
        <v>3805</v>
      </c>
      <c r="D759" s="957" t="str">
        <f t="shared" si="11"/>
        <v>新潟県上越市</v>
      </c>
      <c r="E759" s="957" t="s">
        <v>3804</v>
      </c>
      <c r="F759" s="957" t="s">
        <v>3757</v>
      </c>
      <c r="G759" s="957" t="s">
        <v>3803</v>
      </c>
    </row>
    <row r="760" spans="1:7">
      <c r="A760" s="957" t="s">
        <v>3801</v>
      </c>
      <c r="B760" s="957" t="s">
        <v>3760</v>
      </c>
      <c r="C760" s="957" t="s">
        <v>3802</v>
      </c>
      <c r="D760" s="957" t="str">
        <f t="shared" si="11"/>
        <v>新潟県阿賀野市</v>
      </c>
      <c r="E760" s="957" t="s">
        <v>3801</v>
      </c>
      <c r="F760" s="957" t="s">
        <v>3757</v>
      </c>
      <c r="G760" s="957" t="s">
        <v>3800</v>
      </c>
    </row>
    <row r="761" spans="1:7">
      <c r="A761" s="957" t="s">
        <v>3798</v>
      </c>
      <c r="B761" s="957" t="s">
        <v>3760</v>
      </c>
      <c r="C761" s="957" t="s">
        <v>3799</v>
      </c>
      <c r="D761" s="957" t="str">
        <f t="shared" si="11"/>
        <v>新潟県佐渡市</v>
      </c>
      <c r="E761" s="957" t="s">
        <v>3798</v>
      </c>
      <c r="F761" s="957" t="s">
        <v>3757</v>
      </c>
      <c r="G761" s="957" t="s">
        <v>3797</v>
      </c>
    </row>
    <row r="762" spans="1:7">
      <c r="A762" s="957" t="s">
        <v>3795</v>
      </c>
      <c r="B762" s="957" t="s">
        <v>3760</v>
      </c>
      <c r="C762" s="957" t="s">
        <v>3796</v>
      </c>
      <c r="D762" s="957" t="str">
        <f t="shared" si="11"/>
        <v>新潟県魚沼市</v>
      </c>
      <c r="E762" s="957" t="s">
        <v>3795</v>
      </c>
      <c r="F762" s="957" t="s">
        <v>3757</v>
      </c>
      <c r="G762" s="957" t="s">
        <v>3794</v>
      </c>
    </row>
    <row r="763" spans="1:7">
      <c r="A763" s="957" t="s">
        <v>3792</v>
      </c>
      <c r="B763" s="957" t="s">
        <v>3760</v>
      </c>
      <c r="C763" s="957" t="s">
        <v>3793</v>
      </c>
      <c r="D763" s="957" t="str">
        <f t="shared" si="11"/>
        <v>新潟県南魚沼市</v>
      </c>
      <c r="E763" s="957" t="s">
        <v>3792</v>
      </c>
      <c r="F763" s="957" t="s">
        <v>3757</v>
      </c>
      <c r="G763" s="957" t="s">
        <v>3791</v>
      </c>
    </row>
    <row r="764" spans="1:7">
      <c r="A764" s="957" t="s">
        <v>3789</v>
      </c>
      <c r="B764" s="957" t="s">
        <v>3760</v>
      </c>
      <c r="C764" s="957" t="s">
        <v>3790</v>
      </c>
      <c r="D764" s="957" t="str">
        <f t="shared" si="11"/>
        <v>新潟県胎内市</v>
      </c>
      <c r="E764" s="957" t="s">
        <v>3789</v>
      </c>
      <c r="F764" s="957" t="s">
        <v>3757</v>
      </c>
      <c r="G764" s="957" t="s">
        <v>3788</v>
      </c>
    </row>
    <row r="765" spans="1:7">
      <c r="A765" s="957" t="s">
        <v>3786</v>
      </c>
      <c r="B765" s="957" t="s">
        <v>3760</v>
      </c>
      <c r="C765" s="957" t="s">
        <v>3787</v>
      </c>
      <c r="D765" s="957" t="str">
        <f t="shared" si="11"/>
        <v>新潟県聖籠町</v>
      </c>
      <c r="E765" s="957" t="s">
        <v>3786</v>
      </c>
      <c r="F765" s="957" t="s">
        <v>3757</v>
      </c>
      <c r="G765" s="957" t="s">
        <v>3785</v>
      </c>
    </row>
    <row r="766" spans="1:7">
      <c r="A766" s="957" t="s">
        <v>3783</v>
      </c>
      <c r="B766" s="957" t="s">
        <v>3760</v>
      </c>
      <c r="C766" s="957" t="s">
        <v>3784</v>
      </c>
      <c r="D766" s="957" t="str">
        <f t="shared" si="11"/>
        <v>新潟県弥彦村</v>
      </c>
      <c r="E766" s="957" t="s">
        <v>3783</v>
      </c>
      <c r="F766" s="957" t="s">
        <v>3757</v>
      </c>
      <c r="G766" s="957" t="s">
        <v>3782</v>
      </c>
    </row>
    <row r="767" spans="1:7">
      <c r="A767" s="957" t="s">
        <v>3780</v>
      </c>
      <c r="B767" s="957" t="s">
        <v>3760</v>
      </c>
      <c r="C767" s="957" t="s">
        <v>3781</v>
      </c>
      <c r="D767" s="957" t="str">
        <f t="shared" si="11"/>
        <v>新潟県田上町</v>
      </c>
      <c r="E767" s="957" t="s">
        <v>3780</v>
      </c>
      <c r="F767" s="957" t="s">
        <v>3757</v>
      </c>
      <c r="G767" s="957" t="s">
        <v>3779</v>
      </c>
    </row>
    <row r="768" spans="1:7">
      <c r="A768" s="957" t="s">
        <v>3777</v>
      </c>
      <c r="B768" s="957" t="s">
        <v>3760</v>
      </c>
      <c r="C768" s="957" t="s">
        <v>3778</v>
      </c>
      <c r="D768" s="957" t="str">
        <f t="shared" si="11"/>
        <v>新潟県阿賀町</v>
      </c>
      <c r="E768" s="957" t="s">
        <v>3777</v>
      </c>
      <c r="F768" s="957" t="s">
        <v>3757</v>
      </c>
      <c r="G768" s="957" t="s">
        <v>3776</v>
      </c>
    </row>
    <row r="769" spans="1:7">
      <c r="A769" s="957" t="s">
        <v>3774</v>
      </c>
      <c r="B769" s="957" t="s">
        <v>3760</v>
      </c>
      <c r="C769" s="957" t="s">
        <v>3775</v>
      </c>
      <c r="D769" s="957" t="str">
        <f t="shared" si="11"/>
        <v>新潟県出雲崎町</v>
      </c>
      <c r="E769" s="957" t="s">
        <v>3774</v>
      </c>
      <c r="F769" s="957" t="s">
        <v>3757</v>
      </c>
      <c r="G769" s="957" t="s">
        <v>3773</v>
      </c>
    </row>
    <row r="770" spans="1:7">
      <c r="A770" s="957" t="s">
        <v>3771</v>
      </c>
      <c r="B770" s="957" t="s">
        <v>3760</v>
      </c>
      <c r="C770" s="957" t="s">
        <v>3772</v>
      </c>
      <c r="D770" s="957" t="str">
        <f t="shared" si="11"/>
        <v>新潟県湯沢町</v>
      </c>
      <c r="E770" s="957" t="s">
        <v>3771</v>
      </c>
      <c r="F770" s="957" t="s">
        <v>3757</v>
      </c>
      <c r="G770" s="957" t="s">
        <v>3770</v>
      </c>
    </row>
    <row r="771" spans="1:7">
      <c r="A771" s="957" t="s">
        <v>3768</v>
      </c>
      <c r="B771" s="957" t="s">
        <v>3760</v>
      </c>
      <c r="C771" s="957" t="s">
        <v>3769</v>
      </c>
      <c r="D771" s="957" t="str">
        <f t="shared" ref="D771:D834" si="12">B771&amp;C771</f>
        <v>新潟県津南町</v>
      </c>
      <c r="E771" s="957" t="s">
        <v>3768</v>
      </c>
      <c r="F771" s="957" t="s">
        <v>3757</v>
      </c>
      <c r="G771" s="957" t="s">
        <v>3767</v>
      </c>
    </row>
    <row r="772" spans="1:7">
      <c r="A772" s="957" t="s">
        <v>3765</v>
      </c>
      <c r="B772" s="957" t="s">
        <v>3760</v>
      </c>
      <c r="C772" s="957" t="s">
        <v>3766</v>
      </c>
      <c r="D772" s="957" t="str">
        <f t="shared" si="12"/>
        <v>新潟県刈羽村</v>
      </c>
      <c r="E772" s="957" t="s">
        <v>3765</v>
      </c>
      <c r="F772" s="957" t="s">
        <v>3757</v>
      </c>
      <c r="G772" s="957" t="s">
        <v>3764</v>
      </c>
    </row>
    <row r="773" spans="1:7">
      <c r="A773" s="957" t="s">
        <v>3762</v>
      </c>
      <c r="B773" s="957" t="s">
        <v>3760</v>
      </c>
      <c r="C773" s="957" t="s">
        <v>3763</v>
      </c>
      <c r="D773" s="957" t="str">
        <f t="shared" si="12"/>
        <v>新潟県関川村</v>
      </c>
      <c r="E773" s="957" t="s">
        <v>3762</v>
      </c>
      <c r="F773" s="957" t="s">
        <v>3757</v>
      </c>
      <c r="G773" s="957" t="s">
        <v>3761</v>
      </c>
    </row>
    <row r="774" spans="1:7">
      <c r="A774" s="957" t="s">
        <v>3758</v>
      </c>
      <c r="B774" s="957" t="s">
        <v>3760</v>
      </c>
      <c r="C774" s="957" t="s">
        <v>3759</v>
      </c>
      <c r="D774" s="957" t="str">
        <f t="shared" si="12"/>
        <v>新潟県粟島浦村</v>
      </c>
      <c r="E774" s="957" t="s">
        <v>3758</v>
      </c>
      <c r="F774" s="957" t="s">
        <v>3757</v>
      </c>
      <c r="G774" s="957" t="s">
        <v>3756</v>
      </c>
    </row>
    <row r="775" spans="1:7">
      <c r="A775" s="960" t="s">
        <v>3754</v>
      </c>
      <c r="B775" s="960" t="s">
        <v>3755</v>
      </c>
      <c r="C775" s="960" t="s">
        <v>3755</v>
      </c>
      <c r="D775" s="960" t="str">
        <f t="shared" si="12"/>
        <v>富山県富山県</v>
      </c>
      <c r="E775" s="960" t="s">
        <v>3754</v>
      </c>
      <c r="F775" s="959" t="s">
        <v>3753</v>
      </c>
      <c r="G775" s="958"/>
    </row>
    <row r="776" spans="1:7">
      <c r="A776" s="957" t="s">
        <v>3751</v>
      </c>
      <c r="B776" s="957" t="s">
        <v>3710</v>
      </c>
      <c r="C776" s="957" t="s">
        <v>3752</v>
      </c>
      <c r="D776" s="957" t="str">
        <f t="shared" si="12"/>
        <v>富山県富山市</v>
      </c>
      <c r="E776" s="957" t="s">
        <v>3751</v>
      </c>
      <c r="F776" s="957" t="s">
        <v>3708</v>
      </c>
      <c r="G776" s="957" t="s">
        <v>3750</v>
      </c>
    </row>
    <row r="777" spans="1:7">
      <c r="A777" s="957" t="s">
        <v>3748</v>
      </c>
      <c r="B777" s="957" t="s">
        <v>3710</v>
      </c>
      <c r="C777" s="957" t="s">
        <v>3749</v>
      </c>
      <c r="D777" s="957" t="str">
        <f t="shared" si="12"/>
        <v>富山県高岡市</v>
      </c>
      <c r="E777" s="957" t="s">
        <v>3748</v>
      </c>
      <c r="F777" s="957" t="s">
        <v>3708</v>
      </c>
      <c r="G777" s="957" t="s">
        <v>3747</v>
      </c>
    </row>
    <row r="778" spans="1:7">
      <c r="A778" s="957" t="s">
        <v>3745</v>
      </c>
      <c r="B778" s="957" t="s">
        <v>3710</v>
      </c>
      <c r="C778" s="957" t="s">
        <v>3746</v>
      </c>
      <c r="D778" s="957" t="str">
        <f t="shared" si="12"/>
        <v>富山県魚津市</v>
      </c>
      <c r="E778" s="957" t="s">
        <v>3745</v>
      </c>
      <c r="F778" s="957" t="s">
        <v>3708</v>
      </c>
      <c r="G778" s="957" t="s">
        <v>3744</v>
      </c>
    </row>
    <row r="779" spans="1:7">
      <c r="A779" s="957" t="s">
        <v>3742</v>
      </c>
      <c r="B779" s="957" t="s">
        <v>3710</v>
      </c>
      <c r="C779" s="957" t="s">
        <v>3743</v>
      </c>
      <c r="D779" s="957" t="str">
        <f t="shared" si="12"/>
        <v>富山県氷見市</v>
      </c>
      <c r="E779" s="957" t="s">
        <v>3742</v>
      </c>
      <c r="F779" s="957" t="s">
        <v>3708</v>
      </c>
      <c r="G779" s="957" t="s">
        <v>3741</v>
      </c>
    </row>
    <row r="780" spans="1:7">
      <c r="A780" s="957" t="s">
        <v>3739</v>
      </c>
      <c r="B780" s="957" t="s">
        <v>3710</v>
      </c>
      <c r="C780" s="957" t="s">
        <v>3740</v>
      </c>
      <c r="D780" s="957" t="str">
        <f t="shared" si="12"/>
        <v>富山県滑川市</v>
      </c>
      <c r="E780" s="957" t="s">
        <v>3739</v>
      </c>
      <c r="F780" s="957" t="s">
        <v>3708</v>
      </c>
      <c r="G780" s="957" t="s">
        <v>3738</v>
      </c>
    </row>
    <row r="781" spans="1:7">
      <c r="A781" s="957" t="s">
        <v>3736</v>
      </c>
      <c r="B781" s="957" t="s">
        <v>3710</v>
      </c>
      <c r="C781" s="957" t="s">
        <v>3737</v>
      </c>
      <c r="D781" s="957" t="str">
        <f t="shared" si="12"/>
        <v>富山県黒部市</v>
      </c>
      <c r="E781" s="957" t="s">
        <v>3736</v>
      </c>
      <c r="F781" s="957" t="s">
        <v>3708</v>
      </c>
      <c r="G781" s="957" t="s">
        <v>3735</v>
      </c>
    </row>
    <row r="782" spans="1:7">
      <c r="A782" s="957" t="s">
        <v>3733</v>
      </c>
      <c r="B782" s="957" t="s">
        <v>3710</v>
      </c>
      <c r="C782" s="957" t="s">
        <v>3734</v>
      </c>
      <c r="D782" s="957" t="str">
        <f t="shared" si="12"/>
        <v>富山県砺波市</v>
      </c>
      <c r="E782" s="957" t="s">
        <v>3733</v>
      </c>
      <c r="F782" s="957" t="s">
        <v>3708</v>
      </c>
      <c r="G782" s="957" t="s">
        <v>3732</v>
      </c>
    </row>
    <row r="783" spans="1:7">
      <c r="A783" s="957" t="s">
        <v>3730</v>
      </c>
      <c r="B783" s="957" t="s">
        <v>3710</v>
      </c>
      <c r="C783" s="957" t="s">
        <v>3731</v>
      </c>
      <c r="D783" s="957" t="str">
        <f t="shared" si="12"/>
        <v>富山県小矢部市</v>
      </c>
      <c r="E783" s="957" t="s">
        <v>3730</v>
      </c>
      <c r="F783" s="957" t="s">
        <v>3708</v>
      </c>
      <c r="G783" s="957" t="s">
        <v>3729</v>
      </c>
    </row>
    <row r="784" spans="1:7">
      <c r="A784" s="957" t="s">
        <v>3727</v>
      </c>
      <c r="B784" s="957" t="s">
        <v>3710</v>
      </c>
      <c r="C784" s="957" t="s">
        <v>3728</v>
      </c>
      <c r="D784" s="957" t="str">
        <f t="shared" si="12"/>
        <v>富山県南砺市</v>
      </c>
      <c r="E784" s="957" t="s">
        <v>3727</v>
      </c>
      <c r="F784" s="957" t="s">
        <v>3708</v>
      </c>
      <c r="G784" s="957" t="s">
        <v>3726</v>
      </c>
    </row>
    <row r="785" spans="1:7">
      <c r="A785" s="957" t="s">
        <v>3724</v>
      </c>
      <c r="B785" s="957" t="s">
        <v>3710</v>
      </c>
      <c r="C785" s="957" t="s">
        <v>3725</v>
      </c>
      <c r="D785" s="957" t="str">
        <f t="shared" si="12"/>
        <v>富山県射水市</v>
      </c>
      <c r="E785" s="957" t="s">
        <v>3724</v>
      </c>
      <c r="F785" s="957" t="s">
        <v>3708</v>
      </c>
      <c r="G785" s="957" t="s">
        <v>3723</v>
      </c>
    </row>
    <row r="786" spans="1:7">
      <c r="A786" s="957" t="s">
        <v>3721</v>
      </c>
      <c r="B786" s="957" t="s">
        <v>3710</v>
      </c>
      <c r="C786" s="957" t="s">
        <v>3722</v>
      </c>
      <c r="D786" s="957" t="str">
        <f t="shared" si="12"/>
        <v>富山県舟橋村</v>
      </c>
      <c r="E786" s="957" t="s">
        <v>3721</v>
      </c>
      <c r="F786" s="957" t="s">
        <v>3708</v>
      </c>
      <c r="G786" s="957" t="s">
        <v>3720</v>
      </c>
    </row>
    <row r="787" spans="1:7">
      <c r="A787" s="957" t="s">
        <v>3718</v>
      </c>
      <c r="B787" s="957" t="s">
        <v>3710</v>
      </c>
      <c r="C787" s="957" t="s">
        <v>3719</v>
      </c>
      <c r="D787" s="957" t="str">
        <f t="shared" si="12"/>
        <v>富山県上市町</v>
      </c>
      <c r="E787" s="957" t="s">
        <v>3718</v>
      </c>
      <c r="F787" s="957" t="s">
        <v>3708</v>
      </c>
      <c r="G787" s="957" t="s">
        <v>3717</v>
      </c>
    </row>
    <row r="788" spans="1:7">
      <c r="A788" s="957" t="s">
        <v>3715</v>
      </c>
      <c r="B788" s="957" t="s">
        <v>3710</v>
      </c>
      <c r="C788" s="957" t="s">
        <v>3716</v>
      </c>
      <c r="D788" s="957" t="str">
        <f t="shared" si="12"/>
        <v>富山県立山町</v>
      </c>
      <c r="E788" s="957" t="s">
        <v>3715</v>
      </c>
      <c r="F788" s="957" t="s">
        <v>3708</v>
      </c>
      <c r="G788" s="957" t="s">
        <v>3714</v>
      </c>
    </row>
    <row r="789" spans="1:7">
      <c r="A789" s="957" t="s">
        <v>3712</v>
      </c>
      <c r="B789" s="957" t="s">
        <v>3710</v>
      </c>
      <c r="C789" s="957" t="s">
        <v>3713</v>
      </c>
      <c r="D789" s="957" t="str">
        <f t="shared" si="12"/>
        <v>富山県入善町</v>
      </c>
      <c r="E789" s="957" t="s">
        <v>3712</v>
      </c>
      <c r="F789" s="957" t="s">
        <v>3708</v>
      </c>
      <c r="G789" s="957" t="s">
        <v>3711</v>
      </c>
    </row>
    <row r="790" spans="1:7">
      <c r="A790" s="957" t="s">
        <v>3709</v>
      </c>
      <c r="B790" s="957" t="s">
        <v>3710</v>
      </c>
      <c r="C790" s="957" t="s">
        <v>2822</v>
      </c>
      <c r="D790" s="957" t="str">
        <f t="shared" si="12"/>
        <v>富山県朝日町</v>
      </c>
      <c r="E790" s="957" t="s">
        <v>3709</v>
      </c>
      <c r="F790" s="957" t="s">
        <v>3708</v>
      </c>
      <c r="G790" s="957" t="s">
        <v>3707</v>
      </c>
    </row>
    <row r="791" spans="1:7">
      <c r="A791" s="960" t="s">
        <v>3705</v>
      </c>
      <c r="B791" s="960" t="s">
        <v>3706</v>
      </c>
      <c r="C791" s="960" t="s">
        <v>3706</v>
      </c>
      <c r="D791" s="960" t="str">
        <f t="shared" si="12"/>
        <v>石川県石川県</v>
      </c>
      <c r="E791" s="960" t="s">
        <v>3705</v>
      </c>
      <c r="F791" s="959" t="s">
        <v>3704</v>
      </c>
      <c r="G791" s="958"/>
    </row>
    <row r="792" spans="1:7">
      <c r="A792" s="957" t="s">
        <v>3702</v>
      </c>
      <c r="B792" s="957" t="s">
        <v>3649</v>
      </c>
      <c r="C792" s="957" t="s">
        <v>3703</v>
      </c>
      <c r="D792" s="957" t="str">
        <f t="shared" si="12"/>
        <v>石川県金沢市</v>
      </c>
      <c r="E792" s="957" t="s">
        <v>3702</v>
      </c>
      <c r="F792" s="957" t="s">
        <v>3646</v>
      </c>
      <c r="G792" s="957" t="s">
        <v>3701</v>
      </c>
    </row>
    <row r="793" spans="1:7">
      <c r="A793" s="957" t="s">
        <v>3699</v>
      </c>
      <c r="B793" s="957" t="s">
        <v>3649</v>
      </c>
      <c r="C793" s="957" t="s">
        <v>3700</v>
      </c>
      <c r="D793" s="957" t="str">
        <f t="shared" si="12"/>
        <v>石川県七尾市</v>
      </c>
      <c r="E793" s="957" t="s">
        <v>3699</v>
      </c>
      <c r="F793" s="957" t="s">
        <v>3646</v>
      </c>
      <c r="G793" s="957" t="s">
        <v>3698</v>
      </c>
    </row>
    <row r="794" spans="1:7">
      <c r="A794" s="957" t="s">
        <v>3696</v>
      </c>
      <c r="B794" s="957" t="s">
        <v>3649</v>
      </c>
      <c r="C794" s="957" t="s">
        <v>3697</v>
      </c>
      <c r="D794" s="957" t="str">
        <f t="shared" si="12"/>
        <v>石川県小松市</v>
      </c>
      <c r="E794" s="957" t="s">
        <v>3696</v>
      </c>
      <c r="F794" s="957" t="s">
        <v>3646</v>
      </c>
      <c r="G794" s="957" t="s">
        <v>3695</v>
      </c>
    </row>
    <row r="795" spans="1:7">
      <c r="A795" s="957" t="s">
        <v>3693</v>
      </c>
      <c r="B795" s="957" t="s">
        <v>3649</v>
      </c>
      <c r="C795" s="957" t="s">
        <v>3694</v>
      </c>
      <c r="D795" s="957" t="str">
        <f t="shared" si="12"/>
        <v>石川県輪島市</v>
      </c>
      <c r="E795" s="957" t="s">
        <v>3693</v>
      </c>
      <c r="F795" s="957" t="s">
        <v>3646</v>
      </c>
      <c r="G795" s="957" t="s">
        <v>3692</v>
      </c>
    </row>
    <row r="796" spans="1:7">
      <c r="A796" s="957" t="s">
        <v>3690</v>
      </c>
      <c r="B796" s="957" t="s">
        <v>3649</v>
      </c>
      <c r="C796" s="957" t="s">
        <v>3691</v>
      </c>
      <c r="D796" s="957" t="str">
        <f t="shared" si="12"/>
        <v>石川県珠洲市</v>
      </c>
      <c r="E796" s="957" t="s">
        <v>3690</v>
      </c>
      <c r="F796" s="957" t="s">
        <v>3646</v>
      </c>
      <c r="G796" s="957" t="s">
        <v>3689</v>
      </c>
    </row>
    <row r="797" spans="1:7">
      <c r="A797" s="957" t="s">
        <v>3687</v>
      </c>
      <c r="B797" s="957" t="s">
        <v>3649</v>
      </c>
      <c r="C797" s="957" t="s">
        <v>3688</v>
      </c>
      <c r="D797" s="957" t="str">
        <f t="shared" si="12"/>
        <v>石川県加賀市</v>
      </c>
      <c r="E797" s="957" t="s">
        <v>3687</v>
      </c>
      <c r="F797" s="957" t="s">
        <v>3646</v>
      </c>
      <c r="G797" s="957" t="s">
        <v>3686</v>
      </c>
    </row>
    <row r="798" spans="1:7">
      <c r="A798" s="957" t="s">
        <v>3684</v>
      </c>
      <c r="B798" s="957" t="s">
        <v>3649</v>
      </c>
      <c r="C798" s="957" t="s">
        <v>3685</v>
      </c>
      <c r="D798" s="957" t="str">
        <f t="shared" si="12"/>
        <v>石川県羽咋市</v>
      </c>
      <c r="E798" s="957" t="s">
        <v>3684</v>
      </c>
      <c r="F798" s="957" t="s">
        <v>3646</v>
      </c>
      <c r="G798" s="957" t="s">
        <v>3683</v>
      </c>
    </row>
    <row r="799" spans="1:7">
      <c r="A799" s="957" t="s">
        <v>3681</v>
      </c>
      <c r="B799" s="957" t="s">
        <v>3649</v>
      </c>
      <c r="C799" s="957" t="s">
        <v>3682</v>
      </c>
      <c r="D799" s="957" t="str">
        <f t="shared" si="12"/>
        <v>石川県かほく市</v>
      </c>
      <c r="E799" s="957" t="s">
        <v>3681</v>
      </c>
      <c r="F799" s="957" t="s">
        <v>3646</v>
      </c>
      <c r="G799" s="957" t="s">
        <v>3680</v>
      </c>
    </row>
    <row r="800" spans="1:7">
      <c r="A800" s="957" t="s">
        <v>3678</v>
      </c>
      <c r="B800" s="957" t="s">
        <v>3649</v>
      </c>
      <c r="C800" s="957" t="s">
        <v>3679</v>
      </c>
      <c r="D800" s="957" t="str">
        <f t="shared" si="12"/>
        <v>石川県白山市</v>
      </c>
      <c r="E800" s="957" t="s">
        <v>3678</v>
      </c>
      <c r="F800" s="957" t="s">
        <v>3646</v>
      </c>
      <c r="G800" s="957" t="s">
        <v>3677</v>
      </c>
    </row>
    <row r="801" spans="1:7">
      <c r="A801" s="957" t="s">
        <v>3675</v>
      </c>
      <c r="B801" s="957" t="s">
        <v>3649</v>
      </c>
      <c r="C801" s="957" t="s">
        <v>3676</v>
      </c>
      <c r="D801" s="957" t="str">
        <f t="shared" si="12"/>
        <v>石川県能美市</v>
      </c>
      <c r="E801" s="957" t="s">
        <v>3675</v>
      </c>
      <c r="F801" s="957" t="s">
        <v>3646</v>
      </c>
      <c r="G801" s="957" t="s">
        <v>3674</v>
      </c>
    </row>
    <row r="802" spans="1:7">
      <c r="A802" s="957" t="s">
        <v>3672</v>
      </c>
      <c r="B802" s="957" t="s">
        <v>3649</v>
      </c>
      <c r="C802" s="957" t="s">
        <v>3673</v>
      </c>
      <c r="D802" s="957" t="str">
        <f t="shared" si="12"/>
        <v>石川県野々市市</v>
      </c>
      <c r="E802" s="957" t="s">
        <v>3672</v>
      </c>
      <c r="F802" s="957" t="s">
        <v>3646</v>
      </c>
      <c r="G802" s="957" t="s">
        <v>3671</v>
      </c>
    </row>
    <row r="803" spans="1:7">
      <c r="A803" s="957" t="s">
        <v>3669</v>
      </c>
      <c r="B803" s="957" t="s">
        <v>3649</v>
      </c>
      <c r="C803" s="957" t="s">
        <v>3670</v>
      </c>
      <c r="D803" s="957" t="str">
        <f t="shared" si="12"/>
        <v>石川県川北町</v>
      </c>
      <c r="E803" s="957" t="s">
        <v>3669</v>
      </c>
      <c r="F803" s="957" t="s">
        <v>3646</v>
      </c>
      <c r="G803" s="957" t="s">
        <v>3668</v>
      </c>
    </row>
    <row r="804" spans="1:7">
      <c r="A804" s="957" t="s">
        <v>3666</v>
      </c>
      <c r="B804" s="957" t="s">
        <v>3649</v>
      </c>
      <c r="C804" s="957" t="s">
        <v>3667</v>
      </c>
      <c r="D804" s="957" t="str">
        <f t="shared" si="12"/>
        <v>石川県津幡町</v>
      </c>
      <c r="E804" s="957" t="s">
        <v>3666</v>
      </c>
      <c r="F804" s="957" t="s">
        <v>3646</v>
      </c>
      <c r="G804" s="957" t="s">
        <v>3665</v>
      </c>
    </row>
    <row r="805" spans="1:7">
      <c r="A805" s="957" t="s">
        <v>3663</v>
      </c>
      <c r="B805" s="957" t="s">
        <v>3649</v>
      </c>
      <c r="C805" s="957" t="s">
        <v>3664</v>
      </c>
      <c r="D805" s="957" t="str">
        <f t="shared" si="12"/>
        <v>石川県内灘町</v>
      </c>
      <c r="E805" s="957" t="s">
        <v>3663</v>
      </c>
      <c r="F805" s="957" t="s">
        <v>3646</v>
      </c>
      <c r="G805" s="957" t="s">
        <v>3662</v>
      </c>
    </row>
    <row r="806" spans="1:7">
      <c r="A806" s="957" t="s">
        <v>3660</v>
      </c>
      <c r="B806" s="957" t="s">
        <v>3649</v>
      </c>
      <c r="C806" s="957" t="s">
        <v>3661</v>
      </c>
      <c r="D806" s="957" t="str">
        <f t="shared" si="12"/>
        <v>石川県志賀町</v>
      </c>
      <c r="E806" s="957" t="s">
        <v>3660</v>
      </c>
      <c r="F806" s="957" t="s">
        <v>3646</v>
      </c>
      <c r="G806" s="957" t="s">
        <v>3659</v>
      </c>
    </row>
    <row r="807" spans="1:7">
      <c r="A807" s="957" t="s">
        <v>3657</v>
      </c>
      <c r="B807" s="957" t="s">
        <v>3649</v>
      </c>
      <c r="C807" s="957" t="s">
        <v>3658</v>
      </c>
      <c r="D807" s="957" t="str">
        <f t="shared" si="12"/>
        <v>石川県宝達志水町</v>
      </c>
      <c r="E807" s="957" t="s">
        <v>3657</v>
      </c>
      <c r="F807" s="957" t="s">
        <v>3646</v>
      </c>
      <c r="G807" s="957" t="s">
        <v>3656</v>
      </c>
    </row>
    <row r="808" spans="1:7">
      <c r="A808" s="957" t="s">
        <v>3654</v>
      </c>
      <c r="B808" s="957" t="s">
        <v>3649</v>
      </c>
      <c r="C808" s="957" t="s">
        <v>3655</v>
      </c>
      <c r="D808" s="957" t="str">
        <f t="shared" si="12"/>
        <v>石川県中能登町</v>
      </c>
      <c r="E808" s="957" t="s">
        <v>3654</v>
      </c>
      <c r="F808" s="957" t="s">
        <v>3646</v>
      </c>
      <c r="G808" s="957" t="s">
        <v>3653</v>
      </c>
    </row>
    <row r="809" spans="1:7">
      <c r="A809" s="957" t="s">
        <v>3651</v>
      </c>
      <c r="B809" s="957" t="s">
        <v>3649</v>
      </c>
      <c r="C809" s="957" t="s">
        <v>3652</v>
      </c>
      <c r="D809" s="957" t="str">
        <f t="shared" si="12"/>
        <v>石川県穴水町</v>
      </c>
      <c r="E809" s="957" t="s">
        <v>3651</v>
      </c>
      <c r="F809" s="957" t="s">
        <v>3646</v>
      </c>
      <c r="G809" s="957" t="s">
        <v>3650</v>
      </c>
    </row>
    <row r="810" spans="1:7">
      <c r="A810" s="957" t="s">
        <v>3647</v>
      </c>
      <c r="B810" s="957" t="s">
        <v>3649</v>
      </c>
      <c r="C810" s="957" t="s">
        <v>3648</v>
      </c>
      <c r="D810" s="957" t="str">
        <f t="shared" si="12"/>
        <v>石川県能登町</v>
      </c>
      <c r="E810" s="957" t="s">
        <v>3647</v>
      </c>
      <c r="F810" s="957" t="s">
        <v>3646</v>
      </c>
      <c r="G810" s="957" t="s">
        <v>3645</v>
      </c>
    </row>
    <row r="811" spans="1:7">
      <c r="A811" s="960" t="s">
        <v>3643</v>
      </c>
      <c r="B811" s="960" t="s">
        <v>3644</v>
      </c>
      <c r="C811" s="960" t="s">
        <v>3644</v>
      </c>
      <c r="D811" s="960" t="str">
        <f t="shared" si="12"/>
        <v>福井県福井県</v>
      </c>
      <c r="E811" s="960" t="s">
        <v>3643</v>
      </c>
      <c r="F811" s="959" t="s">
        <v>3642</v>
      </c>
      <c r="G811" s="958"/>
    </row>
    <row r="812" spans="1:7">
      <c r="A812" s="957" t="s">
        <v>3640</v>
      </c>
      <c r="B812" s="957" t="s">
        <v>3598</v>
      </c>
      <c r="C812" s="957" t="s">
        <v>3641</v>
      </c>
      <c r="D812" s="957" t="str">
        <f t="shared" si="12"/>
        <v>福井県福井市</v>
      </c>
      <c r="E812" s="957" t="s">
        <v>3640</v>
      </c>
      <c r="F812" s="957" t="s">
        <v>3595</v>
      </c>
      <c r="G812" s="957" t="s">
        <v>3639</v>
      </c>
    </row>
    <row r="813" spans="1:7">
      <c r="A813" s="957" t="s">
        <v>3637</v>
      </c>
      <c r="B813" s="957" t="s">
        <v>3598</v>
      </c>
      <c r="C813" s="957" t="s">
        <v>3638</v>
      </c>
      <c r="D813" s="957" t="str">
        <f t="shared" si="12"/>
        <v>福井県敦賀市</v>
      </c>
      <c r="E813" s="957" t="s">
        <v>3637</v>
      </c>
      <c r="F813" s="957" t="s">
        <v>3595</v>
      </c>
      <c r="G813" s="957" t="s">
        <v>3636</v>
      </c>
    </row>
    <row r="814" spans="1:7">
      <c r="A814" s="957" t="s">
        <v>3634</v>
      </c>
      <c r="B814" s="957" t="s">
        <v>3598</v>
      </c>
      <c r="C814" s="957" t="s">
        <v>3635</v>
      </c>
      <c r="D814" s="957" t="str">
        <f t="shared" si="12"/>
        <v>福井県小浜市</v>
      </c>
      <c r="E814" s="957" t="s">
        <v>3634</v>
      </c>
      <c r="F814" s="957" t="s">
        <v>3595</v>
      </c>
      <c r="G814" s="957" t="s">
        <v>3633</v>
      </c>
    </row>
    <row r="815" spans="1:7">
      <c r="A815" s="957" t="s">
        <v>3631</v>
      </c>
      <c r="B815" s="957" t="s">
        <v>3598</v>
      </c>
      <c r="C815" s="957" t="s">
        <v>3632</v>
      </c>
      <c r="D815" s="957" t="str">
        <f t="shared" si="12"/>
        <v>福井県大野市</v>
      </c>
      <c r="E815" s="957" t="s">
        <v>3631</v>
      </c>
      <c r="F815" s="957" t="s">
        <v>3595</v>
      </c>
      <c r="G815" s="957" t="s">
        <v>3630</v>
      </c>
    </row>
    <row r="816" spans="1:7">
      <c r="A816" s="957" t="s">
        <v>3628</v>
      </c>
      <c r="B816" s="957" t="s">
        <v>3598</v>
      </c>
      <c r="C816" s="957" t="s">
        <v>3629</v>
      </c>
      <c r="D816" s="957" t="str">
        <f t="shared" si="12"/>
        <v>福井県勝山市</v>
      </c>
      <c r="E816" s="957" t="s">
        <v>3628</v>
      </c>
      <c r="F816" s="957" t="s">
        <v>3595</v>
      </c>
      <c r="G816" s="957" t="s">
        <v>3627</v>
      </c>
    </row>
    <row r="817" spans="1:7">
      <c r="A817" s="957" t="s">
        <v>3625</v>
      </c>
      <c r="B817" s="957" t="s">
        <v>3598</v>
      </c>
      <c r="C817" s="957" t="s">
        <v>3626</v>
      </c>
      <c r="D817" s="957" t="str">
        <f t="shared" si="12"/>
        <v>福井県鯖江市</v>
      </c>
      <c r="E817" s="957" t="s">
        <v>3625</v>
      </c>
      <c r="F817" s="957" t="s">
        <v>3595</v>
      </c>
      <c r="G817" s="957" t="s">
        <v>3624</v>
      </c>
    </row>
    <row r="818" spans="1:7">
      <c r="A818" s="957" t="s">
        <v>3622</v>
      </c>
      <c r="B818" s="957" t="s">
        <v>3598</v>
      </c>
      <c r="C818" s="957" t="s">
        <v>3623</v>
      </c>
      <c r="D818" s="957" t="str">
        <f t="shared" si="12"/>
        <v>福井県あわら市</v>
      </c>
      <c r="E818" s="957" t="s">
        <v>3622</v>
      </c>
      <c r="F818" s="957" t="s">
        <v>3595</v>
      </c>
      <c r="G818" s="957" t="s">
        <v>3621</v>
      </c>
    </row>
    <row r="819" spans="1:7">
      <c r="A819" s="957" t="s">
        <v>3619</v>
      </c>
      <c r="B819" s="957" t="s">
        <v>3598</v>
      </c>
      <c r="C819" s="957" t="s">
        <v>3620</v>
      </c>
      <c r="D819" s="957" t="str">
        <f t="shared" si="12"/>
        <v>福井県越前市</v>
      </c>
      <c r="E819" s="957" t="s">
        <v>3619</v>
      </c>
      <c r="F819" s="957" t="s">
        <v>3595</v>
      </c>
      <c r="G819" s="957" t="s">
        <v>3618</v>
      </c>
    </row>
    <row r="820" spans="1:7">
      <c r="A820" s="957" t="s">
        <v>3616</v>
      </c>
      <c r="B820" s="957" t="s">
        <v>3598</v>
      </c>
      <c r="C820" s="957" t="s">
        <v>3617</v>
      </c>
      <c r="D820" s="957" t="str">
        <f t="shared" si="12"/>
        <v>福井県坂井市</v>
      </c>
      <c r="E820" s="957" t="s">
        <v>3616</v>
      </c>
      <c r="F820" s="957" t="s">
        <v>3595</v>
      </c>
      <c r="G820" s="957" t="s">
        <v>2635</v>
      </c>
    </row>
    <row r="821" spans="1:7">
      <c r="A821" s="957" t="s">
        <v>3614</v>
      </c>
      <c r="B821" s="957" t="s">
        <v>3598</v>
      </c>
      <c r="C821" s="957" t="s">
        <v>3615</v>
      </c>
      <c r="D821" s="957" t="str">
        <f t="shared" si="12"/>
        <v>福井県永平寺町</v>
      </c>
      <c r="E821" s="957" t="s">
        <v>3614</v>
      </c>
      <c r="F821" s="957" t="s">
        <v>3595</v>
      </c>
      <c r="G821" s="957" t="s">
        <v>3613</v>
      </c>
    </row>
    <row r="822" spans="1:7">
      <c r="A822" s="957" t="s">
        <v>3612</v>
      </c>
      <c r="B822" s="957" t="s">
        <v>3598</v>
      </c>
      <c r="C822" s="957" t="s">
        <v>3183</v>
      </c>
      <c r="D822" s="957" t="str">
        <f t="shared" si="12"/>
        <v>福井県池田町</v>
      </c>
      <c r="E822" s="957" t="s">
        <v>3612</v>
      </c>
      <c r="F822" s="957" t="s">
        <v>3595</v>
      </c>
      <c r="G822" s="957" t="s">
        <v>3181</v>
      </c>
    </row>
    <row r="823" spans="1:7">
      <c r="A823" s="957" t="s">
        <v>3610</v>
      </c>
      <c r="B823" s="957" t="s">
        <v>3598</v>
      </c>
      <c r="C823" s="957" t="s">
        <v>3611</v>
      </c>
      <c r="D823" s="957" t="str">
        <f t="shared" si="12"/>
        <v>福井県南越前町</v>
      </c>
      <c r="E823" s="957" t="s">
        <v>3610</v>
      </c>
      <c r="F823" s="957" t="s">
        <v>3595</v>
      </c>
      <c r="G823" s="957" t="s">
        <v>3609</v>
      </c>
    </row>
    <row r="824" spans="1:7">
      <c r="A824" s="957" t="s">
        <v>3607</v>
      </c>
      <c r="B824" s="957" t="s">
        <v>3598</v>
      </c>
      <c r="C824" s="957" t="s">
        <v>3608</v>
      </c>
      <c r="D824" s="957" t="str">
        <f t="shared" si="12"/>
        <v>福井県越前町</v>
      </c>
      <c r="E824" s="957" t="s">
        <v>3607</v>
      </c>
      <c r="F824" s="957" t="s">
        <v>3595</v>
      </c>
      <c r="G824" s="957" t="s">
        <v>3606</v>
      </c>
    </row>
    <row r="825" spans="1:7">
      <c r="A825" s="957" t="s">
        <v>3605</v>
      </c>
      <c r="B825" s="957" t="s">
        <v>3598</v>
      </c>
      <c r="C825" s="957" t="s">
        <v>2214</v>
      </c>
      <c r="D825" s="957" t="str">
        <f t="shared" si="12"/>
        <v>福井県美浜町</v>
      </c>
      <c r="E825" s="957" t="s">
        <v>3605</v>
      </c>
      <c r="F825" s="957" t="s">
        <v>3595</v>
      </c>
      <c r="G825" s="957" t="s">
        <v>2212</v>
      </c>
    </row>
    <row r="826" spans="1:7">
      <c r="A826" s="957" t="s">
        <v>3603</v>
      </c>
      <c r="B826" s="957" t="s">
        <v>3598</v>
      </c>
      <c r="C826" s="957" t="s">
        <v>3604</v>
      </c>
      <c r="D826" s="957" t="str">
        <f t="shared" si="12"/>
        <v>福井県高浜町</v>
      </c>
      <c r="E826" s="957" t="s">
        <v>3603</v>
      </c>
      <c r="F826" s="957" t="s">
        <v>3595</v>
      </c>
      <c r="G826" s="957" t="s">
        <v>3602</v>
      </c>
    </row>
    <row r="827" spans="1:7">
      <c r="A827" s="957" t="s">
        <v>3600</v>
      </c>
      <c r="B827" s="957" t="s">
        <v>3598</v>
      </c>
      <c r="C827" s="957" t="s">
        <v>3601</v>
      </c>
      <c r="D827" s="957" t="str">
        <f t="shared" si="12"/>
        <v>福井県おおい町</v>
      </c>
      <c r="E827" s="957" t="s">
        <v>3600</v>
      </c>
      <c r="F827" s="957" t="s">
        <v>3595</v>
      </c>
      <c r="G827" s="957" t="s">
        <v>3599</v>
      </c>
    </row>
    <row r="828" spans="1:7">
      <c r="A828" s="957" t="s">
        <v>3596</v>
      </c>
      <c r="B828" s="957" t="s">
        <v>3598</v>
      </c>
      <c r="C828" s="957" t="s">
        <v>3597</v>
      </c>
      <c r="D828" s="957" t="str">
        <f t="shared" si="12"/>
        <v>福井県若狭町</v>
      </c>
      <c r="E828" s="957" t="s">
        <v>3596</v>
      </c>
      <c r="F828" s="957" t="s">
        <v>3595</v>
      </c>
      <c r="G828" s="957" t="s">
        <v>2150</v>
      </c>
    </row>
    <row r="829" spans="1:7">
      <c r="A829" s="960" t="s">
        <v>3593</v>
      </c>
      <c r="B829" s="960" t="s">
        <v>3594</v>
      </c>
      <c r="C829" s="960" t="s">
        <v>3594</v>
      </c>
      <c r="D829" s="960" t="str">
        <f t="shared" si="12"/>
        <v>山梨県山梨県</v>
      </c>
      <c r="E829" s="960" t="s">
        <v>3593</v>
      </c>
      <c r="F829" s="959" t="s">
        <v>3592</v>
      </c>
      <c r="G829" s="958"/>
    </row>
    <row r="830" spans="1:7">
      <c r="A830" s="957" t="s">
        <v>3590</v>
      </c>
      <c r="B830" s="957" t="s">
        <v>3515</v>
      </c>
      <c r="C830" s="957" t="s">
        <v>3591</v>
      </c>
      <c r="D830" s="957" t="str">
        <f t="shared" si="12"/>
        <v>山梨県甲府市</v>
      </c>
      <c r="E830" s="957" t="s">
        <v>3590</v>
      </c>
      <c r="F830" s="957" t="s">
        <v>3512</v>
      </c>
      <c r="G830" s="957" t="s">
        <v>3589</v>
      </c>
    </row>
    <row r="831" spans="1:7">
      <c r="A831" s="957" t="s">
        <v>3587</v>
      </c>
      <c r="B831" s="957" t="s">
        <v>3515</v>
      </c>
      <c r="C831" s="957" t="s">
        <v>3588</v>
      </c>
      <c r="D831" s="957" t="str">
        <f t="shared" si="12"/>
        <v>山梨県富士吉田市</v>
      </c>
      <c r="E831" s="957" t="s">
        <v>3587</v>
      </c>
      <c r="F831" s="957" t="s">
        <v>3512</v>
      </c>
      <c r="G831" s="957" t="s">
        <v>3586</v>
      </c>
    </row>
    <row r="832" spans="1:7">
      <c r="A832" s="957" t="s">
        <v>3584</v>
      </c>
      <c r="B832" s="957" t="s">
        <v>3515</v>
      </c>
      <c r="C832" s="957" t="s">
        <v>3585</v>
      </c>
      <c r="D832" s="957" t="str">
        <f t="shared" si="12"/>
        <v>山梨県都留市</v>
      </c>
      <c r="E832" s="957" t="s">
        <v>3584</v>
      </c>
      <c r="F832" s="957" t="s">
        <v>3512</v>
      </c>
      <c r="G832" s="957" t="s">
        <v>3583</v>
      </c>
    </row>
    <row r="833" spans="1:7">
      <c r="A833" s="957" t="s">
        <v>3581</v>
      </c>
      <c r="B833" s="957" t="s">
        <v>3515</v>
      </c>
      <c r="C833" s="957" t="s">
        <v>3582</v>
      </c>
      <c r="D833" s="957" t="str">
        <f t="shared" si="12"/>
        <v>山梨県山梨市</v>
      </c>
      <c r="E833" s="957" t="s">
        <v>3581</v>
      </c>
      <c r="F833" s="957" t="s">
        <v>3512</v>
      </c>
      <c r="G833" s="957" t="s">
        <v>3580</v>
      </c>
    </row>
    <row r="834" spans="1:7">
      <c r="A834" s="957" t="s">
        <v>3578</v>
      </c>
      <c r="B834" s="957" t="s">
        <v>3515</v>
      </c>
      <c r="C834" s="957" t="s">
        <v>3579</v>
      </c>
      <c r="D834" s="957" t="str">
        <f t="shared" si="12"/>
        <v>山梨県大月市</v>
      </c>
      <c r="E834" s="957" t="s">
        <v>3578</v>
      </c>
      <c r="F834" s="957" t="s">
        <v>3512</v>
      </c>
      <c r="G834" s="957" t="s">
        <v>3577</v>
      </c>
    </row>
    <row r="835" spans="1:7">
      <c r="A835" s="957" t="s">
        <v>3575</v>
      </c>
      <c r="B835" s="957" t="s">
        <v>3515</v>
      </c>
      <c r="C835" s="957" t="s">
        <v>3576</v>
      </c>
      <c r="D835" s="957" t="str">
        <f t="shared" ref="D835:D898" si="13">B835&amp;C835</f>
        <v>山梨県韮崎市</v>
      </c>
      <c r="E835" s="957" t="s">
        <v>3575</v>
      </c>
      <c r="F835" s="957" t="s">
        <v>3512</v>
      </c>
      <c r="G835" s="957" t="s">
        <v>3574</v>
      </c>
    </row>
    <row r="836" spans="1:7">
      <c r="A836" s="957" t="s">
        <v>3572</v>
      </c>
      <c r="B836" s="957" t="s">
        <v>3515</v>
      </c>
      <c r="C836" s="957" t="s">
        <v>3573</v>
      </c>
      <c r="D836" s="957" t="str">
        <f t="shared" si="13"/>
        <v>山梨県南アルプス市</v>
      </c>
      <c r="E836" s="957" t="s">
        <v>3572</v>
      </c>
      <c r="F836" s="957" t="s">
        <v>3512</v>
      </c>
      <c r="G836" s="957" t="s">
        <v>3571</v>
      </c>
    </row>
    <row r="837" spans="1:7">
      <c r="A837" s="957" t="s">
        <v>3569</v>
      </c>
      <c r="B837" s="957" t="s">
        <v>3515</v>
      </c>
      <c r="C837" s="957" t="s">
        <v>3570</v>
      </c>
      <c r="D837" s="957" t="str">
        <f t="shared" si="13"/>
        <v>山梨県北杜市</v>
      </c>
      <c r="E837" s="957" t="s">
        <v>3569</v>
      </c>
      <c r="F837" s="957" t="s">
        <v>3512</v>
      </c>
      <c r="G837" s="957" t="s">
        <v>3568</v>
      </c>
    </row>
    <row r="838" spans="1:7">
      <c r="A838" s="957" t="s">
        <v>3566</v>
      </c>
      <c r="B838" s="957" t="s">
        <v>3515</v>
      </c>
      <c r="C838" s="957" t="s">
        <v>3567</v>
      </c>
      <c r="D838" s="957" t="str">
        <f t="shared" si="13"/>
        <v>山梨県甲斐市</v>
      </c>
      <c r="E838" s="957" t="s">
        <v>3566</v>
      </c>
      <c r="F838" s="957" t="s">
        <v>3512</v>
      </c>
      <c r="G838" s="957" t="s">
        <v>3565</v>
      </c>
    </row>
    <row r="839" spans="1:7">
      <c r="A839" s="957" t="s">
        <v>3563</v>
      </c>
      <c r="B839" s="957" t="s">
        <v>3515</v>
      </c>
      <c r="C839" s="957" t="s">
        <v>3564</v>
      </c>
      <c r="D839" s="957" t="str">
        <f t="shared" si="13"/>
        <v>山梨県笛吹市</v>
      </c>
      <c r="E839" s="957" t="s">
        <v>3563</v>
      </c>
      <c r="F839" s="957" t="s">
        <v>3512</v>
      </c>
      <c r="G839" s="957" t="s">
        <v>3562</v>
      </c>
    </row>
    <row r="840" spans="1:7">
      <c r="A840" s="957" t="s">
        <v>3560</v>
      </c>
      <c r="B840" s="957" t="s">
        <v>3515</v>
      </c>
      <c r="C840" s="957" t="s">
        <v>3561</v>
      </c>
      <c r="D840" s="957" t="str">
        <f t="shared" si="13"/>
        <v>山梨県上野原市</v>
      </c>
      <c r="E840" s="957" t="s">
        <v>3560</v>
      </c>
      <c r="F840" s="957" t="s">
        <v>3512</v>
      </c>
      <c r="G840" s="957" t="s">
        <v>3559</v>
      </c>
    </row>
    <row r="841" spans="1:7">
      <c r="A841" s="957" t="s">
        <v>3557</v>
      </c>
      <c r="B841" s="957" t="s">
        <v>3515</v>
      </c>
      <c r="C841" s="957" t="s">
        <v>3558</v>
      </c>
      <c r="D841" s="957" t="str">
        <f t="shared" si="13"/>
        <v>山梨県甲州市</v>
      </c>
      <c r="E841" s="957" t="s">
        <v>3557</v>
      </c>
      <c r="F841" s="957" t="s">
        <v>3512</v>
      </c>
      <c r="G841" s="957" t="s">
        <v>3556</v>
      </c>
    </row>
    <row r="842" spans="1:7">
      <c r="A842" s="957" t="s">
        <v>3554</v>
      </c>
      <c r="B842" s="957" t="s">
        <v>3515</v>
      </c>
      <c r="C842" s="957" t="s">
        <v>3555</v>
      </c>
      <c r="D842" s="957" t="str">
        <f t="shared" si="13"/>
        <v>山梨県中央市</v>
      </c>
      <c r="E842" s="957" t="s">
        <v>3554</v>
      </c>
      <c r="F842" s="957" t="s">
        <v>3512</v>
      </c>
      <c r="G842" s="957" t="s">
        <v>3553</v>
      </c>
    </row>
    <row r="843" spans="1:7">
      <c r="A843" s="957" t="s">
        <v>3551</v>
      </c>
      <c r="B843" s="957" t="s">
        <v>3515</v>
      </c>
      <c r="C843" s="957" t="s">
        <v>3552</v>
      </c>
      <c r="D843" s="957" t="str">
        <f t="shared" si="13"/>
        <v>山梨県市川三郷町</v>
      </c>
      <c r="E843" s="957" t="s">
        <v>3551</v>
      </c>
      <c r="F843" s="957" t="s">
        <v>3512</v>
      </c>
      <c r="G843" s="957" t="s">
        <v>3550</v>
      </c>
    </row>
    <row r="844" spans="1:7">
      <c r="A844" s="957" t="s">
        <v>3548</v>
      </c>
      <c r="B844" s="957" t="s">
        <v>3515</v>
      </c>
      <c r="C844" s="957" t="s">
        <v>3549</v>
      </c>
      <c r="D844" s="957" t="str">
        <f t="shared" si="13"/>
        <v>山梨県早川町</v>
      </c>
      <c r="E844" s="957" t="s">
        <v>3548</v>
      </c>
      <c r="F844" s="957" t="s">
        <v>3512</v>
      </c>
      <c r="G844" s="957" t="s">
        <v>3547</v>
      </c>
    </row>
    <row r="845" spans="1:7">
      <c r="A845" s="957" t="s">
        <v>3545</v>
      </c>
      <c r="B845" s="957" t="s">
        <v>3515</v>
      </c>
      <c r="C845" s="957" t="s">
        <v>3546</v>
      </c>
      <c r="D845" s="957" t="str">
        <f t="shared" si="13"/>
        <v>山梨県身延町</v>
      </c>
      <c r="E845" s="957" t="s">
        <v>3545</v>
      </c>
      <c r="F845" s="957" t="s">
        <v>3512</v>
      </c>
      <c r="G845" s="957" t="s">
        <v>3544</v>
      </c>
    </row>
    <row r="846" spans="1:7">
      <c r="A846" s="957" t="s">
        <v>3543</v>
      </c>
      <c r="B846" s="957" t="s">
        <v>3515</v>
      </c>
      <c r="C846" s="957" t="s">
        <v>2125</v>
      </c>
      <c r="D846" s="957" t="str">
        <f t="shared" si="13"/>
        <v>山梨県南部町</v>
      </c>
      <c r="E846" s="957" t="s">
        <v>3543</v>
      </c>
      <c r="F846" s="957" t="s">
        <v>3512</v>
      </c>
      <c r="G846" s="957" t="s">
        <v>2123</v>
      </c>
    </row>
    <row r="847" spans="1:7">
      <c r="A847" s="957" t="s">
        <v>3541</v>
      </c>
      <c r="B847" s="957" t="s">
        <v>3515</v>
      </c>
      <c r="C847" s="957" t="s">
        <v>3542</v>
      </c>
      <c r="D847" s="957" t="str">
        <f t="shared" si="13"/>
        <v>山梨県富士川町</v>
      </c>
      <c r="E847" s="957" t="s">
        <v>3541</v>
      </c>
      <c r="F847" s="957" t="s">
        <v>3512</v>
      </c>
      <c r="G847" s="957" t="s">
        <v>3540</v>
      </c>
    </row>
    <row r="848" spans="1:7">
      <c r="A848" s="957" t="s">
        <v>3538</v>
      </c>
      <c r="B848" s="957" t="s">
        <v>3515</v>
      </c>
      <c r="C848" s="957" t="s">
        <v>3539</v>
      </c>
      <c r="D848" s="957" t="str">
        <f t="shared" si="13"/>
        <v>山梨県昭和町</v>
      </c>
      <c r="E848" s="957" t="s">
        <v>3538</v>
      </c>
      <c r="F848" s="957" t="s">
        <v>3512</v>
      </c>
      <c r="G848" s="957" t="s">
        <v>3537</v>
      </c>
    </row>
    <row r="849" spans="1:7">
      <c r="A849" s="957" t="s">
        <v>3535</v>
      </c>
      <c r="B849" s="957" t="s">
        <v>3515</v>
      </c>
      <c r="C849" s="957" t="s">
        <v>3536</v>
      </c>
      <c r="D849" s="957" t="str">
        <f t="shared" si="13"/>
        <v>山梨県道志村</v>
      </c>
      <c r="E849" s="957" t="s">
        <v>3535</v>
      </c>
      <c r="F849" s="957" t="s">
        <v>3512</v>
      </c>
      <c r="G849" s="957" t="s">
        <v>3534</v>
      </c>
    </row>
    <row r="850" spans="1:7">
      <c r="A850" s="957" t="s">
        <v>3532</v>
      </c>
      <c r="B850" s="957" t="s">
        <v>3515</v>
      </c>
      <c r="C850" s="957" t="s">
        <v>3533</v>
      </c>
      <c r="D850" s="957" t="str">
        <f t="shared" si="13"/>
        <v>山梨県西桂町</v>
      </c>
      <c r="E850" s="957" t="s">
        <v>3532</v>
      </c>
      <c r="F850" s="957" t="s">
        <v>3512</v>
      </c>
      <c r="G850" s="957" t="s">
        <v>3531</v>
      </c>
    </row>
    <row r="851" spans="1:7">
      <c r="A851" s="957" t="s">
        <v>3529</v>
      </c>
      <c r="B851" s="957" t="s">
        <v>3515</v>
      </c>
      <c r="C851" s="957" t="s">
        <v>3530</v>
      </c>
      <c r="D851" s="957" t="str">
        <f t="shared" si="13"/>
        <v>山梨県忍野村</v>
      </c>
      <c r="E851" s="957" t="s">
        <v>3529</v>
      </c>
      <c r="F851" s="957" t="s">
        <v>3512</v>
      </c>
      <c r="G851" s="957" t="s">
        <v>3528</v>
      </c>
    </row>
    <row r="852" spans="1:7">
      <c r="A852" s="957" t="s">
        <v>3526</v>
      </c>
      <c r="B852" s="957" t="s">
        <v>3515</v>
      </c>
      <c r="C852" s="957" t="s">
        <v>3527</v>
      </c>
      <c r="D852" s="957" t="str">
        <f t="shared" si="13"/>
        <v>山梨県山中湖村</v>
      </c>
      <c r="E852" s="957" t="s">
        <v>3526</v>
      </c>
      <c r="F852" s="957" t="s">
        <v>3512</v>
      </c>
      <c r="G852" s="957" t="s">
        <v>3525</v>
      </c>
    </row>
    <row r="853" spans="1:7">
      <c r="A853" s="957" t="s">
        <v>3523</v>
      </c>
      <c r="B853" s="957" t="s">
        <v>3515</v>
      </c>
      <c r="C853" s="957" t="s">
        <v>3524</v>
      </c>
      <c r="D853" s="957" t="str">
        <f t="shared" si="13"/>
        <v>山梨県鳴沢村</v>
      </c>
      <c r="E853" s="957" t="s">
        <v>3523</v>
      </c>
      <c r="F853" s="957" t="s">
        <v>3512</v>
      </c>
      <c r="G853" s="957" t="s">
        <v>3522</v>
      </c>
    </row>
    <row r="854" spans="1:7">
      <c r="A854" s="957" t="s">
        <v>3520</v>
      </c>
      <c r="B854" s="957" t="s">
        <v>3515</v>
      </c>
      <c r="C854" s="957" t="s">
        <v>3521</v>
      </c>
      <c r="D854" s="957" t="str">
        <f t="shared" si="13"/>
        <v>山梨県富士河口湖町</v>
      </c>
      <c r="E854" s="957" t="s">
        <v>3520</v>
      </c>
      <c r="F854" s="957" t="s">
        <v>3512</v>
      </c>
      <c r="G854" s="957" t="s">
        <v>3519</v>
      </c>
    </row>
    <row r="855" spans="1:7">
      <c r="A855" s="957" t="s">
        <v>3517</v>
      </c>
      <c r="B855" s="957" t="s">
        <v>3515</v>
      </c>
      <c r="C855" s="957" t="s">
        <v>3518</v>
      </c>
      <c r="D855" s="957" t="str">
        <f t="shared" si="13"/>
        <v>山梨県小菅村</v>
      </c>
      <c r="E855" s="957" t="s">
        <v>3517</v>
      </c>
      <c r="F855" s="957" t="s">
        <v>3512</v>
      </c>
      <c r="G855" s="957" t="s">
        <v>3516</v>
      </c>
    </row>
    <row r="856" spans="1:7">
      <c r="A856" s="957" t="s">
        <v>3513</v>
      </c>
      <c r="B856" s="957" t="s">
        <v>3515</v>
      </c>
      <c r="C856" s="957" t="s">
        <v>3514</v>
      </c>
      <c r="D856" s="957" t="str">
        <f t="shared" si="13"/>
        <v>山梨県丹波山村</v>
      </c>
      <c r="E856" s="957" t="s">
        <v>3513</v>
      </c>
      <c r="F856" s="957" t="s">
        <v>3512</v>
      </c>
      <c r="G856" s="957" t="s">
        <v>3511</v>
      </c>
    </row>
    <row r="857" spans="1:7">
      <c r="A857" s="960" t="s">
        <v>3509</v>
      </c>
      <c r="B857" s="960" t="s">
        <v>3510</v>
      </c>
      <c r="C857" s="960" t="s">
        <v>3510</v>
      </c>
      <c r="D857" s="960" t="str">
        <f t="shared" si="13"/>
        <v>長野県長野県</v>
      </c>
      <c r="E857" s="960" t="s">
        <v>3509</v>
      </c>
      <c r="F857" s="959" t="s">
        <v>3508</v>
      </c>
      <c r="G857" s="958"/>
    </row>
    <row r="858" spans="1:7">
      <c r="A858" s="957" t="s">
        <v>3506</v>
      </c>
      <c r="B858" s="957" t="s">
        <v>3284</v>
      </c>
      <c r="C858" s="957" t="s">
        <v>3507</v>
      </c>
      <c r="D858" s="957" t="str">
        <f t="shared" si="13"/>
        <v>長野県長野市</v>
      </c>
      <c r="E858" s="957" t="s">
        <v>3506</v>
      </c>
      <c r="F858" s="957" t="s">
        <v>3281</v>
      </c>
      <c r="G858" s="957" t="s">
        <v>3505</v>
      </c>
    </row>
    <row r="859" spans="1:7">
      <c r="A859" s="957" t="s">
        <v>3503</v>
      </c>
      <c r="B859" s="957" t="s">
        <v>3284</v>
      </c>
      <c r="C859" s="957" t="s">
        <v>3504</v>
      </c>
      <c r="D859" s="957" t="str">
        <f t="shared" si="13"/>
        <v>長野県松本市</v>
      </c>
      <c r="E859" s="957" t="s">
        <v>3503</v>
      </c>
      <c r="F859" s="957" t="s">
        <v>3281</v>
      </c>
      <c r="G859" s="957" t="s">
        <v>3502</v>
      </c>
    </row>
    <row r="860" spans="1:7">
      <c r="A860" s="957" t="s">
        <v>3500</v>
      </c>
      <c r="B860" s="957" t="s">
        <v>3284</v>
      </c>
      <c r="C860" s="957" t="s">
        <v>3501</v>
      </c>
      <c r="D860" s="957" t="str">
        <f t="shared" si="13"/>
        <v>長野県上田市</v>
      </c>
      <c r="E860" s="957" t="s">
        <v>3500</v>
      </c>
      <c r="F860" s="957" t="s">
        <v>3281</v>
      </c>
      <c r="G860" s="957" t="s">
        <v>3499</v>
      </c>
    </row>
    <row r="861" spans="1:7">
      <c r="A861" s="957" t="s">
        <v>3497</v>
      </c>
      <c r="B861" s="957" t="s">
        <v>3284</v>
      </c>
      <c r="C861" s="957" t="s">
        <v>3498</v>
      </c>
      <c r="D861" s="957" t="str">
        <f t="shared" si="13"/>
        <v>長野県岡谷市</v>
      </c>
      <c r="E861" s="957" t="s">
        <v>3497</v>
      </c>
      <c r="F861" s="957" t="s">
        <v>3281</v>
      </c>
      <c r="G861" s="957" t="s">
        <v>3496</v>
      </c>
    </row>
    <row r="862" spans="1:7">
      <c r="A862" s="957" t="s">
        <v>3494</v>
      </c>
      <c r="B862" s="957" t="s">
        <v>3284</v>
      </c>
      <c r="C862" s="957" t="s">
        <v>3495</v>
      </c>
      <c r="D862" s="957" t="str">
        <f t="shared" si="13"/>
        <v>長野県飯田市</v>
      </c>
      <c r="E862" s="957" t="s">
        <v>3494</v>
      </c>
      <c r="F862" s="957" t="s">
        <v>3281</v>
      </c>
      <c r="G862" s="957" t="s">
        <v>3493</v>
      </c>
    </row>
    <row r="863" spans="1:7">
      <c r="A863" s="957" t="s">
        <v>3491</v>
      </c>
      <c r="B863" s="957" t="s">
        <v>3284</v>
      </c>
      <c r="C863" s="957" t="s">
        <v>3492</v>
      </c>
      <c r="D863" s="957" t="str">
        <f t="shared" si="13"/>
        <v>長野県諏訪市</v>
      </c>
      <c r="E863" s="957" t="s">
        <v>3491</v>
      </c>
      <c r="F863" s="957" t="s">
        <v>3281</v>
      </c>
      <c r="G863" s="957" t="s">
        <v>3490</v>
      </c>
    </row>
    <row r="864" spans="1:7">
      <c r="A864" s="957" t="s">
        <v>3488</v>
      </c>
      <c r="B864" s="957" t="s">
        <v>3284</v>
      </c>
      <c r="C864" s="957" t="s">
        <v>3489</v>
      </c>
      <c r="D864" s="957" t="str">
        <f t="shared" si="13"/>
        <v>長野県須坂市</v>
      </c>
      <c r="E864" s="957" t="s">
        <v>3488</v>
      </c>
      <c r="F864" s="957" t="s">
        <v>3281</v>
      </c>
      <c r="G864" s="957" t="s">
        <v>3487</v>
      </c>
    </row>
    <row r="865" spans="1:7">
      <c r="A865" s="957" t="s">
        <v>3485</v>
      </c>
      <c r="B865" s="957" t="s">
        <v>3284</v>
      </c>
      <c r="C865" s="957" t="s">
        <v>3486</v>
      </c>
      <c r="D865" s="957" t="str">
        <f t="shared" si="13"/>
        <v>長野県小諸市</v>
      </c>
      <c r="E865" s="957" t="s">
        <v>3485</v>
      </c>
      <c r="F865" s="957" t="s">
        <v>3281</v>
      </c>
      <c r="G865" s="957" t="s">
        <v>3484</v>
      </c>
    </row>
    <row r="866" spans="1:7">
      <c r="A866" s="957" t="s">
        <v>3482</v>
      </c>
      <c r="B866" s="957" t="s">
        <v>3284</v>
      </c>
      <c r="C866" s="957" t="s">
        <v>3483</v>
      </c>
      <c r="D866" s="957" t="str">
        <f t="shared" si="13"/>
        <v>長野県伊那市</v>
      </c>
      <c r="E866" s="957" t="s">
        <v>3482</v>
      </c>
      <c r="F866" s="957" t="s">
        <v>3281</v>
      </c>
      <c r="G866" s="957" t="s">
        <v>3481</v>
      </c>
    </row>
    <row r="867" spans="1:7">
      <c r="A867" s="957" t="s">
        <v>3479</v>
      </c>
      <c r="B867" s="957" t="s">
        <v>3284</v>
      </c>
      <c r="C867" s="957" t="s">
        <v>3480</v>
      </c>
      <c r="D867" s="957" t="str">
        <f t="shared" si="13"/>
        <v>長野県駒ヶ根市</v>
      </c>
      <c r="E867" s="957" t="s">
        <v>3479</v>
      </c>
      <c r="F867" s="957" t="s">
        <v>3281</v>
      </c>
      <c r="G867" s="957" t="s">
        <v>3478</v>
      </c>
    </row>
    <row r="868" spans="1:7">
      <c r="A868" s="957" t="s">
        <v>3476</v>
      </c>
      <c r="B868" s="957" t="s">
        <v>3284</v>
      </c>
      <c r="C868" s="957" t="s">
        <v>3477</v>
      </c>
      <c r="D868" s="957" t="str">
        <f t="shared" si="13"/>
        <v>長野県中野市</v>
      </c>
      <c r="E868" s="957" t="s">
        <v>3476</v>
      </c>
      <c r="F868" s="957" t="s">
        <v>3281</v>
      </c>
      <c r="G868" s="957" t="s">
        <v>3475</v>
      </c>
    </row>
    <row r="869" spans="1:7">
      <c r="A869" s="957" t="s">
        <v>3473</v>
      </c>
      <c r="B869" s="957" t="s">
        <v>3284</v>
      </c>
      <c r="C869" s="957" t="s">
        <v>3474</v>
      </c>
      <c r="D869" s="957" t="str">
        <f t="shared" si="13"/>
        <v>長野県大町市</v>
      </c>
      <c r="E869" s="957" t="s">
        <v>3473</v>
      </c>
      <c r="F869" s="957" t="s">
        <v>3281</v>
      </c>
      <c r="G869" s="957" t="s">
        <v>3472</v>
      </c>
    </row>
    <row r="870" spans="1:7">
      <c r="A870" s="957" t="s">
        <v>3470</v>
      </c>
      <c r="B870" s="957" t="s">
        <v>3284</v>
      </c>
      <c r="C870" s="957" t="s">
        <v>3471</v>
      </c>
      <c r="D870" s="957" t="str">
        <f t="shared" si="13"/>
        <v>長野県飯山市</v>
      </c>
      <c r="E870" s="957" t="s">
        <v>3470</v>
      </c>
      <c r="F870" s="957" t="s">
        <v>3281</v>
      </c>
      <c r="G870" s="957" t="s">
        <v>3469</v>
      </c>
    </row>
    <row r="871" spans="1:7">
      <c r="A871" s="957" t="s">
        <v>3467</v>
      </c>
      <c r="B871" s="957" t="s">
        <v>3284</v>
      </c>
      <c r="C871" s="957" t="s">
        <v>3468</v>
      </c>
      <c r="D871" s="957" t="str">
        <f t="shared" si="13"/>
        <v>長野県茅野市</v>
      </c>
      <c r="E871" s="957" t="s">
        <v>3467</v>
      </c>
      <c r="F871" s="957" t="s">
        <v>3281</v>
      </c>
      <c r="G871" s="957" t="s">
        <v>3466</v>
      </c>
    </row>
    <row r="872" spans="1:7">
      <c r="A872" s="957" t="s">
        <v>3464</v>
      </c>
      <c r="B872" s="957" t="s">
        <v>3284</v>
      </c>
      <c r="C872" s="957" t="s">
        <v>3465</v>
      </c>
      <c r="D872" s="957" t="str">
        <f t="shared" si="13"/>
        <v>長野県塩尻市</v>
      </c>
      <c r="E872" s="957" t="s">
        <v>3464</v>
      </c>
      <c r="F872" s="957" t="s">
        <v>3281</v>
      </c>
      <c r="G872" s="957" t="s">
        <v>3463</v>
      </c>
    </row>
    <row r="873" spans="1:7">
      <c r="A873" s="957" t="s">
        <v>3461</v>
      </c>
      <c r="B873" s="957" t="s">
        <v>3284</v>
      </c>
      <c r="C873" s="957" t="s">
        <v>3462</v>
      </c>
      <c r="D873" s="957" t="str">
        <f t="shared" si="13"/>
        <v>長野県佐久市</v>
      </c>
      <c r="E873" s="957" t="s">
        <v>3461</v>
      </c>
      <c r="F873" s="957" t="s">
        <v>3281</v>
      </c>
      <c r="G873" s="957" t="s">
        <v>3460</v>
      </c>
    </row>
    <row r="874" spans="1:7">
      <c r="A874" s="957" t="s">
        <v>3458</v>
      </c>
      <c r="B874" s="957" t="s">
        <v>3284</v>
      </c>
      <c r="C874" s="957" t="s">
        <v>3459</v>
      </c>
      <c r="D874" s="957" t="str">
        <f t="shared" si="13"/>
        <v>長野県千曲市</v>
      </c>
      <c r="E874" s="957" t="s">
        <v>3458</v>
      </c>
      <c r="F874" s="957" t="s">
        <v>3281</v>
      </c>
      <c r="G874" s="957" t="s">
        <v>3457</v>
      </c>
    </row>
    <row r="875" spans="1:7">
      <c r="A875" s="957" t="s">
        <v>3455</v>
      </c>
      <c r="B875" s="957" t="s">
        <v>3284</v>
      </c>
      <c r="C875" s="957" t="s">
        <v>3456</v>
      </c>
      <c r="D875" s="957" t="str">
        <f t="shared" si="13"/>
        <v>長野県東御市</v>
      </c>
      <c r="E875" s="957" t="s">
        <v>3455</v>
      </c>
      <c r="F875" s="957" t="s">
        <v>3281</v>
      </c>
      <c r="G875" s="957" t="s">
        <v>3454</v>
      </c>
    </row>
    <row r="876" spans="1:7">
      <c r="A876" s="957" t="s">
        <v>3452</v>
      </c>
      <c r="B876" s="957" t="s">
        <v>3284</v>
      </c>
      <c r="C876" s="957" t="s">
        <v>3453</v>
      </c>
      <c r="D876" s="957" t="str">
        <f t="shared" si="13"/>
        <v>長野県安曇野市</v>
      </c>
      <c r="E876" s="957" t="s">
        <v>3452</v>
      </c>
      <c r="F876" s="957" t="s">
        <v>3281</v>
      </c>
      <c r="G876" s="957" t="s">
        <v>3451</v>
      </c>
    </row>
    <row r="877" spans="1:7">
      <c r="A877" s="957" t="s">
        <v>3449</v>
      </c>
      <c r="B877" s="957" t="s">
        <v>3284</v>
      </c>
      <c r="C877" s="957" t="s">
        <v>3450</v>
      </c>
      <c r="D877" s="957" t="str">
        <f t="shared" si="13"/>
        <v>長野県小海町</v>
      </c>
      <c r="E877" s="957" t="s">
        <v>3449</v>
      </c>
      <c r="F877" s="957" t="s">
        <v>3281</v>
      </c>
      <c r="G877" s="957" t="s">
        <v>3448</v>
      </c>
    </row>
    <row r="878" spans="1:7">
      <c r="A878" s="957" t="s">
        <v>3447</v>
      </c>
      <c r="B878" s="957" t="s">
        <v>3284</v>
      </c>
      <c r="C878" s="957" t="s">
        <v>2272</v>
      </c>
      <c r="D878" s="957" t="str">
        <f t="shared" si="13"/>
        <v>長野県川上村</v>
      </c>
      <c r="E878" s="957" t="s">
        <v>3447</v>
      </c>
      <c r="F878" s="957" t="s">
        <v>3281</v>
      </c>
      <c r="G878" s="957" t="s">
        <v>2270</v>
      </c>
    </row>
    <row r="879" spans="1:7">
      <c r="A879" s="957" t="s">
        <v>3445</v>
      </c>
      <c r="B879" s="957" t="s">
        <v>3284</v>
      </c>
      <c r="C879" s="957" t="s">
        <v>3446</v>
      </c>
      <c r="D879" s="957" t="str">
        <f t="shared" si="13"/>
        <v>長野県南牧村</v>
      </c>
      <c r="E879" s="957" t="s">
        <v>3445</v>
      </c>
      <c r="F879" s="957" t="s">
        <v>3281</v>
      </c>
      <c r="G879" s="957" t="s">
        <v>3444</v>
      </c>
    </row>
    <row r="880" spans="1:7">
      <c r="A880" s="957" t="s">
        <v>3442</v>
      </c>
      <c r="B880" s="957" t="s">
        <v>3284</v>
      </c>
      <c r="C880" s="957" t="s">
        <v>3443</v>
      </c>
      <c r="D880" s="957" t="str">
        <f t="shared" si="13"/>
        <v>長野県南相木村</v>
      </c>
      <c r="E880" s="957" t="s">
        <v>3442</v>
      </c>
      <c r="F880" s="957" t="s">
        <v>3281</v>
      </c>
      <c r="G880" s="957" t="s">
        <v>3441</v>
      </c>
    </row>
    <row r="881" spans="1:7">
      <c r="A881" s="957" t="s">
        <v>3439</v>
      </c>
      <c r="B881" s="957" t="s">
        <v>3284</v>
      </c>
      <c r="C881" s="957" t="s">
        <v>3440</v>
      </c>
      <c r="D881" s="957" t="str">
        <f t="shared" si="13"/>
        <v>長野県北相木村</v>
      </c>
      <c r="E881" s="957" t="s">
        <v>3439</v>
      </c>
      <c r="F881" s="957" t="s">
        <v>3281</v>
      </c>
      <c r="G881" s="957" t="s">
        <v>3438</v>
      </c>
    </row>
    <row r="882" spans="1:7">
      <c r="A882" s="957" t="s">
        <v>3436</v>
      </c>
      <c r="B882" s="957" t="s">
        <v>3284</v>
      </c>
      <c r="C882" s="957" t="s">
        <v>3437</v>
      </c>
      <c r="D882" s="957" t="str">
        <f t="shared" si="13"/>
        <v>長野県佐久穂町</v>
      </c>
      <c r="E882" s="957" t="s">
        <v>3436</v>
      </c>
      <c r="F882" s="957" t="s">
        <v>3281</v>
      </c>
      <c r="G882" s="957" t="s">
        <v>3435</v>
      </c>
    </row>
    <row r="883" spans="1:7">
      <c r="A883" s="957" t="s">
        <v>3433</v>
      </c>
      <c r="B883" s="957" t="s">
        <v>3284</v>
      </c>
      <c r="C883" s="957" t="s">
        <v>3434</v>
      </c>
      <c r="D883" s="957" t="str">
        <f t="shared" si="13"/>
        <v>長野県軽井沢町</v>
      </c>
      <c r="E883" s="957" t="s">
        <v>3433</v>
      </c>
      <c r="F883" s="957" t="s">
        <v>3281</v>
      </c>
      <c r="G883" s="957" t="s">
        <v>3432</v>
      </c>
    </row>
    <row r="884" spans="1:7">
      <c r="A884" s="957" t="s">
        <v>3430</v>
      </c>
      <c r="B884" s="957" t="s">
        <v>3284</v>
      </c>
      <c r="C884" s="957" t="s">
        <v>3431</v>
      </c>
      <c r="D884" s="957" t="str">
        <f t="shared" si="13"/>
        <v>長野県御代田町</v>
      </c>
      <c r="E884" s="957" t="s">
        <v>3430</v>
      </c>
      <c r="F884" s="957" t="s">
        <v>3281</v>
      </c>
      <c r="G884" s="957" t="s">
        <v>3429</v>
      </c>
    </row>
    <row r="885" spans="1:7">
      <c r="A885" s="957" t="s">
        <v>3427</v>
      </c>
      <c r="B885" s="957" t="s">
        <v>3284</v>
      </c>
      <c r="C885" s="957" t="s">
        <v>3428</v>
      </c>
      <c r="D885" s="957" t="str">
        <f t="shared" si="13"/>
        <v>長野県立科町</v>
      </c>
      <c r="E885" s="957" t="s">
        <v>3427</v>
      </c>
      <c r="F885" s="957" t="s">
        <v>3281</v>
      </c>
      <c r="G885" s="957" t="s">
        <v>3426</v>
      </c>
    </row>
    <row r="886" spans="1:7">
      <c r="A886" s="957" t="s">
        <v>3424</v>
      </c>
      <c r="B886" s="957" t="s">
        <v>3284</v>
      </c>
      <c r="C886" s="957" t="s">
        <v>3425</v>
      </c>
      <c r="D886" s="957" t="str">
        <f t="shared" si="13"/>
        <v>長野県青木村</v>
      </c>
      <c r="E886" s="957" t="s">
        <v>3424</v>
      </c>
      <c r="F886" s="957" t="s">
        <v>3281</v>
      </c>
      <c r="G886" s="957" t="s">
        <v>3423</v>
      </c>
    </row>
    <row r="887" spans="1:7">
      <c r="A887" s="957" t="s">
        <v>3421</v>
      </c>
      <c r="B887" s="957" t="s">
        <v>3284</v>
      </c>
      <c r="C887" s="957" t="s">
        <v>3422</v>
      </c>
      <c r="D887" s="957" t="str">
        <f t="shared" si="13"/>
        <v>長野県長和町</v>
      </c>
      <c r="E887" s="957" t="s">
        <v>3421</v>
      </c>
      <c r="F887" s="957" t="s">
        <v>3281</v>
      </c>
      <c r="G887" s="957" t="s">
        <v>3420</v>
      </c>
    </row>
    <row r="888" spans="1:7">
      <c r="A888" s="957" t="s">
        <v>3418</v>
      </c>
      <c r="B888" s="957" t="s">
        <v>3284</v>
      </c>
      <c r="C888" s="957" t="s">
        <v>3419</v>
      </c>
      <c r="D888" s="957" t="str">
        <f t="shared" si="13"/>
        <v>長野県下諏訪町</v>
      </c>
      <c r="E888" s="957" t="s">
        <v>3418</v>
      </c>
      <c r="F888" s="957" t="s">
        <v>3281</v>
      </c>
      <c r="G888" s="957" t="s">
        <v>3417</v>
      </c>
    </row>
    <row r="889" spans="1:7">
      <c r="A889" s="957" t="s">
        <v>3415</v>
      </c>
      <c r="B889" s="957" t="s">
        <v>3284</v>
      </c>
      <c r="C889" s="957" t="s">
        <v>3416</v>
      </c>
      <c r="D889" s="957" t="str">
        <f t="shared" si="13"/>
        <v>長野県富士見町</v>
      </c>
      <c r="E889" s="957" t="s">
        <v>3415</v>
      </c>
      <c r="F889" s="957" t="s">
        <v>3281</v>
      </c>
      <c r="G889" s="957" t="s">
        <v>3414</v>
      </c>
    </row>
    <row r="890" spans="1:7">
      <c r="A890" s="957" t="s">
        <v>3412</v>
      </c>
      <c r="B890" s="957" t="s">
        <v>3284</v>
      </c>
      <c r="C890" s="957" t="s">
        <v>3413</v>
      </c>
      <c r="D890" s="957" t="str">
        <f t="shared" si="13"/>
        <v>長野県原村</v>
      </c>
      <c r="E890" s="957" t="s">
        <v>3412</v>
      </c>
      <c r="F890" s="957" t="s">
        <v>3281</v>
      </c>
      <c r="G890" s="957" t="s">
        <v>3411</v>
      </c>
    </row>
    <row r="891" spans="1:7">
      <c r="A891" s="957" t="s">
        <v>3409</v>
      </c>
      <c r="B891" s="957" t="s">
        <v>3284</v>
      </c>
      <c r="C891" s="957" t="s">
        <v>3410</v>
      </c>
      <c r="D891" s="957" t="str">
        <f t="shared" si="13"/>
        <v>長野県辰野町</v>
      </c>
      <c r="E891" s="957" t="s">
        <v>3409</v>
      </c>
      <c r="F891" s="957" t="s">
        <v>3281</v>
      </c>
      <c r="G891" s="957" t="s">
        <v>3408</v>
      </c>
    </row>
    <row r="892" spans="1:7">
      <c r="A892" s="957" t="s">
        <v>3406</v>
      </c>
      <c r="B892" s="957" t="s">
        <v>3284</v>
      </c>
      <c r="C892" s="957" t="s">
        <v>3407</v>
      </c>
      <c r="D892" s="957" t="str">
        <f t="shared" si="13"/>
        <v>長野県箕輪町</v>
      </c>
      <c r="E892" s="957" t="s">
        <v>3406</v>
      </c>
      <c r="F892" s="957" t="s">
        <v>3281</v>
      </c>
      <c r="G892" s="957" t="s">
        <v>3405</v>
      </c>
    </row>
    <row r="893" spans="1:7">
      <c r="A893" s="957" t="s">
        <v>3403</v>
      </c>
      <c r="B893" s="957" t="s">
        <v>3284</v>
      </c>
      <c r="C893" s="957" t="s">
        <v>3404</v>
      </c>
      <c r="D893" s="957" t="str">
        <f t="shared" si="13"/>
        <v>長野県飯島町</v>
      </c>
      <c r="E893" s="957" t="s">
        <v>3403</v>
      </c>
      <c r="F893" s="957" t="s">
        <v>3281</v>
      </c>
      <c r="G893" s="957" t="s">
        <v>3402</v>
      </c>
    </row>
    <row r="894" spans="1:7">
      <c r="A894" s="957" t="s">
        <v>3400</v>
      </c>
      <c r="B894" s="957" t="s">
        <v>3284</v>
      </c>
      <c r="C894" s="957" t="s">
        <v>3401</v>
      </c>
      <c r="D894" s="957" t="str">
        <f t="shared" si="13"/>
        <v>長野県南箕輪村</v>
      </c>
      <c r="E894" s="957" t="s">
        <v>3400</v>
      </c>
      <c r="F894" s="957" t="s">
        <v>3281</v>
      </c>
      <c r="G894" s="957" t="s">
        <v>3399</v>
      </c>
    </row>
    <row r="895" spans="1:7">
      <c r="A895" s="957" t="s">
        <v>3397</v>
      </c>
      <c r="B895" s="957" t="s">
        <v>3284</v>
      </c>
      <c r="C895" s="957" t="s">
        <v>3398</v>
      </c>
      <c r="D895" s="957" t="str">
        <f t="shared" si="13"/>
        <v>長野県中川村</v>
      </c>
      <c r="E895" s="957" t="s">
        <v>3397</v>
      </c>
      <c r="F895" s="957" t="s">
        <v>3281</v>
      </c>
      <c r="G895" s="957" t="s">
        <v>3396</v>
      </c>
    </row>
    <row r="896" spans="1:7">
      <c r="A896" s="957" t="s">
        <v>3394</v>
      </c>
      <c r="B896" s="957" t="s">
        <v>3284</v>
      </c>
      <c r="C896" s="957" t="s">
        <v>3395</v>
      </c>
      <c r="D896" s="957" t="str">
        <f t="shared" si="13"/>
        <v>長野県宮田村</v>
      </c>
      <c r="E896" s="957" t="s">
        <v>3394</v>
      </c>
      <c r="F896" s="957" t="s">
        <v>3281</v>
      </c>
      <c r="G896" s="957" t="s">
        <v>3393</v>
      </c>
    </row>
    <row r="897" spans="1:7">
      <c r="A897" s="957" t="s">
        <v>3391</v>
      </c>
      <c r="B897" s="957" t="s">
        <v>3284</v>
      </c>
      <c r="C897" s="957" t="s">
        <v>3392</v>
      </c>
      <c r="D897" s="957" t="str">
        <f t="shared" si="13"/>
        <v>長野県松川町</v>
      </c>
      <c r="E897" s="957" t="s">
        <v>3391</v>
      </c>
      <c r="F897" s="957" t="s">
        <v>3281</v>
      </c>
      <c r="G897" s="957" t="s">
        <v>3390</v>
      </c>
    </row>
    <row r="898" spans="1:7">
      <c r="A898" s="957" t="s">
        <v>3389</v>
      </c>
      <c r="B898" s="957" t="s">
        <v>3284</v>
      </c>
      <c r="C898" s="957" t="s">
        <v>1129</v>
      </c>
      <c r="D898" s="957" t="str">
        <f t="shared" si="13"/>
        <v>長野県高森町</v>
      </c>
      <c r="E898" s="957" t="s">
        <v>3389</v>
      </c>
      <c r="F898" s="957" t="s">
        <v>3281</v>
      </c>
      <c r="G898" s="957" t="s">
        <v>1127</v>
      </c>
    </row>
    <row r="899" spans="1:7">
      <c r="A899" s="957" t="s">
        <v>3387</v>
      </c>
      <c r="B899" s="957" t="s">
        <v>3284</v>
      </c>
      <c r="C899" s="957" t="s">
        <v>3388</v>
      </c>
      <c r="D899" s="957" t="str">
        <f t="shared" ref="D899:D962" si="14">B899&amp;C899</f>
        <v>長野県阿南町</v>
      </c>
      <c r="E899" s="957" t="s">
        <v>3387</v>
      </c>
      <c r="F899" s="957" t="s">
        <v>3281</v>
      </c>
      <c r="G899" s="957" t="s">
        <v>3386</v>
      </c>
    </row>
    <row r="900" spans="1:7">
      <c r="A900" s="957" t="s">
        <v>3384</v>
      </c>
      <c r="B900" s="957" t="s">
        <v>3284</v>
      </c>
      <c r="C900" s="957" t="s">
        <v>3385</v>
      </c>
      <c r="D900" s="957" t="str">
        <f t="shared" si="14"/>
        <v>長野県阿智村</v>
      </c>
      <c r="E900" s="957" t="s">
        <v>3384</v>
      </c>
      <c r="F900" s="957" t="s">
        <v>3281</v>
      </c>
      <c r="G900" s="957" t="s">
        <v>3383</v>
      </c>
    </row>
    <row r="901" spans="1:7">
      <c r="A901" s="957" t="s">
        <v>3381</v>
      </c>
      <c r="B901" s="957" t="s">
        <v>3284</v>
      </c>
      <c r="C901" s="957" t="s">
        <v>3382</v>
      </c>
      <c r="D901" s="957" t="str">
        <f t="shared" si="14"/>
        <v>長野県平谷村</v>
      </c>
      <c r="E901" s="957" t="s">
        <v>3381</v>
      </c>
      <c r="F901" s="957" t="s">
        <v>3281</v>
      </c>
      <c r="G901" s="957" t="s">
        <v>3380</v>
      </c>
    </row>
    <row r="902" spans="1:7">
      <c r="A902" s="957" t="s">
        <v>3378</v>
      </c>
      <c r="B902" s="957" t="s">
        <v>3284</v>
      </c>
      <c r="C902" s="957" t="s">
        <v>3379</v>
      </c>
      <c r="D902" s="957" t="str">
        <f t="shared" si="14"/>
        <v>長野県根羽村</v>
      </c>
      <c r="E902" s="957" t="s">
        <v>3378</v>
      </c>
      <c r="F902" s="957" t="s">
        <v>3281</v>
      </c>
      <c r="G902" s="957" t="s">
        <v>3377</v>
      </c>
    </row>
    <row r="903" spans="1:7">
      <c r="A903" s="957" t="s">
        <v>3375</v>
      </c>
      <c r="B903" s="957" t="s">
        <v>3284</v>
      </c>
      <c r="C903" s="957" t="s">
        <v>3376</v>
      </c>
      <c r="D903" s="957" t="str">
        <f t="shared" si="14"/>
        <v>長野県下條村</v>
      </c>
      <c r="E903" s="957" t="s">
        <v>3375</v>
      </c>
      <c r="F903" s="957" t="s">
        <v>3281</v>
      </c>
      <c r="G903" s="957" t="s">
        <v>3374</v>
      </c>
    </row>
    <row r="904" spans="1:7">
      <c r="A904" s="957" t="s">
        <v>3372</v>
      </c>
      <c r="B904" s="957" t="s">
        <v>3284</v>
      </c>
      <c r="C904" s="957" t="s">
        <v>3373</v>
      </c>
      <c r="D904" s="957" t="str">
        <f t="shared" si="14"/>
        <v>長野県売木村</v>
      </c>
      <c r="E904" s="957" t="s">
        <v>3372</v>
      </c>
      <c r="F904" s="957" t="s">
        <v>3281</v>
      </c>
      <c r="G904" s="957" t="s">
        <v>3371</v>
      </c>
    </row>
    <row r="905" spans="1:7">
      <c r="A905" s="957" t="s">
        <v>3369</v>
      </c>
      <c r="B905" s="957" t="s">
        <v>3284</v>
      </c>
      <c r="C905" s="957" t="s">
        <v>3370</v>
      </c>
      <c r="D905" s="957" t="str">
        <f t="shared" si="14"/>
        <v>長野県天龍村</v>
      </c>
      <c r="E905" s="957" t="s">
        <v>3369</v>
      </c>
      <c r="F905" s="957" t="s">
        <v>3281</v>
      </c>
      <c r="G905" s="957" t="s">
        <v>3368</v>
      </c>
    </row>
    <row r="906" spans="1:7">
      <c r="A906" s="957" t="s">
        <v>3366</v>
      </c>
      <c r="B906" s="957" t="s">
        <v>3284</v>
      </c>
      <c r="C906" s="957" t="s">
        <v>3367</v>
      </c>
      <c r="D906" s="957" t="str">
        <f t="shared" si="14"/>
        <v>長野県泰阜村</v>
      </c>
      <c r="E906" s="957" t="s">
        <v>3366</v>
      </c>
      <c r="F906" s="957" t="s">
        <v>3281</v>
      </c>
      <c r="G906" s="957" t="s">
        <v>3365</v>
      </c>
    </row>
    <row r="907" spans="1:7">
      <c r="A907" s="957" t="s">
        <v>3363</v>
      </c>
      <c r="B907" s="957" t="s">
        <v>3284</v>
      </c>
      <c r="C907" s="957" t="s">
        <v>3364</v>
      </c>
      <c r="D907" s="957" t="str">
        <f t="shared" si="14"/>
        <v>長野県喬木村</v>
      </c>
      <c r="E907" s="957" t="s">
        <v>3363</v>
      </c>
      <c r="F907" s="957" t="s">
        <v>3281</v>
      </c>
      <c r="G907" s="957" t="s">
        <v>3362</v>
      </c>
    </row>
    <row r="908" spans="1:7">
      <c r="A908" s="957" t="s">
        <v>3360</v>
      </c>
      <c r="B908" s="957" t="s">
        <v>3284</v>
      </c>
      <c r="C908" s="957" t="s">
        <v>3361</v>
      </c>
      <c r="D908" s="957" t="str">
        <f t="shared" si="14"/>
        <v>長野県豊丘村</v>
      </c>
      <c r="E908" s="957" t="s">
        <v>3360</v>
      </c>
      <c r="F908" s="957" t="s">
        <v>3281</v>
      </c>
      <c r="G908" s="957" t="s">
        <v>3359</v>
      </c>
    </row>
    <row r="909" spans="1:7">
      <c r="A909" s="957" t="s">
        <v>3357</v>
      </c>
      <c r="B909" s="957" t="s">
        <v>3284</v>
      </c>
      <c r="C909" s="957" t="s">
        <v>3358</v>
      </c>
      <c r="D909" s="957" t="str">
        <f t="shared" si="14"/>
        <v>長野県大鹿村</v>
      </c>
      <c r="E909" s="957" t="s">
        <v>3357</v>
      </c>
      <c r="F909" s="957" t="s">
        <v>3281</v>
      </c>
      <c r="G909" s="957" t="s">
        <v>3356</v>
      </c>
    </row>
    <row r="910" spans="1:7">
      <c r="A910" s="957" t="s">
        <v>3354</v>
      </c>
      <c r="B910" s="957" t="s">
        <v>3284</v>
      </c>
      <c r="C910" s="957" t="s">
        <v>3355</v>
      </c>
      <c r="D910" s="957" t="str">
        <f t="shared" si="14"/>
        <v>長野県上松町</v>
      </c>
      <c r="E910" s="957" t="s">
        <v>3354</v>
      </c>
      <c r="F910" s="957" t="s">
        <v>3281</v>
      </c>
      <c r="G910" s="957" t="s">
        <v>3353</v>
      </c>
    </row>
    <row r="911" spans="1:7">
      <c r="A911" s="957" t="s">
        <v>3351</v>
      </c>
      <c r="B911" s="957" t="s">
        <v>3284</v>
      </c>
      <c r="C911" s="957" t="s">
        <v>3352</v>
      </c>
      <c r="D911" s="957" t="str">
        <f t="shared" si="14"/>
        <v>長野県南木曽町</v>
      </c>
      <c r="E911" s="957" t="s">
        <v>3351</v>
      </c>
      <c r="F911" s="957" t="s">
        <v>3281</v>
      </c>
      <c r="G911" s="957" t="s">
        <v>3350</v>
      </c>
    </row>
    <row r="912" spans="1:7">
      <c r="A912" s="957" t="s">
        <v>3348</v>
      </c>
      <c r="B912" s="957" t="s">
        <v>3284</v>
      </c>
      <c r="C912" s="957" t="s">
        <v>3349</v>
      </c>
      <c r="D912" s="957" t="str">
        <f t="shared" si="14"/>
        <v>長野県木祖村</v>
      </c>
      <c r="E912" s="957" t="s">
        <v>3348</v>
      </c>
      <c r="F912" s="957" t="s">
        <v>3281</v>
      </c>
      <c r="G912" s="957" t="s">
        <v>3347</v>
      </c>
    </row>
    <row r="913" spans="1:7">
      <c r="A913" s="957" t="s">
        <v>3345</v>
      </c>
      <c r="B913" s="957" t="s">
        <v>3284</v>
      </c>
      <c r="C913" s="957" t="s">
        <v>3346</v>
      </c>
      <c r="D913" s="957" t="str">
        <f t="shared" si="14"/>
        <v>長野県王滝村</v>
      </c>
      <c r="E913" s="957" t="s">
        <v>3345</v>
      </c>
      <c r="F913" s="957" t="s">
        <v>3281</v>
      </c>
      <c r="G913" s="957" t="s">
        <v>3344</v>
      </c>
    </row>
    <row r="914" spans="1:7">
      <c r="A914" s="957" t="s">
        <v>3342</v>
      </c>
      <c r="B914" s="957" t="s">
        <v>3284</v>
      </c>
      <c r="C914" s="957" t="s">
        <v>3343</v>
      </c>
      <c r="D914" s="957" t="str">
        <f t="shared" si="14"/>
        <v>長野県大桑村</v>
      </c>
      <c r="E914" s="957" t="s">
        <v>3342</v>
      </c>
      <c r="F914" s="957" t="s">
        <v>3281</v>
      </c>
      <c r="G914" s="957" t="s">
        <v>3341</v>
      </c>
    </row>
    <row r="915" spans="1:7">
      <c r="A915" s="957" t="s">
        <v>3339</v>
      </c>
      <c r="B915" s="957" t="s">
        <v>3284</v>
      </c>
      <c r="C915" s="957" t="s">
        <v>3340</v>
      </c>
      <c r="D915" s="957" t="str">
        <f t="shared" si="14"/>
        <v>長野県木曽町</v>
      </c>
      <c r="E915" s="957" t="s">
        <v>3339</v>
      </c>
      <c r="F915" s="957" t="s">
        <v>3281</v>
      </c>
      <c r="G915" s="957" t="s">
        <v>3338</v>
      </c>
    </row>
    <row r="916" spans="1:7">
      <c r="A916" s="957" t="s">
        <v>3336</v>
      </c>
      <c r="B916" s="957" t="s">
        <v>3284</v>
      </c>
      <c r="C916" s="957" t="s">
        <v>3337</v>
      </c>
      <c r="D916" s="957" t="str">
        <f t="shared" si="14"/>
        <v>長野県麻績村</v>
      </c>
      <c r="E916" s="957" t="s">
        <v>3336</v>
      </c>
      <c r="F916" s="957" t="s">
        <v>3281</v>
      </c>
      <c r="G916" s="957" t="s">
        <v>3335</v>
      </c>
    </row>
    <row r="917" spans="1:7">
      <c r="A917" s="957" t="s">
        <v>3333</v>
      </c>
      <c r="B917" s="957" t="s">
        <v>3284</v>
      </c>
      <c r="C917" s="957" t="s">
        <v>3334</v>
      </c>
      <c r="D917" s="957" t="str">
        <f t="shared" si="14"/>
        <v>長野県生坂村</v>
      </c>
      <c r="E917" s="957" t="s">
        <v>3333</v>
      </c>
      <c r="F917" s="957" t="s">
        <v>3281</v>
      </c>
      <c r="G917" s="957" t="s">
        <v>3332</v>
      </c>
    </row>
    <row r="918" spans="1:7">
      <c r="A918" s="957" t="s">
        <v>3330</v>
      </c>
      <c r="B918" s="957" t="s">
        <v>3284</v>
      </c>
      <c r="C918" s="957" t="s">
        <v>3331</v>
      </c>
      <c r="D918" s="957" t="str">
        <f t="shared" si="14"/>
        <v>長野県山形村</v>
      </c>
      <c r="E918" s="957" t="s">
        <v>3330</v>
      </c>
      <c r="F918" s="957" t="s">
        <v>3281</v>
      </c>
      <c r="G918" s="957" t="s">
        <v>3329</v>
      </c>
    </row>
    <row r="919" spans="1:7">
      <c r="A919" s="957" t="s">
        <v>3327</v>
      </c>
      <c r="B919" s="957" t="s">
        <v>3284</v>
      </c>
      <c r="C919" s="957" t="s">
        <v>3328</v>
      </c>
      <c r="D919" s="957" t="str">
        <f t="shared" si="14"/>
        <v>長野県朝日村</v>
      </c>
      <c r="E919" s="957" t="s">
        <v>3327</v>
      </c>
      <c r="F919" s="957" t="s">
        <v>3281</v>
      </c>
      <c r="G919" s="957" t="s">
        <v>3326</v>
      </c>
    </row>
    <row r="920" spans="1:7">
      <c r="A920" s="957" t="s">
        <v>3324</v>
      </c>
      <c r="B920" s="957" t="s">
        <v>3284</v>
      </c>
      <c r="C920" s="957" t="s">
        <v>3325</v>
      </c>
      <c r="D920" s="957" t="str">
        <f t="shared" si="14"/>
        <v>長野県筑北村</v>
      </c>
      <c r="E920" s="957" t="s">
        <v>3324</v>
      </c>
      <c r="F920" s="957" t="s">
        <v>3281</v>
      </c>
      <c r="G920" s="957" t="s">
        <v>3323</v>
      </c>
    </row>
    <row r="921" spans="1:7">
      <c r="A921" s="957" t="s">
        <v>3322</v>
      </c>
      <c r="B921" s="957" t="s">
        <v>3284</v>
      </c>
      <c r="C921" s="957" t="s">
        <v>3183</v>
      </c>
      <c r="D921" s="957" t="str">
        <f t="shared" si="14"/>
        <v>長野県池田町</v>
      </c>
      <c r="E921" s="957" t="s">
        <v>3322</v>
      </c>
      <c r="F921" s="957" t="s">
        <v>3281</v>
      </c>
      <c r="G921" s="957" t="s">
        <v>3321</v>
      </c>
    </row>
    <row r="922" spans="1:7">
      <c r="A922" s="957" t="s">
        <v>3319</v>
      </c>
      <c r="B922" s="957" t="s">
        <v>3284</v>
      </c>
      <c r="C922" s="957" t="s">
        <v>3320</v>
      </c>
      <c r="D922" s="957" t="str">
        <f t="shared" si="14"/>
        <v>長野県松川村</v>
      </c>
      <c r="E922" s="957" t="s">
        <v>3319</v>
      </c>
      <c r="F922" s="957" t="s">
        <v>3281</v>
      </c>
      <c r="G922" s="957" t="s">
        <v>3318</v>
      </c>
    </row>
    <row r="923" spans="1:7">
      <c r="A923" s="957" t="s">
        <v>3316</v>
      </c>
      <c r="B923" s="957" t="s">
        <v>3284</v>
      </c>
      <c r="C923" s="957" t="s">
        <v>3317</v>
      </c>
      <c r="D923" s="957" t="str">
        <f t="shared" si="14"/>
        <v>長野県白馬村</v>
      </c>
      <c r="E923" s="957" t="s">
        <v>3316</v>
      </c>
      <c r="F923" s="957" t="s">
        <v>3281</v>
      </c>
      <c r="G923" s="957" t="s">
        <v>3315</v>
      </c>
    </row>
    <row r="924" spans="1:7">
      <c r="A924" s="957" t="s">
        <v>3313</v>
      </c>
      <c r="B924" s="957" t="s">
        <v>3284</v>
      </c>
      <c r="C924" s="957" t="s">
        <v>3314</v>
      </c>
      <c r="D924" s="957" t="str">
        <f t="shared" si="14"/>
        <v>長野県小谷村</v>
      </c>
      <c r="E924" s="957" t="s">
        <v>3313</v>
      </c>
      <c r="F924" s="957" t="s">
        <v>3281</v>
      </c>
      <c r="G924" s="957" t="s">
        <v>3312</v>
      </c>
    </row>
    <row r="925" spans="1:7">
      <c r="A925" s="957" t="s">
        <v>3310</v>
      </c>
      <c r="B925" s="957" t="s">
        <v>3284</v>
      </c>
      <c r="C925" s="957" t="s">
        <v>3311</v>
      </c>
      <c r="D925" s="957" t="str">
        <f t="shared" si="14"/>
        <v>長野県坂城町</v>
      </c>
      <c r="E925" s="957" t="s">
        <v>3310</v>
      </c>
      <c r="F925" s="957" t="s">
        <v>3281</v>
      </c>
      <c r="G925" s="957" t="s">
        <v>3309</v>
      </c>
    </row>
    <row r="926" spans="1:7">
      <c r="A926" s="957" t="s">
        <v>3307</v>
      </c>
      <c r="B926" s="957" t="s">
        <v>3284</v>
      </c>
      <c r="C926" s="957" t="s">
        <v>3308</v>
      </c>
      <c r="D926" s="957" t="str">
        <f t="shared" si="14"/>
        <v>長野県小布施町</v>
      </c>
      <c r="E926" s="957" t="s">
        <v>3307</v>
      </c>
      <c r="F926" s="957" t="s">
        <v>3281</v>
      </c>
      <c r="G926" s="957" t="s">
        <v>3306</v>
      </c>
    </row>
    <row r="927" spans="1:7">
      <c r="A927" s="957" t="s">
        <v>3304</v>
      </c>
      <c r="B927" s="957" t="s">
        <v>3284</v>
      </c>
      <c r="C927" s="957" t="s">
        <v>3305</v>
      </c>
      <c r="D927" s="957" t="str">
        <f t="shared" si="14"/>
        <v>長野県高山村</v>
      </c>
      <c r="E927" s="957" t="s">
        <v>3304</v>
      </c>
      <c r="F927" s="957" t="s">
        <v>3281</v>
      </c>
      <c r="G927" s="957" t="s">
        <v>3303</v>
      </c>
    </row>
    <row r="928" spans="1:7">
      <c r="A928" s="957" t="s">
        <v>3301</v>
      </c>
      <c r="B928" s="957" t="s">
        <v>3284</v>
      </c>
      <c r="C928" s="957" t="s">
        <v>3302</v>
      </c>
      <c r="D928" s="957" t="str">
        <f t="shared" si="14"/>
        <v>長野県山ノ内町</v>
      </c>
      <c r="E928" s="957" t="s">
        <v>3301</v>
      </c>
      <c r="F928" s="957" t="s">
        <v>3281</v>
      </c>
      <c r="G928" s="957" t="s">
        <v>3300</v>
      </c>
    </row>
    <row r="929" spans="1:7">
      <c r="A929" s="957" t="s">
        <v>3298</v>
      </c>
      <c r="B929" s="957" t="s">
        <v>3284</v>
      </c>
      <c r="C929" s="957" t="s">
        <v>3299</v>
      </c>
      <c r="D929" s="957" t="str">
        <f t="shared" si="14"/>
        <v>長野県木島平村</v>
      </c>
      <c r="E929" s="957" t="s">
        <v>3298</v>
      </c>
      <c r="F929" s="957" t="s">
        <v>3281</v>
      </c>
      <c r="G929" s="957" t="s">
        <v>3297</v>
      </c>
    </row>
    <row r="930" spans="1:7">
      <c r="A930" s="957" t="s">
        <v>3295</v>
      </c>
      <c r="B930" s="957" t="s">
        <v>3284</v>
      </c>
      <c r="C930" s="957" t="s">
        <v>3296</v>
      </c>
      <c r="D930" s="957" t="str">
        <f t="shared" si="14"/>
        <v>長野県野沢温泉村</v>
      </c>
      <c r="E930" s="957" t="s">
        <v>3295</v>
      </c>
      <c r="F930" s="957" t="s">
        <v>3281</v>
      </c>
      <c r="G930" s="957" t="s">
        <v>3294</v>
      </c>
    </row>
    <row r="931" spans="1:7">
      <c r="A931" s="957" t="s">
        <v>3292</v>
      </c>
      <c r="B931" s="957" t="s">
        <v>3284</v>
      </c>
      <c r="C931" s="957" t="s">
        <v>3293</v>
      </c>
      <c r="D931" s="957" t="str">
        <f t="shared" si="14"/>
        <v>長野県信濃町</v>
      </c>
      <c r="E931" s="957" t="s">
        <v>3292</v>
      </c>
      <c r="F931" s="957" t="s">
        <v>3281</v>
      </c>
      <c r="G931" s="957" t="s">
        <v>3291</v>
      </c>
    </row>
    <row r="932" spans="1:7">
      <c r="A932" s="957" t="s">
        <v>3289</v>
      </c>
      <c r="B932" s="957" t="s">
        <v>3284</v>
      </c>
      <c r="C932" s="957" t="s">
        <v>3290</v>
      </c>
      <c r="D932" s="957" t="str">
        <f t="shared" si="14"/>
        <v>長野県小川村</v>
      </c>
      <c r="E932" s="957" t="s">
        <v>3289</v>
      </c>
      <c r="F932" s="957" t="s">
        <v>3281</v>
      </c>
      <c r="G932" s="957" t="s">
        <v>3288</v>
      </c>
    </row>
    <row r="933" spans="1:7">
      <c r="A933" s="957" t="s">
        <v>3286</v>
      </c>
      <c r="B933" s="957" t="s">
        <v>3284</v>
      </c>
      <c r="C933" s="957" t="s">
        <v>3287</v>
      </c>
      <c r="D933" s="957" t="str">
        <f t="shared" si="14"/>
        <v>長野県飯綱町</v>
      </c>
      <c r="E933" s="957" t="s">
        <v>3286</v>
      </c>
      <c r="F933" s="957" t="s">
        <v>3281</v>
      </c>
      <c r="G933" s="957" t="s">
        <v>3285</v>
      </c>
    </row>
    <row r="934" spans="1:7">
      <c r="A934" s="957" t="s">
        <v>3282</v>
      </c>
      <c r="B934" s="957" t="s">
        <v>3284</v>
      </c>
      <c r="C934" s="957" t="s">
        <v>3283</v>
      </c>
      <c r="D934" s="957" t="str">
        <f t="shared" si="14"/>
        <v>長野県栄村</v>
      </c>
      <c r="E934" s="957" t="s">
        <v>3282</v>
      </c>
      <c r="F934" s="957" t="s">
        <v>3281</v>
      </c>
      <c r="G934" s="957" t="s">
        <v>3280</v>
      </c>
    </row>
    <row r="935" spans="1:7">
      <c r="A935" s="960" t="s">
        <v>3278</v>
      </c>
      <c r="B935" s="960" t="s">
        <v>3279</v>
      </c>
      <c r="C935" s="960" t="s">
        <v>3279</v>
      </c>
      <c r="D935" s="960" t="str">
        <f t="shared" si="14"/>
        <v>岐阜県岐阜県</v>
      </c>
      <c r="E935" s="960" t="s">
        <v>3278</v>
      </c>
      <c r="F935" s="959" t="s">
        <v>3277</v>
      </c>
      <c r="G935" s="958"/>
    </row>
    <row r="936" spans="1:7">
      <c r="A936" s="957" t="s">
        <v>3275</v>
      </c>
      <c r="B936" s="957" t="s">
        <v>3153</v>
      </c>
      <c r="C936" s="957" t="s">
        <v>3276</v>
      </c>
      <c r="D936" s="957" t="str">
        <f t="shared" si="14"/>
        <v>岐阜県岐阜市</v>
      </c>
      <c r="E936" s="957" t="s">
        <v>3275</v>
      </c>
      <c r="F936" s="957" t="s">
        <v>3150</v>
      </c>
      <c r="G936" s="957" t="s">
        <v>3274</v>
      </c>
    </row>
    <row r="937" spans="1:7">
      <c r="A937" s="957" t="s">
        <v>3272</v>
      </c>
      <c r="B937" s="957" t="s">
        <v>3153</v>
      </c>
      <c r="C937" s="957" t="s">
        <v>3273</v>
      </c>
      <c r="D937" s="957" t="str">
        <f t="shared" si="14"/>
        <v>岐阜県大垣市</v>
      </c>
      <c r="E937" s="957" t="s">
        <v>3272</v>
      </c>
      <c r="F937" s="957" t="s">
        <v>3150</v>
      </c>
      <c r="G937" s="957" t="s">
        <v>3271</v>
      </c>
    </row>
    <row r="938" spans="1:7">
      <c r="A938" s="957" t="s">
        <v>3269</v>
      </c>
      <c r="B938" s="957" t="s">
        <v>3153</v>
      </c>
      <c r="C938" s="957" t="s">
        <v>3270</v>
      </c>
      <c r="D938" s="957" t="str">
        <f t="shared" si="14"/>
        <v>岐阜県高山市</v>
      </c>
      <c r="E938" s="957" t="s">
        <v>3269</v>
      </c>
      <c r="F938" s="957" t="s">
        <v>3150</v>
      </c>
      <c r="G938" s="957" t="s">
        <v>3268</v>
      </c>
    </row>
    <row r="939" spans="1:7">
      <c r="A939" s="957" t="s">
        <v>3266</v>
      </c>
      <c r="B939" s="957" t="s">
        <v>3153</v>
      </c>
      <c r="C939" s="957" t="s">
        <v>3267</v>
      </c>
      <c r="D939" s="957" t="str">
        <f t="shared" si="14"/>
        <v>岐阜県多治見市</v>
      </c>
      <c r="E939" s="957" t="s">
        <v>3266</v>
      </c>
      <c r="F939" s="957" t="s">
        <v>3150</v>
      </c>
      <c r="G939" s="957" t="s">
        <v>3265</v>
      </c>
    </row>
    <row r="940" spans="1:7">
      <c r="A940" s="957" t="s">
        <v>3263</v>
      </c>
      <c r="B940" s="957" t="s">
        <v>3153</v>
      </c>
      <c r="C940" s="957" t="s">
        <v>3264</v>
      </c>
      <c r="D940" s="957" t="str">
        <f t="shared" si="14"/>
        <v>岐阜県関市</v>
      </c>
      <c r="E940" s="957" t="s">
        <v>3263</v>
      </c>
      <c r="F940" s="957" t="s">
        <v>3150</v>
      </c>
      <c r="G940" s="957" t="s">
        <v>3262</v>
      </c>
    </row>
    <row r="941" spans="1:7">
      <c r="A941" s="957" t="s">
        <v>3260</v>
      </c>
      <c r="B941" s="957" t="s">
        <v>3153</v>
      </c>
      <c r="C941" s="957" t="s">
        <v>3261</v>
      </c>
      <c r="D941" s="957" t="str">
        <f t="shared" si="14"/>
        <v>岐阜県中津川市</v>
      </c>
      <c r="E941" s="957" t="s">
        <v>3260</v>
      </c>
      <c r="F941" s="957" t="s">
        <v>3150</v>
      </c>
      <c r="G941" s="957" t="s">
        <v>3259</v>
      </c>
    </row>
    <row r="942" spans="1:7">
      <c r="A942" s="957" t="s">
        <v>3257</v>
      </c>
      <c r="B942" s="957" t="s">
        <v>3153</v>
      </c>
      <c r="C942" s="957" t="s">
        <v>3258</v>
      </c>
      <c r="D942" s="957" t="str">
        <f t="shared" si="14"/>
        <v>岐阜県美濃市</v>
      </c>
      <c r="E942" s="957" t="s">
        <v>3257</v>
      </c>
      <c r="F942" s="957" t="s">
        <v>3150</v>
      </c>
      <c r="G942" s="957" t="s">
        <v>3256</v>
      </c>
    </row>
    <row r="943" spans="1:7">
      <c r="A943" s="957" t="s">
        <v>3254</v>
      </c>
      <c r="B943" s="957" t="s">
        <v>3153</v>
      </c>
      <c r="C943" s="957" t="s">
        <v>3255</v>
      </c>
      <c r="D943" s="957" t="str">
        <f t="shared" si="14"/>
        <v>岐阜県瑞浪市</v>
      </c>
      <c r="E943" s="957" t="s">
        <v>3254</v>
      </c>
      <c r="F943" s="957" t="s">
        <v>3150</v>
      </c>
      <c r="G943" s="957" t="s">
        <v>3253</v>
      </c>
    </row>
    <row r="944" spans="1:7">
      <c r="A944" s="957" t="s">
        <v>3251</v>
      </c>
      <c r="B944" s="957" t="s">
        <v>3153</v>
      </c>
      <c r="C944" s="957" t="s">
        <v>3252</v>
      </c>
      <c r="D944" s="957" t="str">
        <f t="shared" si="14"/>
        <v>岐阜県羽島市</v>
      </c>
      <c r="E944" s="957" t="s">
        <v>3251</v>
      </c>
      <c r="F944" s="957" t="s">
        <v>3150</v>
      </c>
      <c r="G944" s="957" t="s">
        <v>3250</v>
      </c>
    </row>
    <row r="945" spans="1:7">
      <c r="A945" s="957" t="s">
        <v>3248</v>
      </c>
      <c r="B945" s="957" t="s">
        <v>3153</v>
      </c>
      <c r="C945" s="957" t="s">
        <v>3249</v>
      </c>
      <c r="D945" s="957" t="str">
        <f t="shared" si="14"/>
        <v>岐阜県恵那市</v>
      </c>
      <c r="E945" s="957" t="s">
        <v>3248</v>
      </c>
      <c r="F945" s="957" t="s">
        <v>3150</v>
      </c>
      <c r="G945" s="957" t="s">
        <v>3247</v>
      </c>
    </row>
    <row r="946" spans="1:7">
      <c r="A946" s="957" t="s">
        <v>3245</v>
      </c>
      <c r="B946" s="957" t="s">
        <v>3153</v>
      </c>
      <c r="C946" s="957" t="s">
        <v>3246</v>
      </c>
      <c r="D946" s="957" t="str">
        <f t="shared" si="14"/>
        <v>岐阜県美濃加茂市</v>
      </c>
      <c r="E946" s="957" t="s">
        <v>3245</v>
      </c>
      <c r="F946" s="957" t="s">
        <v>3150</v>
      </c>
      <c r="G946" s="957" t="s">
        <v>3244</v>
      </c>
    </row>
    <row r="947" spans="1:7">
      <c r="A947" s="957" t="s">
        <v>3242</v>
      </c>
      <c r="B947" s="957" t="s">
        <v>3153</v>
      </c>
      <c r="C947" s="957" t="s">
        <v>3243</v>
      </c>
      <c r="D947" s="957" t="str">
        <f t="shared" si="14"/>
        <v>岐阜県土岐市</v>
      </c>
      <c r="E947" s="957" t="s">
        <v>3242</v>
      </c>
      <c r="F947" s="957" t="s">
        <v>3150</v>
      </c>
      <c r="G947" s="957" t="s">
        <v>3241</v>
      </c>
    </row>
    <row r="948" spans="1:7">
      <c r="A948" s="957" t="s">
        <v>3239</v>
      </c>
      <c r="B948" s="957" t="s">
        <v>3153</v>
      </c>
      <c r="C948" s="957" t="s">
        <v>3240</v>
      </c>
      <c r="D948" s="957" t="str">
        <f t="shared" si="14"/>
        <v>岐阜県各務原市</v>
      </c>
      <c r="E948" s="957" t="s">
        <v>3239</v>
      </c>
      <c r="F948" s="957" t="s">
        <v>3150</v>
      </c>
      <c r="G948" s="957" t="s">
        <v>3238</v>
      </c>
    </row>
    <row r="949" spans="1:7">
      <c r="A949" s="957" t="s">
        <v>3236</v>
      </c>
      <c r="B949" s="957" t="s">
        <v>3153</v>
      </c>
      <c r="C949" s="957" t="s">
        <v>3237</v>
      </c>
      <c r="D949" s="957" t="str">
        <f t="shared" si="14"/>
        <v>岐阜県可児市</v>
      </c>
      <c r="E949" s="957" t="s">
        <v>3236</v>
      </c>
      <c r="F949" s="957" t="s">
        <v>3150</v>
      </c>
      <c r="G949" s="957" t="s">
        <v>3235</v>
      </c>
    </row>
    <row r="950" spans="1:7">
      <c r="A950" s="957" t="s">
        <v>3233</v>
      </c>
      <c r="B950" s="957" t="s">
        <v>3153</v>
      </c>
      <c r="C950" s="957" t="s">
        <v>3234</v>
      </c>
      <c r="D950" s="957" t="str">
        <f t="shared" si="14"/>
        <v>岐阜県山県市</v>
      </c>
      <c r="E950" s="957" t="s">
        <v>3233</v>
      </c>
      <c r="F950" s="957" t="s">
        <v>3150</v>
      </c>
      <c r="G950" s="957" t="s">
        <v>3232</v>
      </c>
    </row>
    <row r="951" spans="1:7">
      <c r="A951" s="957" t="s">
        <v>3230</v>
      </c>
      <c r="B951" s="957" t="s">
        <v>3153</v>
      </c>
      <c r="C951" s="957" t="s">
        <v>3231</v>
      </c>
      <c r="D951" s="957" t="str">
        <f t="shared" si="14"/>
        <v>岐阜県瑞穂市</v>
      </c>
      <c r="E951" s="957" t="s">
        <v>3230</v>
      </c>
      <c r="F951" s="957" t="s">
        <v>3150</v>
      </c>
      <c r="G951" s="957" t="s">
        <v>3229</v>
      </c>
    </row>
    <row r="952" spans="1:7">
      <c r="A952" s="957" t="s">
        <v>3227</v>
      </c>
      <c r="B952" s="957" t="s">
        <v>3153</v>
      </c>
      <c r="C952" s="957" t="s">
        <v>3228</v>
      </c>
      <c r="D952" s="957" t="str">
        <f t="shared" si="14"/>
        <v>岐阜県飛騨市</v>
      </c>
      <c r="E952" s="957" t="s">
        <v>3227</v>
      </c>
      <c r="F952" s="957" t="s">
        <v>3150</v>
      </c>
      <c r="G952" s="957" t="s">
        <v>3226</v>
      </c>
    </row>
    <row r="953" spans="1:7">
      <c r="A953" s="957" t="s">
        <v>3224</v>
      </c>
      <c r="B953" s="957" t="s">
        <v>3153</v>
      </c>
      <c r="C953" s="957" t="s">
        <v>3225</v>
      </c>
      <c r="D953" s="957" t="str">
        <f t="shared" si="14"/>
        <v>岐阜県本巣市</v>
      </c>
      <c r="E953" s="957" t="s">
        <v>3224</v>
      </c>
      <c r="F953" s="957" t="s">
        <v>3150</v>
      </c>
      <c r="G953" s="957" t="s">
        <v>3223</v>
      </c>
    </row>
    <row r="954" spans="1:7">
      <c r="A954" s="957" t="s">
        <v>3221</v>
      </c>
      <c r="B954" s="957" t="s">
        <v>3153</v>
      </c>
      <c r="C954" s="957" t="s">
        <v>3222</v>
      </c>
      <c r="D954" s="957" t="str">
        <f t="shared" si="14"/>
        <v>岐阜県郡上市</v>
      </c>
      <c r="E954" s="957" t="s">
        <v>3221</v>
      </c>
      <c r="F954" s="957" t="s">
        <v>3150</v>
      </c>
      <c r="G954" s="957" t="s">
        <v>3220</v>
      </c>
    </row>
    <row r="955" spans="1:7">
      <c r="A955" s="957" t="s">
        <v>3218</v>
      </c>
      <c r="B955" s="957" t="s">
        <v>3153</v>
      </c>
      <c r="C955" s="957" t="s">
        <v>3219</v>
      </c>
      <c r="D955" s="957" t="str">
        <f t="shared" si="14"/>
        <v>岐阜県下呂市</v>
      </c>
      <c r="E955" s="957" t="s">
        <v>3218</v>
      </c>
      <c r="F955" s="957" t="s">
        <v>3150</v>
      </c>
      <c r="G955" s="957" t="s">
        <v>3217</v>
      </c>
    </row>
    <row r="956" spans="1:7">
      <c r="A956" s="957" t="s">
        <v>3215</v>
      </c>
      <c r="B956" s="957" t="s">
        <v>3153</v>
      </c>
      <c r="C956" s="957" t="s">
        <v>3216</v>
      </c>
      <c r="D956" s="957" t="str">
        <f t="shared" si="14"/>
        <v>岐阜県海津市</v>
      </c>
      <c r="E956" s="957" t="s">
        <v>3215</v>
      </c>
      <c r="F956" s="957" t="s">
        <v>3150</v>
      </c>
      <c r="G956" s="957" t="s">
        <v>3214</v>
      </c>
    </row>
    <row r="957" spans="1:7">
      <c r="A957" s="957" t="s">
        <v>3212</v>
      </c>
      <c r="B957" s="957" t="s">
        <v>3153</v>
      </c>
      <c r="C957" s="957" t="s">
        <v>3213</v>
      </c>
      <c r="D957" s="957" t="str">
        <f t="shared" si="14"/>
        <v>岐阜県岐南町</v>
      </c>
      <c r="E957" s="957" t="s">
        <v>3212</v>
      </c>
      <c r="F957" s="957" t="s">
        <v>3150</v>
      </c>
      <c r="G957" s="957" t="s">
        <v>3211</v>
      </c>
    </row>
    <row r="958" spans="1:7">
      <c r="A958" s="957" t="s">
        <v>3209</v>
      </c>
      <c r="B958" s="957" t="s">
        <v>3153</v>
      </c>
      <c r="C958" s="957" t="s">
        <v>3210</v>
      </c>
      <c r="D958" s="957" t="str">
        <f t="shared" si="14"/>
        <v>岐阜県笠松町</v>
      </c>
      <c r="E958" s="957" t="s">
        <v>3209</v>
      </c>
      <c r="F958" s="957" t="s">
        <v>3150</v>
      </c>
      <c r="G958" s="957" t="s">
        <v>3208</v>
      </c>
    </row>
    <row r="959" spans="1:7">
      <c r="A959" s="957" t="s">
        <v>3206</v>
      </c>
      <c r="B959" s="957" t="s">
        <v>3153</v>
      </c>
      <c r="C959" s="957" t="s">
        <v>3207</v>
      </c>
      <c r="D959" s="957" t="str">
        <f t="shared" si="14"/>
        <v>岐阜県養老町</v>
      </c>
      <c r="E959" s="957" t="s">
        <v>3206</v>
      </c>
      <c r="F959" s="957" t="s">
        <v>3150</v>
      </c>
      <c r="G959" s="957" t="s">
        <v>3205</v>
      </c>
    </row>
    <row r="960" spans="1:7">
      <c r="A960" s="957" t="s">
        <v>3203</v>
      </c>
      <c r="B960" s="957" t="s">
        <v>3153</v>
      </c>
      <c r="C960" s="957" t="s">
        <v>3204</v>
      </c>
      <c r="D960" s="957" t="str">
        <f t="shared" si="14"/>
        <v>岐阜県垂井町</v>
      </c>
      <c r="E960" s="957" t="s">
        <v>3203</v>
      </c>
      <c r="F960" s="957" t="s">
        <v>3150</v>
      </c>
      <c r="G960" s="957" t="s">
        <v>3202</v>
      </c>
    </row>
    <row r="961" spans="1:7">
      <c r="A961" s="957" t="s">
        <v>3200</v>
      </c>
      <c r="B961" s="957" t="s">
        <v>3153</v>
      </c>
      <c r="C961" s="957" t="s">
        <v>3201</v>
      </c>
      <c r="D961" s="957" t="str">
        <f t="shared" si="14"/>
        <v>岐阜県関ケ原町</v>
      </c>
      <c r="E961" s="957" t="s">
        <v>3200</v>
      </c>
      <c r="F961" s="957" t="s">
        <v>3150</v>
      </c>
      <c r="G961" s="957" t="s">
        <v>3199</v>
      </c>
    </row>
    <row r="962" spans="1:7">
      <c r="A962" s="957" t="s">
        <v>3197</v>
      </c>
      <c r="B962" s="957" t="s">
        <v>3153</v>
      </c>
      <c r="C962" s="957" t="s">
        <v>3198</v>
      </c>
      <c r="D962" s="957" t="str">
        <f t="shared" si="14"/>
        <v>岐阜県神戸町</v>
      </c>
      <c r="E962" s="957" t="s">
        <v>3197</v>
      </c>
      <c r="F962" s="957" t="s">
        <v>3150</v>
      </c>
      <c r="G962" s="957" t="s">
        <v>3196</v>
      </c>
    </row>
    <row r="963" spans="1:7">
      <c r="A963" s="957" t="s">
        <v>3194</v>
      </c>
      <c r="B963" s="957" t="s">
        <v>3153</v>
      </c>
      <c r="C963" s="957" t="s">
        <v>3195</v>
      </c>
      <c r="D963" s="957" t="str">
        <f t="shared" ref="D963:D1026" si="15">B963&amp;C963</f>
        <v>岐阜県輪之内町</v>
      </c>
      <c r="E963" s="957" t="s">
        <v>3194</v>
      </c>
      <c r="F963" s="957" t="s">
        <v>3150</v>
      </c>
      <c r="G963" s="957" t="s">
        <v>3193</v>
      </c>
    </row>
    <row r="964" spans="1:7">
      <c r="A964" s="957" t="s">
        <v>3191</v>
      </c>
      <c r="B964" s="957" t="s">
        <v>3153</v>
      </c>
      <c r="C964" s="957" t="s">
        <v>3192</v>
      </c>
      <c r="D964" s="957" t="str">
        <f t="shared" si="15"/>
        <v>岐阜県安八町</v>
      </c>
      <c r="E964" s="957" t="s">
        <v>3191</v>
      </c>
      <c r="F964" s="957" t="s">
        <v>3150</v>
      </c>
      <c r="G964" s="957" t="s">
        <v>3190</v>
      </c>
    </row>
    <row r="965" spans="1:7">
      <c r="A965" s="957" t="s">
        <v>3188</v>
      </c>
      <c r="B965" s="957" t="s">
        <v>3153</v>
      </c>
      <c r="C965" s="957" t="s">
        <v>3189</v>
      </c>
      <c r="D965" s="957" t="str">
        <f t="shared" si="15"/>
        <v>岐阜県揖斐川町</v>
      </c>
      <c r="E965" s="957" t="s">
        <v>3188</v>
      </c>
      <c r="F965" s="957" t="s">
        <v>3150</v>
      </c>
      <c r="G965" s="957" t="s">
        <v>3187</v>
      </c>
    </row>
    <row r="966" spans="1:7">
      <c r="A966" s="957" t="s">
        <v>3185</v>
      </c>
      <c r="B966" s="957" t="s">
        <v>3153</v>
      </c>
      <c r="C966" s="957" t="s">
        <v>3186</v>
      </c>
      <c r="D966" s="957" t="str">
        <f t="shared" si="15"/>
        <v>岐阜県大野町</v>
      </c>
      <c r="E966" s="957" t="s">
        <v>3185</v>
      </c>
      <c r="F966" s="957" t="s">
        <v>3150</v>
      </c>
      <c r="G966" s="957" t="s">
        <v>3184</v>
      </c>
    </row>
    <row r="967" spans="1:7">
      <c r="A967" s="957" t="s">
        <v>3182</v>
      </c>
      <c r="B967" s="957" t="s">
        <v>3153</v>
      </c>
      <c r="C967" s="957" t="s">
        <v>3183</v>
      </c>
      <c r="D967" s="957" t="str">
        <f t="shared" si="15"/>
        <v>岐阜県池田町</v>
      </c>
      <c r="E967" s="957" t="s">
        <v>3182</v>
      </c>
      <c r="F967" s="957" t="s">
        <v>3150</v>
      </c>
      <c r="G967" s="957" t="s">
        <v>3181</v>
      </c>
    </row>
    <row r="968" spans="1:7">
      <c r="A968" s="957" t="s">
        <v>3179</v>
      </c>
      <c r="B968" s="957" t="s">
        <v>3153</v>
      </c>
      <c r="C968" s="957" t="s">
        <v>3180</v>
      </c>
      <c r="D968" s="957" t="str">
        <f t="shared" si="15"/>
        <v>岐阜県北方町</v>
      </c>
      <c r="E968" s="957" t="s">
        <v>3179</v>
      </c>
      <c r="F968" s="957" t="s">
        <v>3150</v>
      </c>
      <c r="G968" s="957" t="s">
        <v>3178</v>
      </c>
    </row>
    <row r="969" spans="1:7">
      <c r="A969" s="957" t="s">
        <v>3176</v>
      </c>
      <c r="B969" s="957" t="s">
        <v>3153</v>
      </c>
      <c r="C969" s="957" t="s">
        <v>3177</v>
      </c>
      <c r="D969" s="957" t="str">
        <f t="shared" si="15"/>
        <v>岐阜県坂祝町</v>
      </c>
      <c r="E969" s="957" t="s">
        <v>3176</v>
      </c>
      <c r="F969" s="957" t="s">
        <v>3150</v>
      </c>
      <c r="G969" s="957" t="s">
        <v>3175</v>
      </c>
    </row>
    <row r="970" spans="1:7">
      <c r="A970" s="957" t="s">
        <v>3173</v>
      </c>
      <c r="B970" s="957" t="s">
        <v>3153</v>
      </c>
      <c r="C970" s="957" t="s">
        <v>3174</v>
      </c>
      <c r="D970" s="957" t="str">
        <f t="shared" si="15"/>
        <v>岐阜県富加町</v>
      </c>
      <c r="E970" s="957" t="s">
        <v>3173</v>
      </c>
      <c r="F970" s="957" t="s">
        <v>3150</v>
      </c>
      <c r="G970" s="957" t="s">
        <v>3172</v>
      </c>
    </row>
    <row r="971" spans="1:7">
      <c r="A971" s="957" t="s">
        <v>3170</v>
      </c>
      <c r="B971" s="957" t="s">
        <v>3153</v>
      </c>
      <c r="C971" s="957" t="s">
        <v>3171</v>
      </c>
      <c r="D971" s="957" t="str">
        <f t="shared" si="15"/>
        <v>岐阜県川辺町</v>
      </c>
      <c r="E971" s="957" t="s">
        <v>3170</v>
      </c>
      <c r="F971" s="957" t="s">
        <v>3150</v>
      </c>
      <c r="G971" s="957" t="s">
        <v>3169</v>
      </c>
    </row>
    <row r="972" spans="1:7">
      <c r="A972" s="957" t="s">
        <v>3167</v>
      </c>
      <c r="B972" s="957" t="s">
        <v>3153</v>
      </c>
      <c r="C972" s="957" t="s">
        <v>3168</v>
      </c>
      <c r="D972" s="957" t="str">
        <f t="shared" si="15"/>
        <v>岐阜県七宗町</v>
      </c>
      <c r="E972" s="957" t="s">
        <v>3167</v>
      </c>
      <c r="F972" s="957" t="s">
        <v>3150</v>
      </c>
      <c r="G972" s="957" t="s">
        <v>3166</v>
      </c>
    </row>
    <row r="973" spans="1:7">
      <c r="A973" s="957" t="s">
        <v>3164</v>
      </c>
      <c r="B973" s="957" t="s">
        <v>3153</v>
      </c>
      <c r="C973" s="957" t="s">
        <v>3165</v>
      </c>
      <c r="D973" s="957" t="str">
        <f t="shared" si="15"/>
        <v>岐阜県八百津町</v>
      </c>
      <c r="E973" s="957" t="s">
        <v>3164</v>
      </c>
      <c r="F973" s="957" t="s">
        <v>3150</v>
      </c>
      <c r="G973" s="957" t="s">
        <v>3163</v>
      </c>
    </row>
    <row r="974" spans="1:7">
      <c r="A974" s="957" t="s">
        <v>3161</v>
      </c>
      <c r="B974" s="957" t="s">
        <v>3153</v>
      </c>
      <c r="C974" s="957" t="s">
        <v>3162</v>
      </c>
      <c r="D974" s="957" t="str">
        <f t="shared" si="15"/>
        <v>岐阜県白川町</v>
      </c>
      <c r="E974" s="957" t="s">
        <v>3161</v>
      </c>
      <c r="F974" s="957" t="s">
        <v>3150</v>
      </c>
      <c r="G974" s="957" t="s">
        <v>3160</v>
      </c>
    </row>
    <row r="975" spans="1:7">
      <c r="A975" s="957" t="s">
        <v>3158</v>
      </c>
      <c r="B975" s="957" t="s">
        <v>3153</v>
      </c>
      <c r="C975" s="957" t="s">
        <v>3159</v>
      </c>
      <c r="D975" s="957" t="str">
        <f t="shared" si="15"/>
        <v>岐阜県東白川村</v>
      </c>
      <c r="E975" s="957" t="s">
        <v>3158</v>
      </c>
      <c r="F975" s="957" t="s">
        <v>3150</v>
      </c>
      <c r="G975" s="957" t="s">
        <v>3157</v>
      </c>
    </row>
    <row r="976" spans="1:7">
      <c r="A976" s="957" t="s">
        <v>3155</v>
      </c>
      <c r="B976" s="957" t="s">
        <v>3153</v>
      </c>
      <c r="C976" s="957" t="s">
        <v>3156</v>
      </c>
      <c r="D976" s="957" t="str">
        <f t="shared" si="15"/>
        <v>岐阜県御嵩町</v>
      </c>
      <c r="E976" s="957" t="s">
        <v>3155</v>
      </c>
      <c r="F976" s="957" t="s">
        <v>3150</v>
      </c>
      <c r="G976" s="957" t="s">
        <v>3154</v>
      </c>
    </row>
    <row r="977" spans="1:7">
      <c r="A977" s="957" t="s">
        <v>3151</v>
      </c>
      <c r="B977" s="957" t="s">
        <v>3153</v>
      </c>
      <c r="C977" s="957" t="s">
        <v>3152</v>
      </c>
      <c r="D977" s="957" t="str">
        <f t="shared" si="15"/>
        <v>岐阜県白川村</v>
      </c>
      <c r="E977" s="957" t="s">
        <v>3151</v>
      </c>
      <c r="F977" s="957" t="s">
        <v>3150</v>
      </c>
      <c r="G977" s="957" t="s">
        <v>3149</v>
      </c>
    </row>
    <row r="978" spans="1:7">
      <c r="A978" s="960" t="s">
        <v>3147</v>
      </c>
      <c r="B978" s="960" t="s">
        <v>3148</v>
      </c>
      <c r="C978" s="960" t="s">
        <v>3148</v>
      </c>
      <c r="D978" s="960" t="str">
        <f t="shared" si="15"/>
        <v>静岡県静岡県</v>
      </c>
      <c r="E978" s="960" t="s">
        <v>3147</v>
      </c>
      <c r="F978" s="959" t="s">
        <v>3146</v>
      </c>
      <c r="G978" s="958"/>
    </row>
    <row r="979" spans="1:7">
      <c r="A979" s="957" t="s">
        <v>3144</v>
      </c>
      <c r="B979" s="957" t="s">
        <v>3043</v>
      </c>
      <c r="C979" s="957" t="s">
        <v>3145</v>
      </c>
      <c r="D979" s="957" t="str">
        <f t="shared" si="15"/>
        <v>静岡県静岡市</v>
      </c>
      <c r="E979" s="957" t="s">
        <v>3144</v>
      </c>
      <c r="F979" s="957" t="s">
        <v>3040</v>
      </c>
      <c r="G979" s="957" t="s">
        <v>3143</v>
      </c>
    </row>
    <row r="980" spans="1:7">
      <c r="A980" s="957" t="s">
        <v>3141</v>
      </c>
      <c r="B980" s="957" t="s">
        <v>3043</v>
      </c>
      <c r="C980" s="957" t="s">
        <v>3142</v>
      </c>
      <c r="D980" s="957" t="str">
        <f t="shared" si="15"/>
        <v>静岡県浜松市</v>
      </c>
      <c r="E980" s="957" t="s">
        <v>3141</v>
      </c>
      <c r="F980" s="957" t="s">
        <v>3040</v>
      </c>
      <c r="G980" s="957" t="s">
        <v>3140</v>
      </c>
    </row>
    <row r="981" spans="1:7">
      <c r="A981" s="957" t="s">
        <v>3138</v>
      </c>
      <c r="B981" s="957" t="s">
        <v>3043</v>
      </c>
      <c r="C981" s="957" t="s">
        <v>3139</v>
      </c>
      <c r="D981" s="957" t="str">
        <f t="shared" si="15"/>
        <v>静岡県沼津市</v>
      </c>
      <c r="E981" s="957" t="s">
        <v>3138</v>
      </c>
      <c r="F981" s="957" t="s">
        <v>3040</v>
      </c>
      <c r="G981" s="957" t="s">
        <v>3137</v>
      </c>
    </row>
    <row r="982" spans="1:7">
      <c r="A982" s="957" t="s">
        <v>3135</v>
      </c>
      <c r="B982" s="957" t="s">
        <v>3043</v>
      </c>
      <c r="C982" s="957" t="s">
        <v>3136</v>
      </c>
      <c r="D982" s="957" t="str">
        <f t="shared" si="15"/>
        <v>静岡県熱海市</v>
      </c>
      <c r="E982" s="957" t="s">
        <v>3135</v>
      </c>
      <c r="F982" s="957" t="s">
        <v>3040</v>
      </c>
      <c r="G982" s="957" t="s">
        <v>3134</v>
      </c>
    </row>
    <row r="983" spans="1:7">
      <c r="A983" s="957" t="s">
        <v>3132</v>
      </c>
      <c r="B983" s="957" t="s">
        <v>3043</v>
      </c>
      <c r="C983" s="957" t="s">
        <v>3133</v>
      </c>
      <c r="D983" s="957" t="str">
        <f t="shared" si="15"/>
        <v>静岡県三島市</v>
      </c>
      <c r="E983" s="957" t="s">
        <v>3132</v>
      </c>
      <c r="F983" s="957" t="s">
        <v>3040</v>
      </c>
      <c r="G983" s="957" t="s">
        <v>3131</v>
      </c>
    </row>
    <row r="984" spans="1:7">
      <c r="A984" s="957" t="s">
        <v>3129</v>
      </c>
      <c r="B984" s="957" t="s">
        <v>3043</v>
      </c>
      <c r="C984" s="957" t="s">
        <v>3130</v>
      </c>
      <c r="D984" s="957" t="str">
        <f t="shared" si="15"/>
        <v>静岡県富士宮市</v>
      </c>
      <c r="E984" s="957" t="s">
        <v>3129</v>
      </c>
      <c r="F984" s="957" t="s">
        <v>3040</v>
      </c>
      <c r="G984" s="957" t="s">
        <v>3128</v>
      </c>
    </row>
    <row r="985" spans="1:7">
      <c r="A985" s="957" t="s">
        <v>3126</v>
      </c>
      <c r="B985" s="957" t="s">
        <v>3043</v>
      </c>
      <c r="C985" s="957" t="s">
        <v>3127</v>
      </c>
      <c r="D985" s="957" t="str">
        <f t="shared" si="15"/>
        <v>静岡県伊東市</v>
      </c>
      <c r="E985" s="957" t="s">
        <v>3126</v>
      </c>
      <c r="F985" s="957" t="s">
        <v>3040</v>
      </c>
      <c r="G985" s="957" t="s">
        <v>3125</v>
      </c>
    </row>
    <row r="986" spans="1:7">
      <c r="A986" s="957" t="s">
        <v>3123</v>
      </c>
      <c r="B986" s="957" t="s">
        <v>3043</v>
      </c>
      <c r="C986" s="957" t="s">
        <v>3124</v>
      </c>
      <c r="D986" s="957" t="str">
        <f t="shared" si="15"/>
        <v>静岡県島田市</v>
      </c>
      <c r="E986" s="957" t="s">
        <v>3123</v>
      </c>
      <c r="F986" s="957" t="s">
        <v>3040</v>
      </c>
      <c r="G986" s="957" t="s">
        <v>3122</v>
      </c>
    </row>
    <row r="987" spans="1:7">
      <c r="A987" s="957" t="s">
        <v>3120</v>
      </c>
      <c r="B987" s="957" t="s">
        <v>3043</v>
      </c>
      <c r="C987" s="957" t="s">
        <v>3121</v>
      </c>
      <c r="D987" s="957" t="str">
        <f t="shared" si="15"/>
        <v>静岡県富士市</v>
      </c>
      <c r="E987" s="957" t="s">
        <v>3120</v>
      </c>
      <c r="F987" s="957" t="s">
        <v>3040</v>
      </c>
      <c r="G987" s="957" t="s">
        <v>3119</v>
      </c>
    </row>
    <row r="988" spans="1:7">
      <c r="A988" s="957" t="s">
        <v>3117</v>
      </c>
      <c r="B988" s="957" t="s">
        <v>3043</v>
      </c>
      <c r="C988" s="957" t="s">
        <v>3118</v>
      </c>
      <c r="D988" s="957" t="str">
        <f t="shared" si="15"/>
        <v>静岡県磐田市</v>
      </c>
      <c r="E988" s="957" t="s">
        <v>3117</v>
      </c>
      <c r="F988" s="957" t="s">
        <v>3040</v>
      </c>
      <c r="G988" s="957" t="s">
        <v>3116</v>
      </c>
    </row>
    <row r="989" spans="1:7">
      <c r="A989" s="957" t="s">
        <v>3114</v>
      </c>
      <c r="B989" s="957" t="s">
        <v>3043</v>
      </c>
      <c r="C989" s="957" t="s">
        <v>3115</v>
      </c>
      <c r="D989" s="957" t="str">
        <f t="shared" si="15"/>
        <v>静岡県焼津市</v>
      </c>
      <c r="E989" s="957" t="s">
        <v>3114</v>
      </c>
      <c r="F989" s="957" t="s">
        <v>3040</v>
      </c>
      <c r="G989" s="957" t="s">
        <v>3113</v>
      </c>
    </row>
    <row r="990" spans="1:7">
      <c r="A990" s="957" t="s">
        <v>3111</v>
      </c>
      <c r="B990" s="957" t="s">
        <v>3043</v>
      </c>
      <c r="C990" s="957" t="s">
        <v>3112</v>
      </c>
      <c r="D990" s="957" t="str">
        <f t="shared" si="15"/>
        <v>静岡県掛川市</v>
      </c>
      <c r="E990" s="957" t="s">
        <v>3111</v>
      </c>
      <c r="F990" s="957" t="s">
        <v>3040</v>
      </c>
      <c r="G990" s="957" t="s">
        <v>3110</v>
      </c>
    </row>
    <row r="991" spans="1:7">
      <c r="A991" s="957" t="s">
        <v>3108</v>
      </c>
      <c r="B991" s="957" t="s">
        <v>3043</v>
      </c>
      <c r="C991" s="957" t="s">
        <v>3109</v>
      </c>
      <c r="D991" s="957" t="str">
        <f t="shared" si="15"/>
        <v>静岡県藤枝市</v>
      </c>
      <c r="E991" s="957" t="s">
        <v>3108</v>
      </c>
      <c r="F991" s="957" t="s">
        <v>3040</v>
      </c>
      <c r="G991" s="957" t="s">
        <v>3107</v>
      </c>
    </row>
    <row r="992" spans="1:7">
      <c r="A992" s="957" t="s">
        <v>3105</v>
      </c>
      <c r="B992" s="957" t="s">
        <v>3043</v>
      </c>
      <c r="C992" s="957" t="s">
        <v>3106</v>
      </c>
      <c r="D992" s="957" t="str">
        <f t="shared" si="15"/>
        <v>静岡県御殿場市</v>
      </c>
      <c r="E992" s="957" t="s">
        <v>3105</v>
      </c>
      <c r="F992" s="957" t="s">
        <v>3040</v>
      </c>
      <c r="G992" s="957" t="s">
        <v>3104</v>
      </c>
    </row>
    <row r="993" spans="1:7">
      <c r="A993" s="957" t="s">
        <v>3102</v>
      </c>
      <c r="B993" s="957" t="s">
        <v>3043</v>
      </c>
      <c r="C993" s="957" t="s">
        <v>3103</v>
      </c>
      <c r="D993" s="957" t="str">
        <f t="shared" si="15"/>
        <v>静岡県袋井市</v>
      </c>
      <c r="E993" s="957" t="s">
        <v>3102</v>
      </c>
      <c r="F993" s="957" t="s">
        <v>3040</v>
      </c>
      <c r="G993" s="957" t="s">
        <v>3101</v>
      </c>
    </row>
    <row r="994" spans="1:7">
      <c r="A994" s="957" t="s">
        <v>3099</v>
      </c>
      <c r="B994" s="957" t="s">
        <v>3043</v>
      </c>
      <c r="C994" s="957" t="s">
        <v>3100</v>
      </c>
      <c r="D994" s="957" t="str">
        <f t="shared" si="15"/>
        <v>静岡県下田市</v>
      </c>
      <c r="E994" s="957" t="s">
        <v>3099</v>
      </c>
      <c r="F994" s="957" t="s">
        <v>3040</v>
      </c>
      <c r="G994" s="957" t="s">
        <v>3098</v>
      </c>
    </row>
    <row r="995" spans="1:7">
      <c r="A995" s="957" t="s">
        <v>3096</v>
      </c>
      <c r="B995" s="957" t="s">
        <v>3043</v>
      </c>
      <c r="C995" s="957" t="s">
        <v>3097</v>
      </c>
      <c r="D995" s="957" t="str">
        <f t="shared" si="15"/>
        <v>静岡県裾野市</v>
      </c>
      <c r="E995" s="957" t="s">
        <v>3096</v>
      </c>
      <c r="F995" s="957" t="s">
        <v>3040</v>
      </c>
      <c r="G995" s="957" t="s">
        <v>3095</v>
      </c>
    </row>
    <row r="996" spans="1:7">
      <c r="A996" s="957" t="s">
        <v>3093</v>
      </c>
      <c r="B996" s="957" t="s">
        <v>3043</v>
      </c>
      <c r="C996" s="957" t="s">
        <v>3094</v>
      </c>
      <c r="D996" s="957" t="str">
        <f t="shared" si="15"/>
        <v>静岡県湖西市</v>
      </c>
      <c r="E996" s="957" t="s">
        <v>3093</v>
      </c>
      <c r="F996" s="957" t="s">
        <v>3040</v>
      </c>
      <c r="G996" s="957" t="s">
        <v>3092</v>
      </c>
    </row>
    <row r="997" spans="1:7">
      <c r="A997" s="957" t="s">
        <v>3090</v>
      </c>
      <c r="B997" s="957" t="s">
        <v>3043</v>
      </c>
      <c r="C997" s="957" t="s">
        <v>3091</v>
      </c>
      <c r="D997" s="957" t="str">
        <f t="shared" si="15"/>
        <v>静岡県伊豆市</v>
      </c>
      <c r="E997" s="957" t="s">
        <v>3090</v>
      </c>
      <c r="F997" s="957" t="s">
        <v>3040</v>
      </c>
      <c r="G997" s="957" t="s">
        <v>3089</v>
      </c>
    </row>
    <row r="998" spans="1:7">
      <c r="A998" s="957" t="s">
        <v>3087</v>
      </c>
      <c r="B998" s="957" t="s">
        <v>3043</v>
      </c>
      <c r="C998" s="957" t="s">
        <v>3088</v>
      </c>
      <c r="D998" s="957" t="str">
        <f t="shared" si="15"/>
        <v>静岡県御前崎市</v>
      </c>
      <c r="E998" s="957" t="s">
        <v>3087</v>
      </c>
      <c r="F998" s="957" t="s">
        <v>3040</v>
      </c>
      <c r="G998" s="957" t="s">
        <v>3086</v>
      </c>
    </row>
    <row r="999" spans="1:7">
      <c r="A999" s="957" t="s">
        <v>3084</v>
      </c>
      <c r="B999" s="957" t="s">
        <v>3043</v>
      </c>
      <c r="C999" s="957" t="s">
        <v>3085</v>
      </c>
      <c r="D999" s="957" t="str">
        <f t="shared" si="15"/>
        <v>静岡県菊川市</v>
      </c>
      <c r="E999" s="957" t="s">
        <v>3084</v>
      </c>
      <c r="F999" s="957" t="s">
        <v>3040</v>
      </c>
      <c r="G999" s="957" t="s">
        <v>3083</v>
      </c>
    </row>
    <row r="1000" spans="1:7">
      <c r="A1000" s="957" t="s">
        <v>3081</v>
      </c>
      <c r="B1000" s="957" t="s">
        <v>3043</v>
      </c>
      <c r="C1000" s="957" t="s">
        <v>3082</v>
      </c>
      <c r="D1000" s="957" t="str">
        <f t="shared" si="15"/>
        <v>静岡県伊豆の国市</v>
      </c>
      <c r="E1000" s="957" t="s">
        <v>3081</v>
      </c>
      <c r="F1000" s="957" t="s">
        <v>3040</v>
      </c>
      <c r="G1000" s="957" t="s">
        <v>3080</v>
      </c>
    </row>
    <row r="1001" spans="1:7">
      <c r="A1001" s="957" t="s">
        <v>3078</v>
      </c>
      <c r="B1001" s="957" t="s">
        <v>3043</v>
      </c>
      <c r="C1001" s="957" t="s">
        <v>3079</v>
      </c>
      <c r="D1001" s="957" t="str">
        <f t="shared" si="15"/>
        <v>静岡県牧之原市</v>
      </c>
      <c r="E1001" s="957" t="s">
        <v>3078</v>
      </c>
      <c r="F1001" s="957" t="s">
        <v>3040</v>
      </c>
      <c r="G1001" s="957" t="s">
        <v>3077</v>
      </c>
    </row>
    <row r="1002" spans="1:7">
      <c r="A1002" s="957" t="s">
        <v>3075</v>
      </c>
      <c r="B1002" s="957" t="s">
        <v>3043</v>
      </c>
      <c r="C1002" s="957" t="s">
        <v>3076</v>
      </c>
      <c r="D1002" s="957" t="str">
        <f t="shared" si="15"/>
        <v>静岡県東伊豆町</v>
      </c>
      <c r="E1002" s="957" t="s">
        <v>3075</v>
      </c>
      <c r="F1002" s="957" t="s">
        <v>3040</v>
      </c>
      <c r="G1002" s="957" t="s">
        <v>3074</v>
      </c>
    </row>
    <row r="1003" spans="1:7">
      <c r="A1003" s="957" t="s">
        <v>3072</v>
      </c>
      <c r="B1003" s="957" t="s">
        <v>3043</v>
      </c>
      <c r="C1003" s="957" t="s">
        <v>3073</v>
      </c>
      <c r="D1003" s="957" t="str">
        <f t="shared" si="15"/>
        <v>静岡県河津町</v>
      </c>
      <c r="E1003" s="957" t="s">
        <v>3072</v>
      </c>
      <c r="F1003" s="957" t="s">
        <v>3040</v>
      </c>
      <c r="G1003" s="957" t="s">
        <v>3071</v>
      </c>
    </row>
    <row r="1004" spans="1:7">
      <c r="A1004" s="957" t="s">
        <v>3069</v>
      </c>
      <c r="B1004" s="957" t="s">
        <v>3043</v>
      </c>
      <c r="C1004" s="957" t="s">
        <v>3070</v>
      </c>
      <c r="D1004" s="957" t="str">
        <f t="shared" si="15"/>
        <v>静岡県南伊豆町</v>
      </c>
      <c r="E1004" s="957" t="s">
        <v>3069</v>
      </c>
      <c r="F1004" s="957" t="s">
        <v>3040</v>
      </c>
      <c r="G1004" s="957" t="s">
        <v>3068</v>
      </c>
    </row>
    <row r="1005" spans="1:7">
      <c r="A1005" s="957" t="s">
        <v>3066</v>
      </c>
      <c r="B1005" s="957" t="s">
        <v>3043</v>
      </c>
      <c r="C1005" s="957" t="s">
        <v>3067</v>
      </c>
      <c r="D1005" s="957" t="str">
        <f t="shared" si="15"/>
        <v>静岡県松崎町</v>
      </c>
      <c r="E1005" s="957" t="s">
        <v>3066</v>
      </c>
      <c r="F1005" s="957" t="s">
        <v>3040</v>
      </c>
      <c r="G1005" s="957" t="s">
        <v>3065</v>
      </c>
    </row>
    <row r="1006" spans="1:7">
      <c r="A1006" s="957" t="s">
        <v>3063</v>
      </c>
      <c r="B1006" s="957" t="s">
        <v>3043</v>
      </c>
      <c r="C1006" s="957" t="s">
        <v>3064</v>
      </c>
      <c r="D1006" s="957" t="str">
        <f t="shared" si="15"/>
        <v>静岡県西伊豆町</v>
      </c>
      <c r="E1006" s="957" t="s">
        <v>3063</v>
      </c>
      <c r="F1006" s="957" t="s">
        <v>3040</v>
      </c>
      <c r="G1006" s="957" t="s">
        <v>3062</v>
      </c>
    </row>
    <row r="1007" spans="1:7">
      <c r="A1007" s="957" t="s">
        <v>3060</v>
      </c>
      <c r="B1007" s="957" t="s">
        <v>3043</v>
      </c>
      <c r="C1007" s="957" t="s">
        <v>3061</v>
      </c>
      <c r="D1007" s="957" t="str">
        <f t="shared" si="15"/>
        <v>静岡県函南町</v>
      </c>
      <c r="E1007" s="957" t="s">
        <v>3060</v>
      </c>
      <c r="F1007" s="957" t="s">
        <v>3040</v>
      </c>
      <c r="G1007" s="957" t="s">
        <v>3059</v>
      </c>
    </row>
    <row r="1008" spans="1:7">
      <c r="A1008" s="957" t="s">
        <v>3057</v>
      </c>
      <c r="B1008" s="957" t="s">
        <v>3043</v>
      </c>
      <c r="C1008" s="957" t="s">
        <v>3058</v>
      </c>
      <c r="D1008" s="957" t="str">
        <f t="shared" si="15"/>
        <v>静岡県清水町</v>
      </c>
      <c r="E1008" s="957" t="s">
        <v>3057</v>
      </c>
      <c r="F1008" s="957" t="s">
        <v>3040</v>
      </c>
      <c r="G1008" s="957" t="s">
        <v>3056</v>
      </c>
    </row>
    <row r="1009" spans="1:7">
      <c r="A1009" s="957" t="s">
        <v>3054</v>
      </c>
      <c r="B1009" s="957" t="s">
        <v>3043</v>
      </c>
      <c r="C1009" s="957" t="s">
        <v>3055</v>
      </c>
      <c r="D1009" s="957" t="str">
        <f t="shared" si="15"/>
        <v>静岡県長泉町</v>
      </c>
      <c r="E1009" s="957" t="s">
        <v>3054</v>
      </c>
      <c r="F1009" s="957" t="s">
        <v>3040</v>
      </c>
      <c r="G1009" s="957" t="s">
        <v>3053</v>
      </c>
    </row>
    <row r="1010" spans="1:7">
      <c r="A1010" s="957" t="s">
        <v>3051</v>
      </c>
      <c r="B1010" s="957" t="s">
        <v>3043</v>
      </c>
      <c r="C1010" s="957" t="s">
        <v>3052</v>
      </c>
      <c r="D1010" s="957" t="str">
        <f t="shared" si="15"/>
        <v>静岡県小山町</v>
      </c>
      <c r="E1010" s="957" t="s">
        <v>3051</v>
      </c>
      <c r="F1010" s="957" t="s">
        <v>3040</v>
      </c>
      <c r="G1010" s="957" t="s">
        <v>3050</v>
      </c>
    </row>
    <row r="1011" spans="1:7">
      <c r="A1011" s="957" t="s">
        <v>3048</v>
      </c>
      <c r="B1011" s="957" t="s">
        <v>3043</v>
      </c>
      <c r="C1011" s="957" t="s">
        <v>3049</v>
      </c>
      <c r="D1011" s="957" t="str">
        <f t="shared" si="15"/>
        <v>静岡県吉田町</v>
      </c>
      <c r="E1011" s="957" t="s">
        <v>3048</v>
      </c>
      <c r="F1011" s="957" t="s">
        <v>3040</v>
      </c>
      <c r="G1011" s="957" t="s">
        <v>3047</v>
      </c>
    </row>
    <row r="1012" spans="1:7">
      <c r="A1012" s="957" t="s">
        <v>3045</v>
      </c>
      <c r="B1012" s="957" t="s">
        <v>3043</v>
      </c>
      <c r="C1012" s="957" t="s">
        <v>3046</v>
      </c>
      <c r="D1012" s="957" t="str">
        <f t="shared" si="15"/>
        <v>静岡県川根本町</v>
      </c>
      <c r="E1012" s="957" t="s">
        <v>3045</v>
      </c>
      <c r="F1012" s="957" t="s">
        <v>3040</v>
      </c>
      <c r="G1012" s="957" t="s">
        <v>3044</v>
      </c>
    </row>
    <row r="1013" spans="1:7">
      <c r="A1013" s="957" t="s">
        <v>3041</v>
      </c>
      <c r="B1013" s="957" t="s">
        <v>3043</v>
      </c>
      <c r="C1013" s="957" t="s">
        <v>3042</v>
      </c>
      <c r="D1013" s="957" t="str">
        <f t="shared" si="15"/>
        <v>静岡県森町</v>
      </c>
      <c r="E1013" s="957" t="s">
        <v>3041</v>
      </c>
      <c r="F1013" s="957" t="s">
        <v>3040</v>
      </c>
      <c r="G1013" s="957" t="s">
        <v>3039</v>
      </c>
    </row>
    <row r="1014" spans="1:7">
      <c r="A1014" s="960" t="s">
        <v>3037</v>
      </c>
      <c r="B1014" s="960" t="s">
        <v>3038</v>
      </c>
      <c r="C1014" s="960" t="s">
        <v>3038</v>
      </c>
      <c r="D1014" s="960" t="str">
        <f t="shared" si="15"/>
        <v>愛知県愛知県</v>
      </c>
      <c r="E1014" s="960" t="s">
        <v>3037</v>
      </c>
      <c r="F1014" s="959" t="s">
        <v>3036</v>
      </c>
      <c r="G1014" s="958"/>
    </row>
    <row r="1015" spans="1:7">
      <c r="A1015" s="957" t="s">
        <v>3034</v>
      </c>
      <c r="B1015" s="957" t="s">
        <v>2881</v>
      </c>
      <c r="C1015" s="957" t="s">
        <v>3035</v>
      </c>
      <c r="D1015" s="957" t="str">
        <f t="shared" si="15"/>
        <v>愛知県名古屋市</v>
      </c>
      <c r="E1015" s="957" t="s">
        <v>3034</v>
      </c>
      <c r="F1015" s="957" t="s">
        <v>2878</v>
      </c>
      <c r="G1015" s="957" t="s">
        <v>3033</v>
      </c>
    </row>
    <row r="1016" spans="1:7">
      <c r="A1016" s="957" t="s">
        <v>3031</v>
      </c>
      <c r="B1016" s="957" t="s">
        <v>2881</v>
      </c>
      <c r="C1016" s="957" t="s">
        <v>3032</v>
      </c>
      <c r="D1016" s="957" t="str">
        <f t="shared" si="15"/>
        <v>愛知県豊橋市</v>
      </c>
      <c r="E1016" s="957" t="s">
        <v>3031</v>
      </c>
      <c r="F1016" s="957" t="s">
        <v>2878</v>
      </c>
      <c r="G1016" s="957" t="s">
        <v>3030</v>
      </c>
    </row>
    <row r="1017" spans="1:7">
      <c r="A1017" s="957" t="s">
        <v>3028</v>
      </c>
      <c r="B1017" s="957" t="s">
        <v>2881</v>
      </c>
      <c r="C1017" s="957" t="s">
        <v>3029</v>
      </c>
      <c r="D1017" s="957" t="str">
        <f t="shared" si="15"/>
        <v>愛知県岡崎市</v>
      </c>
      <c r="E1017" s="957" t="s">
        <v>3028</v>
      </c>
      <c r="F1017" s="957" t="s">
        <v>2878</v>
      </c>
      <c r="G1017" s="957" t="s">
        <v>3027</v>
      </c>
    </row>
    <row r="1018" spans="1:7">
      <c r="A1018" s="957" t="s">
        <v>3025</v>
      </c>
      <c r="B1018" s="957" t="s">
        <v>2881</v>
      </c>
      <c r="C1018" s="957" t="s">
        <v>3026</v>
      </c>
      <c r="D1018" s="957" t="str">
        <f t="shared" si="15"/>
        <v>愛知県一宮市</v>
      </c>
      <c r="E1018" s="957" t="s">
        <v>3025</v>
      </c>
      <c r="F1018" s="957" t="s">
        <v>2878</v>
      </c>
      <c r="G1018" s="957" t="s">
        <v>3024</v>
      </c>
    </row>
    <row r="1019" spans="1:7">
      <c r="A1019" s="957" t="s">
        <v>3022</v>
      </c>
      <c r="B1019" s="957" t="s">
        <v>2881</v>
      </c>
      <c r="C1019" s="957" t="s">
        <v>3023</v>
      </c>
      <c r="D1019" s="957" t="str">
        <f t="shared" si="15"/>
        <v>愛知県瀬戸市</v>
      </c>
      <c r="E1019" s="957" t="s">
        <v>3022</v>
      </c>
      <c r="F1019" s="957" t="s">
        <v>2878</v>
      </c>
      <c r="G1019" s="957" t="s">
        <v>3021</v>
      </c>
    </row>
    <row r="1020" spans="1:7">
      <c r="A1020" s="957" t="s">
        <v>3019</v>
      </c>
      <c r="B1020" s="957" t="s">
        <v>2881</v>
      </c>
      <c r="C1020" s="957" t="s">
        <v>3020</v>
      </c>
      <c r="D1020" s="957" t="str">
        <f t="shared" si="15"/>
        <v>愛知県半田市</v>
      </c>
      <c r="E1020" s="957" t="s">
        <v>3019</v>
      </c>
      <c r="F1020" s="957" t="s">
        <v>2878</v>
      </c>
      <c r="G1020" s="957" t="s">
        <v>3018</v>
      </c>
    </row>
    <row r="1021" spans="1:7">
      <c r="A1021" s="957" t="s">
        <v>3016</v>
      </c>
      <c r="B1021" s="957" t="s">
        <v>2881</v>
      </c>
      <c r="C1021" s="957" t="s">
        <v>3017</v>
      </c>
      <c r="D1021" s="957" t="str">
        <f t="shared" si="15"/>
        <v>愛知県春日井市</v>
      </c>
      <c r="E1021" s="957" t="s">
        <v>3016</v>
      </c>
      <c r="F1021" s="957" t="s">
        <v>2878</v>
      </c>
      <c r="G1021" s="957" t="s">
        <v>3015</v>
      </c>
    </row>
    <row r="1022" spans="1:7">
      <c r="A1022" s="957" t="s">
        <v>3013</v>
      </c>
      <c r="B1022" s="957" t="s">
        <v>2881</v>
      </c>
      <c r="C1022" s="957" t="s">
        <v>3014</v>
      </c>
      <c r="D1022" s="957" t="str">
        <f t="shared" si="15"/>
        <v>愛知県豊川市</v>
      </c>
      <c r="E1022" s="957" t="s">
        <v>3013</v>
      </c>
      <c r="F1022" s="957" t="s">
        <v>2878</v>
      </c>
      <c r="G1022" s="957" t="s">
        <v>3012</v>
      </c>
    </row>
    <row r="1023" spans="1:7">
      <c r="A1023" s="957" t="s">
        <v>3010</v>
      </c>
      <c r="B1023" s="957" t="s">
        <v>2881</v>
      </c>
      <c r="C1023" s="957" t="s">
        <v>3011</v>
      </c>
      <c r="D1023" s="957" t="str">
        <f t="shared" si="15"/>
        <v>愛知県津島市</v>
      </c>
      <c r="E1023" s="957" t="s">
        <v>3010</v>
      </c>
      <c r="F1023" s="957" t="s">
        <v>2878</v>
      </c>
      <c r="G1023" s="957" t="s">
        <v>1246</v>
      </c>
    </row>
    <row r="1024" spans="1:7">
      <c r="A1024" s="957" t="s">
        <v>3008</v>
      </c>
      <c r="B1024" s="957" t="s">
        <v>2881</v>
      </c>
      <c r="C1024" s="957" t="s">
        <v>3009</v>
      </c>
      <c r="D1024" s="957" t="str">
        <f t="shared" si="15"/>
        <v>愛知県碧南市</v>
      </c>
      <c r="E1024" s="957" t="s">
        <v>3008</v>
      </c>
      <c r="F1024" s="957" t="s">
        <v>2878</v>
      </c>
      <c r="G1024" s="957" t="s">
        <v>3007</v>
      </c>
    </row>
    <row r="1025" spans="1:7">
      <c r="A1025" s="957" t="s">
        <v>3005</v>
      </c>
      <c r="B1025" s="957" t="s">
        <v>2881</v>
      </c>
      <c r="C1025" s="957" t="s">
        <v>3006</v>
      </c>
      <c r="D1025" s="957" t="str">
        <f t="shared" si="15"/>
        <v>愛知県刈谷市</v>
      </c>
      <c r="E1025" s="957" t="s">
        <v>3005</v>
      </c>
      <c r="F1025" s="957" t="s">
        <v>2878</v>
      </c>
      <c r="G1025" s="957" t="s">
        <v>3004</v>
      </c>
    </row>
    <row r="1026" spans="1:7">
      <c r="A1026" s="957" t="s">
        <v>3002</v>
      </c>
      <c r="B1026" s="957" t="s">
        <v>2881</v>
      </c>
      <c r="C1026" s="957" t="s">
        <v>3003</v>
      </c>
      <c r="D1026" s="957" t="str">
        <f t="shared" si="15"/>
        <v>愛知県豊田市</v>
      </c>
      <c r="E1026" s="957" t="s">
        <v>3002</v>
      </c>
      <c r="F1026" s="957" t="s">
        <v>2878</v>
      </c>
      <c r="G1026" s="957" t="s">
        <v>3001</v>
      </c>
    </row>
    <row r="1027" spans="1:7">
      <c r="A1027" s="957" t="s">
        <v>2999</v>
      </c>
      <c r="B1027" s="957" t="s">
        <v>2881</v>
      </c>
      <c r="C1027" s="957" t="s">
        <v>3000</v>
      </c>
      <c r="D1027" s="957" t="str">
        <f t="shared" ref="D1027:D1090" si="16">B1027&amp;C1027</f>
        <v>愛知県安城市</v>
      </c>
      <c r="E1027" s="957" t="s">
        <v>2999</v>
      </c>
      <c r="F1027" s="957" t="s">
        <v>2878</v>
      </c>
      <c r="G1027" s="957" t="s">
        <v>2998</v>
      </c>
    </row>
    <row r="1028" spans="1:7">
      <c r="A1028" s="957" t="s">
        <v>2996</v>
      </c>
      <c r="B1028" s="957" t="s">
        <v>2881</v>
      </c>
      <c r="C1028" s="957" t="s">
        <v>2997</v>
      </c>
      <c r="D1028" s="957" t="str">
        <f t="shared" si="16"/>
        <v>愛知県西尾市</v>
      </c>
      <c r="E1028" s="957" t="s">
        <v>2996</v>
      </c>
      <c r="F1028" s="957" t="s">
        <v>2878</v>
      </c>
      <c r="G1028" s="957" t="s">
        <v>2995</v>
      </c>
    </row>
    <row r="1029" spans="1:7">
      <c r="A1029" s="957" t="s">
        <v>2993</v>
      </c>
      <c r="B1029" s="957" t="s">
        <v>2881</v>
      </c>
      <c r="C1029" s="957" t="s">
        <v>2994</v>
      </c>
      <c r="D1029" s="957" t="str">
        <f t="shared" si="16"/>
        <v>愛知県蒲郡市</v>
      </c>
      <c r="E1029" s="957" t="s">
        <v>2993</v>
      </c>
      <c r="F1029" s="957" t="s">
        <v>2878</v>
      </c>
      <c r="G1029" s="957" t="s">
        <v>2992</v>
      </c>
    </row>
    <row r="1030" spans="1:7">
      <c r="A1030" s="957" t="s">
        <v>2990</v>
      </c>
      <c r="B1030" s="957" t="s">
        <v>2881</v>
      </c>
      <c r="C1030" s="957" t="s">
        <v>2991</v>
      </c>
      <c r="D1030" s="957" t="str">
        <f t="shared" si="16"/>
        <v>愛知県犬山市</v>
      </c>
      <c r="E1030" s="957" t="s">
        <v>2990</v>
      </c>
      <c r="F1030" s="957" t="s">
        <v>2878</v>
      </c>
      <c r="G1030" s="957" t="s">
        <v>2989</v>
      </c>
    </row>
    <row r="1031" spans="1:7">
      <c r="A1031" s="957" t="s">
        <v>2987</v>
      </c>
      <c r="B1031" s="957" t="s">
        <v>2881</v>
      </c>
      <c r="C1031" s="957" t="s">
        <v>2988</v>
      </c>
      <c r="D1031" s="957" t="str">
        <f t="shared" si="16"/>
        <v>愛知県常滑市</v>
      </c>
      <c r="E1031" s="957" t="s">
        <v>2987</v>
      </c>
      <c r="F1031" s="957" t="s">
        <v>2878</v>
      </c>
      <c r="G1031" s="957" t="s">
        <v>2986</v>
      </c>
    </row>
    <row r="1032" spans="1:7">
      <c r="A1032" s="957" t="s">
        <v>2984</v>
      </c>
      <c r="B1032" s="957" t="s">
        <v>2881</v>
      </c>
      <c r="C1032" s="957" t="s">
        <v>2985</v>
      </c>
      <c r="D1032" s="957" t="str">
        <f t="shared" si="16"/>
        <v>愛知県江南市</v>
      </c>
      <c r="E1032" s="957" t="s">
        <v>2984</v>
      </c>
      <c r="F1032" s="957" t="s">
        <v>2878</v>
      </c>
      <c r="G1032" s="957" t="s">
        <v>1597</v>
      </c>
    </row>
    <row r="1033" spans="1:7">
      <c r="A1033" s="957" t="s">
        <v>2982</v>
      </c>
      <c r="B1033" s="957" t="s">
        <v>2881</v>
      </c>
      <c r="C1033" s="957" t="s">
        <v>2983</v>
      </c>
      <c r="D1033" s="957" t="str">
        <f t="shared" si="16"/>
        <v>愛知県小牧市</v>
      </c>
      <c r="E1033" s="957" t="s">
        <v>2982</v>
      </c>
      <c r="F1033" s="957" t="s">
        <v>2878</v>
      </c>
      <c r="G1033" s="957" t="s">
        <v>2981</v>
      </c>
    </row>
    <row r="1034" spans="1:7">
      <c r="A1034" s="957" t="s">
        <v>2979</v>
      </c>
      <c r="B1034" s="957" t="s">
        <v>2881</v>
      </c>
      <c r="C1034" s="957" t="s">
        <v>2980</v>
      </c>
      <c r="D1034" s="957" t="str">
        <f t="shared" si="16"/>
        <v>愛知県稲沢市</v>
      </c>
      <c r="E1034" s="957" t="s">
        <v>2979</v>
      </c>
      <c r="F1034" s="957" t="s">
        <v>2878</v>
      </c>
      <c r="G1034" s="957" t="s">
        <v>2978</v>
      </c>
    </row>
    <row r="1035" spans="1:7">
      <c r="A1035" s="957" t="s">
        <v>2976</v>
      </c>
      <c r="B1035" s="957" t="s">
        <v>2881</v>
      </c>
      <c r="C1035" s="957" t="s">
        <v>2977</v>
      </c>
      <c r="D1035" s="957" t="str">
        <f t="shared" si="16"/>
        <v>愛知県新城市</v>
      </c>
      <c r="E1035" s="957" t="s">
        <v>2976</v>
      </c>
      <c r="F1035" s="957" t="s">
        <v>2878</v>
      </c>
      <c r="G1035" s="957" t="s">
        <v>2975</v>
      </c>
    </row>
    <row r="1036" spans="1:7">
      <c r="A1036" s="957" t="s">
        <v>2973</v>
      </c>
      <c r="B1036" s="957" t="s">
        <v>2881</v>
      </c>
      <c r="C1036" s="957" t="s">
        <v>2974</v>
      </c>
      <c r="D1036" s="957" t="str">
        <f t="shared" si="16"/>
        <v>愛知県東海市</v>
      </c>
      <c r="E1036" s="957" t="s">
        <v>2973</v>
      </c>
      <c r="F1036" s="957" t="s">
        <v>2878</v>
      </c>
      <c r="G1036" s="957" t="s">
        <v>2972</v>
      </c>
    </row>
    <row r="1037" spans="1:7">
      <c r="A1037" s="957" t="s">
        <v>2970</v>
      </c>
      <c r="B1037" s="957" t="s">
        <v>2881</v>
      </c>
      <c r="C1037" s="957" t="s">
        <v>2971</v>
      </c>
      <c r="D1037" s="957" t="str">
        <f t="shared" si="16"/>
        <v>愛知県大府市</v>
      </c>
      <c r="E1037" s="957" t="s">
        <v>2970</v>
      </c>
      <c r="F1037" s="957" t="s">
        <v>2878</v>
      </c>
      <c r="G1037" s="957" t="s">
        <v>2969</v>
      </c>
    </row>
    <row r="1038" spans="1:7">
      <c r="A1038" s="957" t="s">
        <v>2967</v>
      </c>
      <c r="B1038" s="957" t="s">
        <v>2881</v>
      </c>
      <c r="C1038" s="957" t="s">
        <v>2968</v>
      </c>
      <c r="D1038" s="957" t="str">
        <f t="shared" si="16"/>
        <v>愛知県知多市</v>
      </c>
      <c r="E1038" s="957" t="s">
        <v>2967</v>
      </c>
      <c r="F1038" s="957" t="s">
        <v>2878</v>
      </c>
      <c r="G1038" s="957" t="s">
        <v>2966</v>
      </c>
    </row>
    <row r="1039" spans="1:7">
      <c r="A1039" s="957" t="s">
        <v>2964</v>
      </c>
      <c r="B1039" s="957" t="s">
        <v>2881</v>
      </c>
      <c r="C1039" s="957" t="s">
        <v>2965</v>
      </c>
      <c r="D1039" s="957" t="str">
        <f t="shared" si="16"/>
        <v>愛知県知立市</v>
      </c>
      <c r="E1039" s="957" t="s">
        <v>2964</v>
      </c>
      <c r="F1039" s="957" t="s">
        <v>2878</v>
      </c>
      <c r="G1039" s="957" t="s">
        <v>2963</v>
      </c>
    </row>
    <row r="1040" spans="1:7">
      <c r="A1040" s="957" t="s">
        <v>2961</v>
      </c>
      <c r="B1040" s="957" t="s">
        <v>2881</v>
      </c>
      <c r="C1040" s="957" t="s">
        <v>2962</v>
      </c>
      <c r="D1040" s="957" t="str">
        <f t="shared" si="16"/>
        <v>愛知県尾張旭市</v>
      </c>
      <c r="E1040" s="957" t="s">
        <v>2961</v>
      </c>
      <c r="F1040" s="957" t="s">
        <v>2878</v>
      </c>
      <c r="G1040" s="957" t="s">
        <v>2960</v>
      </c>
    </row>
    <row r="1041" spans="1:7">
      <c r="A1041" s="957" t="s">
        <v>2958</v>
      </c>
      <c r="B1041" s="957" t="s">
        <v>2881</v>
      </c>
      <c r="C1041" s="957" t="s">
        <v>2959</v>
      </c>
      <c r="D1041" s="957" t="str">
        <f t="shared" si="16"/>
        <v>愛知県高浜市</v>
      </c>
      <c r="E1041" s="957" t="s">
        <v>2958</v>
      </c>
      <c r="F1041" s="957" t="s">
        <v>2878</v>
      </c>
      <c r="G1041" s="957" t="s">
        <v>2957</v>
      </c>
    </row>
    <row r="1042" spans="1:7">
      <c r="A1042" s="957" t="s">
        <v>2955</v>
      </c>
      <c r="B1042" s="957" t="s">
        <v>2881</v>
      </c>
      <c r="C1042" s="957" t="s">
        <v>2956</v>
      </c>
      <c r="D1042" s="957" t="str">
        <f t="shared" si="16"/>
        <v>愛知県岩倉市</v>
      </c>
      <c r="E1042" s="957" t="s">
        <v>2955</v>
      </c>
      <c r="F1042" s="957" t="s">
        <v>2878</v>
      </c>
      <c r="G1042" s="957" t="s">
        <v>2954</v>
      </c>
    </row>
    <row r="1043" spans="1:7">
      <c r="A1043" s="957" t="s">
        <v>2952</v>
      </c>
      <c r="B1043" s="957" t="s">
        <v>2881</v>
      </c>
      <c r="C1043" s="957" t="s">
        <v>2953</v>
      </c>
      <c r="D1043" s="957" t="str">
        <f t="shared" si="16"/>
        <v>愛知県豊明市</v>
      </c>
      <c r="E1043" s="957" t="s">
        <v>2952</v>
      </c>
      <c r="F1043" s="957" t="s">
        <v>2878</v>
      </c>
      <c r="G1043" s="957" t="s">
        <v>2951</v>
      </c>
    </row>
    <row r="1044" spans="1:7">
      <c r="A1044" s="957" t="s">
        <v>2949</v>
      </c>
      <c r="B1044" s="957" t="s">
        <v>2881</v>
      </c>
      <c r="C1044" s="957" t="s">
        <v>2950</v>
      </c>
      <c r="D1044" s="957" t="str">
        <f t="shared" si="16"/>
        <v>愛知県日進市</v>
      </c>
      <c r="E1044" s="957" t="s">
        <v>2949</v>
      </c>
      <c r="F1044" s="957" t="s">
        <v>2878</v>
      </c>
      <c r="G1044" s="957" t="s">
        <v>2948</v>
      </c>
    </row>
    <row r="1045" spans="1:7">
      <c r="A1045" s="957" t="s">
        <v>2946</v>
      </c>
      <c r="B1045" s="957" t="s">
        <v>2881</v>
      </c>
      <c r="C1045" s="957" t="s">
        <v>2947</v>
      </c>
      <c r="D1045" s="957" t="str">
        <f t="shared" si="16"/>
        <v>愛知県田原市</v>
      </c>
      <c r="E1045" s="957" t="s">
        <v>2946</v>
      </c>
      <c r="F1045" s="957" t="s">
        <v>2878</v>
      </c>
      <c r="G1045" s="957" t="s">
        <v>2945</v>
      </c>
    </row>
    <row r="1046" spans="1:7">
      <c r="A1046" s="957" t="s">
        <v>2943</v>
      </c>
      <c r="B1046" s="957" t="s">
        <v>2881</v>
      </c>
      <c r="C1046" s="957" t="s">
        <v>2944</v>
      </c>
      <c r="D1046" s="957" t="str">
        <f t="shared" si="16"/>
        <v>愛知県愛西市</v>
      </c>
      <c r="E1046" s="957" t="s">
        <v>2943</v>
      </c>
      <c r="F1046" s="957" t="s">
        <v>2878</v>
      </c>
      <c r="G1046" s="957" t="s">
        <v>2942</v>
      </c>
    </row>
    <row r="1047" spans="1:7">
      <c r="A1047" s="957" t="s">
        <v>2940</v>
      </c>
      <c r="B1047" s="957" t="s">
        <v>2881</v>
      </c>
      <c r="C1047" s="957" t="s">
        <v>2941</v>
      </c>
      <c r="D1047" s="957" t="str">
        <f t="shared" si="16"/>
        <v>愛知県清須市</v>
      </c>
      <c r="E1047" s="957" t="s">
        <v>2940</v>
      </c>
      <c r="F1047" s="957" t="s">
        <v>2878</v>
      </c>
      <c r="G1047" s="957" t="s">
        <v>2939</v>
      </c>
    </row>
    <row r="1048" spans="1:7">
      <c r="A1048" s="957" t="s">
        <v>2937</v>
      </c>
      <c r="B1048" s="957" t="s">
        <v>2881</v>
      </c>
      <c r="C1048" s="957" t="s">
        <v>2938</v>
      </c>
      <c r="D1048" s="957" t="str">
        <f t="shared" si="16"/>
        <v>愛知県北名古屋市</v>
      </c>
      <c r="E1048" s="957" t="s">
        <v>2937</v>
      </c>
      <c r="F1048" s="957" t="s">
        <v>2878</v>
      </c>
      <c r="G1048" s="957" t="s">
        <v>2936</v>
      </c>
    </row>
    <row r="1049" spans="1:7">
      <c r="A1049" s="957" t="s">
        <v>2934</v>
      </c>
      <c r="B1049" s="957" t="s">
        <v>2881</v>
      </c>
      <c r="C1049" s="957" t="s">
        <v>2935</v>
      </c>
      <c r="D1049" s="957" t="str">
        <f t="shared" si="16"/>
        <v>愛知県弥富市</v>
      </c>
      <c r="E1049" s="957" t="s">
        <v>2934</v>
      </c>
      <c r="F1049" s="957" t="s">
        <v>2878</v>
      </c>
      <c r="G1049" s="957" t="s">
        <v>2933</v>
      </c>
    </row>
    <row r="1050" spans="1:7">
      <c r="A1050" s="957" t="s">
        <v>2931</v>
      </c>
      <c r="B1050" s="957" t="s">
        <v>2881</v>
      </c>
      <c r="C1050" s="957" t="s">
        <v>2932</v>
      </c>
      <c r="D1050" s="957" t="str">
        <f t="shared" si="16"/>
        <v>愛知県みよし市</v>
      </c>
      <c r="E1050" s="957" t="s">
        <v>2931</v>
      </c>
      <c r="F1050" s="957" t="s">
        <v>2878</v>
      </c>
      <c r="G1050" s="957" t="s">
        <v>1801</v>
      </c>
    </row>
    <row r="1051" spans="1:7">
      <c r="A1051" s="957" t="s">
        <v>2929</v>
      </c>
      <c r="B1051" s="957" t="s">
        <v>2881</v>
      </c>
      <c r="C1051" s="957" t="s">
        <v>2930</v>
      </c>
      <c r="D1051" s="957" t="str">
        <f t="shared" si="16"/>
        <v>愛知県あま市</v>
      </c>
      <c r="E1051" s="957" t="s">
        <v>2929</v>
      </c>
      <c r="F1051" s="957" t="s">
        <v>2878</v>
      </c>
      <c r="G1051" s="957" t="s">
        <v>2928</v>
      </c>
    </row>
    <row r="1052" spans="1:7">
      <c r="A1052" s="957" t="s">
        <v>2926</v>
      </c>
      <c r="B1052" s="957" t="s">
        <v>2881</v>
      </c>
      <c r="C1052" s="957" t="s">
        <v>2927</v>
      </c>
      <c r="D1052" s="957" t="str">
        <f t="shared" si="16"/>
        <v>愛知県長久手市</v>
      </c>
      <c r="E1052" s="957" t="s">
        <v>2926</v>
      </c>
      <c r="F1052" s="957" t="s">
        <v>2878</v>
      </c>
      <c r="G1052" s="957" t="s">
        <v>2925</v>
      </c>
    </row>
    <row r="1053" spans="1:7">
      <c r="A1053" s="957" t="s">
        <v>2923</v>
      </c>
      <c r="B1053" s="957" t="s">
        <v>2881</v>
      </c>
      <c r="C1053" s="957" t="s">
        <v>2924</v>
      </c>
      <c r="D1053" s="957" t="str">
        <f t="shared" si="16"/>
        <v>愛知県東郷町</v>
      </c>
      <c r="E1053" s="957" t="s">
        <v>2923</v>
      </c>
      <c r="F1053" s="957" t="s">
        <v>2878</v>
      </c>
      <c r="G1053" s="957" t="s">
        <v>2922</v>
      </c>
    </row>
    <row r="1054" spans="1:7">
      <c r="A1054" s="957" t="s">
        <v>2920</v>
      </c>
      <c r="B1054" s="957" t="s">
        <v>2881</v>
      </c>
      <c r="C1054" s="957" t="s">
        <v>2921</v>
      </c>
      <c r="D1054" s="957" t="str">
        <f t="shared" si="16"/>
        <v>愛知県豊山町</v>
      </c>
      <c r="E1054" s="957" t="s">
        <v>2920</v>
      </c>
      <c r="F1054" s="957" t="s">
        <v>2878</v>
      </c>
      <c r="G1054" s="957" t="s">
        <v>2919</v>
      </c>
    </row>
    <row r="1055" spans="1:7">
      <c r="A1055" s="957" t="s">
        <v>2917</v>
      </c>
      <c r="B1055" s="957" t="s">
        <v>2881</v>
      </c>
      <c r="C1055" s="957" t="s">
        <v>2918</v>
      </c>
      <c r="D1055" s="957" t="str">
        <f t="shared" si="16"/>
        <v>愛知県大口町</v>
      </c>
      <c r="E1055" s="957" t="s">
        <v>2917</v>
      </c>
      <c r="F1055" s="957" t="s">
        <v>2878</v>
      </c>
      <c r="G1055" s="957" t="s">
        <v>2916</v>
      </c>
    </row>
    <row r="1056" spans="1:7">
      <c r="A1056" s="957" t="s">
        <v>2914</v>
      </c>
      <c r="B1056" s="957" t="s">
        <v>2881</v>
      </c>
      <c r="C1056" s="957" t="s">
        <v>2915</v>
      </c>
      <c r="D1056" s="957" t="str">
        <f t="shared" si="16"/>
        <v>愛知県扶桑町</v>
      </c>
      <c r="E1056" s="957" t="s">
        <v>2914</v>
      </c>
      <c r="F1056" s="957" t="s">
        <v>2878</v>
      </c>
      <c r="G1056" s="957" t="s">
        <v>2913</v>
      </c>
    </row>
    <row r="1057" spans="1:7">
      <c r="A1057" s="957" t="s">
        <v>2911</v>
      </c>
      <c r="B1057" s="957" t="s">
        <v>2881</v>
      </c>
      <c r="C1057" s="957" t="s">
        <v>2912</v>
      </c>
      <c r="D1057" s="957" t="str">
        <f t="shared" si="16"/>
        <v>愛知県大治町</v>
      </c>
      <c r="E1057" s="957" t="s">
        <v>2911</v>
      </c>
      <c r="F1057" s="957" t="s">
        <v>2878</v>
      </c>
      <c r="G1057" s="957" t="s">
        <v>2910</v>
      </c>
    </row>
    <row r="1058" spans="1:7">
      <c r="A1058" s="957" t="s">
        <v>2908</v>
      </c>
      <c r="B1058" s="957" t="s">
        <v>2881</v>
      </c>
      <c r="C1058" s="957" t="s">
        <v>2909</v>
      </c>
      <c r="D1058" s="957" t="str">
        <f t="shared" si="16"/>
        <v>愛知県蟹江町</v>
      </c>
      <c r="E1058" s="957" t="s">
        <v>2908</v>
      </c>
      <c r="F1058" s="957" t="s">
        <v>2878</v>
      </c>
      <c r="G1058" s="957" t="s">
        <v>2907</v>
      </c>
    </row>
    <row r="1059" spans="1:7">
      <c r="A1059" s="957" t="s">
        <v>2905</v>
      </c>
      <c r="B1059" s="957" t="s">
        <v>2881</v>
      </c>
      <c r="C1059" s="957" t="s">
        <v>2906</v>
      </c>
      <c r="D1059" s="957" t="str">
        <f t="shared" si="16"/>
        <v>愛知県飛島村</v>
      </c>
      <c r="E1059" s="957" t="s">
        <v>2905</v>
      </c>
      <c r="F1059" s="957" t="s">
        <v>2878</v>
      </c>
      <c r="G1059" s="957" t="s">
        <v>2904</v>
      </c>
    </row>
    <row r="1060" spans="1:7">
      <c r="A1060" s="957" t="s">
        <v>2902</v>
      </c>
      <c r="B1060" s="957" t="s">
        <v>2881</v>
      </c>
      <c r="C1060" s="957" t="s">
        <v>2903</v>
      </c>
      <c r="D1060" s="957" t="str">
        <f t="shared" si="16"/>
        <v>愛知県阿久比町</v>
      </c>
      <c r="E1060" s="957" t="s">
        <v>2902</v>
      </c>
      <c r="F1060" s="957" t="s">
        <v>2878</v>
      </c>
      <c r="G1060" s="957" t="s">
        <v>2901</v>
      </c>
    </row>
    <row r="1061" spans="1:7">
      <c r="A1061" s="957" t="s">
        <v>2899</v>
      </c>
      <c r="B1061" s="957" t="s">
        <v>2881</v>
      </c>
      <c r="C1061" s="957" t="s">
        <v>2900</v>
      </c>
      <c r="D1061" s="957" t="str">
        <f t="shared" si="16"/>
        <v>愛知県東浦町</v>
      </c>
      <c r="E1061" s="957" t="s">
        <v>2899</v>
      </c>
      <c r="F1061" s="957" t="s">
        <v>2878</v>
      </c>
      <c r="G1061" s="957" t="s">
        <v>2898</v>
      </c>
    </row>
    <row r="1062" spans="1:7">
      <c r="A1062" s="957" t="s">
        <v>2896</v>
      </c>
      <c r="B1062" s="957" t="s">
        <v>2881</v>
      </c>
      <c r="C1062" s="957" t="s">
        <v>2897</v>
      </c>
      <c r="D1062" s="957" t="str">
        <f t="shared" si="16"/>
        <v>愛知県南知多町</v>
      </c>
      <c r="E1062" s="957" t="s">
        <v>2896</v>
      </c>
      <c r="F1062" s="957" t="s">
        <v>2878</v>
      </c>
      <c r="G1062" s="957" t="s">
        <v>2895</v>
      </c>
    </row>
    <row r="1063" spans="1:7">
      <c r="A1063" s="957" t="s">
        <v>2894</v>
      </c>
      <c r="B1063" s="957" t="s">
        <v>2881</v>
      </c>
      <c r="C1063" s="957" t="s">
        <v>2214</v>
      </c>
      <c r="D1063" s="957" t="str">
        <f t="shared" si="16"/>
        <v>愛知県美浜町</v>
      </c>
      <c r="E1063" s="957" t="s">
        <v>2894</v>
      </c>
      <c r="F1063" s="957" t="s">
        <v>2878</v>
      </c>
      <c r="G1063" s="957" t="s">
        <v>2212</v>
      </c>
    </row>
    <row r="1064" spans="1:7">
      <c r="A1064" s="957" t="s">
        <v>2892</v>
      </c>
      <c r="B1064" s="957" t="s">
        <v>2881</v>
      </c>
      <c r="C1064" s="957" t="s">
        <v>2893</v>
      </c>
      <c r="D1064" s="957" t="str">
        <f t="shared" si="16"/>
        <v>愛知県武豊町</v>
      </c>
      <c r="E1064" s="957" t="s">
        <v>2892</v>
      </c>
      <c r="F1064" s="957" t="s">
        <v>2878</v>
      </c>
      <c r="G1064" s="957" t="s">
        <v>2891</v>
      </c>
    </row>
    <row r="1065" spans="1:7">
      <c r="A1065" s="957" t="s">
        <v>2889</v>
      </c>
      <c r="B1065" s="957" t="s">
        <v>2881</v>
      </c>
      <c r="C1065" s="957" t="s">
        <v>2890</v>
      </c>
      <c r="D1065" s="957" t="str">
        <f t="shared" si="16"/>
        <v>愛知県幸田町</v>
      </c>
      <c r="E1065" s="957" t="s">
        <v>2889</v>
      </c>
      <c r="F1065" s="957" t="s">
        <v>2878</v>
      </c>
      <c r="G1065" s="957" t="s">
        <v>2888</v>
      </c>
    </row>
    <row r="1066" spans="1:7">
      <c r="A1066" s="957" t="s">
        <v>2886</v>
      </c>
      <c r="B1066" s="957" t="s">
        <v>2881</v>
      </c>
      <c r="C1066" s="957" t="s">
        <v>2887</v>
      </c>
      <c r="D1066" s="957" t="str">
        <f t="shared" si="16"/>
        <v>愛知県設楽町</v>
      </c>
      <c r="E1066" s="957" t="s">
        <v>2886</v>
      </c>
      <c r="F1066" s="957" t="s">
        <v>2878</v>
      </c>
      <c r="G1066" s="957" t="s">
        <v>2885</v>
      </c>
    </row>
    <row r="1067" spans="1:7">
      <c r="A1067" s="957" t="s">
        <v>2883</v>
      </c>
      <c r="B1067" s="957" t="s">
        <v>2881</v>
      </c>
      <c r="C1067" s="957" t="s">
        <v>2884</v>
      </c>
      <c r="D1067" s="957" t="str">
        <f t="shared" si="16"/>
        <v>愛知県東栄町</v>
      </c>
      <c r="E1067" s="957" t="s">
        <v>2883</v>
      </c>
      <c r="F1067" s="957" t="s">
        <v>2878</v>
      </c>
      <c r="G1067" s="957" t="s">
        <v>2882</v>
      </c>
    </row>
    <row r="1068" spans="1:7">
      <c r="A1068" s="957" t="s">
        <v>2879</v>
      </c>
      <c r="B1068" s="957" t="s">
        <v>2881</v>
      </c>
      <c r="C1068" s="957" t="s">
        <v>2880</v>
      </c>
      <c r="D1068" s="957" t="str">
        <f t="shared" si="16"/>
        <v>愛知県豊根村</v>
      </c>
      <c r="E1068" s="957" t="s">
        <v>2879</v>
      </c>
      <c r="F1068" s="957" t="s">
        <v>2878</v>
      </c>
      <c r="G1068" s="957" t="s">
        <v>2877</v>
      </c>
    </row>
    <row r="1069" spans="1:7">
      <c r="A1069" s="960" t="s">
        <v>2875</v>
      </c>
      <c r="B1069" s="960" t="s">
        <v>2876</v>
      </c>
      <c r="C1069" s="960" t="s">
        <v>2876</v>
      </c>
      <c r="D1069" s="960" t="str">
        <f t="shared" si="16"/>
        <v>三重県三重県</v>
      </c>
      <c r="E1069" s="960" t="s">
        <v>2875</v>
      </c>
      <c r="F1069" s="959" t="s">
        <v>2874</v>
      </c>
      <c r="G1069" s="958"/>
    </row>
    <row r="1070" spans="1:7">
      <c r="A1070" s="957" t="s">
        <v>2872</v>
      </c>
      <c r="B1070" s="957" t="s">
        <v>2791</v>
      </c>
      <c r="C1070" s="957" t="s">
        <v>2873</v>
      </c>
      <c r="D1070" s="957" t="str">
        <f t="shared" si="16"/>
        <v>三重県津市</v>
      </c>
      <c r="E1070" s="957" t="s">
        <v>2872</v>
      </c>
      <c r="F1070" s="957" t="s">
        <v>2788</v>
      </c>
      <c r="G1070" s="957" t="s">
        <v>2871</v>
      </c>
    </row>
    <row r="1071" spans="1:7">
      <c r="A1071" s="957" t="s">
        <v>2869</v>
      </c>
      <c r="B1071" s="957" t="s">
        <v>2791</v>
      </c>
      <c r="C1071" s="957" t="s">
        <v>2870</v>
      </c>
      <c r="D1071" s="957" t="str">
        <f t="shared" si="16"/>
        <v>三重県四日市市</v>
      </c>
      <c r="E1071" s="957" t="s">
        <v>2869</v>
      </c>
      <c r="F1071" s="957" t="s">
        <v>2788</v>
      </c>
      <c r="G1071" s="957" t="s">
        <v>2868</v>
      </c>
    </row>
    <row r="1072" spans="1:7">
      <c r="A1072" s="957" t="s">
        <v>2866</v>
      </c>
      <c r="B1072" s="957" t="s">
        <v>2791</v>
      </c>
      <c r="C1072" s="957" t="s">
        <v>2867</v>
      </c>
      <c r="D1072" s="957" t="str">
        <f t="shared" si="16"/>
        <v>三重県伊勢市</v>
      </c>
      <c r="E1072" s="957" t="s">
        <v>2866</v>
      </c>
      <c r="F1072" s="957" t="s">
        <v>2788</v>
      </c>
      <c r="G1072" s="957" t="s">
        <v>2865</v>
      </c>
    </row>
    <row r="1073" spans="1:7">
      <c r="A1073" s="957" t="s">
        <v>2863</v>
      </c>
      <c r="B1073" s="957" t="s">
        <v>2791</v>
      </c>
      <c r="C1073" s="957" t="s">
        <v>2864</v>
      </c>
      <c r="D1073" s="957" t="str">
        <f t="shared" si="16"/>
        <v>三重県松阪市</v>
      </c>
      <c r="E1073" s="957" t="s">
        <v>2863</v>
      </c>
      <c r="F1073" s="957" t="s">
        <v>2788</v>
      </c>
      <c r="G1073" s="957" t="s">
        <v>2862</v>
      </c>
    </row>
    <row r="1074" spans="1:7">
      <c r="A1074" s="957" t="s">
        <v>2860</v>
      </c>
      <c r="B1074" s="957" t="s">
        <v>2791</v>
      </c>
      <c r="C1074" s="957" t="s">
        <v>2861</v>
      </c>
      <c r="D1074" s="957" t="str">
        <f t="shared" si="16"/>
        <v>三重県桑名市</v>
      </c>
      <c r="E1074" s="957" t="s">
        <v>2860</v>
      </c>
      <c r="F1074" s="957" t="s">
        <v>2788</v>
      </c>
      <c r="G1074" s="957" t="s">
        <v>2859</v>
      </c>
    </row>
    <row r="1075" spans="1:7">
      <c r="A1075" s="957" t="s">
        <v>2857</v>
      </c>
      <c r="B1075" s="957" t="s">
        <v>2791</v>
      </c>
      <c r="C1075" s="957" t="s">
        <v>2858</v>
      </c>
      <c r="D1075" s="957" t="str">
        <f t="shared" si="16"/>
        <v>三重県鈴鹿市</v>
      </c>
      <c r="E1075" s="957" t="s">
        <v>2857</v>
      </c>
      <c r="F1075" s="957" t="s">
        <v>2788</v>
      </c>
      <c r="G1075" s="957" t="s">
        <v>2856</v>
      </c>
    </row>
    <row r="1076" spans="1:7">
      <c r="A1076" s="957" t="s">
        <v>2854</v>
      </c>
      <c r="B1076" s="957" t="s">
        <v>2791</v>
      </c>
      <c r="C1076" s="957" t="s">
        <v>2855</v>
      </c>
      <c r="D1076" s="957" t="str">
        <f t="shared" si="16"/>
        <v>三重県名張市</v>
      </c>
      <c r="E1076" s="957" t="s">
        <v>2854</v>
      </c>
      <c r="F1076" s="957" t="s">
        <v>2788</v>
      </c>
      <c r="G1076" s="957" t="s">
        <v>2853</v>
      </c>
    </row>
    <row r="1077" spans="1:7">
      <c r="A1077" s="957" t="s">
        <v>2851</v>
      </c>
      <c r="B1077" s="957" t="s">
        <v>2791</v>
      </c>
      <c r="C1077" s="957" t="s">
        <v>2852</v>
      </c>
      <c r="D1077" s="957" t="str">
        <f t="shared" si="16"/>
        <v>三重県尾鷲市</v>
      </c>
      <c r="E1077" s="957" t="s">
        <v>2851</v>
      </c>
      <c r="F1077" s="957" t="s">
        <v>2788</v>
      </c>
      <c r="G1077" s="957" t="s">
        <v>2850</v>
      </c>
    </row>
    <row r="1078" spans="1:7">
      <c r="A1078" s="957" t="s">
        <v>2848</v>
      </c>
      <c r="B1078" s="957" t="s">
        <v>2791</v>
      </c>
      <c r="C1078" s="957" t="s">
        <v>2849</v>
      </c>
      <c r="D1078" s="957" t="str">
        <f t="shared" si="16"/>
        <v>三重県亀山市</v>
      </c>
      <c r="E1078" s="957" t="s">
        <v>2848</v>
      </c>
      <c r="F1078" s="957" t="s">
        <v>2788</v>
      </c>
      <c r="G1078" s="957" t="s">
        <v>2847</v>
      </c>
    </row>
    <row r="1079" spans="1:7">
      <c r="A1079" s="957" t="s">
        <v>2845</v>
      </c>
      <c r="B1079" s="957" t="s">
        <v>2791</v>
      </c>
      <c r="C1079" s="957" t="s">
        <v>2846</v>
      </c>
      <c r="D1079" s="957" t="str">
        <f t="shared" si="16"/>
        <v>三重県鳥羽市</v>
      </c>
      <c r="E1079" s="957" t="s">
        <v>2845</v>
      </c>
      <c r="F1079" s="957" t="s">
        <v>2788</v>
      </c>
      <c r="G1079" s="957" t="s">
        <v>2844</v>
      </c>
    </row>
    <row r="1080" spans="1:7">
      <c r="A1080" s="957" t="s">
        <v>2842</v>
      </c>
      <c r="B1080" s="957" t="s">
        <v>2791</v>
      </c>
      <c r="C1080" s="957" t="s">
        <v>2843</v>
      </c>
      <c r="D1080" s="957" t="str">
        <f t="shared" si="16"/>
        <v>三重県熊野市</v>
      </c>
      <c r="E1080" s="957" t="s">
        <v>2842</v>
      </c>
      <c r="F1080" s="957" t="s">
        <v>2788</v>
      </c>
      <c r="G1080" s="957" t="s">
        <v>2841</v>
      </c>
    </row>
    <row r="1081" spans="1:7">
      <c r="A1081" s="957" t="s">
        <v>2839</v>
      </c>
      <c r="B1081" s="957" t="s">
        <v>2791</v>
      </c>
      <c r="C1081" s="957" t="s">
        <v>2840</v>
      </c>
      <c r="D1081" s="957" t="str">
        <f t="shared" si="16"/>
        <v>三重県いなべ市</v>
      </c>
      <c r="E1081" s="957" t="s">
        <v>2839</v>
      </c>
      <c r="F1081" s="957" t="s">
        <v>2788</v>
      </c>
      <c r="G1081" s="957" t="s">
        <v>2838</v>
      </c>
    </row>
    <row r="1082" spans="1:7">
      <c r="A1082" s="957" t="s">
        <v>2836</v>
      </c>
      <c r="B1082" s="957" t="s">
        <v>2791</v>
      </c>
      <c r="C1082" s="957" t="s">
        <v>2837</v>
      </c>
      <c r="D1082" s="957" t="str">
        <f t="shared" si="16"/>
        <v>三重県志摩市</v>
      </c>
      <c r="E1082" s="957" t="s">
        <v>2836</v>
      </c>
      <c r="F1082" s="957" t="s">
        <v>2788</v>
      </c>
      <c r="G1082" s="957" t="s">
        <v>2835</v>
      </c>
    </row>
    <row r="1083" spans="1:7">
      <c r="A1083" s="957" t="s">
        <v>2833</v>
      </c>
      <c r="B1083" s="957" t="s">
        <v>2791</v>
      </c>
      <c r="C1083" s="957" t="s">
        <v>2834</v>
      </c>
      <c r="D1083" s="957" t="str">
        <f t="shared" si="16"/>
        <v>三重県伊賀市</v>
      </c>
      <c r="E1083" s="957" t="s">
        <v>2833</v>
      </c>
      <c r="F1083" s="957" t="s">
        <v>2788</v>
      </c>
      <c r="G1083" s="957" t="s">
        <v>2832</v>
      </c>
    </row>
    <row r="1084" spans="1:7">
      <c r="A1084" s="957" t="s">
        <v>2830</v>
      </c>
      <c r="B1084" s="957" t="s">
        <v>2791</v>
      </c>
      <c r="C1084" s="957" t="s">
        <v>2831</v>
      </c>
      <c r="D1084" s="957" t="str">
        <f t="shared" si="16"/>
        <v>三重県木曽岬町</v>
      </c>
      <c r="E1084" s="957" t="s">
        <v>2830</v>
      </c>
      <c r="F1084" s="957" t="s">
        <v>2788</v>
      </c>
      <c r="G1084" s="957" t="s">
        <v>2829</v>
      </c>
    </row>
    <row r="1085" spans="1:7">
      <c r="A1085" s="957" t="s">
        <v>2827</v>
      </c>
      <c r="B1085" s="957" t="s">
        <v>2791</v>
      </c>
      <c r="C1085" s="957" t="s">
        <v>2828</v>
      </c>
      <c r="D1085" s="957" t="str">
        <f t="shared" si="16"/>
        <v>三重県東員町</v>
      </c>
      <c r="E1085" s="957" t="s">
        <v>2827</v>
      </c>
      <c r="F1085" s="957" t="s">
        <v>2788</v>
      </c>
      <c r="G1085" s="957" t="s">
        <v>2826</v>
      </c>
    </row>
    <row r="1086" spans="1:7">
      <c r="A1086" s="957" t="s">
        <v>2824</v>
      </c>
      <c r="B1086" s="957" t="s">
        <v>2791</v>
      </c>
      <c r="C1086" s="957" t="s">
        <v>2825</v>
      </c>
      <c r="D1086" s="957" t="str">
        <f t="shared" si="16"/>
        <v>三重県菰野町</v>
      </c>
      <c r="E1086" s="957" t="s">
        <v>2824</v>
      </c>
      <c r="F1086" s="957" t="s">
        <v>2788</v>
      </c>
      <c r="G1086" s="957" t="s">
        <v>2823</v>
      </c>
    </row>
    <row r="1087" spans="1:7">
      <c r="A1087" s="957" t="s">
        <v>2821</v>
      </c>
      <c r="B1087" s="957" t="s">
        <v>2791</v>
      </c>
      <c r="C1087" s="957" t="s">
        <v>2822</v>
      </c>
      <c r="D1087" s="957" t="str">
        <f t="shared" si="16"/>
        <v>三重県朝日町</v>
      </c>
      <c r="E1087" s="957" t="s">
        <v>2821</v>
      </c>
      <c r="F1087" s="957" t="s">
        <v>2788</v>
      </c>
      <c r="G1087" s="957" t="s">
        <v>2820</v>
      </c>
    </row>
    <row r="1088" spans="1:7">
      <c r="A1088" s="957" t="s">
        <v>2818</v>
      </c>
      <c r="B1088" s="957" t="s">
        <v>2791</v>
      </c>
      <c r="C1088" s="957" t="s">
        <v>2819</v>
      </c>
      <c r="D1088" s="957" t="str">
        <f t="shared" si="16"/>
        <v>三重県川越町</v>
      </c>
      <c r="E1088" s="957" t="s">
        <v>2818</v>
      </c>
      <c r="F1088" s="957" t="s">
        <v>2788</v>
      </c>
      <c r="G1088" s="957" t="s">
        <v>2817</v>
      </c>
    </row>
    <row r="1089" spans="1:7">
      <c r="A1089" s="957" t="s">
        <v>2815</v>
      </c>
      <c r="B1089" s="957" t="s">
        <v>2791</v>
      </c>
      <c r="C1089" s="957" t="s">
        <v>2816</v>
      </c>
      <c r="D1089" s="957" t="str">
        <f t="shared" si="16"/>
        <v>三重県多気町</v>
      </c>
      <c r="E1089" s="957" t="s">
        <v>2815</v>
      </c>
      <c r="F1089" s="957" t="s">
        <v>2788</v>
      </c>
      <c r="G1089" s="957" t="s">
        <v>2814</v>
      </c>
    </row>
    <row r="1090" spans="1:7">
      <c r="A1090" s="957" t="s">
        <v>2812</v>
      </c>
      <c r="B1090" s="957" t="s">
        <v>2791</v>
      </c>
      <c r="C1090" s="957" t="s">
        <v>2813</v>
      </c>
      <c r="D1090" s="957" t="str">
        <f t="shared" si="16"/>
        <v>三重県明和町</v>
      </c>
      <c r="E1090" s="957" t="s">
        <v>2812</v>
      </c>
      <c r="F1090" s="957" t="s">
        <v>2788</v>
      </c>
      <c r="G1090" s="957" t="s">
        <v>2811</v>
      </c>
    </row>
    <row r="1091" spans="1:7">
      <c r="A1091" s="957" t="s">
        <v>2809</v>
      </c>
      <c r="B1091" s="957" t="s">
        <v>2791</v>
      </c>
      <c r="C1091" s="957" t="s">
        <v>2810</v>
      </c>
      <c r="D1091" s="957" t="str">
        <f t="shared" ref="D1091:D1154" si="17">B1091&amp;C1091</f>
        <v>三重県大台町</v>
      </c>
      <c r="E1091" s="957" t="s">
        <v>2809</v>
      </c>
      <c r="F1091" s="957" t="s">
        <v>2788</v>
      </c>
      <c r="G1091" s="957" t="s">
        <v>2808</v>
      </c>
    </row>
    <row r="1092" spans="1:7">
      <c r="A1092" s="957" t="s">
        <v>2806</v>
      </c>
      <c r="B1092" s="957" t="s">
        <v>2791</v>
      </c>
      <c r="C1092" s="957" t="s">
        <v>2807</v>
      </c>
      <c r="D1092" s="957" t="str">
        <f t="shared" si="17"/>
        <v>三重県玉城町</v>
      </c>
      <c r="E1092" s="957" t="s">
        <v>2806</v>
      </c>
      <c r="F1092" s="957" t="s">
        <v>2788</v>
      </c>
      <c r="G1092" s="957" t="s">
        <v>2805</v>
      </c>
    </row>
    <row r="1093" spans="1:7">
      <c r="A1093" s="957" t="s">
        <v>2803</v>
      </c>
      <c r="B1093" s="957" t="s">
        <v>2791</v>
      </c>
      <c r="C1093" s="957" t="s">
        <v>2804</v>
      </c>
      <c r="D1093" s="957" t="str">
        <f t="shared" si="17"/>
        <v>三重県度会町</v>
      </c>
      <c r="E1093" s="957" t="s">
        <v>2803</v>
      </c>
      <c r="F1093" s="957" t="s">
        <v>2788</v>
      </c>
      <c r="G1093" s="957" t="s">
        <v>2802</v>
      </c>
    </row>
    <row r="1094" spans="1:7">
      <c r="A1094" s="957" t="s">
        <v>2800</v>
      </c>
      <c r="B1094" s="957" t="s">
        <v>2791</v>
      </c>
      <c r="C1094" s="957" t="s">
        <v>2801</v>
      </c>
      <c r="D1094" s="957" t="str">
        <f t="shared" si="17"/>
        <v>三重県大紀町</v>
      </c>
      <c r="E1094" s="957" t="s">
        <v>2800</v>
      </c>
      <c r="F1094" s="957" t="s">
        <v>2788</v>
      </c>
      <c r="G1094" s="957" t="s">
        <v>2799</v>
      </c>
    </row>
    <row r="1095" spans="1:7">
      <c r="A1095" s="957" t="s">
        <v>2797</v>
      </c>
      <c r="B1095" s="957" t="s">
        <v>2791</v>
      </c>
      <c r="C1095" s="957" t="s">
        <v>2798</v>
      </c>
      <c r="D1095" s="957" t="str">
        <f t="shared" si="17"/>
        <v>三重県南伊勢町</v>
      </c>
      <c r="E1095" s="957" t="s">
        <v>2797</v>
      </c>
      <c r="F1095" s="957" t="s">
        <v>2788</v>
      </c>
      <c r="G1095" s="957" t="s">
        <v>2796</v>
      </c>
    </row>
    <row r="1096" spans="1:7">
      <c r="A1096" s="957" t="s">
        <v>2794</v>
      </c>
      <c r="B1096" s="957" t="s">
        <v>2791</v>
      </c>
      <c r="C1096" s="957" t="s">
        <v>2795</v>
      </c>
      <c r="D1096" s="957" t="str">
        <f t="shared" si="17"/>
        <v>三重県紀北町</v>
      </c>
      <c r="E1096" s="957" t="s">
        <v>2794</v>
      </c>
      <c r="F1096" s="957" t="s">
        <v>2788</v>
      </c>
      <c r="G1096" s="957" t="s">
        <v>1635</v>
      </c>
    </row>
    <row r="1097" spans="1:7">
      <c r="A1097" s="957" t="s">
        <v>2792</v>
      </c>
      <c r="B1097" s="957" t="s">
        <v>2791</v>
      </c>
      <c r="C1097" s="957" t="s">
        <v>2793</v>
      </c>
      <c r="D1097" s="957" t="str">
        <f t="shared" si="17"/>
        <v>三重県御浜町</v>
      </c>
      <c r="E1097" s="957" t="s">
        <v>2792</v>
      </c>
      <c r="F1097" s="957" t="s">
        <v>2788</v>
      </c>
      <c r="G1097" s="957" t="s">
        <v>2212</v>
      </c>
    </row>
    <row r="1098" spans="1:7">
      <c r="A1098" s="957" t="s">
        <v>2789</v>
      </c>
      <c r="B1098" s="957" t="s">
        <v>2791</v>
      </c>
      <c r="C1098" s="957" t="s">
        <v>2790</v>
      </c>
      <c r="D1098" s="957" t="str">
        <f t="shared" si="17"/>
        <v>三重県紀宝町</v>
      </c>
      <c r="E1098" s="957" t="s">
        <v>2789</v>
      </c>
      <c r="F1098" s="957" t="s">
        <v>2788</v>
      </c>
      <c r="G1098" s="957" t="s">
        <v>2787</v>
      </c>
    </row>
    <row r="1099" spans="1:7">
      <c r="A1099" s="960" t="s">
        <v>2785</v>
      </c>
      <c r="B1099" s="960" t="s">
        <v>2786</v>
      </c>
      <c r="C1099" s="960" t="s">
        <v>2786</v>
      </c>
      <c r="D1099" s="960" t="str">
        <f t="shared" si="17"/>
        <v>滋賀県滋賀県</v>
      </c>
      <c r="E1099" s="960" t="s">
        <v>2785</v>
      </c>
      <c r="F1099" s="959" t="s">
        <v>2784</v>
      </c>
      <c r="G1099" s="958"/>
    </row>
    <row r="1100" spans="1:7">
      <c r="A1100" s="957" t="s">
        <v>2782</v>
      </c>
      <c r="B1100" s="957" t="s">
        <v>2731</v>
      </c>
      <c r="C1100" s="957" t="s">
        <v>2783</v>
      </c>
      <c r="D1100" s="957" t="str">
        <f t="shared" si="17"/>
        <v>滋賀県大津市</v>
      </c>
      <c r="E1100" s="957" t="s">
        <v>2782</v>
      </c>
      <c r="F1100" s="957" t="s">
        <v>2728</v>
      </c>
      <c r="G1100" s="957" t="s">
        <v>2781</v>
      </c>
    </row>
    <row r="1101" spans="1:7">
      <c r="A1101" s="957" t="s">
        <v>2779</v>
      </c>
      <c r="B1101" s="957" t="s">
        <v>2731</v>
      </c>
      <c r="C1101" s="957" t="s">
        <v>2780</v>
      </c>
      <c r="D1101" s="957" t="str">
        <f t="shared" si="17"/>
        <v>滋賀県彦根市</v>
      </c>
      <c r="E1101" s="957" t="s">
        <v>2779</v>
      </c>
      <c r="F1101" s="957" t="s">
        <v>2728</v>
      </c>
      <c r="G1101" s="957" t="s">
        <v>2778</v>
      </c>
    </row>
    <row r="1102" spans="1:7">
      <c r="A1102" s="957" t="s">
        <v>2776</v>
      </c>
      <c r="B1102" s="957" t="s">
        <v>2731</v>
      </c>
      <c r="C1102" s="957" t="s">
        <v>2777</v>
      </c>
      <c r="D1102" s="957" t="str">
        <f t="shared" si="17"/>
        <v>滋賀県長浜市</v>
      </c>
      <c r="E1102" s="957" t="s">
        <v>2776</v>
      </c>
      <c r="F1102" s="957" t="s">
        <v>2728</v>
      </c>
      <c r="G1102" s="957" t="s">
        <v>2775</v>
      </c>
    </row>
    <row r="1103" spans="1:7">
      <c r="A1103" s="957" t="s">
        <v>2773</v>
      </c>
      <c r="B1103" s="957" t="s">
        <v>2731</v>
      </c>
      <c r="C1103" s="957" t="s">
        <v>2774</v>
      </c>
      <c r="D1103" s="957" t="str">
        <f t="shared" si="17"/>
        <v>滋賀県近江八幡市</v>
      </c>
      <c r="E1103" s="957" t="s">
        <v>2773</v>
      </c>
      <c r="F1103" s="957" t="s">
        <v>2728</v>
      </c>
      <c r="G1103" s="957" t="s">
        <v>2772</v>
      </c>
    </row>
    <row r="1104" spans="1:7">
      <c r="A1104" s="957" t="s">
        <v>2770</v>
      </c>
      <c r="B1104" s="957" t="s">
        <v>2731</v>
      </c>
      <c r="C1104" s="957" t="s">
        <v>2771</v>
      </c>
      <c r="D1104" s="957" t="str">
        <f t="shared" si="17"/>
        <v>滋賀県草津市</v>
      </c>
      <c r="E1104" s="957" t="s">
        <v>2770</v>
      </c>
      <c r="F1104" s="957" t="s">
        <v>2728</v>
      </c>
      <c r="G1104" s="957" t="s">
        <v>2769</v>
      </c>
    </row>
    <row r="1105" spans="1:7">
      <c r="A1105" s="957" t="s">
        <v>2767</v>
      </c>
      <c r="B1105" s="957" t="s">
        <v>2731</v>
      </c>
      <c r="C1105" s="957" t="s">
        <v>2768</v>
      </c>
      <c r="D1105" s="957" t="str">
        <f t="shared" si="17"/>
        <v>滋賀県守山市</v>
      </c>
      <c r="E1105" s="957" t="s">
        <v>2767</v>
      </c>
      <c r="F1105" s="957" t="s">
        <v>2728</v>
      </c>
      <c r="G1105" s="957" t="s">
        <v>2766</v>
      </c>
    </row>
    <row r="1106" spans="1:7">
      <c r="A1106" s="957" t="s">
        <v>2764</v>
      </c>
      <c r="B1106" s="957" t="s">
        <v>2731</v>
      </c>
      <c r="C1106" s="957" t="s">
        <v>2765</v>
      </c>
      <c r="D1106" s="957" t="str">
        <f t="shared" si="17"/>
        <v>滋賀県栗東市</v>
      </c>
      <c r="E1106" s="957" t="s">
        <v>2764</v>
      </c>
      <c r="F1106" s="957" t="s">
        <v>2728</v>
      </c>
      <c r="G1106" s="957" t="s">
        <v>2763</v>
      </c>
    </row>
    <row r="1107" spans="1:7">
      <c r="A1107" s="957" t="s">
        <v>2761</v>
      </c>
      <c r="B1107" s="957" t="s">
        <v>2731</v>
      </c>
      <c r="C1107" s="957" t="s">
        <v>2762</v>
      </c>
      <c r="D1107" s="957" t="str">
        <f t="shared" si="17"/>
        <v>滋賀県甲賀市</v>
      </c>
      <c r="E1107" s="957" t="s">
        <v>2761</v>
      </c>
      <c r="F1107" s="957" t="s">
        <v>2728</v>
      </c>
      <c r="G1107" s="957" t="s">
        <v>2760</v>
      </c>
    </row>
    <row r="1108" spans="1:7">
      <c r="A1108" s="957" t="s">
        <v>2758</v>
      </c>
      <c r="B1108" s="957" t="s">
        <v>2731</v>
      </c>
      <c r="C1108" s="957" t="s">
        <v>2759</v>
      </c>
      <c r="D1108" s="957" t="str">
        <f t="shared" si="17"/>
        <v>滋賀県野洲市</v>
      </c>
      <c r="E1108" s="957" t="s">
        <v>2758</v>
      </c>
      <c r="F1108" s="957" t="s">
        <v>2728</v>
      </c>
      <c r="G1108" s="957" t="s">
        <v>2757</v>
      </c>
    </row>
    <row r="1109" spans="1:7">
      <c r="A1109" s="957" t="s">
        <v>2755</v>
      </c>
      <c r="B1109" s="957" t="s">
        <v>2731</v>
      </c>
      <c r="C1109" s="957" t="s">
        <v>2756</v>
      </c>
      <c r="D1109" s="957" t="str">
        <f t="shared" si="17"/>
        <v>滋賀県湖南市</v>
      </c>
      <c r="E1109" s="957" t="s">
        <v>2755</v>
      </c>
      <c r="F1109" s="957" t="s">
        <v>2728</v>
      </c>
      <c r="G1109" s="957" t="s">
        <v>2754</v>
      </c>
    </row>
    <row r="1110" spans="1:7">
      <c r="A1110" s="957" t="s">
        <v>2752</v>
      </c>
      <c r="B1110" s="957" t="s">
        <v>2731</v>
      </c>
      <c r="C1110" s="957" t="s">
        <v>2753</v>
      </c>
      <c r="D1110" s="957" t="str">
        <f t="shared" si="17"/>
        <v>滋賀県高島市</v>
      </c>
      <c r="E1110" s="957" t="s">
        <v>2752</v>
      </c>
      <c r="F1110" s="957" t="s">
        <v>2728</v>
      </c>
      <c r="G1110" s="957" t="s">
        <v>2751</v>
      </c>
    </row>
    <row r="1111" spans="1:7">
      <c r="A1111" s="957" t="s">
        <v>2749</v>
      </c>
      <c r="B1111" s="957" t="s">
        <v>2731</v>
      </c>
      <c r="C1111" s="957" t="s">
        <v>2750</v>
      </c>
      <c r="D1111" s="957" t="str">
        <f t="shared" si="17"/>
        <v>滋賀県東近江市</v>
      </c>
      <c r="E1111" s="957" t="s">
        <v>2749</v>
      </c>
      <c r="F1111" s="957" t="s">
        <v>2728</v>
      </c>
      <c r="G1111" s="957" t="s">
        <v>2748</v>
      </c>
    </row>
    <row r="1112" spans="1:7">
      <c r="A1112" s="957" t="s">
        <v>2746</v>
      </c>
      <c r="B1112" s="957" t="s">
        <v>2731</v>
      </c>
      <c r="C1112" s="957" t="s">
        <v>2747</v>
      </c>
      <c r="D1112" s="957" t="str">
        <f t="shared" si="17"/>
        <v>滋賀県米原市</v>
      </c>
      <c r="E1112" s="957" t="s">
        <v>2746</v>
      </c>
      <c r="F1112" s="957" t="s">
        <v>2728</v>
      </c>
      <c r="G1112" s="957" t="s">
        <v>2745</v>
      </c>
    </row>
    <row r="1113" spans="1:7">
      <c r="A1113" s="957" t="s">
        <v>2744</v>
      </c>
      <c r="B1113" s="957" t="s">
        <v>2731</v>
      </c>
      <c r="C1113" s="957" t="s">
        <v>2116</v>
      </c>
      <c r="D1113" s="957" t="str">
        <f t="shared" si="17"/>
        <v>滋賀県日野町</v>
      </c>
      <c r="E1113" s="957" t="s">
        <v>2744</v>
      </c>
      <c r="F1113" s="957" t="s">
        <v>2728</v>
      </c>
      <c r="G1113" s="957" t="s">
        <v>2114</v>
      </c>
    </row>
    <row r="1114" spans="1:7">
      <c r="A1114" s="957" t="s">
        <v>2742</v>
      </c>
      <c r="B1114" s="957" t="s">
        <v>2731</v>
      </c>
      <c r="C1114" s="957" t="s">
        <v>2743</v>
      </c>
      <c r="D1114" s="957" t="str">
        <f t="shared" si="17"/>
        <v>滋賀県竜王町</v>
      </c>
      <c r="E1114" s="957" t="s">
        <v>2742</v>
      </c>
      <c r="F1114" s="957" t="s">
        <v>2728</v>
      </c>
      <c r="G1114" s="957" t="s">
        <v>2741</v>
      </c>
    </row>
    <row r="1115" spans="1:7">
      <c r="A1115" s="957" t="s">
        <v>2739</v>
      </c>
      <c r="B1115" s="957" t="s">
        <v>2731</v>
      </c>
      <c r="C1115" s="957" t="s">
        <v>2740</v>
      </c>
      <c r="D1115" s="957" t="str">
        <f t="shared" si="17"/>
        <v>滋賀県愛荘町</v>
      </c>
      <c r="E1115" s="957" t="s">
        <v>2739</v>
      </c>
      <c r="F1115" s="957" t="s">
        <v>2728</v>
      </c>
      <c r="G1115" s="957" t="s">
        <v>2738</v>
      </c>
    </row>
    <row r="1116" spans="1:7">
      <c r="A1116" s="957" t="s">
        <v>2736</v>
      </c>
      <c r="B1116" s="957" t="s">
        <v>2731</v>
      </c>
      <c r="C1116" s="957" t="s">
        <v>2737</v>
      </c>
      <c r="D1116" s="957" t="str">
        <f t="shared" si="17"/>
        <v>滋賀県豊郷町</v>
      </c>
      <c r="E1116" s="957" t="s">
        <v>2736</v>
      </c>
      <c r="F1116" s="957" t="s">
        <v>2728</v>
      </c>
      <c r="G1116" s="957" t="s">
        <v>2735</v>
      </c>
    </row>
    <row r="1117" spans="1:7">
      <c r="A1117" s="957" t="s">
        <v>2733</v>
      </c>
      <c r="B1117" s="957" t="s">
        <v>2731</v>
      </c>
      <c r="C1117" s="957" t="s">
        <v>2734</v>
      </c>
      <c r="D1117" s="957" t="str">
        <f t="shared" si="17"/>
        <v>滋賀県甲良町</v>
      </c>
      <c r="E1117" s="957" t="s">
        <v>2733</v>
      </c>
      <c r="F1117" s="957" t="s">
        <v>2728</v>
      </c>
      <c r="G1117" s="957" t="s">
        <v>2732</v>
      </c>
    </row>
    <row r="1118" spans="1:7">
      <c r="A1118" s="957" t="s">
        <v>2729</v>
      </c>
      <c r="B1118" s="957" t="s">
        <v>2731</v>
      </c>
      <c r="C1118" s="957" t="s">
        <v>2730</v>
      </c>
      <c r="D1118" s="957" t="str">
        <f t="shared" si="17"/>
        <v>滋賀県多賀町</v>
      </c>
      <c r="E1118" s="957" t="s">
        <v>2729</v>
      </c>
      <c r="F1118" s="957" t="s">
        <v>2728</v>
      </c>
      <c r="G1118" s="957" t="s">
        <v>2727</v>
      </c>
    </row>
    <row r="1119" spans="1:7">
      <c r="A1119" s="960" t="s">
        <v>2725</v>
      </c>
      <c r="B1119" s="960" t="s">
        <v>2726</v>
      </c>
      <c r="C1119" s="960" t="s">
        <v>2726</v>
      </c>
      <c r="D1119" s="960" t="str">
        <f t="shared" si="17"/>
        <v>京都府京都府</v>
      </c>
      <c r="E1119" s="960" t="s">
        <v>2725</v>
      </c>
      <c r="F1119" s="959" t="s">
        <v>2724</v>
      </c>
      <c r="G1119" s="958"/>
    </row>
    <row r="1120" spans="1:7">
      <c r="A1120" s="957" t="s">
        <v>2722</v>
      </c>
      <c r="B1120" s="957" t="s">
        <v>2648</v>
      </c>
      <c r="C1120" s="957" t="s">
        <v>2723</v>
      </c>
      <c r="D1120" s="957" t="str">
        <f t="shared" si="17"/>
        <v>京都府京都市</v>
      </c>
      <c r="E1120" s="957" t="s">
        <v>2722</v>
      </c>
      <c r="F1120" s="957" t="s">
        <v>2645</v>
      </c>
      <c r="G1120" s="957" t="s">
        <v>2721</v>
      </c>
    </row>
    <row r="1121" spans="1:7">
      <c r="A1121" s="957" t="s">
        <v>2719</v>
      </c>
      <c r="B1121" s="957" t="s">
        <v>2648</v>
      </c>
      <c r="C1121" s="957" t="s">
        <v>2720</v>
      </c>
      <c r="D1121" s="957" t="str">
        <f t="shared" si="17"/>
        <v>京都府福知山市</v>
      </c>
      <c r="E1121" s="957" t="s">
        <v>2719</v>
      </c>
      <c r="F1121" s="957" t="s">
        <v>2645</v>
      </c>
      <c r="G1121" s="957" t="s">
        <v>2718</v>
      </c>
    </row>
    <row r="1122" spans="1:7">
      <c r="A1122" s="957" t="s">
        <v>2716</v>
      </c>
      <c r="B1122" s="957" t="s">
        <v>2648</v>
      </c>
      <c r="C1122" s="957" t="s">
        <v>2717</v>
      </c>
      <c r="D1122" s="957" t="str">
        <f t="shared" si="17"/>
        <v>京都府舞鶴市</v>
      </c>
      <c r="E1122" s="957" t="s">
        <v>2716</v>
      </c>
      <c r="F1122" s="957" t="s">
        <v>2645</v>
      </c>
      <c r="G1122" s="957" t="s">
        <v>2715</v>
      </c>
    </row>
    <row r="1123" spans="1:7">
      <c r="A1123" s="957" t="s">
        <v>2713</v>
      </c>
      <c r="B1123" s="957" t="s">
        <v>2648</v>
      </c>
      <c r="C1123" s="957" t="s">
        <v>2714</v>
      </c>
      <c r="D1123" s="957" t="str">
        <f t="shared" si="17"/>
        <v>京都府綾部市</v>
      </c>
      <c r="E1123" s="957" t="s">
        <v>2713</v>
      </c>
      <c r="F1123" s="957" t="s">
        <v>2645</v>
      </c>
      <c r="G1123" s="957" t="s">
        <v>2712</v>
      </c>
    </row>
    <row r="1124" spans="1:7">
      <c r="A1124" s="957" t="s">
        <v>2710</v>
      </c>
      <c r="B1124" s="957" t="s">
        <v>2648</v>
      </c>
      <c r="C1124" s="957" t="s">
        <v>2711</v>
      </c>
      <c r="D1124" s="957" t="str">
        <f t="shared" si="17"/>
        <v>京都府宇治市</v>
      </c>
      <c r="E1124" s="957" t="s">
        <v>2710</v>
      </c>
      <c r="F1124" s="957" t="s">
        <v>2645</v>
      </c>
      <c r="G1124" s="957" t="s">
        <v>2709</v>
      </c>
    </row>
    <row r="1125" spans="1:7">
      <c r="A1125" s="957" t="s">
        <v>2707</v>
      </c>
      <c r="B1125" s="957" t="s">
        <v>2648</v>
      </c>
      <c r="C1125" s="957" t="s">
        <v>2708</v>
      </c>
      <c r="D1125" s="957" t="str">
        <f t="shared" si="17"/>
        <v>京都府宮津市</v>
      </c>
      <c r="E1125" s="957" t="s">
        <v>2707</v>
      </c>
      <c r="F1125" s="957" t="s">
        <v>2645</v>
      </c>
      <c r="G1125" s="957" t="s">
        <v>2706</v>
      </c>
    </row>
    <row r="1126" spans="1:7">
      <c r="A1126" s="957" t="s">
        <v>2704</v>
      </c>
      <c r="B1126" s="957" t="s">
        <v>2648</v>
      </c>
      <c r="C1126" s="957" t="s">
        <v>2705</v>
      </c>
      <c r="D1126" s="957" t="str">
        <f t="shared" si="17"/>
        <v>京都府亀岡市</v>
      </c>
      <c r="E1126" s="957" t="s">
        <v>2704</v>
      </c>
      <c r="F1126" s="957" t="s">
        <v>2645</v>
      </c>
      <c r="G1126" s="957" t="s">
        <v>2703</v>
      </c>
    </row>
    <row r="1127" spans="1:7">
      <c r="A1127" s="957" t="s">
        <v>2701</v>
      </c>
      <c r="B1127" s="957" t="s">
        <v>2648</v>
      </c>
      <c r="C1127" s="957" t="s">
        <v>2702</v>
      </c>
      <c r="D1127" s="957" t="str">
        <f t="shared" si="17"/>
        <v>京都府城陽市</v>
      </c>
      <c r="E1127" s="957" t="s">
        <v>2701</v>
      </c>
      <c r="F1127" s="957" t="s">
        <v>2645</v>
      </c>
      <c r="G1127" s="957" t="s">
        <v>2700</v>
      </c>
    </row>
    <row r="1128" spans="1:7">
      <c r="A1128" s="957" t="s">
        <v>2698</v>
      </c>
      <c r="B1128" s="957" t="s">
        <v>2648</v>
      </c>
      <c r="C1128" s="957" t="s">
        <v>2699</v>
      </c>
      <c r="D1128" s="957" t="str">
        <f t="shared" si="17"/>
        <v>京都府向日市</v>
      </c>
      <c r="E1128" s="957" t="s">
        <v>2698</v>
      </c>
      <c r="F1128" s="957" t="s">
        <v>2645</v>
      </c>
      <c r="G1128" s="957" t="s">
        <v>2697</v>
      </c>
    </row>
    <row r="1129" spans="1:7">
      <c r="A1129" s="957" t="s">
        <v>2695</v>
      </c>
      <c r="B1129" s="957" t="s">
        <v>2648</v>
      </c>
      <c r="C1129" s="957" t="s">
        <v>2696</v>
      </c>
      <c r="D1129" s="957" t="str">
        <f t="shared" si="17"/>
        <v>京都府長岡京市</v>
      </c>
      <c r="E1129" s="957" t="s">
        <v>2695</v>
      </c>
      <c r="F1129" s="957" t="s">
        <v>2645</v>
      </c>
      <c r="G1129" s="957" t="s">
        <v>2694</v>
      </c>
    </row>
    <row r="1130" spans="1:7">
      <c r="A1130" s="957" t="s">
        <v>2692</v>
      </c>
      <c r="B1130" s="957" t="s">
        <v>2648</v>
      </c>
      <c r="C1130" s="957" t="s">
        <v>2693</v>
      </c>
      <c r="D1130" s="957" t="str">
        <f t="shared" si="17"/>
        <v>京都府八幡市</v>
      </c>
      <c r="E1130" s="957" t="s">
        <v>2692</v>
      </c>
      <c r="F1130" s="957" t="s">
        <v>2645</v>
      </c>
      <c r="G1130" s="957" t="s">
        <v>2691</v>
      </c>
    </row>
    <row r="1131" spans="1:7">
      <c r="A1131" s="957" t="s">
        <v>2689</v>
      </c>
      <c r="B1131" s="957" t="s">
        <v>2648</v>
      </c>
      <c r="C1131" s="957" t="s">
        <v>2690</v>
      </c>
      <c r="D1131" s="957" t="str">
        <f t="shared" si="17"/>
        <v>京都府京田辺市</v>
      </c>
      <c r="E1131" s="957" t="s">
        <v>2689</v>
      </c>
      <c r="F1131" s="957" t="s">
        <v>2645</v>
      </c>
      <c r="G1131" s="957" t="s">
        <v>2688</v>
      </c>
    </row>
    <row r="1132" spans="1:7">
      <c r="A1132" s="957" t="s">
        <v>2686</v>
      </c>
      <c r="B1132" s="957" t="s">
        <v>2648</v>
      </c>
      <c r="C1132" s="957" t="s">
        <v>2687</v>
      </c>
      <c r="D1132" s="957" t="str">
        <f t="shared" si="17"/>
        <v>京都府京丹後市</v>
      </c>
      <c r="E1132" s="957" t="s">
        <v>2686</v>
      </c>
      <c r="F1132" s="957" t="s">
        <v>2645</v>
      </c>
      <c r="G1132" s="957" t="s">
        <v>2685</v>
      </c>
    </row>
    <row r="1133" spans="1:7">
      <c r="A1133" s="957" t="s">
        <v>2683</v>
      </c>
      <c r="B1133" s="957" t="s">
        <v>2648</v>
      </c>
      <c r="C1133" s="957" t="s">
        <v>2684</v>
      </c>
      <c r="D1133" s="957" t="str">
        <f t="shared" si="17"/>
        <v>京都府南丹市</v>
      </c>
      <c r="E1133" s="957" t="s">
        <v>2683</v>
      </c>
      <c r="F1133" s="957" t="s">
        <v>2645</v>
      </c>
      <c r="G1133" s="957" t="s">
        <v>2682</v>
      </c>
    </row>
    <row r="1134" spans="1:7">
      <c r="A1134" s="957" t="s">
        <v>2680</v>
      </c>
      <c r="B1134" s="957" t="s">
        <v>2648</v>
      </c>
      <c r="C1134" s="957" t="s">
        <v>2681</v>
      </c>
      <c r="D1134" s="957" t="str">
        <f t="shared" si="17"/>
        <v>京都府木津川市</v>
      </c>
      <c r="E1134" s="957" t="s">
        <v>2680</v>
      </c>
      <c r="F1134" s="957" t="s">
        <v>2645</v>
      </c>
      <c r="G1134" s="957" t="s">
        <v>2679</v>
      </c>
    </row>
    <row r="1135" spans="1:7">
      <c r="A1135" s="957" t="s">
        <v>2677</v>
      </c>
      <c r="B1135" s="957" t="s">
        <v>2648</v>
      </c>
      <c r="C1135" s="957" t="s">
        <v>2678</v>
      </c>
      <c r="D1135" s="957" t="str">
        <f t="shared" si="17"/>
        <v>京都府大山崎町</v>
      </c>
      <c r="E1135" s="957" t="s">
        <v>2677</v>
      </c>
      <c r="F1135" s="957" t="s">
        <v>2645</v>
      </c>
      <c r="G1135" s="957" t="s">
        <v>2676</v>
      </c>
    </row>
    <row r="1136" spans="1:7">
      <c r="A1136" s="957" t="s">
        <v>2674</v>
      </c>
      <c r="B1136" s="957" t="s">
        <v>2648</v>
      </c>
      <c r="C1136" s="957" t="s">
        <v>2675</v>
      </c>
      <c r="D1136" s="957" t="str">
        <f t="shared" si="17"/>
        <v>京都府久御山町</v>
      </c>
      <c r="E1136" s="957" t="s">
        <v>2674</v>
      </c>
      <c r="F1136" s="957" t="s">
        <v>2645</v>
      </c>
      <c r="G1136" s="957" t="s">
        <v>2673</v>
      </c>
    </row>
    <row r="1137" spans="1:7">
      <c r="A1137" s="957" t="s">
        <v>2671</v>
      </c>
      <c r="B1137" s="957" t="s">
        <v>2648</v>
      </c>
      <c r="C1137" s="957" t="s">
        <v>2672</v>
      </c>
      <c r="D1137" s="957" t="str">
        <f t="shared" si="17"/>
        <v>京都府井手町</v>
      </c>
      <c r="E1137" s="957" t="s">
        <v>2671</v>
      </c>
      <c r="F1137" s="957" t="s">
        <v>2645</v>
      </c>
      <c r="G1137" s="957" t="s">
        <v>2670</v>
      </c>
    </row>
    <row r="1138" spans="1:7">
      <c r="A1138" s="957" t="s">
        <v>2668</v>
      </c>
      <c r="B1138" s="957" t="s">
        <v>2648</v>
      </c>
      <c r="C1138" s="957" t="s">
        <v>2669</v>
      </c>
      <c r="D1138" s="957" t="str">
        <f t="shared" si="17"/>
        <v>京都府宇治田原町</v>
      </c>
      <c r="E1138" s="957" t="s">
        <v>2668</v>
      </c>
      <c r="F1138" s="957" t="s">
        <v>2645</v>
      </c>
      <c r="G1138" s="957" t="s">
        <v>2667</v>
      </c>
    </row>
    <row r="1139" spans="1:7">
      <c r="A1139" s="957" t="s">
        <v>2665</v>
      </c>
      <c r="B1139" s="957" t="s">
        <v>2648</v>
      </c>
      <c r="C1139" s="957" t="s">
        <v>2666</v>
      </c>
      <c r="D1139" s="957" t="str">
        <f t="shared" si="17"/>
        <v>京都府笠置町</v>
      </c>
      <c r="E1139" s="957" t="s">
        <v>2665</v>
      </c>
      <c r="F1139" s="957" t="s">
        <v>2645</v>
      </c>
      <c r="G1139" s="957" t="s">
        <v>2664</v>
      </c>
    </row>
    <row r="1140" spans="1:7">
      <c r="A1140" s="957" t="s">
        <v>2662</v>
      </c>
      <c r="B1140" s="957" t="s">
        <v>2648</v>
      </c>
      <c r="C1140" s="957" t="s">
        <v>2663</v>
      </c>
      <c r="D1140" s="957" t="str">
        <f t="shared" si="17"/>
        <v>京都府和束町</v>
      </c>
      <c r="E1140" s="957" t="s">
        <v>2662</v>
      </c>
      <c r="F1140" s="957" t="s">
        <v>2645</v>
      </c>
      <c r="G1140" s="957" t="s">
        <v>2661</v>
      </c>
    </row>
    <row r="1141" spans="1:7">
      <c r="A1141" s="957" t="s">
        <v>2659</v>
      </c>
      <c r="B1141" s="957" t="s">
        <v>2648</v>
      </c>
      <c r="C1141" s="957" t="s">
        <v>2660</v>
      </c>
      <c r="D1141" s="957" t="str">
        <f t="shared" si="17"/>
        <v>京都府精華町</v>
      </c>
      <c r="E1141" s="957" t="s">
        <v>2659</v>
      </c>
      <c r="F1141" s="957" t="s">
        <v>2645</v>
      </c>
      <c r="G1141" s="957" t="s">
        <v>2658</v>
      </c>
    </row>
    <row r="1142" spans="1:7">
      <c r="A1142" s="957" t="s">
        <v>2656</v>
      </c>
      <c r="B1142" s="957" t="s">
        <v>2648</v>
      </c>
      <c r="C1142" s="957" t="s">
        <v>2657</v>
      </c>
      <c r="D1142" s="957" t="str">
        <f t="shared" si="17"/>
        <v>京都府南山城村</v>
      </c>
      <c r="E1142" s="957" t="s">
        <v>2656</v>
      </c>
      <c r="F1142" s="957" t="s">
        <v>2645</v>
      </c>
      <c r="G1142" s="957" t="s">
        <v>2655</v>
      </c>
    </row>
    <row r="1143" spans="1:7">
      <c r="A1143" s="957" t="s">
        <v>2653</v>
      </c>
      <c r="B1143" s="957" t="s">
        <v>2648</v>
      </c>
      <c r="C1143" s="957" t="s">
        <v>2654</v>
      </c>
      <c r="D1143" s="957" t="str">
        <f t="shared" si="17"/>
        <v>京都府京丹波町</v>
      </c>
      <c r="E1143" s="957" t="s">
        <v>2653</v>
      </c>
      <c r="F1143" s="957" t="s">
        <v>2645</v>
      </c>
      <c r="G1143" s="957" t="s">
        <v>2652</v>
      </c>
    </row>
    <row r="1144" spans="1:7">
      <c r="A1144" s="957" t="s">
        <v>2650</v>
      </c>
      <c r="B1144" s="957" t="s">
        <v>2648</v>
      </c>
      <c r="C1144" s="957" t="s">
        <v>2651</v>
      </c>
      <c r="D1144" s="957" t="str">
        <f t="shared" si="17"/>
        <v>京都府伊根町</v>
      </c>
      <c r="E1144" s="957" t="s">
        <v>2650</v>
      </c>
      <c r="F1144" s="957" t="s">
        <v>2645</v>
      </c>
      <c r="G1144" s="957" t="s">
        <v>2649</v>
      </c>
    </row>
    <row r="1145" spans="1:7">
      <c r="A1145" s="957" t="s">
        <v>2646</v>
      </c>
      <c r="B1145" s="957" t="s">
        <v>2648</v>
      </c>
      <c r="C1145" s="957" t="s">
        <v>2647</v>
      </c>
      <c r="D1145" s="957" t="str">
        <f t="shared" si="17"/>
        <v>京都府与謝野町</v>
      </c>
      <c r="E1145" s="957" t="s">
        <v>2646</v>
      </c>
      <c r="F1145" s="957" t="s">
        <v>2645</v>
      </c>
      <c r="G1145" s="957" t="s">
        <v>2644</v>
      </c>
    </row>
    <row r="1146" spans="1:7">
      <c r="A1146" s="960" t="s">
        <v>2642</v>
      </c>
      <c r="B1146" s="960" t="s">
        <v>2643</v>
      </c>
      <c r="C1146" s="960" t="s">
        <v>2643</v>
      </c>
      <c r="D1146" s="960" t="str">
        <f t="shared" si="17"/>
        <v>大阪府大阪府</v>
      </c>
      <c r="E1146" s="960" t="s">
        <v>2642</v>
      </c>
      <c r="F1146" s="959" t="s">
        <v>2641</v>
      </c>
      <c r="G1146" s="958"/>
    </row>
    <row r="1147" spans="1:7">
      <c r="A1147" s="957" t="s">
        <v>2639</v>
      </c>
      <c r="B1147" s="957" t="s">
        <v>2518</v>
      </c>
      <c r="C1147" s="957" t="s">
        <v>2640</v>
      </c>
      <c r="D1147" s="957" t="str">
        <f t="shared" si="17"/>
        <v>大阪府大阪市</v>
      </c>
      <c r="E1147" s="957" t="s">
        <v>2639</v>
      </c>
      <c r="F1147" s="957" t="s">
        <v>2515</v>
      </c>
      <c r="G1147" s="957" t="s">
        <v>2638</v>
      </c>
    </row>
    <row r="1148" spans="1:7">
      <c r="A1148" s="957" t="s">
        <v>2636</v>
      </c>
      <c r="B1148" s="957" t="s">
        <v>2518</v>
      </c>
      <c r="C1148" s="957" t="s">
        <v>2637</v>
      </c>
      <c r="D1148" s="957" t="str">
        <f t="shared" si="17"/>
        <v>大阪府堺市</v>
      </c>
      <c r="E1148" s="957" t="s">
        <v>2636</v>
      </c>
      <c r="F1148" s="957" t="s">
        <v>2515</v>
      </c>
      <c r="G1148" s="957" t="s">
        <v>2635</v>
      </c>
    </row>
    <row r="1149" spans="1:7">
      <c r="A1149" s="957" t="s">
        <v>2633</v>
      </c>
      <c r="B1149" s="957" t="s">
        <v>2518</v>
      </c>
      <c r="C1149" s="957" t="s">
        <v>2634</v>
      </c>
      <c r="D1149" s="957" t="str">
        <f t="shared" si="17"/>
        <v>大阪府岸和田市</v>
      </c>
      <c r="E1149" s="957" t="s">
        <v>2633</v>
      </c>
      <c r="F1149" s="957" t="s">
        <v>2515</v>
      </c>
      <c r="G1149" s="957" t="s">
        <v>2632</v>
      </c>
    </row>
    <row r="1150" spans="1:7">
      <c r="A1150" s="957" t="s">
        <v>2630</v>
      </c>
      <c r="B1150" s="957" t="s">
        <v>2518</v>
      </c>
      <c r="C1150" s="957" t="s">
        <v>2631</v>
      </c>
      <c r="D1150" s="957" t="str">
        <f t="shared" si="17"/>
        <v>大阪府豊中市</v>
      </c>
      <c r="E1150" s="957" t="s">
        <v>2630</v>
      </c>
      <c r="F1150" s="957" t="s">
        <v>2515</v>
      </c>
      <c r="G1150" s="957" t="s">
        <v>2629</v>
      </c>
    </row>
    <row r="1151" spans="1:7">
      <c r="A1151" s="957" t="s">
        <v>2627</v>
      </c>
      <c r="B1151" s="957" t="s">
        <v>2518</v>
      </c>
      <c r="C1151" s="957" t="s">
        <v>2628</v>
      </c>
      <c r="D1151" s="957" t="str">
        <f t="shared" si="17"/>
        <v>大阪府池田市</v>
      </c>
      <c r="E1151" s="957" t="s">
        <v>2627</v>
      </c>
      <c r="F1151" s="957" t="s">
        <v>2515</v>
      </c>
      <c r="G1151" s="957" t="s">
        <v>2626</v>
      </c>
    </row>
    <row r="1152" spans="1:7">
      <c r="A1152" s="957" t="s">
        <v>2624</v>
      </c>
      <c r="B1152" s="957" t="s">
        <v>2518</v>
      </c>
      <c r="C1152" s="957" t="s">
        <v>2625</v>
      </c>
      <c r="D1152" s="957" t="str">
        <f t="shared" si="17"/>
        <v>大阪府吹田市</v>
      </c>
      <c r="E1152" s="957" t="s">
        <v>2624</v>
      </c>
      <c r="F1152" s="957" t="s">
        <v>2515</v>
      </c>
      <c r="G1152" s="957" t="s">
        <v>2623</v>
      </c>
    </row>
    <row r="1153" spans="1:7">
      <c r="A1153" s="957" t="s">
        <v>2621</v>
      </c>
      <c r="B1153" s="957" t="s">
        <v>2518</v>
      </c>
      <c r="C1153" s="957" t="s">
        <v>2622</v>
      </c>
      <c r="D1153" s="957" t="str">
        <f t="shared" si="17"/>
        <v>大阪府泉大津市</v>
      </c>
      <c r="E1153" s="957" t="s">
        <v>2621</v>
      </c>
      <c r="F1153" s="957" t="s">
        <v>2515</v>
      </c>
      <c r="G1153" s="957" t="s">
        <v>2620</v>
      </c>
    </row>
    <row r="1154" spans="1:7">
      <c r="A1154" s="957" t="s">
        <v>2618</v>
      </c>
      <c r="B1154" s="957" t="s">
        <v>2518</v>
      </c>
      <c r="C1154" s="957" t="s">
        <v>2619</v>
      </c>
      <c r="D1154" s="957" t="str">
        <f t="shared" si="17"/>
        <v>大阪府高槻市</v>
      </c>
      <c r="E1154" s="957" t="s">
        <v>2618</v>
      </c>
      <c r="F1154" s="957" t="s">
        <v>2515</v>
      </c>
      <c r="G1154" s="957" t="s">
        <v>2617</v>
      </c>
    </row>
    <row r="1155" spans="1:7">
      <c r="A1155" s="957" t="s">
        <v>2615</v>
      </c>
      <c r="B1155" s="957" t="s">
        <v>2518</v>
      </c>
      <c r="C1155" s="957" t="s">
        <v>2616</v>
      </c>
      <c r="D1155" s="957" t="str">
        <f t="shared" ref="D1155:D1218" si="18">B1155&amp;C1155</f>
        <v>大阪府貝塚市</v>
      </c>
      <c r="E1155" s="957" t="s">
        <v>2615</v>
      </c>
      <c r="F1155" s="957" t="s">
        <v>2515</v>
      </c>
      <c r="G1155" s="957" t="s">
        <v>2614</v>
      </c>
    </row>
    <row r="1156" spans="1:7">
      <c r="A1156" s="957" t="s">
        <v>2612</v>
      </c>
      <c r="B1156" s="957" t="s">
        <v>2518</v>
      </c>
      <c r="C1156" s="957" t="s">
        <v>2613</v>
      </c>
      <c r="D1156" s="957" t="str">
        <f t="shared" si="18"/>
        <v>大阪府守口市</v>
      </c>
      <c r="E1156" s="957" t="s">
        <v>2612</v>
      </c>
      <c r="F1156" s="957" t="s">
        <v>2515</v>
      </c>
      <c r="G1156" s="957" t="s">
        <v>2611</v>
      </c>
    </row>
    <row r="1157" spans="1:7">
      <c r="A1157" s="957" t="s">
        <v>2609</v>
      </c>
      <c r="B1157" s="957" t="s">
        <v>2518</v>
      </c>
      <c r="C1157" s="957" t="s">
        <v>2610</v>
      </c>
      <c r="D1157" s="957" t="str">
        <f t="shared" si="18"/>
        <v>大阪府枚方市</v>
      </c>
      <c r="E1157" s="957" t="s">
        <v>2609</v>
      </c>
      <c r="F1157" s="957" t="s">
        <v>2515</v>
      </c>
      <c r="G1157" s="957" t="s">
        <v>2608</v>
      </c>
    </row>
    <row r="1158" spans="1:7">
      <c r="A1158" s="957" t="s">
        <v>2606</v>
      </c>
      <c r="B1158" s="957" t="s">
        <v>2518</v>
      </c>
      <c r="C1158" s="957" t="s">
        <v>2607</v>
      </c>
      <c r="D1158" s="957" t="str">
        <f t="shared" si="18"/>
        <v>大阪府茨木市</v>
      </c>
      <c r="E1158" s="957" t="s">
        <v>2606</v>
      </c>
      <c r="F1158" s="957" t="s">
        <v>2515</v>
      </c>
      <c r="G1158" s="957" t="s">
        <v>2605</v>
      </c>
    </row>
    <row r="1159" spans="1:7">
      <c r="A1159" s="957" t="s">
        <v>2603</v>
      </c>
      <c r="B1159" s="957" t="s">
        <v>2518</v>
      </c>
      <c r="C1159" s="957" t="s">
        <v>2604</v>
      </c>
      <c r="D1159" s="957" t="str">
        <f t="shared" si="18"/>
        <v>大阪府八尾市</v>
      </c>
      <c r="E1159" s="957" t="s">
        <v>2603</v>
      </c>
      <c r="F1159" s="957" t="s">
        <v>2515</v>
      </c>
      <c r="G1159" s="957" t="s">
        <v>2602</v>
      </c>
    </row>
    <row r="1160" spans="1:7">
      <c r="A1160" s="957" t="s">
        <v>2600</v>
      </c>
      <c r="B1160" s="957" t="s">
        <v>2518</v>
      </c>
      <c r="C1160" s="957" t="s">
        <v>2601</v>
      </c>
      <c r="D1160" s="957" t="str">
        <f t="shared" si="18"/>
        <v>大阪府泉佐野市</v>
      </c>
      <c r="E1160" s="957" t="s">
        <v>2600</v>
      </c>
      <c r="F1160" s="957" t="s">
        <v>2515</v>
      </c>
      <c r="G1160" s="957" t="s">
        <v>2599</v>
      </c>
    </row>
    <row r="1161" spans="1:7">
      <c r="A1161" s="957" t="s">
        <v>2597</v>
      </c>
      <c r="B1161" s="957" t="s">
        <v>2518</v>
      </c>
      <c r="C1161" s="957" t="s">
        <v>2598</v>
      </c>
      <c r="D1161" s="957" t="str">
        <f t="shared" si="18"/>
        <v>大阪府富田林市</v>
      </c>
      <c r="E1161" s="957" t="s">
        <v>2597</v>
      </c>
      <c r="F1161" s="957" t="s">
        <v>2515</v>
      </c>
      <c r="G1161" s="957" t="s">
        <v>2596</v>
      </c>
    </row>
    <row r="1162" spans="1:7">
      <c r="A1162" s="957" t="s">
        <v>2594</v>
      </c>
      <c r="B1162" s="957" t="s">
        <v>2518</v>
      </c>
      <c r="C1162" s="957" t="s">
        <v>2595</v>
      </c>
      <c r="D1162" s="957" t="str">
        <f t="shared" si="18"/>
        <v>大阪府寝屋川市</v>
      </c>
      <c r="E1162" s="957" t="s">
        <v>2594</v>
      </c>
      <c r="F1162" s="957" t="s">
        <v>2515</v>
      </c>
      <c r="G1162" s="957" t="s">
        <v>2593</v>
      </c>
    </row>
    <row r="1163" spans="1:7">
      <c r="A1163" s="957" t="s">
        <v>2591</v>
      </c>
      <c r="B1163" s="957" t="s">
        <v>2518</v>
      </c>
      <c r="C1163" s="957" t="s">
        <v>2592</v>
      </c>
      <c r="D1163" s="957" t="str">
        <f t="shared" si="18"/>
        <v>大阪府河内長野市</v>
      </c>
      <c r="E1163" s="957" t="s">
        <v>2591</v>
      </c>
      <c r="F1163" s="957" t="s">
        <v>2515</v>
      </c>
      <c r="G1163" s="957" t="s">
        <v>2590</v>
      </c>
    </row>
    <row r="1164" spans="1:7">
      <c r="A1164" s="957" t="s">
        <v>2588</v>
      </c>
      <c r="B1164" s="957" t="s">
        <v>2518</v>
      </c>
      <c r="C1164" s="957" t="s">
        <v>2589</v>
      </c>
      <c r="D1164" s="957" t="str">
        <f t="shared" si="18"/>
        <v>大阪府松原市</v>
      </c>
      <c r="E1164" s="957" t="s">
        <v>2588</v>
      </c>
      <c r="F1164" s="957" t="s">
        <v>2515</v>
      </c>
      <c r="G1164" s="957" t="s">
        <v>2587</v>
      </c>
    </row>
    <row r="1165" spans="1:7">
      <c r="A1165" s="957" t="s">
        <v>2585</v>
      </c>
      <c r="B1165" s="957" t="s">
        <v>2518</v>
      </c>
      <c r="C1165" s="957" t="s">
        <v>2586</v>
      </c>
      <c r="D1165" s="957" t="str">
        <f t="shared" si="18"/>
        <v>大阪府大東市</v>
      </c>
      <c r="E1165" s="957" t="s">
        <v>2585</v>
      </c>
      <c r="F1165" s="957" t="s">
        <v>2515</v>
      </c>
      <c r="G1165" s="957" t="s">
        <v>2584</v>
      </c>
    </row>
    <row r="1166" spans="1:7">
      <c r="A1166" s="957" t="s">
        <v>2582</v>
      </c>
      <c r="B1166" s="957" t="s">
        <v>2518</v>
      </c>
      <c r="C1166" s="957" t="s">
        <v>2583</v>
      </c>
      <c r="D1166" s="957" t="str">
        <f t="shared" si="18"/>
        <v>大阪府和泉市</v>
      </c>
      <c r="E1166" s="957" t="s">
        <v>2582</v>
      </c>
      <c r="F1166" s="957" t="s">
        <v>2515</v>
      </c>
      <c r="G1166" s="957" t="s">
        <v>905</v>
      </c>
    </row>
    <row r="1167" spans="1:7">
      <c r="A1167" s="957" t="s">
        <v>2580</v>
      </c>
      <c r="B1167" s="957" t="s">
        <v>2518</v>
      </c>
      <c r="C1167" s="957" t="s">
        <v>2581</v>
      </c>
      <c r="D1167" s="957" t="str">
        <f t="shared" si="18"/>
        <v>大阪府箕面市</v>
      </c>
      <c r="E1167" s="957" t="s">
        <v>2580</v>
      </c>
      <c r="F1167" s="957" t="s">
        <v>2515</v>
      </c>
      <c r="G1167" s="957" t="s">
        <v>2579</v>
      </c>
    </row>
    <row r="1168" spans="1:7">
      <c r="A1168" s="957" t="s">
        <v>2577</v>
      </c>
      <c r="B1168" s="957" t="s">
        <v>2518</v>
      </c>
      <c r="C1168" s="957" t="s">
        <v>2578</v>
      </c>
      <c r="D1168" s="957" t="str">
        <f t="shared" si="18"/>
        <v>大阪府柏原市</v>
      </c>
      <c r="E1168" s="957" t="s">
        <v>2577</v>
      </c>
      <c r="F1168" s="957" t="s">
        <v>2515</v>
      </c>
      <c r="G1168" s="957" t="s">
        <v>2576</v>
      </c>
    </row>
    <row r="1169" spans="1:7">
      <c r="A1169" s="957" t="s">
        <v>2574</v>
      </c>
      <c r="B1169" s="957" t="s">
        <v>2518</v>
      </c>
      <c r="C1169" s="957" t="s">
        <v>2575</v>
      </c>
      <c r="D1169" s="957" t="str">
        <f t="shared" si="18"/>
        <v>大阪府羽曳野市</v>
      </c>
      <c r="E1169" s="957" t="s">
        <v>2574</v>
      </c>
      <c r="F1169" s="957" t="s">
        <v>2515</v>
      </c>
      <c r="G1169" s="957" t="s">
        <v>2573</v>
      </c>
    </row>
    <row r="1170" spans="1:7">
      <c r="A1170" s="957" t="s">
        <v>2571</v>
      </c>
      <c r="B1170" s="957" t="s">
        <v>2518</v>
      </c>
      <c r="C1170" s="957" t="s">
        <v>2572</v>
      </c>
      <c r="D1170" s="957" t="str">
        <f t="shared" si="18"/>
        <v>大阪府門真市</v>
      </c>
      <c r="E1170" s="957" t="s">
        <v>2571</v>
      </c>
      <c r="F1170" s="957" t="s">
        <v>2515</v>
      </c>
      <c r="G1170" s="957" t="s">
        <v>2570</v>
      </c>
    </row>
    <row r="1171" spans="1:7">
      <c r="A1171" s="957" t="s">
        <v>2568</v>
      </c>
      <c r="B1171" s="957" t="s">
        <v>2518</v>
      </c>
      <c r="C1171" s="957" t="s">
        <v>2569</v>
      </c>
      <c r="D1171" s="957" t="str">
        <f t="shared" si="18"/>
        <v>大阪府摂津市</v>
      </c>
      <c r="E1171" s="957" t="s">
        <v>2568</v>
      </c>
      <c r="F1171" s="957" t="s">
        <v>2515</v>
      </c>
      <c r="G1171" s="957" t="s">
        <v>2567</v>
      </c>
    </row>
    <row r="1172" spans="1:7">
      <c r="A1172" s="957" t="s">
        <v>2565</v>
      </c>
      <c r="B1172" s="957" t="s">
        <v>2518</v>
      </c>
      <c r="C1172" s="957" t="s">
        <v>2566</v>
      </c>
      <c r="D1172" s="957" t="str">
        <f t="shared" si="18"/>
        <v>大阪府高石市</v>
      </c>
      <c r="E1172" s="957" t="s">
        <v>2565</v>
      </c>
      <c r="F1172" s="957" t="s">
        <v>2515</v>
      </c>
      <c r="G1172" s="957" t="s">
        <v>2564</v>
      </c>
    </row>
    <row r="1173" spans="1:7">
      <c r="A1173" s="957" t="s">
        <v>2562</v>
      </c>
      <c r="B1173" s="957" t="s">
        <v>2518</v>
      </c>
      <c r="C1173" s="957" t="s">
        <v>2563</v>
      </c>
      <c r="D1173" s="957" t="str">
        <f t="shared" si="18"/>
        <v>大阪府藤井寺市</v>
      </c>
      <c r="E1173" s="957" t="s">
        <v>2562</v>
      </c>
      <c r="F1173" s="957" t="s">
        <v>2515</v>
      </c>
      <c r="G1173" s="957" t="s">
        <v>2561</v>
      </c>
    </row>
    <row r="1174" spans="1:7">
      <c r="A1174" s="957" t="s">
        <v>2559</v>
      </c>
      <c r="B1174" s="957" t="s">
        <v>2518</v>
      </c>
      <c r="C1174" s="957" t="s">
        <v>2560</v>
      </c>
      <c r="D1174" s="957" t="str">
        <f t="shared" si="18"/>
        <v>大阪府東大阪市</v>
      </c>
      <c r="E1174" s="957" t="s">
        <v>2559</v>
      </c>
      <c r="F1174" s="957" t="s">
        <v>2515</v>
      </c>
      <c r="G1174" s="957" t="s">
        <v>2558</v>
      </c>
    </row>
    <row r="1175" spans="1:7">
      <c r="A1175" s="957" t="s">
        <v>2556</v>
      </c>
      <c r="B1175" s="957" t="s">
        <v>2518</v>
      </c>
      <c r="C1175" s="957" t="s">
        <v>2557</v>
      </c>
      <c r="D1175" s="957" t="str">
        <f t="shared" si="18"/>
        <v>大阪府泉南市</v>
      </c>
      <c r="E1175" s="957" t="s">
        <v>2556</v>
      </c>
      <c r="F1175" s="957" t="s">
        <v>2515</v>
      </c>
      <c r="G1175" s="957" t="s">
        <v>2555</v>
      </c>
    </row>
    <row r="1176" spans="1:7">
      <c r="A1176" s="957" t="s">
        <v>2553</v>
      </c>
      <c r="B1176" s="957" t="s">
        <v>2518</v>
      </c>
      <c r="C1176" s="957" t="s">
        <v>2554</v>
      </c>
      <c r="D1176" s="957" t="str">
        <f t="shared" si="18"/>
        <v>大阪府四條畷市</v>
      </c>
      <c r="E1176" s="957" t="s">
        <v>2553</v>
      </c>
      <c r="F1176" s="957" t="s">
        <v>2515</v>
      </c>
      <c r="G1176" s="957" t="s">
        <v>2552</v>
      </c>
    </row>
    <row r="1177" spans="1:7">
      <c r="A1177" s="957" t="s">
        <v>2550</v>
      </c>
      <c r="B1177" s="957" t="s">
        <v>2518</v>
      </c>
      <c r="C1177" s="957" t="s">
        <v>2551</v>
      </c>
      <c r="D1177" s="957" t="str">
        <f t="shared" si="18"/>
        <v>大阪府交野市</v>
      </c>
      <c r="E1177" s="957" t="s">
        <v>2550</v>
      </c>
      <c r="F1177" s="957" t="s">
        <v>2515</v>
      </c>
      <c r="G1177" s="957" t="s">
        <v>2549</v>
      </c>
    </row>
    <row r="1178" spans="1:7">
      <c r="A1178" s="957" t="s">
        <v>2547</v>
      </c>
      <c r="B1178" s="957" t="s">
        <v>2518</v>
      </c>
      <c r="C1178" s="957" t="s">
        <v>2548</v>
      </c>
      <c r="D1178" s="957" t="str">
        <f t="shared" si="18"/>
        <v>大阪府大阪狭山市</v>
      </c>
      <c r="E1178" s="957" t="s">
        <v>2547</v>
      </c>
      <c r="F1178" s="957" t="s">
        <v>2515</v>
      </c>
      <c r="G1178" s="957" t="s">
        <v>2546</v>
      </c>
    </row>
    <row r="1179" spans="1:7">
      <c r="A1179" s="957" t="s">
        <v>2544</v>
      </c>
      <c r="B1179" s="957" t="s">
        <v>2518</v>
      </c>
      <c r="C1179" s="957" t="s">
        <v>2545</v>
      </c>
      <c r="D1179" s="957" t="str">
        <f t="shared" si="18"/>
        <v>大阪府阪南市</v>
      </c>
      <c r="E1179" s="957" t="s">
        <v>2544</v>
      </c>
      <c r="F1179" s="957" t="s">
        <v>2515</v>
      </c>
      <c r="G1179" s="957" t="s">
        <v>2543</v>
      </c>
    </row>
    <row r="1180" spans="1:7">
      <c r="A1180" s="957" t="s">
        <v>2541</v>
      </c>
      <c r="B1180" s="957" t="s">
        <v>2518</v>
      </c>
      <c r="C1180" s="957" t="s">
        <v>2542</v>
      </c>
      <c r="D1180" s="957" t="str">
        <f t="shared" si="18"/>
        <v>大阪府島本町</v>
      </c>
      <c r="E1180" s="957" t="s">
        <v>2541</v>
      </c>
      <c r="F1180" s="957" t="s">
        <v>2515</v>
      </c>
      <c r="G1180" s="957" t="s">
        <v>2540</v>
      </c>
    </row>
    <row r="1181" spans="1:7">
      <c r="A1181" s="957" t="s">
        <v>2538</v>
      </c>
      <c r="B1181" s="957" t="s">
        <v>2518</v>
      </c>
      <c r="C1181" s="957" t="s">
        <v>2539</v>
      </c>
      <c r="D1181" s="957" t="str">
        <f t="shared" si="18"/>
        <v>大阪府豊能町</v>
      </c>
      <c r="E1181" s="957" t="s">
        <v>2538</v>
      </c>
      <c r="F1181" s="957" t="s">
        <v>2515</v>
      </c>
      <c r="G1181" s="957" t="s">
        <v>2537</v>
      </c>
    </row>
    <row r="1182" spans="1:7">
      <c r="A1182" s="957" t="s">
        <v>2535</v>
      </c>
      <c r="B1182" s="957" t="s">
        <v>2518</v>
      </c>
      <c r="C1182" s="957" t="s">
        <v>2536</v>
      </c>
      <c r="D1182" s="957" t="str">
        <f t="shared" si="18"/>
        <v>大阪府能勢町</v>
      </c>
      <c r="E1182" s="957" t="s">
        <v>2535</v>
      </c>
      <c r="F1182" s="957" t="s">
        <v>2515</v>
      </c>
      <c r="G1182" s="957" t="s">
        <v>2534</v>
      </c>
    </row>
    <row r="1183" spans="1:7">
      <c r="A1183" s="957" t="s">
        <v>2532</v>
      </c>
      <c r="B1183" s="957" t="s">
        <v>2518</v>
      </c>
      <c r="C1183" s="957" t="s">
        <v>2533</v>
      </c>
      <c r="D1183" s="957" t="str">
        <f t="shared" si="18"/>
        <v>大阪府忠岡町</v>
      </c>
      <c r="E1183" s="957" t="s">
        <v>2532</v>
      </c>
      <c r="F1183" s="957" t="s">
        <v>2515</v>
      </c>
      <c r="G1183" s="957" t="s">
        <v>2531</v>
      </c>
    </row>
    <row r="1184" spans="1:7">
      <c r="A1184" s="957" t="s">
        <v>2529</v>
      </c>
      <c r="B1184" s="957" t="s">
        <v>2518</v>
      </c>
      <c r="C1184" s="957" t="s">
        <v>2530</v>
      </c>
      <c r="D1184" s="957" t="str">
        <f t="shared" si="18"/>
        <v>大阪府熊取町</v>
      </c>
      <c r="E1184" s="957" t="s">
        <v>2529</v>
      </c>
      <c r="F1184" s="957" t="s">
        <v>2515</v>
      </c>
      <c r="G1184" s="957" t="s">
        <v>2528</v>
      </c>
    </row>
    <row r="1185" spans="1:7">
      <c r="A1185" s="957" t="s">
        <v>2526</v>
      </c>
      <c r="B1185" s="957" t="s">
        <v>2518</v>
      </c>
      <c r="C1185" s="957" t="s">
        <v>2527</v>
      </c>
      <c r="D1185" s="957" t="str">
        <f t="shared" si="18"/>
        <v>大阪府田尻町</v>
      </c>
      <c r="E1185" s="957" t="s">
        <v>2526</v>
      </c>
      <c r="F1185" s="957" t="s">
        <v>2515</v>
      </c>
      <c r="G1185" s="957" t="s">
        <v>2525</v>
      </c>
    </row>
    <row r="1186" spans="1:7">
      <c r="A1186" s="957" t="s">
        <v>2523</v>
      </c>
      <c r="B1186" s="957" t="s">
        <v>2518</v>
      </c>
      <c r="C1186" s="957" t="s">
        <v>2524</v>
      </c>
      <c r="D1186" s="957" t="str">
        <f t="shared" si="18"/>
        <v>大阪府岬町</v>
      </c>
      <c r="E1186" s="957" t="s">
        <v>2523</v>
      </c>
      <c r="F1186" s="957" t="s">
        <v>2515</v>
      </c>
      <c r="G1186" s="957" t="s">
        <v>1968</v>
      </c>
    </row>
    <row r="1187" spans="1:7">
      <c r="A1187" s="957" t="s">
        <v>2522</v>
      </c>
      <c r="B1187" s="957" t="s">
        <v>2518</v>
      </c>
      <c r="C1187" s="957" t="s">
        <v>2403</v>
      </c>
      <c r="D1187" s="957" t="str">
        <f t="shared" si="18"/>
        <v>大阪府太子町</v>
      </c>
      <c r="E1187" s="957" t="s">
        <v>2522</v>
      </c>
      <c r="F1187" s="957" t="s">
        <v>2515</v>
      </c>
      <c r="G1187" s="957" t="s">
        <v>2401</v>
      </c>
    </row>
    <row r="1188" spans="1:7">
      <c r="A1188" s="957" t="s">
        <v>2520</v>
      </c>
      <c r="B1188" s="957" t="s">
        <v>2518</v>
      </c>
      <c r="C1188" s="957" t="s">
        <v>2521</v>
      </c>
      <c r="D1188" s="957" t="str">
        <f t="shared" si="18"/>
        <v>大阪府河南町</v>
      </c>
      <c r="E1188" s="957" t="s">
        <v>2520</v>
      </c>
      <c r="F1188" s="957" t="s">
        <v>2515</v>
      </c>
      <c r="G1188" s="957" t="s">
        <v>2519</v>
      </c>
    </row>
    <row r="1189" spans="1:7">
      <c r="A1189" s="957" t="s">
        <v>2516</v>
      </c>
      <c r="B1189" s="957" t="s">
        <v>2518</v>
      </c>
      <c r="C1189" s="957" t="s">
        <v>2517</v>
      </c>
      <c r="D1189" s="957" t="str">
        <f t="shared" si="18"/>
        <v>大阪府千早赤阪村</v>
      </c>
      <c r="E1189" s="957" t="s">
        <v>2516</v>
      </c>
      <c r="F1189" s="957" t="s">
        <v>2515</v>
      </c>
      <c r="G1189" s="957" t="s">
        <v>2514</v>
      </c>
    </row>
    <row r="1190" spans="1:7">
      <c r="A1190" s="960" t="s">
        <v>2512</v>
      </c>
      <c r="B1190" s="960" t="s">
        <v>2513</v>
      </c>
      <c r="C1190" s="960" t="s">
        <v>2513</v>
      </c>
      <c r="D1190" s="960" t="str">
        <f t="shared" si="18"/>
        <v>兵庫県兵庫県</v>
      </c>
      <c r="E1190" s="960" t="s">
        <v>2512</v>
      </c>
      <c r="F1190" s="959" t="s">
        <v>2511</v>
      </c>
      <c r="G1190" s="958"/>
    </row>
    <row r="1191" spans="1:7">
      <c r="A1191" s="957" t="s">
        <v>2509</v>
      </c>
      <c r="B1191" s="957" t="s">
        <v>2391</v>
      </c>
      <c r="C1191" s="957" t="s">
        <v>2510</v>
      </c>
      <c r="D1191" s="957" t="str">
        <f t="shared" si="18"/>
        <v>兵庫県神戸市</v>
      </c>
      <c r="E1191" s="957" t="s">
        <v>2509</v>
      </c>
      <c r="F1191" s="957" t="s">
        <v>2388</v>
      </c>
      <c r="G1191" s="957" t="s">
        <v>2508</v>
      </c>
    </row>
    <row r="1192" spans="1:7">
      <c r="A1192" s="957" t="s">
        <v>2506</v>
      </c>
      <c r="B1192" s="957" t="s">
        <v>2391</v>
      </c>
      <c r="C1192" s="957" t="s">
        <v>2507</v>
      </c>
      <c r="D1192" s="957" t="str">
        <f t="shared" si="18"/>
        <v>兵庫県姫路市</v>
      </c>
      <c r="E1192" s="957" t="s">
        <v>2506</v>
      </c>
      <c r="F1192" s="957" t="s">
        <v>2388</v>
      </c>
      <c r="G1192" s="957" t="s">
        <v>2505</v>
      </c>
    </row>
    <row r="1193" spans="1:7">
      <c r="A1193" s="957" t="s">
        <v>2503</v>
      </c>
      <c r="B1193" s="957" t="s">
        <v>2391</v>
      </c>
      <c r="C1193" s="957" t="s">
        <v>2504</v>
      </c>
      <c r="D1193" s="957" t="str">
        <f t="shared" si="18"/>
        <v>兵庫県尼崎市</v>
      </c>
      <c r="E1193" s="957" t="s">
        <v>2503</v>
      </c>
      <c r="F1193" s="957" t="s">
        <v>2388</v>
      </c>
      <c r="G1193" s="957" t="s">
        <v>2502</v>
      </c>
    </row>
    <row r="1194" spans="1:7">
      <c r="A1194" s="957" t="s">
        <v>2500</v>
      </c>
      <c r="B1194" s="957" t="s">
        <v>2391</v>
      </c>
      <c r="C1194" s="957" t="s">
        <v>2501</v>
      </c>
      <c r="D1194" s="957" t="str">
        <f t="shared" si="18"/>
        <v>兵庫県明石市</v>
      </c>
      <c r="E1194" s="957" t="s">
        <v>2500</v>
      </c>
      <c r="F1194" s="957" t="s">
        <v>2388</v>
      </c>
      <c r="G1194" s="957" t="s">
        <v>2499</v>
      </c>
    </row>
    <row r="1195" spans="1:7">
      <c r="A1195" s="957" t="s">
        <v>2497</v>
      </c>
      <c r="B1195" s="957" t="s">
        <v>2391</v>
      </c>
      <c r="C1195" s="957" t="s">
        <v>2498</v>
      </c>
      <c r="D1195" s="957" t="str">
        <f t="shared" si="18"/>
        <v>兵庫県西宮市</v>
      </c>
      <c r="E1195" s="957" t="s">
        <v>2497</v>
      </c>
      <c r="F1195" s="957" t="s">
        <v>2388</v>
      </c>
      <c r="G1195" s="957" t="s">
        <v>2496</v>
      </c>
    </row>
    <row r="1196" spans="1:7">
      <c r="A1196" s="957" t="s">
        <v>2494</v>
      </c>
      <c r="B1196" s="957" t="s">
        <v>2391</v>
      </c>
      <c r="C1196" s="957" t="s">
        <v>2495</v>
      </c>
      <c r="D1196" s="957" t="str">
        <f t="shared" si="18"/>
        <v>兵庫県洲本市</v>
      </c>
      <c r="E1196" s="957" t="s">
        <v>2494</v>
      </c>
      <c r="F1196" s="957" t="s">
        <v>2388</v>
      </c>
      <c r="G1196" s="957" t="s">
        <v>2493</v>
      </c>
    </row>
    <row r="1197" spans="1:7">
      <c r="A1197" s="957" t="s">
        <v>2491</v>
      </c>
      <c r="B1197" s="957" t="s">
        <v>2391</v>
      </c>
      <c r="C1197" s="957" t="s">
        <v>2492</v>
      </c>
      <c r="D1197" s="957" t="str">
        <f t="shared" si="18"/>
        <v>兵庫県芦屋市</v>
      </c>
      <c r="E1197" s="957" t="s">
        <v>2491</v>
      </c>
      <c r="F1197" s="957" t="s">
        <v>2388</v>
      </c>
      <c r="G1197" s="957" t="s">
        <v>2490</v>
      </c>
    </row>
    <row r="1198" spans="1:7">
      <c r="A1198" s="957" t="s">
        <v>2488</v>
      </c>
      <c r="B1198" s="957" t="s">
        <v>2391</v>
      </c>
      <c r="C1198" s="957" t="s">
        <v>2489</v>
      </c>
      <c r="D1198" s="957" t="str">
        <f t="shared" si="18"/>
        <v>兵庫県伊丹市</v>
      </c>
      <c r="E1198" s="957" t="s">
        <v>2488</v>
      </c>
      <c r="F1198" s="957" t="s">
        <v>2388</v>
      </c>
      <c r="G1198" s="957" t="s">
        <v>2487</v>
      </c>
    </row>
    <row r="1199" spans="1:7">
      <c r="A1199" s="957" t="s">
        <v>2485</v>
      </c>
      <c r="B1199" s="957" t="s">
        <v>2391</v>
      </c>
      <c r="C1199" s="957" t="s">
        <v>2486</v>
      </c>
      <c r="D1199" s="957" t="str">
        <f t="shared" si="18"/>
        <v>兵庫県相生市</v>
      </c>
      <c r="E1199" s="957" t="s">
        <v>2485</v>
      </c>
      <c r="F1199" s="957" t="s">
        <v>2388</v>
      </c>
      <c r="G1199" s="957" t="s">
        <v>2484</v>
      </c>
    </row>
    <row r="1200" spans="1:7">
      <c r="A1200" s="957" t="s">
        <v>2482</v>
      </c>
      <c r="B1200" s="957" t="s">
        <v>2391</v>
      </c>
      <c r="C1200" s="957" t="s">
        <v>2483</v>
      </c>
      <c r="D1200" s="957" t="str">
        <f t="shared" si="18"/>
        <v>兵庫県豊岡市</v>
      </c>
      <c r="E1200" s="957" t="s">
        <v>2482</v>
      </c>
      <c r="F1200" s="957" t="s">
        <v>2388</v>
      </c>
      <c r="G1200" s="957" t="s">
        <v>2481</v>
      </c>
    </row>
    <row r="1201" spans="1:7">
      <c r="A1201" s="957" t="s">
        <v>2479</v>
      </c>
      <c r="B1201" s="957" t="s">
        <v>2391</v>
      </c>
      <c r="C1201" s="957" t="s">
        <v>2480</v>
      </c>
      <c r="D1201" s="957" t="str">
        <f t="shared" si="18"/>
        <v>兵庫県加古川市</v>
      </c>
      <c r="E1201" s="957" t="s">
        <v>2479</v>
      </c>
      <c r="F1201" s="957" t="s">
        <v>2388</v>
      </c>
      <c r="G1201" s="957" t="s">
        <v>2478</v>
      </c>
    </row>
    <row r="1202" spans="1:7">
      <c r="A1202" s="957" t="s">
        <v>2476</v>
      </c>
      <c r="B1202" s="957" t="s">
        <v>2391</v>
      </c>
      <c r="C1202" s="957" t="s">
        <v>2477</v>
      </c>
      <c r="D1202" s="957" t="str">
        <f t="shared" si="18"/>
        <v>兵庫県赤穂市</v>
      </c>
      <c r="E1202" s="957" t="s">
        <v>2476</v>
      </c>
      <c r="F1202" s="957" t="s">
        <v>2388</v>
      </c>
      <c r="G1202" s="957" t="s">
        <v>2475</v>
      </c>
    </row>
    <row r="1203" spans="1:7">
      <c r="A1203" s="957" t="s">
        <v>2473</v>
      </c>
      <c r="B1203" s="957" t="s">
        <v>2391</v>
      </c>
      <c r="C1203" s="957" t="s">
        <v>2474</v>
      </c>
      <c r="D1203" s="957" t="str">
        <f t="shared" si="18"/>
        <v>兵庫県西脇市</v>
      </c>
      <c r="E1203" s="957" t="s">
        <v>2473</v>
      </c>
      <c r="F1203" s="957" t="s">
        <v>2388</v>
      </c>
      <c r="G1203" s="957" t="s">
        <v>2472</v>
      </c>
    </row>
    <row r="1204" spans="1:7">
      <c r="A1204" s="957" t="s">
        <v>2470</v>
      </c>
      <c r="B1204" s="957" t="s">
        <v>2391</v>
      </c>
      <c r="C1204" s="957" t="s">
        <v>2471</v>
      </c>
      <c r="D1204" s="957" t="str">
        <f t="shared" si="18"/>
        <v>兵庫県宝塚市</v>
      </c>
      <c r="E1204" s="957" t="s">
        <v>2470</v>
      </c>
      <c r="F1204" s="957" t="s">
        <v>2388</v>
      </c>
      <c r="G1204" s="957" t="s">
        <v>2469</v>
      </c>
    </row>
    <row r="1205" spans="1:7">
      <c r="A1205" s="957" t="s">
        <v>2467</v>
      </c>
      <c r="B1205" s="957" t="s">
        <v>2391</v>
      </c>
      <c r="C1205" s="957" t="s">
        <v>2468</v>
      </c>
      <c r="D1205" s="957" t="str">
        <f t="shared" si="18"/>
        <v>兵庫県三木市</v>
      </c>
      <c r="E1205" s="957" t="s">
        <v>2467</v>
      </c>
      <c r="F1205" s="957" t="s">
        <v>2388</v>
      </c>
      <c r="G1205" s="957" t="s">
        <v>2466</v>
      </c>
    </row>
    <row r="1206" spans="1:7">
      <c r="A1206" s="957" t="s">
        <v>2464</v>
      </c>
      <c r="B1206" s="957" t="s">
        <v>2391</v>
      </c>
      <c r="C1206" s="957" t="s">
        <v>2465</v>
      </c>
      <c r="D1206" s="957" t="str">
        <f t="shared" si="18"/>
        <v>兵庫県高砂市</v>
      </c>
      <c r="E1206" s="957" t="s">
        <v>2464</v>
      </c>
      <c r="F1206" s="957" t="s">
        <v>2388</v>
      </c>
      <c r="G1206" s="957" t="s">
        <v>2463</v>
      </c>
    </row>
    <row r="1207" spans="1:7">
      <c r="A1207" s="957" t="s">
        <v>2461</v>
      </c>
      <c r="B1207" s="957" t="s">
        <v>2391</v>
      </c>
      <c r="C1207" s="957" t="s">
        <v>2462</v>
      </c>
      <c r="D1207" s="957" t="str">
        <f t="shared" si="18"/>
        <v>兵庫県川西市</v>
      </c>
      <c r="E1207" s="957" t="s">
        <v>2461</v>
      </c>
      <c r="F1207" s="957" t="s">
        <v>2388</v>
      </c>
      <c r="G1207" s="957" t="s">
        <v>2460</v>
      </c>
    </row>
    <row r="1208" spans="1:7">
      <c r="A1208" s="957" t="s">
        <v>2458</v>
      </c>
      <c r="B1208" s="957" t="s">
        <v>2391</v>
      </c>
      <c r="C1208" s="957" t="s">
        <v>2459</v>
      </c>
      <c r="D1208" s="957" t="str">
        <f t="shared" si="18"/>
        <v>兵庫県小野市</v>
      </c>
      <c r="E1208" s="957" t="s">
        <v>2458</v>
      </c>
      <c r="F1208" s="957" t="s">
        <v>2388</v>
      </c>
      <c r="G1208" s="957" t="s">
        <v>2457</v>
      </c>
    </row>
    <row r="1209" spans="1:7">
      <c r="A1209" s="957" t="s">
        <v>2455</v>
      </c>
      <c r="B1209" s="957" t="s">
        <v>2391</v>
      </c>
      <c r="C1209" s="957" t="s">
        <v>2456</v>
      </c>
      <c r="D1209" s="957" t="str">
        <f t="shared" si="18"/>
        <v>兵庫県三田市</v>
      </c>
      <c r="E1209" s="957" t="s">
        <v>2455</v>
      </c>
      <c r="F1209" s="957" t="s">
        <v>2388</v>
      </c>
      <c r="G1209" s="957" t="s">
        <v>2454</v>
      </c>
    </row>
    <row r="1210" spans="1:7">
      <c r="A1210" s="957" t="s">
        <v>2452</v>
      </c>
      <c r="B1210" s="957" t="s">
        <v>2391</v>
      </c>
      <c r="C1210" s="957" t="s">
        <v>2453</v>
      </c>
      <c r="D1210" s="957" t="str">
        <f t="shared" si="18"/>
        <v>兵庫県加西市</v>
      </c>
      <c r="E1210" s="957" t="s">
        <v>2452</v>
      </c>
      <c r="F1210" s="957" t="s">
        <v>2388</v>
      </c>
      <c r="G1210" s="957" t="s">
        <v>2451</v>
      </c>
    </row>
    <row r="1211" spans="1:7">
      <c r="A1211" s="957" t="s">
        <v>2449</v>
      </c>
      <c r="B1211" s="957" t="s">
        <v>2391</v>
      </c>
      <c r="C1211" s="957" t="s">
        <v>2450</v>
      </c>
      <c r="D1211" s="957" t="str">
        <f t="shared" si="18"/>
        <v>兵庫県丹波篠山市</v>
      </c>
      <c r="E1211" s="957" t="s">
        <v>2449</v>
      </c>
      <c r="F1211" s="957" t="s">
        <v>2388</v>
      </c>
      <c r="G1211" s="957" t="s">
        <v>2448</v>
      </c>
    </row>
    <row r="1212" spans="1:7">
      <c r="A1212" s="957" t="s">
        <v>2446</v>
      </c>
      <c r="B1212" s="957" t="s">
        <v>2391</v>
      </c>
      <c r="C1212" s="957" t="s">
        <v>2447</v>
      </c>
      <c r="D1212" s="957" t="str">
        <f t="shared" si="18"/>
        <v>兵庫県養父市</v>
      </c>
      <c r="E1212" s="957" t="s">
        <v>2446</v>
      </c>
      <c r="F1212" s="957" t="s">
        <v>2388</v>
      </c>
      <c r="G1212" s="957" t="s">
        <v>2445</v>
      </c>
    </row>
    <row r="1213" spans="1:7">
      <c r="A1213" s="957" t="s">
        <v>2443</v>
      </c>
      <c r="B1213" s="957" t="s">
        <v>2391</v>
      </c>
      <c r="C1213" s="957" t="s">
        <v>2444</v>
      </c>
      <c r="D1213" s="957" t="str">
        <f t="shared" si="18"/>
        <v>兵庫県丹波市</v>
      </c>
      <c r="E1213" s="957" t="s">
        <v>2443</v>
      </c>
      <c r="F1213" s="957" t="s">
        <v>2388</v>
      </c>
      <c r="G1213" s="957" t="s">
        <v>2442</v>
      </c>
    </row>
    <row r="1214" spans="1:7">
      <c r="A1214" s="957" t="s">
        <v>2440</v>
      </c>
      <c r="B1214" s="957" t="s">
        <v>2391</v>
      </c>
      <c r="C1214" s="957" t="s">
        <v>2441</v>
      </c>
      <c r="D1214" s="957" t="str">
        <f t="shared" si="18"/>
        <v>兵庫県南あわじ市</v>
      </c>
      <c r="E1214" s="957" t="s">
        <v>2440</v>
      </c>
      <c r="F1214" s="957" t="s">
        <v>2388</v>
      </c>
      <c r="G1214" s="957" t="s">
        <v>2439</v>
      </c>
    </row>
    <row r="1215" spans="1:7">
      <c r="A1215" s="957" t="s">
        <v>2437</v>
      </c>
      <c r="B1215" s="957" t="s">
        <v>2391</v>
      </c>
      <c r="C1215" s="957" t="s">
        <v>2438</v>
      </c>
      <c r="D1215" s="957" t="str">
        <f t="shared" si="18"/>
        <v>兵庫県朝来市</v>
      </c>
      <c r="E1215" s="957" t="s">
        <v>2437</v>
      </c>
      <c r="F1215" s="957" t="s">
        <v>2388</v>
      </c>
      <c r="G1215" s="957" t="s">
        <v>2436</v>
      </c>
    </row>
    <row r="1216" spans="1:7">
      <c r="A1216" s="957" t="s">
        <v>2434</v>
      </c>
      <c r="B1216" s="957" t="s">
        <v>2391</v>
      </c>
      <c r="C1216" s="957" t="s">
        <v>2435</v>
      </c>
      <c r="D1216" s="957" t="str">
        <f t="shared" si="18"/>
        <v>兵庫県淡路市</v>
      </c>
      <c r="E1216" s="957" t="s">
        <v>2434</v>
      </c>
      <c r="F1216" s="957" t="s">
        <v>2388</v>
      </c>
      <c r="G1216" s="957" t="s">
        <v>2433</v>
      </c>
    </row>
    <row r="1217" spans="1:7">
      <c r="A1217" s="957" t="s">
        <v>2431</v>
      </c>
      <c r="B1217" s="957" t="s">
        <v>2391</v>
      </c>
      <c r="C1217" s="957" t="s">
        <v>2432</v>
      </c>
      <c r="D1217" s="957" t="str">
        <f t="shared" si="18"/>
        <v>兵庫県宍粟市</v>
      </c>
      <c r="E1217" s="957" t="s">
        <v>2431</v>
      </c>
      <c r="F1217" s="957" t="s">
        <v>2388</v>
      </c>
      <c r="G1217" s="957" t="s">
        <v>2430</v>
      </c>
    </row>
    <row r="1218" spans="1:7">
      <c r="A1218" s="957" t="s">
        <v>2428</v>
      </c>
      <c r="B1218" s="957" t="s">
        <v>2391</v>
      </c>
      <c r="C1218" s="957" t="s">
        <v>2429</v>
      </c>
      <c r="D1218" s="957" t="str">
        <f t="shared" si="18"/>
        <v>兵庫県加東市</v>
      </c>
      <c r="E1218" s="957" t="s">
        <v>2428</v>
      </c>
      <c r="F1218" s="957" t="s">
        <v>2388</v>
      </c>
      <c r="G1218" s="957" t="s">
        <v>2427</v>
      </c>
    </row>
    <row r="1219" spans="1:7">
      <c r="A1219" s="957" t="s">
        <v>2425</v>
      </c>
      <c r="B1219" s="957" t="s">
        <v>2391</v>
      </c>
      <c r="C1219" s="957" t="s">
        <v>2426</v>
      </c>
      <c r="D1219" s="957" t="str">
        <f t="shared" ref="D1219:D1282" si="19">B1219&amp;C1219</f>
        <v>兵庫県たつの市</v>
      </c>
      <c r="E1219" s="957" t="s">
        <v>2425</v>
      </c>
      <c r="F1219" s="957" t="s">
        <v>2388</v>
      </c>
      <c r="G1219" s="957" t="s">
        <v>2424</v>
      </c>
    </row>
    <row r="1220" spans="1:7">
      <c r="A1220" s="957" t="s">
        <v>2422</v>
      </c>
      <c r="B1220" s="957" t="s">
        <v>2391</v>
      </c>
      <c r="C1220" s="957" t="s">
        <v>2423</v>
      </c>
      <c r="D1220" s="957" t="str">
        <f t="shared" si="19"/>
        <v>兵庫県猪名川町</v>
      </c>
      <c r="E1220" s="957" t="s">
        <v>2422</v>
      </c>
      <c r="F1220" s="957" t="s">
        <v>2388</v>
      </c>
      <c r="G1220" s="957" t="s">
        <v>2421</v>
      </c>
    </row>
    <row r="1221" spans="1:7">
      <c r="A1221" s="957" t="s">
        <v>2419</v>
      </c>
      <c r="B1221" s="957" t="s">
        <v>2391</v>
      </c>
      <c r="C1221" s="957" t="s">
        <v>2420</v>
      </c>
      <c r="D1221" s="957" t="str">
        <f t="shared" si="19"/>
        <v>兵庫県多可町</v>
      </c>
      <c r="E1221" s="957" t="s">
        <v>2419</v>
      </c>
      <c r="F1221" s="957" t="s">
        <v>2388</v>
      </c>
      <c r="G1221" s="957" t="s">
        <v>2418</v>
      </c>
    </row>
    <row r="1222" spans="1:7">
      <c r="A1222" s="957" t="s">
        <v>2416</v>
      </c>
      <c r="B1222" s="957" t="s">
        <v>2391</v>
      </c>
      <c r="C1222" s="957" t="s">
        <v>2417</v>
      </c>
      <c r="D1222" s="957" t="str">
        <f t="shared" si="19"/>
        <v>兵庫県稲美町</v>
      </c>
      <c r="E1222" s="957" t="s">
        <v>2416</v>
      </c>
      <c r="F1222" s="957" t="s">
        <v>2388</v>
      </c>
      <c r="G1222" s="957" t="s">
        <v>2203</v>
      </c>
    </row>
    <row r="1223" spans="1:7">
      <c r="A1223" s="957" t="s">
        <v>2414</v>
      </c>
      <c r="B1223" s="957" t="s">
        <v>2391</v>
      </c>
      <c r="C1223" s="957" t="s">
        <v>2415</v>
      </c>
      <c r="D1223" s="957" t="str">
        <f t="shared" si="19"/>
        <v>兵庫県播磨町</v>
      </c>
      <c r="E1223" s="957" t="s">
        <v>2414</v>
      </c>
      <c r="F1223" s="957" t="s">
        <v>2388</v>
      </c>
      <c r="G1223" s="957" t="s">
        <v>2413</v>
      </c>
    </row>
    <row r="1224" spans="1:7">
      <c r="A1224" s="957" t="s">
        <v>2411</v>
      </c>
      <c r="B1224" s="957" t="s">
        <v>2391</v>
      </c>
      <c r="C1224" s="957" t="s">
        <v>2412</v>
      </c>
      <c r="D1224" s="957" t="str">
        <f t="shared" si="19"/>
        <v>兵庫県市川町</v>
      </c>
      <c r="E1224" s="957" t="s">
        <v>2411</v>
      </c>
      <c r="F1224" s="957" t="s">
        <v>2388</v>
      </c>
      <c r="G1224" s="957" t="s">
        <v>2410</v>
      </c>
    </row>
    <row r="1225" spans="1:7">
      <c r="A1225" s="957" t="s">
        <v>2408</v>
      </c>
      <c r="B1225" s="957" t="s">
        <v>2391</v>
      </c>
      <c r="C1225" s="957" t="s">
        <v>2409</v>
      </c>
      <c r="D1225" s="957" t="str">
        <f t="shared" si="19"/>
        <v>兵庫県福崎町</v>
      </c>
      <c r="E1225" s="957" t="s">
        <v>2408</v>
      </c>
      <c r="F1225" s="957" t="s">
        <v>2388</v>
      </c>
      <c r="G1225" s="957" t="s">
        <v>2407</v>
      </c>
    </row>
    <row r="1226" spans="1:7">
      <c r="A1226" s="957" t="s">
        <v>2405</v>
      </c>
      <c r="B1226" s="957" t="s">
        <v>2391</v>
      </c>
      <c r="C1226" s="957" t="s">
        <v>2406</v>
      </c>
      <c r="D1226" s="957" t="str">
        <f t="shared" si="19"/>
        <v>兵庫県神河町</v>
      </c>
      <c r="E1226" s="957" t="s">
        <v>2405</v>
      </c>
      <c r="F1226" s="957" t="s">
        <v>2388</v>
      </c>
      <c r="G1226" s="957" t="s">
        <v>2404</v>
      </c>
    </row>
    <row r="1227" spans="1:7">
      <c r="A1227" s="957" t="s">
        <v>2402</v>
      </c>
      <c r="B1227" s="957" t="s">
        <v>2391</v>
      </c>
      <c r="C1227" s="957" t="s">
        <v>2403</v>
      </c>
      <c r="D1227" s="957" t="str">
        <f t="shared" si="19"/>
        <v>兵庫県太子町</v>
      </c>
      <c r="E1227" s="957" t="s">
        <v>2402</v>
      </c>
      <c r="F1227" s="957" t="s">
        <v>2388</v>
      </c>
      <c r="G1227" s="957" t="s">
        <v>2401</v>
      </c>
    </row>
    <row r="1228" spans="1:7">
      <c r="A1228" s="957" t="s">
        <v>2399</v>
      </c>
      <c r="B1228" s="957" t="s">
        <v>2391</v>
      </c>
      <c r="C1228" s="957" t="s">
        <v>2400</v>
      </c>
      <c r="D1228" s="957" t="str">
        <f t="shared" si="19"/>
        <v>兵庫県上郡町</v>
      </c>
      <c r="E1228" s="957" t="s">
        <v>2399</v>
      </c>
      <c r="F1228" s="957" t="s">
        <v>2388</v>
      </c>
      <c r="G1228" s="957" t="s">
        <v>2398</v>
      </c>
    </row>
    <row r="1229" spans="1:7">
      <c r="A1229" s="957" t="s">
        <v>2396</v>
      </c>
      <c r="B1229" s="957" t="s">
        <v>2391</v>
      </c>
      <c r="C1229" s="957" t="s">
        <v>2397</v>
      </c>
      <c r="D1229" s="957" t="str">
        <f t="shared" si="19"/>
        <v>兵庫県佐用町</v>
      </c>
      <c r="E1229" s="957" t="s">
        <v>2396</v>
      </c>
      <c r="F1229" s="957" t="s">
        <v>2388</v>
      </c>
      <c r="G1229" s="957" t="s">
        <v>2395</v>
      </c>
    </row>
    <row r="1230" spans="1:7">
      <c r="A1230" s="957" t="s">
        <v>2393</v>
      </c>
      <c r="B1230" s="957" t="s">
        <v>2391</v>
      </c>
      <c r="C1230" s="957" t="s">
        <v>2394</v>
      </c>
      <c r="D1230" s="957" t="str">
        <f t="shared" si="19"/>
        <v>兵庫県香美町</v>
      </c>
      <c r="E1230" s="957" t="s">
        <v>2393</v>
      </c>
      <c r="F1230" s="957" t="s">
        <v>2388</v>
      </c>
      <c r="G1230" s="957" t="s">
        <v>2392</v>
      </c>
    </row>
    <row r="1231" spans="1:7">
      <c r="A1231" s="957" t="s">
        <v>2389</v>
      </c>
      <c r="B1231" s="957" t="s">
        <v>2391</v>
      </c>
      <c r="C1231" s="957" t="s">
        <v>2390</v>
      </c>
      <c r="D1231" s="957" t="str">
        <f t="shared" si="19"/>
        <v>兵庫県新温泉町</v>
      </c>
      <c r="E1231" s="957" t="s">
        <v>2389</v>
      </c>
      <c r="F1231" s="957" t="s">
        <v>2388</v>
      </c>
      <c r="G1231" s="957" t="s">
        <v>2387</v>
      </c>
    </row>
    <row r="1232" spans="1:7">
      <c r="A1232" s="960" t="s">
        <v>2385</v>
      </c>
      <c r="B1232" s="960" t="s">
        <v>2386</v>
      </c>
      <c r="C1232" s="960" t="s">
        <v>2386</v>
      </c>
      <c r="D1232" s="960" t="str">
        <f t="shared" si="19"/>
        <v>奈良県奈良県</v>
      </c>
      <c r="E1232" s="960" t="s">
        <v>2385</v>
      </c>
      <c r="F1232" s="959" t="s">
        <v>2384</v>
      </c>
      <c r="G1232" s="958"/>
    </row>
    <row r="1233" spans="1:7">
      <c r="A1233" s="957" t="s">
        <v>2382</v>
      </c>
      <c r="B1233" s="957" t="s">
        <v>2269</v>
      </c>
      <c r="C1233" s="957" t="s">
        <v>2383</v>
      </c>
      <c r="D1233" s="957" t="str">
        <f t="shared" si="19"/>
        <v>奈良県奈良市</v>
      </c>
      <c r="E1233" s="957" t="s">
        <v>2382</v>
      </c>
      <c r="F1233" s="957" t="s">
        <v>2266</v>
      </c>
      <c r="G1233" s="957" t="s">
        <v>2381</v>
      </c>
    </row>
    <row r="1234" spans="1:7">
      <c r="A1234" s="957" t="s">
        <v>2379</v>
      </c>
      <c r="B1234" s="957" t="s">
        <v>2269</v>
      </c>
      <c r="C1234" s="957" t="s">
        <v>2380</v>
      </c>
      <c r="D1234" s="957" t="str">
        <f t="shared" si="19"/>
        <v>奈良県大和高田市</v>
      </c>
      <c r="E1234" s="957" t="s">
        <v>2379</v>
      </c>
      <c r="F1234" s="957" t="s">
        <v>2266</v>
      </c>
      <c r="G1234" s="957" t="s">
        <v>2378</v>
      </c>
    </row>
    <row r="1235" spans="1:7">
      <c r="A1235" s="957" t="s">
        <v>2376</v>
      </c>
      <c r="B1235" s="957" t="s">
        <v>2269</v>
      </c>
      <c r="C1235" s="957" t="s">
        <v>2377</v>
      </c>
      <c r="D1235" s="957" t="str">
        <f t="shared" si="19"/>
        <v>奈良県大和郡山市</v>
      </c>
      <c r="E1235" s="957" t="s">
        <v>2376</v>
      </c>
      <c r="F1235" s="957" t="s">
        <v>2266</v>
      </c>
      <c r="G1235" s="957" t="s">
        <v>2375</v>
      </c>
    </row>
    <row r="1236" spans="1:7">
      <c r="A1236" s="957" t="s">
        <v>2373</v>
      </c>
      <c r="B1236" s="957" t="s">
        <v>2269</v>
      </c>
      <c r="C1236" s="957" t="s">
        <v>2374</v>
      </c>
      <c r="D1236" s="957" t="str">
        <f t="shared" si="19"/>
        <v>奈良県天理市</v>
      </c>
      <c r="E1236" s="957" t="s">
        <v>2373</v>
      </c>
      <c r="F1236" s="957" t="s">
        <v>2266</v>
      </c>
      <c r="G1236" s="957" t="s">
        <v>2372</v>
      </c>
    </row>
    <row r="1237" spans="1:7">
      <c r="A1237" s="957" t="s">
        <v>2370</v>
      </c>
      <c r="B1237" s="957" t="s">
        <v>2269</v>
      </c>
      <c r="C1237" s="957" t="s">
        <v>2371</v>
      </c>
      <c r="D1237" s="957" t="str">
        <f t="shared" si="19"/>
        <v>奈良県橿原市</v>
      </c>
      <c r="E1237" s="957" t="s">
        <v>2370</v>
      </c>
      <c r="F1237" s="957" t="s">
        <v>2266</v>
      </c>
      <c r="G1237" s="957" t="s">
        <v>2369</v>
      </c>
    </row>
    <row r="1238" spans="1:7">
      <c r="A1238" s="957" t="s">
        <v>2367</v>
      </c>
      <c r="B1238" s="957" t="s">
        <v>2269</v>
      </c>
      <c r="C1238" s="957" t="s">
        <v>2368</v>
      </c>
      <c r="D1238" s="957" t="str">
        <f t="shared" si="19"/>
        <v>奈良県桜井市</v>
      </c>
      <c r="E1238" s="957" t="s">
        <v>2367</v>
      </c>
      <c r="F1238" s="957" t="s">
        <v>2266</v>
      </c>
      <c r="G1238" s="957" t="s">
        <v>2366</v>
      </c>
    </row>
    <row r="1239" spans="1:7">
      <c r="A1239" s="957" t="s">
        <v>2364</v>
      </c>
      <c r="B1239" s="957" t="s">
        <v>2269</v>
      </c>
      <c r="C1239" s="957" t="s">
        <v>2365</v>
      </c>
      <c r="D1239" s="957" t="str">
        <f t="shared" si="19"/>
        <v>奈良県五條市</v>
      </c>
      <c r="E1239" s="957" t="s">
        <v>2364</v>
      </c>
      <c r="F1239" s="957" t="s">
        <v>2266</v>
      </c>
      <c r="G1239" s="957" t="s">
        <v>2363</v>
      </c>
    </row>
    <row r="1240" spans="1:7">
      <c r="A1240" s="957" t="s">
        <v>2361</v>
      </c>
      <c r="B1240" s="957" t="s">
        <v>2269</v>
      </c>
      <c r="C1240" s="957" t="s">
        <v>2362</v>
      </c>
      <c r="D1240" s="957" t="str">
        <f t="shared" si="19"/>
        <v>奈良県御所市</v>
      </c>
      <c r="E1240" s="957" t="s">
        <v>2361</v>
      </c>
      <c r="F1240" s="957" t="s">
        <v>2266</v>
      </c>
      <c r="G1240" s="957" t="s">
        <v>2360</v>
      </c>
    </row>
    <row r="1241" spans="1:7">
      <c r="A1241" s="957" t="s">
        <v>2358</v>
      </c>
      <c r="B1241" s="957" t="s">
        <v>2269</v>
      </c>
      <c r="C1241" s="957" t="s">
        <v>2359</v>
      </c>
      <c r="D1241" s="957" t="str">
        <f t="shared" si="19"/>
        <v>奈良県生駒市</v>
      </c>
      <c r="E1241" s="957" t="s">
        <v>2358</v>
      </c>
      <c r="F1241" s="957" t="s">
        <v>2266</v>
      </c>
      <c r="G1241" s="957" t="s">
        <v>2357</v>
      </c>
    </row>
    <row r="1242" spans="1:7">
      <c r="A1242" s="957" t="s">
        <v>2355</v>
      </c>
      <c r="B1242" s="957" t="s">
        <v>2269</v>
      </c>
      <c r="C1242" s="957" t="s">
        <v>2356</v>
      </c>
      <c r="D1242" s="957" t="str">
        <f t="shared" si="19"/>
        <v>奈良県香芝市</v>
      </c>
      <c r="E1242" s="957" t="s">
        <v>2355</v>
      </c>
      <c r="F1242" s="957" t="s">
        <v>2266</v>
      </c>
      <c r="G1242" s="957" t="s">
        <v>2354</v>
      </c>
    </row>
    <row r="1243" spans="1:7">
      <c r="A1243" s="957" t="s">
        <v>2352</v>
      </c>
      <c r="B1243" s="957" t="s">
        <v>2269</v>
      </c>
      <c r="C1243" s="957" t="s">
        <v>2353</v>
      </c>
      <c r="D1243" s="957" t="str">
        <f t="shared" si="19"/>
        <v>奈良県葛城市</v>
      </c>
      <c r="E1243" s="957" t="s">
        <v>2352</v>
      </c>
      <c r="F1243" s="957" t="s">
        <v>2266</v>
      </c>
      <c r="G1243" s="957" t="s">
        <v>2351</v>
      </c>
    </row>
    <row r="1244" spans="1:7">
      <c r="A1244" s="957" t="s">
        <v>2349</v>
      </c>
      <c r="B1244" s="957" t="s">
        <v>2269</v>
      </c>
      <c r="C1244" s="957" t="s">
        <v>2350</v>
      </c>
      <c r="D1244" s="957" t="str">
        <f t="shared" si="19"/>
        <v>奈良県宇陀市</v>
      </c>
      <c r="E1244" s="957" t="s">
        <v>2349</v>
      </c>
      <c r="F1244" s="957" t="s">
        <v>2266</v>
      </c>
      <c r="G1244" s="957" t="s">
        <v>2348</v>
      </c>
    </row>
    <row r="1245" spans="1:7">
      <c r="A1245" s="957" t="s">
        <v>2346</v>
      </c>
      <c r="B1245" s="957" t="s">
        <v>2269</v>
      </c>
      <c r="C1245" s="957" t="s">
        <v>2347</v>
      </c>
      <c r="D1245" s="957" t="str">
        <f t="shared" si="19"/>
        <v>奈良県山添村</v>
      </c>
      <c r="E1245" s="957" t="s">
        <v>2346</v>
      </c>
      <c r="F1245" s="957" t="s">
        <v>2266</v>
      </c>
      <c r="G1245" s="957" t="s">
        <v>2345</v>
      </c>
    </row>
    <row r="1246" spans="1:7">
      <c r="A1246" s="957" t="s">
        <v>2343</v>
      </c>
      <c r="B1246" s="957" t="s">
        <v>2269</v>
      </c>
      <c r="C1246" s="957" t="s">
        <v>2344</v>
      </c>
      <c r="D1246" s="957" t="str">
        <f t="shared" si="19"/>
        <v>奈良県平群町</v>
      </c>
      <c r="E1246" s="957" t="s">
        <v>2343</v>
      </c>
      <c r="F1246" s="957" t="s">
        <v>2266</v>
      </c>
      <c r="G1246" s="957" t="s">
        <v>2342</v>
      </c>
    </row>
    <row r="1247" spans="1:7">
      <c r="A1247" s="957" t="s">
        <v>2340</v>
      </c>
      <c r="B1247" s="957" t="s">
        <v>2269</v>
      </c>
      <c r="C1247" s="957" t="s">
        <v>2341</v>
      </c>
      <c r="D1247" s="957" t="str">
        <f t="shared" si="19"/>
        <v>奈良県三郷町</v>
      </c>
      <c r="E1247" s="957" t="s">
        <v>2340</v>
      </c>
      <c r="F1247" s="957" t="s">
        <v>2266</v>
      </c>
      <c r="G1247" s="957" t="s">
        <v>2339</v>
      </c>
    </row>
    <row r="1248" spans="1:7">
      <c r="A1248" s="957" t="s">
        <v>2337</v>
      </c>
      <c r="B1248" s="957" t="s">
        <v>2269</v>
      </c>
      <c r="C1248" s="957" t="s">
        <v>2338</v>
      </c>
      <c r="D1248" s="957" t="str">
        <f t="shared" si="19"/>
        <v>奈良県斑鳩町</v>
      </c>
      <c r="E1248" s="957" t="s">
        <v>2337</v>
      </c>
      <c r="F1248" s="957" t="s">
        <v>2266</v>
      </c>
      <c r="G1248" s="957" t="s">
        <v>2336</v>
      </c>
    </row>
    <row r="1249" spans="1:7">
      <c r="A1249" s="957" t="s">
        <v>2334</v>
      </c>
      <c r="B1249" s="957" t="s">
        <v>2269</v>
      </c>
      <c r="C1249" s="957" t="s">
        <v>2335</v>
      </c>
      <c r="D1249" s="957" t="str">
        <f t="shared" si="19"/>
        <v>奈良県安堵町</v>
      </c>
      <c r="E1249" s="957" t="s">
        <v>2334</v>
      </c>
      <c r="F1249" s="957" t="s">
        <v>2266</v>
      </c>
      <c r="G1249" s="957" t="s">
        <v>2333</v>
      </c>
    </row>
    <row r="1250" spans="1:7">
      <c r="A1250" s="957" t="s">
        <v>2331</v>
      </c>
      <c r="B1250" s="957" t="s">
        <v>2269</v>
      </c>
      <c r="C1250" s="957" t="s">
        <v>2332</v>
      </c>
      <c r="D1250" s="957" t="str">
        <f t="shared" si="19"/>
        <v>奈良県川西町</v>
      </c>
      <c r="E1250" s="957" t="s">
        <v>2331</v>
      </c>
      <c r="F1250" s="957" t="s">
        <v>2266</v>
      </c>
      <c r="G1250" s="957" t="s">
        <v>2330</v>
      </c>
    </row>
    <row r="1251" spans="1:7">
      <c r="A1251" s="957" t="s">
        <v>2328</v>
      </c>
      <c r="B1251" s="957" t="s">
        <v>2269</v>
      </c>
      <c r="C1251" s="957" t="s">
        <v>2329</v>
      </c>
      <c r="D1251" s="957" t="str">
        <f t="shared" si="19"/>
        <v>奈良県三宅町</v>
      </c>
      <c r="E1251" s="957" t="s">
        <v>2328</v>
      </c>
      <c r="F1251" s="957" t="s">
        <v>2266</v>
      </c>
      <c r="G1251" s="957" t="s">
        <v>2327</v>
      </c>
    </row>
    <row r="1252" spans="1:7">
      <c r="A1252" s="957" t="s">
        <v>2325</v>
      </c>
      <c r="B1252" s="957" t="s">
        <v>2269</v>
      </c>
      <c r="C1252" s="957" t="s">
        <v>2326</v>
      </c>
      <c r="D1252" s="957" t="str">
        <f t="shared" si="19"/>
        <v>奈良県田原本町</v>
      </c>
      <c r="E1252" s="957" t="s">
        <v>2325</v>
      </c>
      <c r="F1252" s="957" t="s">
        <v>2266</v>
      </c>
      <c r="G1252" s="957" t="s">
        <v>2324</v>
      </c>
    </row>
    <row r="1253" spans="1:7">
      <c r="A1253" s="957" t="s">
        <v>2322</v>
      </c>
      <c r="B1253" s="957" t="s">
        <v>2269</v>
      </c>
      <c r="C1253" s="957" t="s">
        <v>2323</v>
      </c>
      <c r="D1253" s="957" t="str">
        <f t="shared" si="19"/>
        <v>奈良県曽爾村</v>
      </c>
      <c r="E1253" s="957" t="s">
        <v>2322</v>
      </c>
      <c r="F1253" s="957" t="s">
        <v>2266</v>
      </c>
      <c r="G1253" s="957" t="s">
        <v>2321</v>
      </c>
    </row>
    <row r="1254" spans="1:7">
      <c r="A1254" s="957" t="s">
        <v>2319</v>
      </c>
      <c r="B1254" s="957" t="s">
        <v>2269</v>
      </c>
      <c r="C1254" s="957" t="s">
        <v>2320</v>
      </c>
      <c r="D1254" s="957" t="str">
        <f t="shared" si="19"/>
        <v>奈良県御杖村</v>
      </c>
      <c r="E1254" s="957" t="s">
        <v>2319</v>
      </c>
      <c r="F1254" s="957" t="s">
        <v>2266</v>
      </c>
      <c r="G1254" s="957" t="s">
        <v>2318</v>
      </c>
    </row>
    <row r="1255" spans="1:7">
      <c r="A1255" s="957" t="s">
        <v>2316</v>
      </c>
      <c r="B1255" s="957" t="s">
        <v>2269</v>
      </c>
      <c r="C1255" s="957" t="s">
        <v>2317</v>
      </c>
      <c r="D1255" s="957" t="str">
        <f t="shared" si="19"/>
        <v>奈良県高取町</v>
      </c>
      <c r="E1255" s="957" t="s">
        <v>2316</v>
      </c>
      <c r="F1255" s="957" t="s">
        <v>2266</v>
      </c>
      <c r="G1255" s="957" t="s">
        <v>2315</v>
      </c>
    </row>
    <row r="1256" spans="1:7">
      <c r="A1256" s="957" t="s">
        <v>2313</v>
      </c>
      <c r="B1256" s="957" t="s">
        <v>2269</v>
      </c>
      <c r="C1256" s="957" t="s">
        <v>2314</v>
      </c>
      <c r="D1256" s="957" t="str">
        <f t="shared" si="19"/>
        <v>奈良県明日香村</v>
      </c>
      <c r="E1256" s="957" t="s">
        <v>2313</v>
      </c>
      <c r="F1256" s="957" t="s">
        <v>2266</v>
      </c>
      <c r="G1256" s="957" t="s">
        <v>2312</v>
      </c>
    </row>
    <row r="1257" spans="1:7">
      <c r="A1257" s="957" t="s">
        <v>2310</v>
      </c>
      <c r="B1257" s="957" t="s">
        <v>2269</v>
      </c>
      <c r="C1257" s="957" t="s">
        <v>2311</v>
      </c>
      <c r="D1257" s="957" t="str">
        <f t="shared" si="19"/>
        <v>奈良県上牧町</v>
      </c>
      <c r="E1257" s="957" t="s">
        <v>2310</v>
      </c>
      <c r="F1257" s="957" t="s">
        <v>2266</v>
      </c>
      <c r="G1257" s="957" t="s">
        <v>2309</v>
      </c>
    </row>
    <row r="1258" spans="1:7">
      <c r="A1258" s="957" t="s">
        <v>2307</v>
      </c>
      <c r="B1258" s="957" t="s">
        <v>2269</v>
      </c>
      <c r="C1258" s="957" t="s">
        <v>2308</v>
      </c>
      <c r="D1258" s="957" t="str">
        <f t="shared" si="19"/>
        <v>奈良県王寺町</v>
      </c>
      <c r="E1258" s="957" t="s">
        <v>2307</v>
      </c>
      <c r="F1258" s="957" t="s">
        <v>2266</v>
      </c>
      <c r="G1258" s="957" t="s">
        <v>2306</v>
      </c>
    </row>
    <row r="1259" spans="1:7">
      <c r="A1259" s="957" t="s">
        <v>2304</v>
      </c>
      <c r="B1259" s="957" t="s">
        <v>2269</v>
      </c>
      <c r="C1259" s="957" t="s">
        <v>2305</v>
      </c>
      <c r="D1259" s="957" t="str">
        <f t="shared" si="19"/>
        <v>奈良県広陵町</v>
      </c>
      <c r="E1259" s="957" t="s">
        <v>2304</v>
      </c>
      <c r="F1259" s="957" t="s">
        <v>2266</v>
      </c>
      <c r="G1259" s="957" t="s">
        <v>2303</v>
      </c>
    </row>
    <row r="1260" spans="1:7">
      <c r="A1260" s="957" t="s">
        <v>2301</v>
      </c>
      <c r="B1260" s="957" t="s">
        <v>2269</v>
      </c>
      <c r="C1260" s="957" t="s">
        <v>2302</v>
      </c>
      <c r="D1260" s="957" t="str">
        <f t="shared" si="19"/>
        <v>奈良県河合町</v>
      </c>
      <c r="E1260" s="957" t="s">
        <v>2301</v>
      </c>
      <c r="F1260" s="957" t="s">
        <v>2266</v>
      </c>
      <c r="G1260" s="957" t="s">
        <v>2300</v>
      </c>
    </row>
    <row r="1261" spans="1:7">
      <c r="A1261" s="957" t="s">
        <v>2298</v>
      </c>
      <c r="B1261" s="957" t="s">
        <v>2269</v>
      </c>
      <c r="C1261" s="957" t="s">
        <v>2299</v>
      </c>
      <c r="D1261" s="957" t="str">
        <f t="shared" si="19"/>
        <v>奈良県吉野町</v>
      </c>
      <c r="E1261" s="957" t="s">
        <v>2298</v>
      </c>
      <c r="F1261" s="957" t="s">
        <v>2266</v>
      </c>
      <c r="G1261" s="957" t="s">
        <v>2297</v>
      </c>
    </row>
    <row r="1262" spans="1:7">
      <c r="A1262" s="957" t="s">
        <v>2295</v>
      </c>
      <c r="B1262" s="957" t="s">
        <v>2269</v>
      </c>
      <c r="C1262" s="957" t="s">
        <v>2296</v>
      </c>
      <c r="D1262" s="957" t="str">
        <f t="shared" si="19"/>
        <v>奈良県大淀町</v>
      </c>
      <c r="E1262" s="957" t="s">
        <v>2295</v>
      </c>
      <c r="F1262" s="957" t="s">
        <v>2266</v>
      </c>
      <c r="G1262" s="957" t="s">
        <v>2294</v>
      </c>
    </row>
    <row r="1263" spans="1:7">
      <c r="A1263" s="957" t="s">
        <v>2292</v>
      </c>
      <c r="B1263" s="957" t="s">
        <v>2269</v>
      </c>
      <c r="C1263" s="957" t="s">
        <v>2293</v>
      </c>
      <c r="D1263" s="957" t="str">
        <f t="shared" si="19"/>
        <v>奈良県下市町</v>
      </c>
      <c r="E1263" s="957" t="s">
        <v>2292</v>
      </c>
      <c r="F1263" s="957" t="s">
        <v>2266</v>
      </c>
      <c r="G1263" s="957" t="s">
        <v>2291</v>
      </c>
    </row>
    <row r="1264" spans="1:7">
      <c r="A1264" s="957" t="s">
        <v>2289</v>
      </c>
      <c r="B1264" s="957" t="s">
        <v>2269</v>
      </c>
      <c r="C1264" s="957" t="s">
        <v>2290</v>
      </c>
      <c r="D1264" s="957" t="str">
        <f t="shared" si="19"/>
        <v>奈良県黒滝村</v>
      </c>
      <c r="E1264" s="957" t="s">
        <v>2289</v>
      </c>
      <c r="F1264" s="957" t="s">
        <v>2266</v>
      </c>
      <c r="G1264" s="957" t="s">
        <v>2288</v>
      </c>
    </row>
    <row r="1265" spans="1:7">
      <c r="A1265" s="957" t="s">
        <v>2286</v>
      </c>
      <c r="B1265" s="957" t="s">
        <v>2269</v>
      </c>
      <c r="C1265" s="957" t="s">
        <v>2287</v>
      </c>
      <c r="D1265" s="957" t="str">
        <f t="shared" si="19"/>
        <v>奈良県天川村</v>
      </c>
      <c r="E1265" s="957" t="s">
        <v>2286</v>
      </c>
      <c r="F1265" s="957" t="s">
        <v>2266</v>
      </c>
      <c r="G1265" s="957" t="s">
        <v>2285</v>
      </c>
    </row>
    <row r="1266" spans="1:7">
      <c r="A1266" s="957" t="s">
        <v>2283</v>
      </c>
      <c r="B1266" s="957" t="s">
        <v>2269</v>
      </c>
      <c r="C1266" s="957" t="s">
        <v>2284</v>
      </c>
      <c r="D1266" s="957" t="str">
        <f t="shared" si="19"/>
        <v>奈良県野迫川村</v>
      </c>
      <c r="E1266" s="957" t="s">
        <v>2283</v>
      </c>
      <c r="F1266" s="957" t="s">
        <v>2266</v>
      </c>
      <c r="G1266" s="957" t="s">
        <v>2282</v>
      </c>
    </row>
    <row r="1267" spans="1:7">
      <c r="A1267" s="957" t="s">
        <v>2280</v>
      </c>
      <c r="B1267" s="957" t="s">
        <v>2269</v>
      </c>
      <c r="C1267" s="957" t="s">
        <v>2281</v>
      </c>
      <c r="D1267" s="957" t="str">
        <f t="shared" si="19"/>
        <v>奈良県十津川村</v>
      </c>
      <c r="E1267" s="957" t="s">
        <v>2280</v>
      </c>
      <c r="F1267" s="957" t="s">
        <v>2266</v>
      </c>
      <c r="G1267" s="957" t="s">
        <v>2279</v>
      </c>
    </row>
    <row r="1268" spans="1:7">
      <c r="A1268" s="957" t="s">
        <v>2277</v>
      </c>
      <c r="B1268" s="957" t="s">
        <v>2269</v>
      </c>
      <c r="C1268" s="957" t="s">
        <v>2278</v>
      </c>
      <c r="D1268" s="957" t="str">
        <f t="shared" si="19"/>
        <v>奈良県下北山村</v>
      </c>
      <c r="E1268" s="957" t="s">
        <v>2277</v>
      </c>
      <c r="F1268" s="957" t="s">
        <v>2266</v>
      </c>
      <c r="G1268" s="957" t="s">
        <v>2276</v>
      </c>
    </row>
    <row r="1269" spans="1:7">
      <c r="A1269" s="957" t="s">
        <v>2274</v>
      </c>
      <c r="B1269" s="957" t="s">
        <v>2269</v>
      </c>
      <c r="C1269" s="957" t="s">
        <v>2275</v>
      </c>
      <c r="D1269" s="957" t="str">
        <f t="shared" si="19"/>
        <v>奈良県上北山村</v>
      </c>
      <c r="E1269" s="957" t="s">
        <v>2274</v>
      </c>
      <c r="F1269" s="957" t="s">
        <v>2266</v>
      </c>
      <c r="G1269" s="957" t="s">
        <v>2273</v>
      </c>
    </row>
    <row r="1270" spans="1:7">
      <c r="A1270" s="957" t="s">
        <v>2271</v>
      </c>
      <c r="B1270" s="957" t="s">
        <v>2269</v>
      </c>
      <c r="C1270" s="957" t="s">
        <v>2272</v>
      </c>
      <c r="D1270" s="957" t="str">
        <f t="shared" si="19"/>
        <v>奈良県川上村</v>
      </c>
      <c r="E1270" s="957" t="s">
        <v>2271</v>
      </c>
      <c r="F1270" s="957" t="s">
        <v>2266</v>
      </c>
      <c r="G1270" s="957" t="s">
        <v>2270</v>
      </c>
    </row>
    <row r="1271" spans="1:7">
      <c r="A1271" s="957" t="s">
        <v>2267</v>
      </c>
      <c r="B1271" s="957" t="s">
        <v>2269</v>
      </c>
      <c r="C1271" s="957" t="s">
        <v>2268</v>
      </c>
      <c r="D1271" s="957" t="str">
        <f t="shared" si="19"/>
        <v>奈良県東吉野村</v>
      </c>
      <c r="E1271" s="957" t="s">
        <v>2267</v>
      </c>
      <c r="F1271" s="957" t="s">
        <v>2266</v>
      </c>
      <c r="G1271" s="957" t="s">
        <v>2265</v>
      </c>
    </row>
    <row r="1272" spans="1:7">
      <c r="A1272" s="960" t="s">
        <v>2263</v>
      </c>
      <c r="B1272" s="960" t="s">
        <v>2264</v>
      </c>
      <c r="C1272" s="960" t="s">
        <v>2264</v>
      </c>
      <c r="D1272" s="960" t="str">
        <f t="shared" si="19"/>
        <v>和歌山県和歌山県</v>
      </c>
      <c r="E1272" s="960" t="s">
        <v>2263</v>
      </c>
      <c r="F1272" s="959" t="s">
        <v>2262</v>
      </c>
      <c r="G1272" s="958"/>
    </row>
    <row r="1273" spans="1:7">
      <c r="A1273" s="957" t="s">
        <v>2260</v>
      </c>
      <c r="B1273" s="957" t="s">
        <v>2175</v>
      </c>
      <c r="C1273" s="957" t="s">
        <v>2261</v>
      </c>
      <c r="D1273" s="957" t="str">
        <f t="shared" si="19"/>
        <v>和歌山県和歌山市</v>
      </c>
      <c r="E1273" s="957" t="s">
        <v>2260</v>
      </c>
      <c r="F1273" s="957" t="s">
        <v>2172</v>
      </c>
      <c r="G1273" s="957" t="s">
        <v>2259</v>
      </c>
    </row>
    <row r="1274" spans="1:7">
      <c r="A1274" s="957" t="s">
        <v>2257</v>
      </c>
      <c r="B1274" s="957" t="s">
        <v>2175</v>
      </c>
      <c r="C1274" s="957" t="s">
        <v>2258</v>
      </c>
      <c r="D1274" s="957" t="str">
        <f t="shared" si="19"/>
        <v>和歌山県海南市</v>
      </c>
      <c r="E1274" s="957" t="s">
        <v>2257</v>
      </c>
      <c r="F1274" s="957" t="s">
        <v>2172</v>
      </c>
      <c r="G1274" s="957" t="s">
        <v>2256</v>
      </c>
    </row>
    <row r="1275" spans="1:7">
      <c r="A1275" s="957" t="s">
        <v>2254</v>
      </c>
      <c r="B1275" s="957" t="s">
        <v>2175</v>
      </c>
      <c r="C1275" s="957" t="s">
        <v>2255</v>
      </c>
      <c r="D1275" s="957" t="str">
        <f t="shared" si="19"/>
        <v>和歌山県橋本市</v>
      </c>
      <c r="E1275" s="957" t="s">
        <v>2254</v>
      </c>
      <c r="F1275" s="957" t="s">
        <v>2172</v>
      </c>
      <c r="G1275" s="957" t="s">
        <v>2253</v>
      </c>
    </row>
    <row r="1276" spans="1:7">
      <c r="A1276" s="957" t="s">
        <v>2251</v>
      </c>
      <c r="B1276" s="957" t="s">
        <v>2175</v>
      </c>
      <c r="C1276" s="957" t="s">
        <v>2252</v>
      </c>
      <c r="D1276" s="957" t="str">
        <f t="shared" si="19"/>
        <v>和歌山県有田市</v>
      </c>
      <c r="E1276" s="957" t="s">
        <v>2251</v>
      </c>
      <c r="F1276" s="957" t="s">
        <v>2172</v>
      </c>
      <c r="G1276" s="957" t="s">
        <v>2250</v>
      </c>
    </row>
    <row r="1277" spans="1:7">
      <c r="A1277" s="957" t="s">
        <v>2248</v>
      </c>
      <c r="B1277" s="957" t="s">
        <v>2175</v>
      </c>
      <c r="C1277" s="957" t="s">
        <v>2249</v>
      </c>
      <c r="D1277" s="957" t="str">
        <f t="shared" si="19"/>
        <v>和歌山県御坊市</v>
      </c>
      <c r="E1277" s="957" t="s">
        <v>2248</v>
      </c>
      <c r="F1277" s="957" t="s">
        <v>2172</v>
      </c>
      <c r="G1277" s="957" t="s">
        <v>2247</v>
      </c>
    </row>
    <row r="1278" spans="1:7">
      <c r="A1278" s="957" t="s">
        <v>2245</v>
      </c>
      <c r="B1278" s="957" t="s">
        <v>2175</v>
      </c>
      <c r="C1278" s="957" t="s">
        <v>2246</v>
      </c>
      <c r="D1278" s="957" t="str">
        <f t="shared" si="19"/>
        <v>和歌山県田辺市</v>
      </c>
      <c r="E1278" s="957" t="s">
        <v>2245</v>
      </c>
      <c r="F1278" s="957" t="s">
        <v>2172</v>
      </c>
      <c r="G1278" s="957" t="s">
        <v>2244</v>
      </c>
    </row>
    <row r="1279" spans="1:7">
      <c r="A1279" s="957" t="s">
        <v>2242</v>
      </c>
      <c r="B1279" s="957" t="s">
        <v>2175</v>
      </c>
      <c r="C1279" s="957" t="s">
        <v>2243</v>
      </c>
      <c r="D1279" s="957" t="str">
        <f t="shared" si="19"/>
        <v>和歌山県新宮市</v>
      </c>
      <c r="E1279" s="957" t="s">
        <v>2242</v>
      </c>
      <c r="F1279" s="957" t="s">
        <v>2172</v>
      </c>
      <c r="G1279" s="957" t="s">
        <v>2241</v>
      </c>
    </row>
    <row r="1280" spans="1:7">
      <c r="A1280" s="957" t="s">
        <v>2239</v>
      </c>
      <c r="B1280" s="957" t="s">
        <v>2175</v>
      </c>
      <c r="C1280" s="957" t="s">
        <v>2240</v>
      </c>
      <c r="D1280" s="957" t="str">
        <f t="shared" si="19"/>
        <v>和歌山県紀の川市</v>
      </c>
      <c r="E1280" s="957" t="s">
        <v>2239</v>
      </c>
      <c r="F1280" s="957" t="s">
        <v>2172</v>
      </c>
      <c r="G1280" s="957" t="s">
        <v>2238</v>
      </c>
    </row>
    <row r="1281" spans="1:7">
      <c r="A1281" s="957" t="s">
        <v>2236</v>
      </c>
      <c r="B1281" s="957" t="s">
        <v>2175</v>
      </c>
      <c r="C1281" s="957" t="s">
        <v>2237</v>
      </c>
      <c r="D1281" s="957" t="str">
        <f t="shared" si="19"/>
        <v>和歌山県岩出市</v>
      </c>
      <c r="E1281" s="957" t="s">
        <v>2236</v>
      </c>
      <c r="F1281" s="957" t="s">
        <v>2172</v>
      </c>
      <c r="G1281" s="957" t="s">
        <v>2235</v>
      </c>
    </row>
    <row r="1282" spans="1:7">
      <c r="A1282" s="957" t="s">
        <v>2233</v>
      </c>
      <c r="B1282" s="957" t="s">
        <v>2175</v>
      </c>
      <c r="C1282" s="957" t="s">
        <v>2234</v>
      </c>
      <c r="D1282" s="957" t="str">
        <f t="shared" si="19"/>
        <v>和歌山県紀美野町</v>
      </c>
      <c r="E1282" s="957" t="s">
        <v>2233</v>
      </c>
      <c r="F1282" s="957" t="s">
        <v>2172</v>
      </c>
      <c r="G1282" s="957" t="s">
        <v>2232</v>
      </c>
    </row>
    <row r="1283" spans="1:7">
      <c r="A1283" s="957" t="s">
        <v>2230</v>
      </c>
      <c r="B1283" s="957" t="s">
        <v>2175</v>
      </c>
      <c r="C1283" s="957" t="s">
        <v>2231</v>
      </c>
      <c r="D1283" s="957" t="str">
        <f t="shared" ref="D1283:D1346" si="20">B1283&amp;C1283</f>
        <v>和歌山県かつらぎ町</v>
      </c>
      <c r="E1283" s="957" t="s">
        <v>2230</v>
      </c>
      <c r="F1283" s="957" t="s">
        <v>2172</v>
      </c>
      <c r="G1283" s="957" t="s">
        <v>2229</v>
      </c>
    </row>
    <row r="1284" spans="1:7">
      <c r="A1284" s="957" t="s">
        <v>2227</v>
      </c>
      <c r="B1284" s="957" t="s">
        <v>2175</v>
      </c>
      <c r="C1284" s="957" t="s">
        <v>2228</v>
      </c>
      <c r="D1284" s="957" t="str">
        <f t="shared" si="20"/>
        <v>和歌山県九度山町</v>
      </c>
      <c r="E1284" s="957" t="s">
        <v>2227</v>
      </c>
      <c r="F1284" s="957" t="s">
        <v>2172</v>
      </c>
      <c r="G1284" s="957" t="s">
        <v>2226</v>
      </c>
    </row>
    <row r="1285" spans="1:7">
      <c r="A1285" s="957" t="s">
        <v>2224</v>
      </c>
      <c r="B1285" s="957" t="s">
        <v>2175</v>
      </c>
      <c r="C1285" s="957" t="s">
        <v>2225</v>
      </c>
      <c r="D1285" s="957" t="str">
        <f t="shared" si="20"/>
        <v>和歌山県高野町</v>
      </c>
      <c r="E1285" s="957" t="s">
        <v>2224</v>
      </c>
      <c r="F1285" s="957" t="s">
        <v>2172</v>
      </c>
      <c r="G1285" s="957" t="s">
        <v>2223</v>
      </c>
    </row>
    <row r="1286" spans="1:7">
      <c r="A1286" s="957" t="s">
        <v>2221</v>
      </c>
      <c r="B1286" s="957" t="s">
        <v>2175</v>
      </c>
      <c r="C1286" s="957" t="s">
        <v>2222</v>
      </c>
      <c r="D1286" s="957" t="str">
        <f t="shared" si="20"/>
        <v>和歌山県湯浅町</v>
      </c>
      <c r="E1286" s="957" t="s">
        <v>2221</v>
      </c>
      <c r="F1286" s="957" t="s">
        <v>2172</v>
      </c>
      <c r="G1286" s="957" t="s">
        <v>2220</v>
      </c>
    </row>
    <row r="1287" spans="1:7">
      <c r="A1287" s="957" t="s">
        <v>2219</v>
      </c>
      <c r="B1287" s="957" t="s">
        <v>2175</v>
      </c>
      <c r="C1287" s="957" t="s">
        <v>1378</v>
      </c>
      <c r="D1287" s="957" t="str">
        <f t="shared" si="20"/>
        <v>和歌山県広川町</v>
      </c>
      <c r="E1287" s="957" t="s">
        <v>2219</v>
      </c>
      <c r="F1287" s="957" t="s">
        <v>2172</v>
      </c>
      <c r="G1287" s="957" t="s">
        <v>2218</v>
      </c>
    </row>
    <row r="1288" spans="1:7">
      <c r="A1288" s="957" t="s">
        <v>2216</v>
      </c>
      <c r="B1288" s="957" t="s">
        <v>2175</v>
      </c>
      <c r="C1288" s="957" t="s">
        <v>2217</v>
      </c>
      <c r="D1288" s="957" t="str">
        <f t="shared" si="20"/>
        <v>和歌山県有田川町</v>
      </c>
      <c r="E1288" s="957" t="s">
        <v>2216</v>
      </c>
      <c r="F1288" s="957" t="s">
        <v>2172</v>
      </c>
      <c r="G1288" s="957" t="s">
        <v>2215</v>
      </c>
    </row>
    <row r="1289" spans="1:7">
      <c r="A1289" s="957" t="s">
        <v>2213</v>
      </c>
      <c r="B1289" s="957" t="s">
        <v>2175</v>
      </c>
      <c r="C1289" s="957" t="s">
        <v>2214</v>
      </c>
      <c r="D1289" s="957" t="str">
        <f t="shared" si="20"/>
        <v>和歌山県美浜町</v>
      </c>
      <c r="E1289" s="957" t="s">
        <v>2213</v>
      </c>
      <c r="F1289" s="957" t="s">
        <v>2172</v>
      </c>
      <c r="G1289" s="957" t="s">
        <v>2212</v>
      </c>
    </row>
    <row r="1290" spans="1:7">
      <c r="A1290" s="957" t="s">
        <v>2210</v>
      </c>
      <c r="B1290" s="957" t="s">
        <v>2175</v>
      </c>
      <c r="C1290" s="957" t="s">
        <v>2211</v>
      </c>
      <c r="D1290" s="957" t="str">
        <f t="shared" si="20"/>
        <v>和歌山県日高町</v>
      </c>
      <c r="E1290" s="957" t="s">
        <v>2210</v>
      </c>
      <c r="F1290" s="957" t="s">
        <v>2172</v>
      </c>
      <c r="G1290" s="957" t="s">
        <v>2209</v>
      </c>
    </row>
    <row r="1291" spans="1:7">
      <c r="A1291" s="957" t="s">
        <v>2207</v>
      </c>
      <c r="B1291" s="957" t="s">
        <v>2175</v>
      </c>
      <c r="C1291" s="957" t="s">
        <v>2208</v>
      </c>
      <c r="D1291" s="957" t="str">
        <f t="shared" si="20"/>
        <v>和歌山県由良町</v>
      </c>
      <c r="E1291" s="957" t="s">
        <v>2207</v>
      </c>
      <c r="F1291" s="957" t="s">
        <v>2172</v>
      </c>
      <c r="G1291" s="957" t="s">
        <v>2206</v>
      </c>
    </row>
    <row r="1292" spans="1:7">
      <c r="A1292" s="957" t="s">
        <v>2204</v>
      </c>
      <c r="B1292" s="957" t="s">
        <v>2175</v>
      </c>
      <c r="C1292" s="957" t="s">
        <v>2205</v>
      </c>
      <c r="D1292" s="957" t="str">
        <f t="shared" si="20"/>
        <v>和歌山県印南町</v>
      </c>
      <c r="E1292" s="957" t="s">
        <v>2204</v>
      </c>
      <c r="F1292" s="957" t="s">
        <v>2172</v>
      </c>
      <c r="G1292" s="957" t="s">
        <v>2203</v>
      </c>
    </row>
    <row r="1293" spans="1:7">
      <c r="A1293" s="957" t="s">
        <v>2201</v>
      </c>
      <c r="B1293" s="957" t="s">
        <v>2175</v>
      </c>
      <c r="C1293" s="957" t="s">
        <v>2202</v>
      </c>
      <c r="D1293" s="957" t="str">
        <f t="shared" si="20"/>
        <v>和歌山県みなべ町</v>
      </c>
      <c r="E1293" s="957" t="s">
        <v>2201</v>
      </c>
      <c r="F1293" s="957" t="s">
        <v>2172</v>
      </c>
      <c r="G1293" s="957" t="s">
        <v>2200</v>
      </c>
    </row>
    <row r="1294" spans="1:7">
      <c r="A1294" s="957" t="s">
        <v>2198</v>
      </c>
      <c r="B1294" s="957" t="s">
        <v>2175</v>
      </c>
      <c r="C1294" s="957" t="s">
        <v>2199</v>
      </c>
      <c r="D1294" s="957" t="str">
        <f t="shared" si="20"/>
        <v>和歌山県日高川町</v>
      </c>
      <c r="E1294" s="957" t="s">
        <v>2198</v>
      </c>
      <c r="F1294" s="957" t="s">
        <v>2172</v>
      </c>
      <c r="G1294" s="957" t="s">
        <v>2197</v>
      </c>
    </row>
    <row r="1295" spans="1:7">
      <c r="A1295" s="957" t="s">
        <v>2195</v>
      </c>
      <c r="B1295" s="957" t="s">
        <v>2175</v>
      </c>
      <c r="C1295" s="957" t="s">
        <v>2196</v>
      </c>
      <c r="D1295" s="957" t="str">
        <f t="shared" si="20"/>
        <v>和歌山県白浜町</v>
      </c>
      <c r="E1295" s="957" t="s">
        <v>2195</v>
      </c>
      <c r="F1295" s="957" t="s">
        <v>2172</v>
      </c>
      <c r="G1295" s="957" t="s">
        <v>2194</v>
      </c>
    </row>
    <row r="1296" spans="1:7">
      <c r="A1296" s="957" t="s">
        <v>2192</v>
      </c>
      <c r="B1296" s="957" t="s">
        <v>2175</v>
      </c>
      <c r="C1296" s="957" t="s">
        <v>2193</v>
      </c>
      <c r="D1296" s="957" t="str">
        <f t="shared" si="20"/>
        <v>和歌山県上富田町</v>
      </c>
      <c r="E1296" s="957" t="s">
        <v>2192</v>
      </c>
      <c r="F1296" s="957" t="s">
        <v>2172</v>
      </c>
      <c r="G1296" s="957" t="s">
        <v>2191</v>
      </c>
    </row>
    <row r="1297" spans="1:7">
      <c r="A1297" s="957" t="s">
        <v>2189</v>
      </c>
      <c r="B1297" s="957" t="s">
        <v>2175</v>
      </c>
      <c r="C1297" s="957" t="s">
        <v>2190</v>
      </c>
      <c r="D1297" s="957" t="str">
        <f t="shared" si="20"/>
        <v>和歌山県すさみ町</v>
      </c>
      <c r="E1297" s="957" t="s">
        <v>2189</v>
      </c>
      <c r="F1297" s="957" t="s">
        <v>2172</v>
      </c>
      <c r="G1297" s="957" t="s">
        <v>2188</v>
      </c>
    </row>
    <row r="1298" spans="1:7">
      <c r="A1298" s="957" t="s">
        <v>2186</v>
      </c>
      <c r="B1298" s="957" t="s">
        <v>2175</v>
      </c>
      <c r="C1298" s="957" t="s">
        <v>2187</v>
      </c>
      <c r="D1298" s="957" t="str">
        <f t="shared" si="20"/>
        <v>和歌山県那智勝浦町</v>
      </c>
      <c r="E1298" s="957" t="s">
        <v>2186</v>
      </c>
      <c r="F1298" s="957" t="s">
        <v>2172</v>
      </c>
      <c r="G1298" s="957" t="s">
        <v>2185</v>
      </c>
    </row>
    <row r="1299" spans="1:7">
      <c r="A1299" s="957" t="s">
        <v>2183</v>
      </c>
      <c r="B1299" s="957" t="s">
        <v>2175</v>
      </c>
      <c r="C1299" s="957" t="s">
        <v>2184</v>
      </c>
      <c r="D1299" s="957" t="str">
        <f t="shared" si="20"/>
        <v>和歌山県太地町</v>
      </c>
      <c r="E1299" s="957" t="s">
        <v>2183</v>
      </c>
      <c r="F1299" s="957" t="s">
        <v>2172</v>
      </c>
      <c r="G1299" s="957" t="s">
        <v>2182</v>
      </c>
    </row>
    <row r="1300" spans="1:7">
      <c r="A1300" s="957" t="s">
        <v>2180</v>
      </c>
      <c r="B1300" s="957" t="s">
        <v>2175</v>
      </c>
      <c r="C1300" s="957" t="s">
        <v>2181</v>
      </c>
      <c r="D1300" s="957" t="str">
        <f t="shared" si="20"/>
        <v>和歌山県古座川町</v>
      </c>
      <c r="E1300" s="957" t="s">
        <v>2180</v>
      </c>
      <c r="F1300" s="957" t="s">
        <v>2172</v>
      </c>
      <c r="G1300" s="957" t="s">
        <v>2179</v>
      </c>
    </row>
    <row r="1301" spans="1:7">
      <c r="A1301" s="957" t="s">
        <v>2177</v>
      </c>
      <c r="B1301" s="957" t="s">
        <v>2175</v>
      </c>
      <c r="C1301" s="957" t="s">
        <v>2178</v>
      </c>
      <c r="D1301" s="957" t="str">
        <f t="shared" si="20"/>
        <v>和歌山県北山村</v>
      </c>
      <c r="E1301" s="957" t="s">
        <v>2177</v>
      </c>
      <c r="F1301" s="957" t="s">
        <v>2172</v>
      </c>
      <c r="G1301" s="957" t="s">
        <v>2176</v>
      </c>
    </row>
    <row r="1302" spans="1:7">
      <c r="A1302" s="957" t="s">
        <v>2173</v>
      </c>
      <c r="B1302" s="957" t="s">
        <v>2175</v>
      </c>
      <c r="C1302" s="957" t="s">
        <v>2174</v>
      </c>
      <c r="D1302" s="957" t="str">
        <f t="shared" si="20"/>
        <v>和歌山県串本町</v>
      </c>
      <c r="E1302" s="957" t="s">
        <v>2173</v>
      </c>
      <c r="F1302" s="957" t="s">
        <v>2172</v>
      </c>
      <c r="G1302" s="957" t="s">
        <v>2171</v>
      </c>
    </row>
    <row r="1303" spans="1:7">
      <c r="A1303" s="960" t="s">
        <v>2169</v>
      </c>
      <c r="B1303" s="960" t="s">
        <v>2170</v>
      </c>
      <c r="C1303" s="960" t="s">
        <v>2170</v>
      </c>
      <c r="D1303" s="960" t="str">
        <f t="shared" si="20"/>
        <v>鳥取県鳥取県</v>
      </c>
      <c r="E1303" s="960" t="s">
        <v>2169</v>
      </c>
      <c r="F1303" s="959" t="s">
        <v>2168</v>
      </c>
      <c r="G1303" s="958"/>
    </row>
    <row r="1304" spans="1:7">
      <c r="A1304" s="957" t="s">
        <v>2166</v>
      </c>
      <c r="B1304" s="957" t="s">
        <v>2113</v>
      </c>
      <c r="C1304" s="957" t="s">
        <v>2167</v>
      </c>
      <c r="D1304" s="957" t="str">
        <f t="shared" si="20"/>
        <v>鳥取県鳥取市</v>
      </c>
      <c r="E1304" s="957" t="s">
        <v>2166</v>
      </c>
      <c r="F1304" s="957" t="s">
        <v>2110</v>
      </c>
      <c r="G1304" s="957" t="s">
        <v>2165</v>
      </c>
    </row>
    <row r="1305" spans="1:7">
      <c r="A1305" s="957" t="s">
        <v>2163</v>
      </c>
      <c r="B1305" s="957" t="s">
        <v>2113</v>
      </c>
      <c r="C1305" s="957" t="s">
        <v>2164</v>
      </c>
      <c r="D1305" s="957" t="str">
        <f t="shared" si="20"/>
        <v>鳥取県米子市</v>
      </c>
      <c r="E1305" s="957" t="s">
        <v>2163</v>
      </c>
      <c r="F1305" s="957" t="s">
        <v>2110</v>
      </c>
      <c r="G1305" s="957" t="s">
        <v>2162</v>
      </c>
    </row>
    <row r="1306" spans="1:7">
      <c r="A1306" s="957" t="s">
        <v>2160</v>
      </c>
      <c r="B1306" s="957" t="s">
        <v>2113</v>
      </c>
      <c r="C1306" s="957" t="s">
        <v>2161</v>
      </c>
      <c r="D1306" s="957" t="str">
        <f t="shared" si="20"/>
        <v>鳥取県倉吉市</v>
      </c>
      <c r="E1306" s="957" t="s">
        <v>2160</v>
      </c>
      <c r="F1306" s="957" t="s">
        <v>2110</v>
      </c>
      <c r="G1306" s="957" t="s">
        <v>2159</v>
      </c>
    </row>
    <row r="1307" spans="1:7">
      <c r="A1307" s="957" t="s">
        <v>2157</v>
      </c>
      <c r="B1307" s="957" t="s">
        <v>2113</v>
      </c>
      <c r="C1307" s="957" t="s">
        <v>2158</v>
      </c>
      <c r="D1307" s="957" t="str">
        <f t="shared" si="20"/>
        <v>鳥取県境港市</v>
      </c>
      <c r="E1307" s="957" t="s">
        <v>2157</v>
      </c>
      <c r="F1307" s="957" t="s">
        <v>2110</v>
      </c>
      <c r="G1307" s="957" t="s">
        <v>2156</v>
      </c>
    </row>
    <row r="1308" spans="1:7">
      <c r="A1308" s="957" t="s">
        <v>2154</v>
      </c>
      <c r="B1308" s="957" t="s">
        <v>2113</v>
      </c>
      <c r="C1308" s="957" t="s">
        <v>2155</v>
      </c>
      <c r="D1308" s="957" t="str">
        <f t="shared" si="20"/>
        <v>鳥取県岩美町</v>
      </c>
      <c r="E1308" s="957" t="s">
        <v>2154</v>
      </c>
      <c r="F1308" s="957" t="s">
        <v>2110</v>
      </c>
      <c r="G1308" s="957" t="s">
        <v>2153</v>
      </c>
    </row>
    <row r="1309" spans="1:7">
      <c r="A1309" s="957" t="s">
        <v>2151</v>
      </c>
      <c r="B1309" s="957" t="s">
        <v>2113</v>
      </c>
      <c r="C1309" s="957" t="s">
        <v>2152</v>
      </c>
      <c r="D1309" s="957" t="str">
        <f t="shared" si="20"/>
        <v>鳥取県若桜町</v>
      </c>
      <c r="E1309" s="957" t="s">
        <v>2151</v>
      </c>
      <c r="F1309" s="957" t="s">
        <v>2110</v>
      </c>
      <c r="G1309" s="957" t="s">
        <v>2150</v>
      </c>
    </row>
    <row r="1310" spans="1:7">
      <c r="A1310" s="957" t="s">
        <v>2148</v>
      </c>
      <c r="B1310" s="957" t="s">
        <v>2113</v>
      </c>
      <c r="C1310" s="957" t="s">
        <v>2149</v>
      </c>
      <c r="D1310" s="957" t="str">
        <f t="shared" si="20"/>
        <v>鳥取県智頭町</v>
      </c>
      <c r="E1310" s="957" t="s">
        <v>2148</v>
      </c>
      <c r="F1310" s="957" t="s">
        <v>2110</v>
      </c>
      <c r="G1310" s="957" t="s">
        <v>2147</v>
      </c>
    </row>
    <row r="1311" spans="1:7">
      <c r="A1311" s="957" t="s">
        <v>2145</v>
      </c>
      <c r="B1311" s="957" t="s">
        <v>2113</v>
      </c>
      <c r="C1311" s="957" t="s">
        <v>2146</v>
      </c>
      <c r="D1311" s="957" t="str">
        <f t="shared" si="20"/>
        <v>鳥取県八頭町</v>
      </c>
      <c r="E1311" s="957" t="s">
        <v>2145</v>
      </c>
      <c r="F1311" s="957" t="s">
        <v>2110</v>
      </c>
      <c r="G1311" s="957" t="s">
        <v>2144</v>
      </c>
    </row>
    <row r="1312" spans="1:7">
      <c r="A1312" s="957" t="s">
        <v>2142</v>
      </c>
      <c r="B1312" s="957" t="s">
        <v>2113</v>
      </c>
      <c r="C1312" s="957" t="s">
        <v>2143</v>
      </c>
      <c r="D1312" s="957" t="str">
        <f t="shared" si="20"/>
        <v>鳥取県三朝町</v>
      </c>
      <c r="E1312" s="957" t="s">
        <v>2142</v>
      </c>
      <c r="F1312" s="957" t="s">
        <v>2110</v>
      </c>
      <c r="G1312" s="957" t="s">
        <v>2141</v>
      </c>
    </row>
    <row r="1313" spans="1:7">
      <c r="A1313" s="957" t="s">
        <v>2139</v>
      </c>
      <c r="B1313" s="957" t="s">
        <v>2113</v>
      </c>
      <c r="C1313" s="957" t="s">
        <v>2140</v>
      </c>
      <c r="D1313" s="957" t="str">
        <f t="shared" si="20"/>
        <v>鳥取県湯梨浜町</v>
      </c>
      <c r="E1313" s="957" t="s">
        <v>2139</v>
      </c>
      <c r="F1313" s="957" t="s">
        <v>2110</v>
      </c>
      <c r="G1313" s="957" t="s">
        <v>2138</v>
      </c>
    </row>
    <row r="1314" spans="1:7">
      <c r="A1314" s="957" t="s">
        <v>2136</v>
      </c>
      <c r="B1314" s="957" t="s">
        <v>2113</v>
      </c>
      <c r="C1314" s="957" t="s">
        <v>2137</v>
      </c>
      <c r="D1314" s="957" t="str">
        <f t="shared" si="20"/>
        <v>鳥取県琴浦町</v>
      </c>
      <c r="E1314" s="957" t="s">
        <v>2136</v>
      </c>
      <c r="F1314" s="957" t="s">
        <v>2110</v>
      </c>
      <c r="G1314" s="957" t="s">
        <v>2135</v>
      </c>
    </row>
    <row r="1315" spans="1:7">
      <c r="A1315" s="957" t="s">
        <v>2133</v>
      </c>
      <c r="B1315" s="957" t="s">
        <v>2113</v>
      </c>
      <c r="C1315" s="957" t="s">
        <v>2134</v>
      </c>
      <c r="D1315" s="957" t="str">
        <f t="shared" si="20"/>
        <v>鳥取県北栄町</v>
      </c>
      <c r="E1315" s="957" t="s">
        <v>2133</v>
      </c>
      <c r="F1315" s="957" t="s">
        <v>2110</v>
      </c>
      <c r="G1315" s="957" t="s">
        <v>2132</v>
      </c>
    </row>
    <row r="1316" spans="1:7">
      <c r="A1316" s="957" t="s">
        <v>2130</v>
      </c>
      <c r="B1316" s="957" t="s">
        <v>2113</v>
      </c>
      <c r="C1316" s="957" t="s">
        <v>2131</v>
      </c>
      <c r="D1316" s="957" t="str">
        <f t="shared" si="20"/>
        <v>鳥取県日吉津村</v>
      </c>
      <c r="E1316" s="957" t="s">
        <v>2130</v>
      </c>
      <c r="F1316" s="957" t="s">
        <v>2110</v>
      </c>
      <c r="G1316" s="957" t="s">
        <v>2129</v>
      </c>
    </row>
    <row r="1317" spans="1:7">
      <c r="A1317" s="957" t="s">
        <v>2127</v>
      </c>
      <c r="B1317" s="957" t="s">
        <v>2113</v>
      </c>
      <c r="C1317" s="957" t="s">
        <v>2128</v>
      </c>
      <c r="D1317" s="957" t="str">
        <f t="shared" si="20"/>
        <v>鳥取県大山町</v>
      </c>
      <c r="E1317" s="957" t="s">
        <v>2127</v>
      </c>
      <c r="F1317" s="957" t="s">
        <v>2110</v>
      </c>
      <c r="G1317" s="957" t="s">
        <v>2126</v>
      </c>
    </row>
    <row r="1318" spans="1:7">
      <c r="A1318" s="957" t="s">
        <v>2124</v>
      </c>
      <c r="B1318" s="957" t="s">
        <v>2113</v>
      </c>
      <c r="C1318" s="957" t="s">
        <v>2125</v>
      </c>
      <c r="D1318" s="957" t="str">
        <f t="shared" si="20"/>
        <v>鳥取県南部町</v>
      </c>
      <c r="E1318" s="957" t="s">
        <v>2124</v>
      </c>
      <c r="F1318" s="957" t="s">
        <v>2110</v>
      </c>
      <c r="G1318" s="957" t="s">
        <v>2123</v>
      </c>
    </row>
    <row r="1319" spans="1:7">
      <c r="A1319" s="957" t="s">
        <v>2121</v>
      </c>
      <c r="B1319" s="957" t="s">
        <v>2113</v>
      </c>
      <c r="C1319" s="957" t="s">
        <v>2122</v>
      </c>
      <c r="D1319" s="957" t="str">
        <f t="shared" si="20"/>
        <v>鳥取県伯耆町</v>
      </c>
      <c r="E1319" s="957" t="s">
        <v>2121</v>
      </c>
      <c r="F1319" s="957" t="s">
        <v>2110</v>
      </c>
      <c r="G1319" s="957" t="s">
        <v>2120</v>
      </c>
    </row>
    <row r="1320" spans="1:7">
      <c r="A1320" s="957" t="s">
        <v>2118</v>
      </c>
      <c r="B1320" s="957" t="s">
        <v>2113</v>
      </c>
      <c r="C1320" s="957" t="s">
        <v>2119</v>
      </c>
      <c r="D1320" s="957" t="str">
        <f t="shared" si="20"/>
        <v>鳥取県日南町</v>
      </c>
      <c r="E1320" s="957" t="s">
        <v>2118</v>
      </c>
      <c r="F1320" s="957" t="s">
        <v>2110</v>
      </c>
      <c r="G1320" s="957" t="s">
        <v>2117</v>
      </c>
    </row>
    <row r="1321" spans="1:7">
      <c r="A1321" s="957" t="s">
        <v>2115</v>
      </c>
      <c r="B1321" s="957" t="s">
        <v>2113</v>
      </c>
      <c r="C1321" s="957" t="s">
        <v>2116</v>
      </c>
      <c r="D1321" s="957" t="str">
        <f t="shared" si="20"/>
        <v>鳥取県日野町</v>
      </c>
      <c r="E1321" s="957" t="s">
        <v>2115</v>
      </c>
      <c r="F1321" s="957" t="s">
        <v>2110</v>
      </c>
      <c r="G1321" s="957" t="s">
        <v>2114</v>
      </c>
    </row>
    <row r="1322" spans="1:7">
      <c r="A1322" s="957" t="s">
        <v>2111</v>
      </c>
      <c r="B1322" s="957" t="s">
        <v>2113</v>
      </c>
      <c r="C1322" s="957" t="s">
        <v>2112</v>
      </c>
      <c r="D1322" s="957" t="str">
        <f t="shared" si="20"/>
        <v>鳥取県江府町</v>
      </c>
      <c r="E1322" s="957" t="s">
        <v>2111</v>
      </c>
      <c r="F1322" s="957" t="s">
        <v>2110</v>
      </c>
      <c r="G1322" s="957" t="s">
        <v>2109</v>
      </c>
    </row>
    <row r="1323" spans="1:7">
      <c r="A1323" s="960" t="s">
        <v>2107</v>
      </c>
      <c r="B1323" s="960" t="s">
        <v>2108</v>
      </c>
      <c r="C1323" s="960" t="s">
        <v>2108</v>
      </c>
      <c r="D1323" s="960" t="str">
        <f t="shared" si="20"/>
        <v>島根県島根県</v>
      </c>
      <c r="E1323" s="960" t="s">
        <v>2107</v>
      </c>
      <c r="F1323" s="959" t="s">
        <v>2106</v>
      </c>
      <c r="G1323" s="958"/>
    </row>
    <row r="1324" spans="1:7">
      <c r="A1324" s="957" t="s">
        <v>2104</v>
      </c>
      <c r="B1324" s="957" t="s">
        <v>2053</v>
      </c>
      <c r="C1324" s="957" t="s">
        <v>2105</v>
      </c>
      <c r="D1324" s="957" t="str">
        <f t="shared" si="20"/>
        <v>島根県松江市</v>
      </c>
      <c r="E1324" s="957" t="s">
        <v>2104</v>
      </c>
      <c r="F1324" s="957" t="s">
        <v>2050</v>
      </c>
      <c r="G1324" s="957" t="s">
        <v>2103</v>
      </c>
    </row>
    <row r="1325" spans="1:7">
      <c r="A1325" s="957" t="s">
        <v>2101</v>
      </c>
      <c r="B1325" s="957" t="s">
        <v>2053</v>
      </c>
      <c r="C1325" s="957" t="s">
        <v>2102</v>
      </c>
      <c r="D1325" s="957" t="str">
        <f t="shared" si="20"/>
        <v>島根県浜田市</v>
      </c>
      <c r="E1325" s="957" t="s">
        <v>2101</v>
      </c>
      <c r="F1325" s="957" t="s">
        <v>2050</v>
      </c>
      <c r="G1325" s="957" t="s">
        <v>2100</v>
      </c>
    </row>
    <row r="1326" spans="1:7">
      <c r="A1326" s="957" t="s">
        <v>2098</v>
      </c>
      <c r="B1326" s="957" t="s">
        <v>2053</v>
      </c>
      <c r="C1326" s="957" t="s">
        <v>2099</v>
      </c>
      <c r="D1326" s="957" t="str">
        <f t="shared" si="20"/>
        <v>島根県出雲市</v>
      </c>
      <c r="E1326" s="957" t="s">
        <v>2098</v>
      </c>
      <c r="F1326" s="957" t="s">
        <v>2050</v>
      </c>
      <c r="G1326" s="957" t="s">
        <v>2097</v>
      </c>
    </row>
    <row r="1327" spans="1:7">
      <c r="A1327" s="957" t="s">
        <v>2095</v>
      </c>
      <c r="B1327" s="957" t="s">
        <v>2053</v>
      </c>
      <c r="C1327" s="957" t="s">
        <v>2096</v>
      </c>
      <c r="D1327" s="957" t="str">
        <f t="shared" si="20"/>
        <v>島根県益田市</v>
      </c>
      <c r="E1327" s="957" t="s">
        <v>2095</v>
      </c>
      <c r="F1327" s="957" t="s">
        <v>2050</v>
      </c>
      <c r="G1327" s="957" t="s">
        <v>2094</v>
      </c>
    </row>
    <row r="1328" spans="1:7">
      <c r="A1328" s="957" t="s">
        <v>2092</v>
      </c>
      <c r="B1328" s="957" t="s">
        <v>2053</v>
      </c>
      <c r="C1328" s="957" t="s">
        <v>2093</v>
      </c>
      <c r="D1328" s="957" t="str">
        <f t="shared" si="20"/>
        <v>島根県大田市</v>
      </c>
      <c r="E1328" s="957" t="s">
        <v>2092</v>
      </c>
      <c r="F1328" s="957" t="s">
        <v>2050</v>
      </c>
      <c r="G1328" s="957" t="s">
        <v>2091</v>
      </c>
    </row>
    <row r="1329" spans="1:7">
      <c r="A1329" s="957" t="s">
        <v>2089</v>
      </c>
      <c r="B1329" s="957" t="s">
        <v>2053</v>
      </c>
      <c r="C1329" s="957" t="s">
        <v>2090</v>
      </c>
      <c r="D1329" s="957" t="str">
        <f t="shared" si="20"/>
        <v>島根県安来市</v>
      </c>
      <c r="E1329" s="957" t="s">
        <v>2089</v>
      </c>
      <c r="F1329" s="957" t="s">
        <v>2050</v>
      </c>
      <c r="G1329" s="957" t="s">
        <v>2088</v>
      </c>
    </row>
    <row r="1330" spans="1:7">
      <c r="A1330" s="957" t="s">
        <v>2086</v>
      </c>
      <c r="B1330" s="957" t="s">
        <v>2053</v>
      </c>
      <c r="C1330" s="957" t="s">
        <v>2087</v>
      </c>
      <c r="D1330" s="957" t="str">
        <f t="shared" si="20"/>
        <v>島根県江津市</v>
      </c>
      <c r="E1330" s="957" t="s">
        <v>2086</v>
      </c>
      <c r="F1330" s="957" t="s">
        <v>2050</v>
      </c>
      <c r="G1330" s="957" t="s">
        <v>2085</v>
      </c>
    </row>
    <row r="1331" spans="1:7">
      <c r="A1331" s="957" t="s">
        <v>2083</v>
      </c>
      <c r="B1331" s="957" t="s">
        <v>2053</v>
      </c>
      <c r="C1331" s="957" t="s">
        <v>2084</v>
      </c>
      <c r="D1331" s="957" t="str">
        <f t="shared" si="20"/>
        <v>島根県雲南市</v>
      </c>
      <c r="E1331" s="957" t="s">
        <v>2083</v>
      </c>
      <c r="F1331" s="957" t="s">
        <v>2050</v>
      </c>
      <c r="G1331" s="957" t="s">
        <v>2082</v>
      </c>
    </row>
    <row r="1332" spans="1:7">
      <c r="A1332" s="957" t="s">
        <v>2080</v>
      </c>
      <c r="B1332" s="957" t="s">
        <v>2053</v>
      </c>
      <c r="C1332" s="957" t="s">
        <v>2081</v>
      </c>
      <c r="D1332" s="957" t="str">
        <f t="shared" si="20"/>
        <v>島根県奥出雲町</v>
      </c>
      <c r="E1332" s="957" t="s">
        <v>2080</v>
      </c>
      <c r="F1332" s="957" t="s">
        <v>2050</v>
      </c>
      <c r="G1332" s="957" t="s">
        <v>2079</v>
      </c>
    </row>
    <row r="1333" spans="1:7">
      <c r="A1333" s="957" t="s">
        <v>2077</v>
      </c>
      <c r="B1333" s="957" t="s">
        <v>2053</v>
      </c>
      <c r="C1333" s="957" t="s">
        <v>2078</v>
      </c>
      <c r="D1333" s="957" t="str">
        <f t="shared" si="20"/>
        <v>島根県飯南町</v>
      </c>
      <c r="E1333" s="957" t="s">
        <v>2077</v>
      </c>
      <c r="F1333" s="957" t="s">
        <v>2050</v>
      </c>
      <c r="G1333" s="957" t="s">
        <v>2076</v>
      </c>
    </row>
    <row r="1334" spans="1:7">
      <c r="A1334" s="957" t="s">
        <v>2074</v>
      </c>
      <c r="B1334" s="957" t="s">
        <v>2053</v>
      </c>
      <c r="C1334" s="957" t="s">
        <v>2075</v>
      </c>
      <c r="D1334" s="957" t="str">
        <f t="shared" si="20"/>
        <v>島根県川本町</v>
      </c>
      <c r="E1334" s="957" t="s">
        <v>2074</v>
      </c>
      <c r="F1334" s="957" t="s">
        <v>2050</v>
      </c>
      <c r="G1334" s="957" t="s">
        <v>2073</v>
      </c>
    </row>
    <row r="1335" spans="1:7">
      <c r="A1335" s="957" t="s">
        <v>2072</v>
      </c>
      <c r="B1335" s="957" t="s">
        <v>2053</v>
      </c>
      <c r="C1335" s="957" t="s">
        <v>936</v>
      </c>
      <c r="D1335" s="957" t="str">
        <f t="shared" si="20"/>
        <v>島根県美郷町</v>
      </c>
      <c r="E1335" s="957" t="s">
        <v>2072</v>
      </c>
      <c r="F1335" s="957" t="s">
        <v>2050</v>
      </c>
      <c r="G1335" s="957" t="s">
        <v>934</v>
      </c>
    </row>
    <row r="1336" spans="1:7">
      <c r="A1336" s="957" t="s">
        <v>2070</v>
      </c>
      <c r="B1336" s="957" t="s">
        <v>2053</v>
      </c>
      <c r="C1336" s="957" t="s">
        <v>2071</v>
      </c>
      <c r="D1336" s="957" t="str">
        <f t="shared" si="20"/>
        <v>島根県邑南町</v>
      </c>
      <c r="E1336" s="957" t="s">
        <v>2070</v>
      </c>
      <c r="F1336" s="957" t="s">
        <v>2050</v>
      </c>
      <c r="G1336" s="957" t="s">
        <v>2069</v>
      </c>
    </row>
    <row r="1337" spans="1:7">
      <c r="A1337" s="957" t="s">
        <v>2067</v>
      </c>
      <c r="B1337" s="957" t="s">
        <v>2053</v>
      </c>
      <c r="C1337" s="957" t="s">
        <v>2068</v>
      </c>
      <c r="D1337" s="957" t="str">
        <f t="shared" si="20"/>
        <v>島根県津和野町</v>
      </c>
      <c r="E1337" s="957" t="s">
        <v>2067</v>
      </c>
      <c r="F1337" s="957" t="s">
        <v>2050</v>
      </c>
      <c r="G1337" s="957" t="s">
        <v>2066</v>
      </c>
    </row>
    <row r="1338" spans="1:7">
      <c r="A1338" s="957" t="s">
        <v>2064</v>
      </c>
      <c r="B1338" s="957" t="s">
        <v>2053</v>
      </c>
      <c r="C1338" s="957" t="s">
        <v>2065</v>
      </c>
      <c r="D1338" s="957" t="str">
        <f t="shared" si="20"/>
        <v>島根県吉賀町</v>
      </c>
      <c r="E1338" s="957" t="s">
        <v>2064</v>
      </c>
      <c r="F1338" s="957" t="s">
        <v>2050</v>
      </c>
      <c r="G1338" s="957" t="s">
        <v>2063</v>
      </c>
    </row>
    <row r="1339" spans="1:7">
      <c r="A1339" s="957" t="s">
        <v>2061</v>
      </c>
      <c r="B1339" s="957" t="s">
        <v>2053</v>
      </c>
      <c r="C1339" s="957" t="s">
        <v>2062</v>
      </c>
      <c r="D1339" s="957" t="str">
        <f t="shared" si="20"/>
        <v>島根県海士町</v>
      </c>
      <c r="E1339" s="957" t="s">
        <v>2061</v>
      </c>
      <c r="F1339" s="957" t="s">
        <v>2050</v>
      </c>
      <c r="G1339" s="957" t="s">
        <v>2060</v>
      </c>
    </row>
    <row r="1340" spans="1:7">
      <c r="A1340" s="957" t="s">
        <v>2058</v>
      </c>
      <c r="B1340" s="957" t="s">
        <v>2053</v>
      </c>
      <c r="C1340" s="957" t="s">
        <v>2059</v>
      </c>
      <c r="D1340" s="957" t="str">
        <f t="shared" si="20"/>
        <v>島根県西ノ島町</v>
      </c>
      <c r="E1340" s="957" t="s">
        <v>2058</v>
      </c>
      <c r="F1340" s="957" t="s">
        <v>2050</v>
      </c>
      <c r="G1340" s="957" t="s">
        <v>2057</v>
      </c>
    </row>
    <row r="1341" spans="1:7">
      <c r="A1341" s="957" t="s">
        <v>2055</v>
      </c>
      <c r="B1341" s="957" t="s">
        <v>2053</v>
      </c>
      <c r="C1341" s="957" t="s">
        <v>2056</v>
      </c>
      <c r="D1341" s="957" t="str">
        <f t="shared" si="20"/>
        <v>島根県知夫村</v>
      </c>
      <c r="E1341" s="957" t="s">
        <v>2055</v>
      </c>
      <c r="F1341" s="957" t="s">
        <v>2050</v>
      </c>
      <c r="G1341" s="957" t="s">
        <v>2054</v>
      </c>
    </row>
    <row r="1342" spans="1:7">
      <c r="A1342" s="957" t="s">
        <v>2051</v>
      </c>
      <c r="B1342" s="957" t="s">
        <v>2053</v>
      </c>
      <c r="C1342" s="957" t="s">
        <v>2052</v>
      </c>
      <c r="D1342" s="957" t="str">
        <f t="shared" si="20"/>
        <v>島根県隠岐の島町</v>
      </c>
      <c r="E1342" s="957" t="s">
        <v>2051</v>
      </c>
      <c r="F1342" s="957" t="s">
        <v>2050</v>
      </c>
      <c r="G1342" s="957" t="s">
        <v>2049</v>
      </c>
    </row>
    <row r="1343" spans="1:7">
      <c r="A1343" s="960" t="s">
        <v>2047</v>
      </c>
      <c r="B1343" s="960" t="s">
        <v>2048</v>
      </c>
      <c r="C1343" s="960" t="s">
        <v>2048</v>
      </c>
      <c r="D1343" s="960" t="str">
        <f t="shared" si="20"/>
        <v>岡山県岡山県</v>
      </c>
      <c r="E1343" s="960" t="s">
        <v>2047</v>
      </c>
      <c r="F1343" s="959" t="s">
        <v>2046</v>
      </c>
      <c r="G1343" s="958"/>
    </row>
    <row r="1344" spans="1:7">
      <c r="A1344" s="957" t="s">
        <v>2044</v>
      </c>
      <c r="B1344" s="957" t="s">
        <v>1967</v>
      </c>
      <c r="C1344" s="957" t="s">
        <v>2045</v>
      </c>
      <c r="D1344" s="957" t="str">
        <f t="shared" si="20"/>
        <v>岡山県岡山市</v>
      </c>
      <c r="E1344" s="957" t="s">
        <v>2044</v>
      </c>
      <c r="F1344" s="957" t="s">
        <v>1964</v>
      </c>
      <c r="G1344" s="957" t="s">
        <v>2043</v>
      </c>
    </row>
    <row r="1345" spans="1:7">
      <c r="A1345" s="957" t="s">
        <v>2041</v>
      </c>
      <c r="B1345" s="957" t="s">
        <v>1967</v>
      </c>
      <c r="C1345" s="957" t="s">
        <v>2042</v>
      </c>
      <c r="D1345" s="957" t="str">
        <f t="shared" si="20"/>
        <v>岡山県倉敷市</v>
      </c>
      <c r="E1345" s="957" t="s">
        <v>2041</v>
      </c>
      <c r="F1345" s="957" t="s">
        <v>1964</v>
      </c>
      <c r="G1345" s="957" t="s">
        <v>2040</v>
      </c>
    </row>
    <row r="1346" spans="1:7">
      <c r="A1346" s="957" t="s">
        <v>2038</v>
      </c>
      <c r="B1346" s="957" t="s">
        <v>1967</v>
      </c>
      <c r="C1346" s="957" t="s">
        <v>2039</v>
      </c>
      <c r="D1346" s="957" t="str">
        <f t="shared" si="20"/>
        <v>岡山県津山市</v>
      </c>
      <c r="E1346" s="957" t="s">
        <v>2038</v>
      </c>
      <c r="F1346" s="957" t="s">
        <v>1964</v>
      </c>
      <c r="G1346" s="957" t="s">
        <v>2037</v>
      </c>
    </row>
    <row r="1347" spans="1:7">
      <c r="A1347" s="957" t="s">
        <v>2035</v>
      </c>
      <c r="B1347" s="957" t="s">
        <v>1967</v>
      </c>
      <c r="C1347" s="957" t="s">
        <v>2036</v>
      </c>
      <c r="D1347" s="957" t="str">
        <f t="shared" ref="D1347:D1410" si="21">B1347&amp;C1347</f>
        <v>岡山県玉野市</v>
      </c>
      <c r="E1347" s="957" t="s">
        <v>2035</v>
      </c>
      <c r="F1347" s="957" t="s">
        <v>1964</v>
      </c>
      <c r="G1347" s="957" t="s">
        <v>2034</v>
      </c>
    </row>
    <row r="1348" spans="1:7">
      <c r="A1348" s="957" t="s">
        <v>2032</v>
      </c>
      <c r="B1348" s="957" t="s">
        <v>1967</v>
      </c>
      <c r="C1348" s="957" t="s">
        <v>2033</v>
      </c>
      <c r="D1348" s="957" t="str">
        <f t="shared" si="21"/>
        <v>岡山県笠岡市</v>
      </c>
      <c r="E1348" s="957" t="s">
        <v>2032</v>
      </c>
      <c r="F1348" s="957" t="s">
        <v>1964</v>
      </c>
      <c r="G1348" s="957" t="s">
        <v>2031</v>
      </c>
    </row>
    <row r="1349" spans="1:7">
      <c r="A1349" s="957" t="s">
        <v>2029</v>
      </c>
      <c r="B1349" s="957" t="s">
        <v>1967</v>
      </c>
      <c r="C1349" s="957" t="s">
        <v>2030</v>
      </c>
      <c r="D1349" s="957" t="str">
        <f t="shared" si="21"/>
        <v>岡山県井原市</v>
      </c>
      <c r="E1349" s="957" t="s">
        <v>2029</v>
      </c>
      <c r="F1349" s="957" t="s">
        <v>1964</v>
      </c>
      <c r="G1349" s="957" t="s">
        <v>2028</v>
      </c>
    </row>
    <row r="1350" spans="1:7">
      <c r="A1350" s="957" t="s">
        <v>2026</v>
      </c>
      <c r="B1350" s="957" t="s">
        <v>1967</v>
      </c>
      <c r="C1350" s="957" t="s">
        <v>2027</v>
      </c>
      <c r="D1350" s="957" t="str">
        <f t="shared" si="21"/>
        <v>岡山県総社市</v>
      </c>
      <c r="E1350" s="957" t="s">
        <v>2026</v>
      </c>
      <c r="F1350" s="957" t="s">
        <v>1964</v>
      </c>
      <c r="G1350" s="957" t="s">
        <v>2025</v>
      </c>
    </row>
    <row r="1351" spans="1:7">
      <c r="A1351" s="957" t="s">
        <v>2023</v>
      </c>
      <c r="B1351" s="957" t="s">
        <v>1967</v>
      </c>
      <c r="C1351" s="957" t="s">
        <v>2024</v>
      </c>
      <c r="D1351" s="957" t="str">
        <f t="shared" si="21"/>
        <v>岡山県高梁市</v>
      </c>
      <c r="E1351" s="957" t="s">
        <v>2023</v>
      </c>
      <c r="F1351" s="957" t="s">
        <v>1964</v>
      </c>
      <c r="G1351" s="957" t="s">
        <v>2022</v>
      </c>
    </row>
    <row r="1352" spans="1:7">
      <c r="A1352" s="957" t="s">
        <v>2020</v>
      </c>
      <c r="B1352" s="957" t="s">
        <v>1967</v>
      </c>
      <c r="C1352" s="957" t="s">
        <v>2021</v>
      </c>
      <c r="D1352" s="957" t="str">
        <f t="shared" si="21"/>
        <v>岡山県新見市</v>
      </c>
      <c r="E1352" s="957" t="s">
        <v>2020</v>
      </c>
      <c r="F1352" s="957" t="s">
        <v>1964</v>
      </c>
      <c r="G1352" s="957" t="s">
        <v>2019</v>
      </c>
    </row>
    <row r="1353" spans="1:7">
      <c r="A1353" s="957" t="s">
        <v>2017</v>
      </c>
      <c r="B1353" s="957" t="s">
        <v>1967</v>
      </c>
      <c r="C1353" s="957" t="s">
        <v>2018</v>
      </c>
      <c r="D1353" s="957" t="str">
        <f t="shared" si="21"/>
        <v>岡山県備前市</v>
      </c>
      <c r="E1353" s="957" t="s">
        <v>2017</v>
      </c>
      <c r="F1353" s="957" t="s">
        <v>1964</v>
      </c>
      <c r="G1353" s="957" t="s">
        <v>2016</v>
      </c>
    </row>
    <row r="1354" spans="1:7">
      <c r="A1354" s="957" t="s">
        <v>2014</v>
      </c>
      <c r="B1354" s="957" t="s">
        <v>1967</v>
      </c>
      <c r="C1354" s="957" t="s">
        <v>2015</v>
      </c>
      <c r="D1354" s="957" t="str">
        <f t="shared" si="21"/>
        <v>岡山県瀬戸内市</v>
      </c>
      <c r="E1354" s="957" t="s">
        <v>2014</v>
      </c>
      <c r="F1354" s="957" t="s">
        <v>1964</v>
      </c>
      <c r="G1354" s="957" t="s">
        <v>2013</v>
      </c>
    </row>
    <row r="1355" spans="1:7">
      <c r="A1355" s="957" t="s">
        <v>2011</v>
      </c>
      <c r="B1355" s="957" t="s">
        <v>1967</v>
      </c>
      <c r="C1355" s="957" t="s">
        <v>2012</v>
      </c>
      <c r="D1355" s="957" t="str">
        <f t="shared" si="21"/>
        <v>岡山県赤磐市</v>
      </c>
      <c r="E1355" s="957" t="s">
        <v>2011</v>
      </c>
      <c r="F1355" s="957" t="s">
        <v>1964</v>
      </c>
      <c r="G1355" s="957" t="s">
        <v>2010</v>
      </c>
    </row>
    <row r="1356" spans="1:7">
      <c r="A1356" s="957" t="s">
        <v>2008</v>
      </c>
      <c r="B1356" s="957" t="s">
        <v>1967</v>
      </c>
      <c r="C1356" s="957" t="s">
        <v>2009</v>
      </c>
      <c r="D1356" s="957" t="str">
        <f t="shared" si="21"/>
        <v>岡山県真庭市</v>
      </c>
      <c r="E1356" s="957" t="s">
        <v>2008</v>
      </c>
      <c r="F1356" s="957" t="s">
        <v>1964</v>
      </c>
      <c r="G1356" s="957" t="s">
        <v>2007</v>
      </c>
    </row>
    <row r="1357" spans="1:7">
      <c r="A1357" s="957" t="s">
        <v>2005</v>
      </c>
      <c r="B1357" s="957" t="s">
        <v>1967</v>
      </c>
      <c r="C1357" s="957" t="s">
        <v>2006</v>
      </c>
      <c r="D1357" s="957" t="str">
        <f t="shared" si="21"/>
        <v>岡山県美作市</v>
      </c>
      <c r="E1357" s="957" t="s">
        <v>2005</v>
      </c>
      <c r="F1357" s="957" t="s">
        <v>1964</v>
      </c>
      <c r="G1357" s="957" t="s">
        <v>2004</v>
      </c>
    </row>
    <row r="1358" spans="1:7">
      <c r="A1358" s="957" t="s">
        <v>2002</v>
      </c>
      <c r="B1358" s="957" t="s">
        <v>1967</v>
      </c>
      <c r="C1358" s="957" t="s">
        <v>2003</v>
      </c>
      <c r="D1358" s="957" t="str">
        <f t="shared" si="21"/>
        <v>岡山県浅口市</v>
      </c>
      <c r="E1358" s="957" t="s">
        <v>2002</v>
      </c>
      <c r="F1358" s="957" t="s">
        <v>1964</v>
      </c>
      <c r="G1358" s="957" t="s">
        <v>2001</v>
      </c>
    </row>
    <row r="1359" spans="1:7">
      <c r="A1359" s="957" t="s">
        <v>1999</v>
      </c>
      <c r="B1359" s="957" t="s">
        <v>1967</v>
      </c>
      <c r="C1359" s="957" t="s">
        <v>2000</v>
      </c>
      <c r="D1359" s="957" t="str">
        <f t="shared" si="21"/>
        <v>岡山県和気町</v>
      </c>
      <c r="E1359" s="957" t="s">
        <v>1999</v>
      </c>
      <c r="F1359" s="957" t="s">
        <v>1964</v>
      </c>
      <c r="G1359" s="957" t="s">
        <v>1998</v>
      </c>
    </row>
    <row r="1360" spans="1:7">
      <c r="A1360" s="957" t="s">
        <v>1996</v>
      </c>
      <c r="B1360" s="957" t="s">
        <v>1967</v>
      </c>
      <c r="C1360" s="957" t="s">
        <v>1997</v>
      </c>
      <c r="D1360" s="957" t="str">
        <f t="shared" si="21"/>
        <v>岡山県早島町</v>
      </c>
      <c r="E1360" s="957" t="s">
        <v>1996</v>
      </c>
      <c r="F1360" s="957" t="s">
        <v>1964</v>
      </c>
      <c r="G1360" s="957" t="s">
        <v>1995</v>
      </c>
    </row>
    <row r="1361" spans="1:7">
      <c r="A1361" s="957" t="s">
        <v>1993</v>
      </c>
      <c r="B1361" s="957" t="s">
        <v>1967</v>
      </c>
      <c r="C1361" s="957" t="s">
        <v>1994</v>
      </c>
      <c r="D1361" s="957" t="str">
        <f t="shared" si="21"/>
        <v>岡山県里庄町</v>
      </c>
      <c r="E1361" s="957" t="s">
        <v>1993</v>
      </c>
      <c r="F1361" s="957" t="s">
        <v>1964</v>
      </c>
      <c r="G1361" s="957" t="s">
        <v>1992</v>
      </c>
    </row>
    <row r="1362" spans="1:7">
      <c r="A1362" s="957" t="s">
        <v>1990</v>
      </c>
      <c r="B1362" s="957" t="s">
        <v>1967</v>
      </c>
      <c r="C1362" s="957" t="s">
        <v>1991</v>
      </c>
      <c r="D1362" s="957" t="str">
        <f t="shared" si="21"/>
        <v>岡山県矢掛町</v>
      </c>
      <c r="E1362" s="957" t="s">
        <v>1990</v>
      </c>
      <c r="F1362" s="957" t="s">
        <v>1964</v>
      </c>
      <c r="G1362" s="957" t="s">
        <v>1989</v>
      </c>
    </row>
    <row r="1363" spans="1:7">
      <c r="A1363" s="957" t="s">
        <v>1987</v>
      </c>
      <c r="B1363" s="957" t="s">
        <v>1967</v>
      </c>
      <c r="C1363" s="957" t="s">
        <v>1988</v>
      </c>
      <c r="D1363" s="957" t="str">
        <f t="shared" si="21"/>
        <v>岡山県新庄村</v>
      </c>
      <c r="E1363" s="957" t="s">
        <v>1987</v>
      </c>
      <c r="F1363" s="957" t="s">
        <v>1964</v>
      </c>
      <c r="G1363" s="957" t="s">
        <v>1986</v>
      </c>
    </row>
    <row r="1364" spans="1:7">
      <c r="A1364" s="957" t="s">
        <v>1984</v>
      </c>
      <c r="B1364" s="957" t="s">
        <v>1967</v>
      </c>
      <c r="C1364" s="957" t="s">
        <v>1985</v>
      </c>
      <c r="D1364" s="957" t="str">
        <f t="shared" si="21"/>
        <v>岡山県鏡野町</v>
      </c>
      <c r="E1364" s="957" t="s">
        <v>1984</v>
      </c>
      <c r="F1364" s="957" t="s">
        <v>1964</v>
      </c>
      <c r="G1364" s="957" t="s">
        <v>1983</v>
      </c>
    </row>
    <row r="1365" spans="1:7">
      <c r="A1365" s="957" t="s">
        <v>1981</v>
      </c>
      <c r="B1365" s="957" t="s">
        <v>1967</v>
      </c>
      <c r="C1365" s="957" t="s">
        <v>1982</v>
      </c>
      <c r="D1365" s="957" t="str">
        <f t="shared" si="21"/>
        <v>岡山県勝央町</v>
      </c>
      <c r="E1365" s="957" t="s">
        <v>1981</v>
      </c>
      <c r="F1365" s="957" t="s">
        <v>1964</v>
      </c>
      <c r="G1365" s="957" t="s">
        <v>1980</v>
      </c>
    </row>
    <row r="1366" spans="1:7">
      <c r="A1366" s="957" t="s">
        <v>1978</v>
      </c>
      <c r="B1366" s="957" t="s">
        <v>1967</v>
      </c>
      <c r="C1366" s="957" t="s">
        <v>1979</v>
      </c>
      <c r="D1366" s="957" t="str">
        <f t="shared" si="21"/>
        <v>岡山県奈義町</v>
      </c>
      <c r="E1366" s="957" t="s">
        <v>1978</v>
      </c>
      <c r="F1366" s="957" t="s">
        <v>1964</v>
      </c>
      <c r="G1366" s="957" t="s">
        <v>1977</v>
      </c>
    </row>
    <row r="1367" spans="1:7">
      <c r="A1367" s="957" t="s">
        <v>1975</v>
      </c>
      <c r="B1367" s="957" t="s">
        <v>1967</v>
      </c>
      <c r="C1367" s="957" t="s">
        <v>1976</v>
      </c>
      <c r="D1367" s="957" t="str">
        <f t="shared" si="21"/>
        <v>岡山県西粟倉村</v>
      </c>
      <c r="E1367" s="957" t="s">
        <v>1975</v>
      </c>
      <c r="F1367" s="957" t="s">
        <v>1964</v>
      </c>
      <c r="G1367" s="957" t="s">
        <v>1974</v>
      </c>
    </row>
    <row r="1368" spans="1:7">
      <c r="A1368" s="957" t="s">
        <v>1972</v>
      </c>
      <c r="B1368" s="957" t="s">
        <v>1967</v>
      </c>
      <c r="C1368" s="957" t="s">
        <v>1973</v>
      </c>
      <c r="D1368" s="957" t="str">
        <f t="shared" si="21"/>
        <v>岡山県久米南町</v>
      </c>
      <c r="E1368" s="957" t="s">
        <v>1972</v>
      </c>
      <c r="F1368" s="957" t="s">
        <v>1964</v>
      </c>
      <c r="G1368" s="957" t="s">
        <v>1971</v>
      </c>
    </row>
    <row r="1369" spans="1:7">
      <c r="A1369" s="957" t="s">
        <v>1969</v>
      </c>
      <c r="B1369" s="957" t="s">
        <v>1967</v>
      </c>
      <c r="C1369" s="957" t="s">
        <v>1970</v>
      </c>
      <c r="D1369" s="957" t="str">
        <f t="shared" si="21"/>
        <v>岡山県美咲町</v>
      </c>
      <c r="E1369" s="957" t="s">
        <v>1969</v>
      </c>
      <c r="F1369" s="957" t="s">
        <v>1964</v>
      </c>
      <c r="G1369" s="957" t="s">
        <v>1968</v>
      </c>
    </row>
    <row r="1370" spans="1:7">
      <c r="A1370" s="957" t="s">
        <v>1965</v>
      </c>
      <c r="B1370" s="957" t="s">
        <v>1967</v>
      </c>
      <c r="C1370" s="957" t="s">
        <v>1966</v>
      </c>
      <c r="D1370" s="957" t="str">
        <f t="shared" si="21"/>
        <v>岡山県吉備中央町</v>
      </c>
      <c r="E1370" s="957" t="s">
        <v>1965</v>
      </c>
      <c r="F1370" s="957" t="s">
        <v>1964</v>
      </c>
      <c r="G1370" s="957" t="s">
        <v>1963</v>
      </c>
    </row>
    <row r="1371" spans="1:7">
      <c r="A1371" s="960" t="s">
        <v>1961</v>
      </c>
      <c r="B1371" s="960" t="s">
        <v>1962</v>
      </c>
      <c r="C1371" s="960" t="s">
        <v>1962</v>
      </c>
      <c r="D1371" s="960" t="str">
        <f t="shared" si="21"/>
        <v>広島県広島県</v>
      </c>
      <c r="E1371" s="960" t="s">
        <v>1961</v>
      </c>
      <c r="F1371" s="959" t="s">
        <v>1960</v>
      </c>
      <c r="G1371" s="958"/>
    </row>
    <row r="1372" spans="1:7">
      <c r="A1372" s="957" t="s">
        <v>1958</v>
      </c>
      <c r="B1372" s="957" t="s">
        <v>1894</v>
      </c>
      <c r="C1372" s="957" t="s">
        <v>1959</v>
      </c>
      <c r="D1372" s="957" t="str">
        <f t="shared" si="21"/>
        <v>広島県広島市</v>
      </c>
      <c r="E1372" s="957" t="s">
        <v>1958</v>
      </c>
      <c r="F1372" s="957" t="s">
        <v>1891</v>
      </c>
      <c r="G1372" s="957" t="s">
        <v>1957</v>
      </c>
    </row>
    <row r="1373" spans="1:7">
      <c r="A1373" s="957" t="s">
        <v>1955</v>
      </c>
      <c r="B1373" s="957" t="s">
        <v>1894</v>
      </c>
      <c r="C1373" s="957" t="s">
        <v>1956</v>
      </c>
      <c r="D1373" s="957" t="str">
        <f t="shared" si="21"/>
        <v>広島県呉市</v>
      </c>
      <c r="E1373" s="957" t="s">
        <v>1955</v>
      </c>
      <c r="F1373" s="957" t="s">
        <v>1891</v>
      </c>
      <c r="G1373" s="957" t="s">
        <v>1954</v>
      </c>
    </row>
    <row r="1374" spans="1:7">
      <c r="A1374" s="957" t="s">
        <v>1952</v>
      </c>
      <c r="B1374" s="957" t="s">
        <v>1894</v>
      </c>
      <c r="C1374" s="957" t="s">
        <v>1953</v>
      </c>
      <c r="D1374" s="957" t="str">
        <f t="shared" si="21"/>
        <v>広島県竹原市</v>
      </c>
      <c r="E1374" s="957" t="s">
        <v>1952</v>
      </c>
      <c r="F1374" s="957" t="s">
        <v>1891</v>
      </c>
      <c r="G1374" s="957" t="s">
        <v>1951</v>
      </c>
    </row>
    <row r="1375" spans="1:7">
      <c r="A1375" s="957" t="s">
        <v>1949</v>
      </c>
      <c r="B1375" s="957" t="s">
        <v>1894</v>
      </c>
      <c r="C1375" s="957" t="s">
        <v>1950</v>
      </c>
      <c r="D1375" s="957" t="str">
        <f t="shared" si="21"/>
        <v>広島県三原市</v>
      </c>
      <c r="E1375" s="957" t="s">
        <v>1949</v>
      </c>
      <c r="F1375" s="957" t="s">
        <v>1891</v>
      </c>
      <c r="G1375" s="957" t="s">
        <v>1948</v>
      </c>
    </row>
    <row r="1376" spans="1:7">
      <c r="A1376" s="957" t="s">
        <v>1946</v>
      </c>
      <c r="B1376" s="957" t="s">
        <v>1894</v>
      </c>
      <c r="C1376" s="957" t="s">
        <v>1947</v>
      </c>
      <c r="D1376" s="957" t="str">
        <f t="shared" si="21"/>
        <v>広島県尾道市</v>
      </c>
      <c r="E1376" s="957" t="s">
        <v>1946</v>
      </c>
      <c r="F1376" s="957" t="s">
        <v>1891</v>
      </c>
      <c r="G1376" s="957" t="s">
        <v>1945</v>
      </c>
    </row>
    <row r="1377" spans="1:7">
      <c r="A1377" s="957" t="s">
        <v>1943</v>
      </c>
      <c r="B1377" s="957" t="s">
        <v>1894</v>
      </c>
      <c r="C1377" s="957" t="s">
        <v>1944</v>
      </c>
      <c r="D1377" s="957" t="str">
        <f t="shared" si="21"/>
        <v>広島県福山市</v>
      </c>
      <c r="E1377" s="957" t="s">
        <v>1943</v>
      </c>
      <c r="F1377" s="957" t="s">
        <v>1891</v>
      </c>
      <c r="G1377" s="957" t="s">
        <v>1942</v>
      </c>
    </row>
    <row r="1378" spans="1:7">
      <c r="A1378" s="957" t="s">
        <v>1940</v>
      </c>
      <c r="B1378" s="957" t="s">
        <v>1894</v>
      </c>
      <c r="C1378" s="957" t="s">
        <v>1941</v>
      </c>
      <c r="D1378" s="957" t="str">
        <f t="shared" si="21"/>
        <v>広島県府中市</v>
      </c>
      <c r="E1378" s="957" t="s">
        <v>1940</v>
      </c>
      <c r="F1378" s="957" t="s">
        <v>1891</v>
      </c>
      <c r="G1378" s="957" t="s">
        <v>1939</v>
      </c>
    </row>
    <row r="1379" spans="1:7">
      <c r="A1379" s="957" t="s">
        <v>1937</v>
      </c>
      <c r="B1379" s="957" t="s">
        <v>1894</v>
      </c>
      <c r="C1379" s="957" t="s">
        <v>1938</v>
      </c>
      <c r="D1379" s="957" t="str">
        <f t="shared" si="21"/>
        <v>広島県三次市</v>
      </c>
      <c r="E1379" s="957" t="s">
        <v>1937</v>
      </c>
      <c r="F1379" s="957" t="s">
        <v>1891</v>
      </c>
      <c r="G1379" s="957" t="s">
        <v>1801</v>
      </c>
    </row>
    <row r="1380" spans="1:7">
      <c r="A1380" s="957" t="s">
        <v>1935</v>
      </c>
      <c r="B1380" s="957" t="s">
        <v>1894</v>
      </c>
      <c r="C1380" s="957" t="s">
        <v>1936</v>
      </c>
      <c r="D1380" s="957" t="str">
        <f t="shared" si="21"/>
        <v>広島県庄原市</v>
      </c>
      <c r="E1380" s="957" t="s">
        <v>1935</v>
      </c>
      <c r="F1380" s="957" t="s">
        <v>1891</v>
      </c>
      <c r="G1380" s="957" t="s">
        <v>1934</v>
      </c>
    </row>
    <row r="1381" spans="1:7">
      <c r="A1381" s="957" t="s">
        <v>1932</v>
      </c>
      <c r="B1381" s="957" t="s">
        <v>1894</v>
      </c>
      <c r="C1381" s="957" t="s">
        <v>1933</v>
      </c>
      <c r="D1381" s="957" t="str">
        <f t="shared" si="21"/>
        <v>広島県大竹市</v>
      </c>
      <c r="E1381" s="957" t="s">
        <v>1932</v>
      </c>
      <c r="F1381" s="957" t="s">
        <v>1891</v>
      </c>
      <c r="G1381" s="957" t="s">
        <v>1931</v>
      </c>
    </row>
    <row r="1382" spans="1:7">
      <c r="A1382" s="957" t="s">
        <v>1929</v>
      </c>
      <c r="B1382" s="957" t="s">
        <v>1894</v>
      </c>
      <c r="C1382" s="957" t="s">
        <v>1930</v>
      </c>
      <c r="D1382" s="957" t="str">
        <f t="shared" si="21"/>
        <v>広島県東広島市</v>
      </c>
      <c r="E1382" s="957" t="s">
        <v>1929</v>
      </c>
      <c r="F1382" s="957" t="s">
        <v>1891</v>
      </c>
      <c r="G1382" s="957" t="s">
        <v>1928</v>
      </c>
    </row>
    <row r="1383" spans="1:7">
      <c r="A1383" s="957" t="s">
        <v>1926</v>
      </c>
      <c r="B1383" s="957" t="s">
        <v>1894</v>
      </c>
      <c r="C1383" s="957" t="s">
        <v>1927</v>
      </c>
      <c r="D1383" s="957" t="str">
        <f t="shared" si="21"/>
        <v>広島県廿日市市</v>
      </c>
      <c r="E1383" s="957" t="s">
        <v>1926</v>
      </c>
      <c r="F1383" s="957" t="s">
        <v>1891</v>
      </c>
      <c r="G1383" s="957" t="s">
        <v>1925</v>
      </c>
    </row>
    <row r="1384" spans="1:7">
      <c r="A1384" s="957" t="s">
        <v>1923</v>
      </c>
      <c r="B1384" s="957" t="s">
        <v>1894</v>
      </c>
      <c r="C1384" s="957" t="s">
        <v>1924</v>
      </c>
      <c r="D1384" s="957" t="str">
        <f t="shared" si="21"/>
        <v>広島県安芸高田市</v>
      </c>
      <c r="E1384" s="957" t="s">
        <v>1923</v>
      </c>
      <c r="F1384" s="957" t="s">
        <v>1891</v>
      </c>
      <c r="G1384" s="957" t="s">
        <v>1922</v>
      </c>
    </row>
    <row r="1385" spans="1:7">
      <c r="A1385" s="957" t="s">
        <v>1920</v>
      </c>
      <c r="B1385" s="957" t="s">
        <v>1894</v>
      </c>
      <c r="C1385" s="957" t="s">
        <v>1921</v>
      </c>
      <c r="D1385" s="957" t="str">
        <f t="shared" si="21"/>
        <v>広島県江田島市</v>
      </c>
      <c r="E1385" s="957" t="s">
        <v>1920</v>
      </c>
      <c r="F1385" s="957" t="s">
        <v>1891</v>
      </c>
      <c r="G1385" s="957" t="s">
        <v>1919</v>
      </c>
    </row>
    <row r="1386" spans="1:7">
      <c r="A1386" s="957" t="s">
        <v>1917</v>
      </c>
      <c r="B1386" s="957" t="s">
        <v>1894</v>
      </c>
      <c r="C1386" s="957" t="s">
        <v>1918</v>
      </c>
      <c r="D1386" s="957" t="str">
        <f t="shared" si="21"/>
        <v>広島県府中町</v>
      </c>
      <c r="E1386" s="957" t="s">
        <v>1917</v>
      </c>
      <c r="F1386" s="957" t="s">
        <v>1891</v>
      </c>
      <c r="G1386" s="957" t="s">
        <v>1916</v>
      </c>
    </row>
    <row r="1387" spans="1:7">
      <c r="A1387" s="957" t="s">
        <v>1914</v>
      </c>
      <c r="B1387" s="957" t="s">
        <v>1894</v>
      </c>
      <c r="C1387" s="957" t="s">
        <v>1915</v>
      </c>
      <c r="D1387" s="957" t="str">
        <f t="shared" si="21"/>
        <v>広島県海田町</v>
      </c>
      <c r="E1387" s="957" t="s">
        <v>1914</v>
      </c>
      <c r="F1387" s="957" t="s">
        <v>1891</v>
      </c>
      <c r="G1387" s="957" t="s">
        <v>1913</v>
      </c>
    </row>
    <row r="1388" spans="1:7">
      <c r="A1388" s="957" t="s">
        <v>1911</v>
      </c>
      <c r="B1388" s="957" t="s">
        <v>1894</v>
      </c>
      <c r="C1388" s="957" t="s">
        <v>1912</v>
      </c>
      <c r="D1388" s="957" t="str">
        <f t="shared" si="21"/>
        <v>広島県熊野町</v>
      </c>
      <c r="E1388" s="957" t="s">
        <v>1911</v>
      </c>
      <c r="F1388" s="957" t="s">
        <v>1891</v>
      </c>
      <c r="G1388" s="957" t="s">
        <v>1910</v>
      </c>
    </row>
    <row r="1389" spans="1:7">
      <c r="A1389" s="957" t="s">
        <v>1908</v>
      </c>
      <c r="B1389" s="957" t="s">
        <v>1894</v>
      </c>
      <c r="C1389" s="957" t="s">
        <v>1909</v>
      </c>
      <c r="D1389" s="957" t="str">
        <f t="shared" si="21"/>
        <v>広島県坂町</v>
      </c>
      <c r="E1389" s="957" t="s">
        <v>1908</v>
      </c>
      <c r="F1389" s="957" t="s">
        <v>1891</v>
      </c>
      <c r="G1389" s="957" t="s">
        <v>1907</v>
      </c>
    </row>
    <row r="1390" spans="1:7">
      <c r="A1390" s="957" t="s">
        <v>1905</v>
      </c>
      <c r="B1390" s="957" t="s">
        <v>1894</v>
      </c>
      <c r="C1390" s="957" t="s">
        <v>1906</v>
      </c>
      <c r="D1390" s="957" t="str">
        <f t="shared" si="21"/>
        <v>広島県安芸太田町</v>
      </c>
      <c r="E1390" s="957" t="s">
        <v>1905</v>
      </c>
      <c r="F1390" s="957" t="s">
        <v>1891</v>
      </c>
      <c r="G1390" s="957" t="s">
        <v>1904</v>
      </c>
    </row>
    <row r="1391" spans="1:7">
      <c r="A1391" s="957" t="s">
        <v>1902</v>
      </c>
      <c r="B1391" s="957" t="s">
        <v>1894</v>
      </c>
      <c r="C1391" s="957" t="s">
        <v>1903</v>
      </c>
      <c r="D1391" s="957" t="str">
        <f t="shared" si="21"/>
        <v>広島県北広島町</v>
      </c>
      <c r="E1391" s="957" t="s">
        <v>1902</v>
      </c>
      <c r="F1391" s="957" t="s">
        <v>1891</v>
      </c>
      <c r="G1391" s="957" t="s">
        <v>1901</v>
      </c>
    </row>
    <row r="1392" spans="1:7">
      <c r="A1392" s="957" t="s">
        <v>1899</v>
      </c>
      <c r="B1392" s="957" t="s">
        <v>1894</v>
      </c>
      <c r="C1392" s="957" t="s">
        <v>1900</v>
      </c>
      <c r="D1392" s="957" t="str">
        <f t="shared" si="21"/>
        <v>広島県大崎上島町</v>
      </c>
      <c r="E1392" s="957" t="s">
        <v>1899</v>
      </c>
      <c r="F1392" s="957" t="s">
        <v>1891</v>
      </c>
      <c r="G1392" s="957" t="s">
        <v>1898</v>
      </c>
    </row>
    <row r="1393" spans="1:7">
      <c r="A1393" s="957" t="s">
        <v>1896</v>
      </c>
      <c r="B1393" s="957" t="s">
        <v>1894</v>
      </c>
      <c r="C1393" s="957" t="s">
        <v>1897</v>
      </c>
      <c r="D1393" s="957" t="str">
        <f t="shared" si="21"/>
        <v>広島県世羅町</v>
      </c>
      <c r="E1393" s="957" t="s">
        <v>1896</v>
      </c>
      <c r="F1393" s="957" t="s">
        <v>1891</v>
      </c>
      <c r="G1393" s="957" t="s">
        <v>1895</v>
      </c>
    </row>
    <row r="1394" spans="1:7">
      <c r="A1394" s="957" t="s">
        <v>1892</v>
      </c>
      <c r="B1394" s="957" t="s">
        <v>1894</v>
      </c>
      <c r="C1394" s="957" t="s">
        <v>1893</v>
      </c>
      <c r="D1394" s="957" t="str">
        <f t="shared" si="21"/>
        <v>広島県神石高原町</v>
      </c>
      <c r="E1394" s="957" t="s">
        <v>1892</v>
      </c>
      <c r="F1394" s="957" t="s">
        <v>1891</v>
      </c>
      <c r="G1394" s="957" t="s">
        <v>1890</v>
      </c>
    </row>
    <row r="1395" spans="1:7">
      <c r="A1395" s="960" t="s">
        <v>1888</v>
      </c>
      <c r="B1395" s="960" t="s">
        <v>1889</v>
      </c>
      <c r="C1395" s="960" t="s">
        <v>1889</v>
      </c>
      <c r="D1395" s="960" t="str">
        <f t="shared" si="21"/>
        <v>山口県山口県</v>
      </c>
      <c r="E1395" s="960" t="s">
        <v>1888</v>
      </c>
      <c r="F1395" s="959" t="s">
        <v>1887</v>
      </c>
      <c r="G1395" s="958"/>
    </row>
    <row r="1396" spans="1:7">
      <c r="A1396" s="957" t="s">
        <v>1885</v>
      </c>
      <c r="B1396" s="957" t="s">
        <v>1832</v>
      </c>
      <c r="C1396" s="957" t="s">
        <v>1886</v>
      </c>
      <c r="D1396" s="957" t="str">
        <f t="shared" si="21"/>
        <v>山口県下関市</v>
      </c>
      <c r="E1396" s="957" t="s">
        <v>1885</v>
      </c>
      <c r="F1396" s="957" t="s">
        <v>1829</v>
      </c>
      <c r="G1396" s="957" t="s">
        <v>1884</v>
      </c>
    </row>
    <row r="1397" spans="1:7">
      <c r="A1397" s="957" t="s">
        <v>1882</v>
      </c>
      <c r="B1397" s="957" t="s">
        <v>1832</v>
      </c>
      <c r="C1397" s="957" t="s">
        <v>1883</v>
      </c>
      <c r="D1397" s="957" t="str">
        <f t="shared" si="21"/>
        <v>山口県宇部市</v>
      </c>
      <c r="E1397" s="957" t="s">
        <v>1882</v>
      </c>
      <c r="F1397" s="957" t="s">
        <v>1829</v>
      </c>
      <c r="G1397" s="957" t="s">
        <v>1881</v>
      </c>
    </row>
    <row r="1398" spans="1:7">
      <c r="A1398" s="957" t="s">
        <v>1879</v>
      </c>
      <c r="B1398" s="957" t="s">
        <v>1832</v>
      </c>
      <c r="C1398" s="957" t="s">
        <v>1880</v>
      </c>
      <c r="D1398" s="957" t="str">
        <f t="shared" si="21"/>
        <v>山口県山口市</v>
      </c>
      <c r="E1398" s="957" t="s">
        <v>1879</v>
      </c>
      <c r="F1398" s="957" t="s">
        <v>1829</v>
      </c>
      <c r="G1398" s="957" t="s">
        <v>1878</v>
      </c>
    </row>
    <row r="1399" spans="1:7">
      <c r="A1399" s="957" t="s">
        <v>1876</v>
      </c>
      <c r="B1399" s="957" t="s">
        <v>1832</v>
      </c>
      <c r="C1399" s="957" t="s">
        <v>1877</v>
      </c>
      <c r="D1399" s="957" t="str">
        <f t="shared" si="21"/>
        <v>山口県萩市</v>
      </c>
      <c r="E1399" s="957" t="s">
        <v>1876</v>
      </c>
      <c r="F1399" s="957" t="s">
        <v>1829</v>
      </c>
      <c r="G1399" s="957" t="s">
        <v>1875</v>
      </c>
    </row>
    <row r="1400" spans="1:7">
      <c r="A1400" s="957" t="s">
        <v>1873</v>
      </c>
      <c r="B1400" s="957" t="s">
        <v>1832</v>
      </c>
      <c r="C1400" s="957" t="s">
        <v>1874</v>
      </c>
      <c r="D1400" s="957" t="str">
        <f t="shared" si="21"/>
        <v>山口県防府市</v>
      </c>
      <c r="E1400" s="957" t="s">
        <v>1873</v>
      </c>
      <c r="F1400" s="957" t="s">
        <v>1829</v>
      </c>
      <c r="G1400" s="957" t="s">
        <v>1872</v>
      </c>
    </row>
    <row r="1401" spans="1:7">
      <c r="A1401" s="957" t="s">
        <v>1870</v>
      </c>
      <c r="B1401" s="957" t="s">
        <v>1832</v>
      </c>
      <c r="C1401" s="957" t="s">
        <v>1871</v>
      </c>
      <c r="D1401" s="957" t="str">
        <f t="shared" si="21"/>
        <v>山口県下松市</v>
      </c>
      <c r="E1401" s="957" t="s">
        <v>1870</v>
      </c>
      <c r="F1401" s="957" t="s">
        <v>1829</v>
      </c>
      <c r="G1401" s="957" t="s">
        <v>1869</v>
      </c>
    </row>
    <row r="1402" spans="1:7">
      <c r="A1402" s="957" t="s">
        <v>1867</v>
      </c>
      <c r="B1402" s="957" t="s">
        <v>1832</v>
      </c>
      <c r="C1402" s="957" t="s">
        <v>1868</v>
      </c>
      <c r="D1402" s="957" t="str">
        <f t="shared" si="21"/>
        <v>山口県岩国市</v>
      </c>
      <c r="E1402" s="957" t="s">
        <v>1867</v>
      </c>
      <c r="F1402" s="957" t="s">
        <v>1829</v>
      </c>
      <c r="G1402" s="957" t="s">
        <v>1866</v>
      </c>
    </row>
    <row r="1403" spans="1:7">
      <c r="A1403" s="957" t="s">
        <v>1864</v>
      </c>
      <c r="B1403" s="957" t="s">
        <v>1832</v>
      </c>
      <c r="C1403" s="957" t="s">
        <v>1865</v>
      </c>
      <c r="D1403" s="957" t="str">
        <f t="shared" si="21"/>
        <v>山口県光市</v>
      </c>
      <c r="E1403" s="957" t="s">
        <v>1864</v>
      </c>
      <c r="F1403" s="957" t="s">
        <v>1829</v>
      </c>
      <c r="G1403" s="957" t="s">
        <v>1863</v>
      </c>
    </row>
    <row r="1404" spans="1:7">
      <c r="A1404" s="957" t="s">
        <v>1861</v>
      </c>
      <c r="B1404" s="957" t="s">
        <v>1832</v>
      </c>
      <c r="C1404" s="957" t="s">
        <v>1862</v>
      </c>
      <c r="D1404" s="957" t="str">
        <f t="shared" si="21"/>
        <v>山口県長門市</v>
      </c>
      <c r="E1404" s="957" t="s">
        <v>1861</v>
      </c>
      <c r="F1404" s="957" t="s">
        <v>1829</v>
      </c>
      <c r="G1404" s="957" t="s">
        <v>1860</v>
      </c>
    </row>
    <row r="1405" spans="1:7">
      <c r="A1405" s="957" t="s">
        <v>1858</v>
      </c>
      <c r="B1405" s="957" t="s">
        <v>1832</v>
      </c>
      <c r="C1405" s="957" t="s">
        <v>1859</v>
      </c>
      <c r="D1405" s="957" t="str">
        <f t="shared" si="21"/>
        <v>山口県柳井市</v>
      </c>
      <c r="E1405" s="957" t="s">
        <v>1858</v>
      </c>
      <c r="F1405" s="957" t="s">
        <v>1829</v>
      </c>
      <c r="G1405" s="957" t="s">
        <v>1857</v>
      </c>
    </row>
    <row r="1406" spans="1:7">
      <c r="A1406" s="957" t="s">
        <v>1855</v>
      </c>
      <c r="B1406" s="957" t="s">
        <v>1832</v>
      </c>
      <c r="C1406" s="957" t="s">
        <v>1856</v>
      </c>
      <c r="D1406" s="957" t="str">
        <f t="shared" si="21"/>
        <v>山口県美祢市</v>
      </c>
      <c r="E1406" s="957" t="s">
        <v>1855</v>
      </c>
      <c r="F1406" s="957" t="s">
        <v>1829</v>
      </c>
      <c r="G1406" s="957" t="s">
        <v>1854</v>
      </c>
    </row>
    <row r="1407" spans="1:7">
      <c r="A1407" s="957" t="s">
        <v>1852</v>
      </c>
      <c r="B1407" s="957" t="s">
        <v>1832</v>
      </c>
      <c r="C1407" s="957" t="s">
        <v>1853</v>
      </c>
      <c r="D1407" s="957" t="str">
        <f t="shared" si="21"/>
        <v>山口県周南市</v>
      </c>
      <c r="E1407" s="957" t="s">
        <v>1852</v>
      </c>
      <c r="F1407" s="957" t="s">
        <v>1829</v>
      </c>
      <c r="G1407" s="957" t="s">
        <v>1851</v>
      </c>
    </row>
    <row r="1408" spans="1:7">
      <c r="A1408" s="957" t="s">
        <v>1849</v>
      </c>
      <c r="B1408" s="957" t="s">
        <v>1832</v>
      </c>
      <c r="C1408" s="957" t="s">
        <v>1850</v>
      </c>
      <c r="D1408" s="957" t="str">
        <f t="shared" si="21"/>
        <v>山口県山陽小野田市</v>
      </c>
      <c r="E1408" s="957" t="s">
        <v>1849</v>
      </c>
      <c r="F1408" s="957" t="s">
        <v>1829</v>
      </c>
      <c r="G1408" s="957" t="s">
        <v>1848</v>
      </c>
    </row>
    <row r="1409" spans="1:7">
      <c r="A1409" s="957" t="s">
        <v>1846</v>
      </c>
      <c r="B1409" s="957" t="s">
        <v>1832</v>
      </c>
      <c r="C1409" s="957" t="s">
        <v>1847</v>
      </c>
      <c r="D1409" s="957" t="str">
        <f t="shared" si="21"/>
        <v>山口県周防大島町</v>
      </c>
      <c r="E1409" s="957" t="s">
        <v>1846</v>
      </c>
      <c r="F1409" s="957" t="s">
        <v>1829</v>
      </c>
      <c r="G1409" s="957" t="s">
        <v>1845</v>
      </c>
    </row>
    <row r="1410" spans="1:7">
      <c r="A1410" s="957" t="s">
        <v>1843</v>
      </c>
      <c r="B1410" s="957" t="s">
        <v>1832</v>
      </c>
      <c r="C1410" s="957" t="s">
        <v>1844</v>
      </c>
      <c r="D1410" s="957" t="str">
        <f t="shared" si="21"/>
        <v>山口県和木町</v>
      </c>
      <c r="E1410" s="957" t="s">
        <v>1843</v>
      </c>
      <c r="F1410" s="957" t="s">
        <v>1829</v>
      </c>
      <c r="G1410" s="957" t="s">
        <v>1842</v>
      </c>
    </row>
    <row r="1411" spans="1:7">
      <c r="A1411" s="957" t="s">
        <v>1840</v>
      </c>
      <c r="B1411" s="957" t="s">
        <v>1832</v>
      </c>
      <c r="C1411" s="957" t="s">
        <v>1841</v>
      </c>
      <c r="D1411" s="957" t="str">
        <f t="shared" ref="D1411:D1474" si="22">B1411&amp;C1411</f>
        <v>山口県上関町</v>
      </c>
      <c r="E1411" s="957" t="s">
        <v>1840</v>
      </c>
      <c r="F1411" s="957" t="s">
        <v>1829</v>
      </c>
      <c r="G1411" s="957" t="s">
        <v>1839</v>
      </c>
    </row>
    <row r="1412" spans="1:7">
      <c r="A1412" s="957" t="s">
        <v>1837</v>
      </c>
      <c r="B1412" s="957" t="s">
        <v>1832</v>
      </c>
      <c r="C1412" s="957" t="s">
        <v>1838</v>
      </c>
      <c r="D1412" s="957" t="str">
        <f t="shared" si="22"/>
        <v>山口県田布施町</v>
      </c>
      <c r="E1412" s="957" t="s">
        <v>1837</v>
      </c>
      <c r="F1412" s="957" t="s">
        <v>1829</v>
      </c>
      <c r="G1412" s="957" t="s">
        <v>1836</v>
      </c>
    </row>
    <row r="1413" spans="1:7">
      <c r="A1413" s="957" t="s">
        <v>1834</v>
      </c>
      <c r="B1413" s="957" t="s">
        <v>1832</v>
      </c>
      <c r="C1413" s="957" t="s">
        <v>1835</v>
      </c>
      <c r="D1413" s="957" t="str">
        <f t="shared" si="22"/>
        <v>山口県平生町</v>
      </c>
      <c r="E1413" s="957" t="s">
        <v>1834</v>
      </c>
      <c r="F1413" s="957" t="s">
        <v>1829</v>
      </c>
      <c r="G1413" s="957" t="s">
        <v>1833</v>
      </c>
    </row>
    <row r="1414" spans="1:7">
      <c r="A1414" s="957" t="s">
        <v>1830</v>
      </c>
      <c r="B1414" s="957" t="s">
        <v>1832</v>
      </c>
      <c r="C1414" s="957" t="s">
        <v>1831</v>
      </c>
      <c r="D1414" s="957" t="str">
        <f t="shared" si="22"/>
        <v>山口県阿武町</v>
      </c>
      <c r="E1414" s="957" t="s">
        <v>1830</v>
      </c>
      <c r="F1414" s="957" t="s">
        <v>1829</v>
      </c>
      <c r="G1414" s="957" t="s">
        <v>1828</v>
      </c>
    </row>
    <row r="1415" spans="1:7">
      <c r="A1415" s="960" t="s">
        <v>1826</v>
      </c>
      <c r="B1415" s="960" t="s">
        <v>1827</v>
      </c>
      <c r="C1415" s="960" t="s">
        <v>1827</v>
      </c>
      <c r="D1415" s="960" t="str">
        <f t="shared" si="22"/>
        <v>徳島県徳島県</v>
      </c>
      <c r="E1415" s="960" t="s">
        <v>1826</v>
      </c>
      <c r="F1415" s="959" t="s">
        <v>1825</v>
      </c>
      <c r="G1415" s="958"/>
    </row>
    <row r="1416" spans="1:7">
      <c r="A1416" s="957" t="s">
        <v>1823</v>
      </c>
      <c r="B1416" s="957" t="s">
        <v>1755</v>
      </c>
      <c r="C1416" s="957" t="s">
        <v>1824</v>
      </c>
      <c r="D1416" s="957" t="str">
        <f t="shared" si="22"/>
        <v>徳島県徳島市</v>
      </c>
      <c r="E1416" s="957" t="s">
        <v>1823</v>
      </c>
      <c r="F1416" s="957" t="s">
        <v>1752</v>
      </c>
      <c r="G1416" s="957" t="s">
        <v>1822</v>
      </c>
    </row>
    <row r="1417" spans="1:7">
      <c r="A1417" s="957" t="s">
        <v>1820</v>
      </c>
      <c r="B1417" s="957" t="s">
        <v>1755</v>
      </c>
      <c r="C1417" s="957" t="s">
        <v>1821</v>
      </c>
      <c r="D1417" s="957" t="str">
        <f t="shared" si="22"/>
        <v>徳島県鳴門市</v>
      </c>
      <c r="E1417" s="957" t="s">
        <v>1820</v>
      </c>
      <c r="F1417" s="957" t="s">
        <v>1752</v>
      </c>
      <c r="G1417" s="957" t="s">
        <v>1819</v>
      </c>
    </row>
    <row r="1418" spans="1:7">
      <c r="A1418" s="957" t="s">
        <v>1817</v>
      </c>
      <c r="B1418" s="957" t="s">
        <v>1755</v>
      </c>
      <c r="C1418" s="957" t="s">
        <v>1818</v>
      </c>
      <c r="D1418" s="957" t="str">
        <f t="shared" si="22"/>
        <v>徳島県小松島市</v>
      </c>
      <c r="E1418" s="957" t="s">
        <v>1817</v>
      </c>
      <c r="F1418" s="957" t="s">
        <v>1752</v>
      </c>
      <c r="G1418" s="957" t="s">
        <v>1816</v>
      </c>
    </row>
    <row r="1419" spans="1:7">
      <c r="A1419" s="957" t="s">
        <v>1814</v>
      </c>
      <c r="B1419" s="957" t="s">
        <v>1755</v>
      </c>
      <c r="C1419" s="957" t="s">
        <v>1815</v>
      </c>
      <c r="D1419" s="957" t="str">
        <f t="shared" si="22"/>
        <v>徳島県阿南市</v>
      </c>
      <c r="E1419" s="957" t="s">
        <v>1814</v>
      </c>
      <c r="F1419" s="957" t="s">
        <v>1752</v>
      </c>
      <c r="G1419" s="957" t="s">
        <v>1813</v>
      </c>
    </row>
    <row r="1420" spans="1:7">
      <c r="A1420" s="957" t="s">
        <v>1811</v>
      </c>
      <c r="B1420" s="957" t="s">
        <v>1755</v>
      </c>
      <c r="C1420" s="957" t="s">
        <v>1812</v>
      </c>
      <c r="D1420" s="957" t="str">
        <f t="shared" si="22"/>
        <v>徳島県吉野川市</v>
      </c>
      <c r="E1420" s="957" t="s">
        <v>1811</v>
      </c>
      <c r="F1420" s="957" t="s">
        <v>1752</v>
      </c>
      <c r="G1420" s="957" t="s">
        <v>1810</v>
      </c>
    </row>
    <row r="1421" spans="1:7">
      <c r="A1421" s="957" t="s">
        <v>1808</v>
      </c>
      <c r="B1421" s="957" t="s">
        <v>1755</v>
      </c>
      <c r="C1421" s="957" t="s">
        <v>1809</v>
      </c>
      <c r="D1421" s="957" t="str">
        <f t="shared" si="22"/>
        <v>徳島県阿波市</v>
      </c>
      <c r="E1421" s="957" t="s">
        <v>1808</v>
      </c>
      <c r="F1421" s="957" t="s">
        <v>1752</v>
      </c>
      <c r="G1421" s="957" t="s">
        <v>1807</v>
      </c>
    </row>
    <row r="1422" spans="1:7">
      <c r="A1422" s="957" t="s">
        <v>1805</v>
      </c>
      <c r="B1422" s="957" t="s">
        <v>1755</v>
      </c>
      <c r="C1422" s="957" t="s">
        <v>1806</v>
      </c>
      <c r="D1422" s="957" t="str">
        <f t="shared" si="22"/>
        <v>徳島県美馬市</v>
      </c>
      <c r="E1422" s="957" t="s">
        <v>1805</v>
      </c>
      <c r="F1422" s="957" t="s">
        <v>1752</v>
      </c>
      <c r="G1422" s="957" t="s">
        <v>1804</v>
      </c>
    </row>
    <row r="1423" spans="1:7">
      <c r="A1423" s="957" t="s">
        <v>1802</v>
      </c>
      <c r="B1423" s="957" t="s">
        <v>1755</v>
      </c>
      <c r="C1423" s="957" t="s">
        <v>1803</v>
      </c>
      <c r="D1423" s="957" t="str">
        <f t="shared" si="22"/>
        <v>徳島県三好市</v>
      </c>
      <c r="E1423" s="957" t="s">
        <v>1802</v>
      </c>
      <c r="F1423" s="957" t="s">
        <v>1752</v>
      </c>
      <c r="G1423" s="957" t="s">
        <v>1801</v>
      </c>
    </row>
    <row r="1424" spans="1:7">
      <c r="A1424" s="957" t="s">
        <v>1799</v>
      </c>
      <c r="B1424" s="957" t="s">
        <v>1755</v>
      </c>
      <c r="C1424" s="957" t="s">
        <v>1800</v>
      </c>
      <c r="D1424" s="957" t="str">
        <f t="shared" si="22"/>
        <v>徳島県勝浦町</v>
      </c>
      <c r="E1424" s="957" t="s">
        <v>1799</v>
      </c>
      <c r="F1424" s="957" t="s">
        <v>1752</v>
      </c>
      <c r="G1424" s="957" t="s">
        <v>1798</v>
      </c>
    </row>
    <row r="1425" spans="1:7">
      <c r="A1425" s="957" t="s">
        <v>1796</v>
      </c>
      <c r="B1425" s="957" t="s">
        <v>1755</v>
      </c>
      <c r="C1425" s="957" t="s">
        <v>1797</v>
      </c>
      <c r="D1425" s="957" t="str">
        <f t="shared" si="22"/>
        <v>徳島県上勝町</v>
      </c>
      <c r="E1425" s="957" t="s">
        <v>1796</v>
      </c>
      <c r="F1425" s="957" t="s">
        <v>1752</v>
      </c>
      <c r="G1425" s="957" t="s">
        <v>1795</v>
      </c>
    </row>
    <row r="1426" spans="1:7">
      <c r="A1426" s="957" t="s">
        <v>1793</v>
      </c>
      <c r="B1426" s="957" t="s">
        <v>1755</v>
      </c>
      <c r="C1426" s="957" t="s">
        <v>1794</v>
      </c>
      <c r="D1426" s="957" t="str">
        <f t="shared" si="22"/>
        <v>徳島県佐那河内村</v>
      </c>
      <c r="E1426" s="957" t="s">
        <v>1793</v>
      </c>
      <c r="F1426" s="957" t="s">
        <v>1752</v>
      </c>
      <c r="G1426" s="957" t="s">
        <v>1792</v>
      </c>
    </row>
    <row r="1427" spans="1:7">
      <c r="A1427" s="957" t="s">
        <v>1790</v>
      </c>
      <c r="B1427" s="957" t="s">
        <v>1755</v>
      </c>
      <c r="C1427" s="957" t="s">
        <v>1791</v>
      </c>
      <c r="D1427" s="957" t="str">
        <f t="shared" si="22"/>
        <v>徳島県石井町</v>
      </c>
      <c r="E1427" s="957" t="s">
        <v>1790</v>
      </c>
      <c r="F1427" s="957" t="s">
        <v>1752</v>
      </c>
      <c r="G1427" s="957" t="s">
        <v>1789</v>
      </c>
    </row>
    <row r="1428" spans="1:7">
      <c r="A1428" s="957" t="s">
        <v>1787</v>
      </c>
      <c r="B1428" s="957" t="s">
        <v>1755</v>
      </c>
      <c r="C1428" s="957" t="s">
        <v>1788</v>
      </c>
      <c r="D1428" s="957" t="str">
        <f t="shared" si="22"/>
        <v>徳島県神山町</v>
      </c>
      <c r="E1428" s="957" t="s">
        <v>1787</v>
      </c>
      <c r="F1428" s="957" t="s">
        <v>1752</v>
      </c>
      <c r="G1428" s="957" t="s">
        <v>1786</v>
      </c>
    </row>
    <row r="1429" spans="1:7">
      <c r="A1429" s="957" t="s">
        <v>1784</v>
      </c>
      <c r="B1429" s="957" t="s">
        <v>1755</v>
      </c>
      <c r="C1429" s="957" t="s">
        <v>1785</v>
      </c>
      <c r="D1429" s="957" t="str">
        <f t="shared" si="22"/>
        <v>徳島県那賀町</v>
      </c>
      <c r="E1429" s="957" t="s">
        <v>1784</v>
      </c>
      <c r="F1429" s="957" t="s">
        <v>1752</v>
      </c>
      <c r="G1429" s="957" t="s">
        <v>1783</v>
      </c>
    </row>
    <row r="1430" spans="1:7">
      <c r="A1430" s="957" t="s">
        <v>1781</v>
      </c>
      <c r="B1430" s="957" t="s">
        <v>1755</v>
      </c>
      <c r="C1430" s="957" t="s">
        <v>1782</v>
      </c>
      <c r="D1430" s="957" t="str">
        <f t="shared" si="22"/>
        <v>徳島県牟岐町</v>
      </c>
      <c r="E1430" s="957" t="s">
        <v>1781</v>
      </c>
      <c r="F1430" s="957" t="s">
        <v>1752</v>
      </c>
      <c r="G1430" s="957" t="s">
        <v>1780</v>
      </c>
    </row>
    <row r="1431" spans="1:7">
      <c r="A1431" s="957" t="s">
        <v>1778</v>
      </c>
      <c r="B1431" s="957" t="s">
        <v>1755</v>
      </c>
      <c r="C1431" s="957" t="s">
        <v>1779</v>
      </c>
      <c r="D1431" s="957" t="str">
        <f t="shared" si="22"/>
        <v>徳島県美波町</v>
      </c>
      <c r="E1431" s="957" t="s">
        <v>1778</v>
      </c>
      <c r="F1431" s="957" t="s">
        <v>1752</v>
      </c>
      <c r="G1431" s="957" t="s">
        <v>1777</v>
      </c>
    </row>
    <row r="1432" spans="1:7">
      <c r="A1432" s="957" t="s">
        <v>1775</v>
      </c>
      <c r="B1432" s="957" t="s">
        <v>1755</v>
      </c>
      <c r="C1432" s="957" t="s">
        <v>1776</v>
      </c>
      <c r="D1432" s="957" t="str">
        <f t="shared" si="22"/>
        <v>徳島県海陽町</v>
      </c>
      <c r="E1432" s="957" t="s">
        <v>1775</v>
      </c>
      <c r="F1432" s="957" t="s">
        <v>1752</v>
      </c>
      <c r="G1432" s="957" t="s">
        <v>1774</v>
      </c>
    </row>
    <row r="1433" spans="1:7">
      <c r="A1433" s="957" t="s">
        <v>1772</v>
      </c>
      <c r="B1433" s="957" t="s">
        <v>1755</v>
      </c>
      <c r="C1433" s="957" t="s">
        <v>1773</v>
      </c>
      <c r="D1433" s="957" t="str">
        <f t="shared" si="22"/>
        <v>徳島県松茂町</v>
      </c>
      <c r="E1433" s="957" t="s">
        <v>1772</v>
      </c>
      <c r="F1433" s="957" t="s">
        <v>1752</v>
      </c>
      <c r="G1433" s="957" t="s">
        <v>1771</v>
      </c>
    </row>
    <row r="1434" spans="1:7">
      <c r="A1434" s="957" t="s">
        <v>1769</v>
      </c>
      <c r="B1434" s="957" t="s">
        <v>1755</v>
      </c>
      <c r="C1434" s="957" t="s">
        <v>1770</v>
      </c>
      <c r="D1434" s="957" t="str">
        <f t="shared" si="22"/>
        <v>徳島県北島町</v>
      </c>
      <c r="E1434" s="957" t="s">
        <v>1769</v>
      </c>
      <c r="F1434" s="957" t="s">
        <v>1752</v>
      </c>
      <c r="G1434" s="957" t="s">
        <v>1768</v>
      </c>
    </row>
    <row r="1435" spans="1:7">
      <c r="A1435" s="957" t="s">
        <v>1766</v>
      </c>
      <c r="B1435" s="957" t="s">
        <v>1755</v>
      </c>
      <c r="C1435" s="957" t="s">
        <v>1767</v>
      </c>
      <c r="D1435" s="957" t="str">
        <f t="shared" si="22"/>
        <v>徳島県藍住町</v>
      </c>
      <c r="E1435" s="957" t="s">
        <v>1766</v>
      </c>
      <c r="F1435" s="957" t="s">
        <v>1752</v>
      </c>
      <c r="G1435" s="957" t="s">
        <v>1765</v>
      </c>
    </row>
    <row r="1436" spans="1:7">
      <c r="A1436" s="957" t="s">
        <v>1763</v>
      </c>
      <c r="B1436" s="957" t="s">
        <v>1755</v>
      </c>
      <c r="C1436" s="957" t="s">
        <v>1764</v>
      </c>
      <c r="D1436" s="957" t="str">
        <f t="shared" si="22"/>
        <v>徳島県板野町</v>
      </c>
      <c r="E1436" s="957" t="s">
        <v>1763</v>
      </c>
      <c r="F1436" s="957" t="s">
        <v>1752</v>
      </c>
      <c r="G1436" s="957" t="s">
        <v>1762</v>
      </c>
    </row>
    <row r="1437" spans="1:7">
      <c r="A1437" s="957" t="s">
        <v>1760</v>
      </c>
      <c r="B1437" s="957" t="s">
        <v>1755</v>
      </c>
      <c r="C1437" s="957" t="s">
        <v>1761</v>
      </c>
      <c r="D1437" s="957" t="str">
        <f t="shared" si="22"/>
        <v>徳島県上板町</v>
      </c>
      <c r="E1437" s="957" t="s">
        <v>1760</v>
      </c>
      <c r="F1437" s="957" t="s">
        <v>1752</v>
      </c>
      <c r="G1437" s="957" t="s">
        <v>1759</v>
      </c>
    </row>
    <row r="1438" spans="1:7">
      <c r="A1438" s="957" t="s">
        <v>1757</v>
      </c>
      <c r="B1438" s="957" t="s">
        <v>1755</v>
      </c>
      <c r="C1438" s="957" t="s">
        <v>1758</v>
      </c>
      <c r="D1438" s="957" t="str">
        <f t="shared" si="22"/>
        <v>徳島県つるぎ町</v>
      </c>
      <c r="E1438" s="957" t="s">
        <v>1757</v>
      </c>
      <c r="F1438" s="957" t="s">
        <v>1752</v>
      </c>
      <c r="G1438" s="957" t="s">
        <v>1756</v>
      </c>
    </row>
    <row r="1439" spans="1:7">
      <c r="A1439" s="957" t="s">
        <v>1753</v>
      </c>
      <c r="B1439" s="957" t="s">
        <v>1755</v>
      </c>
      <c r="C1439" s="957" t="s">
        <v>1754</v>
      </c>
      <c r="D1439" s="957" t="str">
        <f t="shared" si="22"/>
        <v>徳島県東みよし町</v>
      </c>
      <c r="E1439" s="957" t="s">
        <v>1753</v>
      </c>
      <c r="F1439" s="957" t="s">
        <v>1752</v>
      </c>
      <c r="G1439" s="957" t="s">
        <v>1751</v>
      </c>
    </row>
    <row r="1440" spans="1:7">
      <c r="A1440" s="960" t="s">
        <v>1749</v>
      </c>
      <c r="B1440" s="960" t="s">
        <v>1750</v>
      </c>
      <c r="C1440" s="960" t="s">
        <v>1750</v>
      </c>
      <c r="D1440" s="960" t="str">
        <f t="shared" si="22"/>
        <v>香川県香川県</v>
      </c>
      <c r="E1440" s="960" t="s">
        <v>1749</v>
      </c>
      <c r="F1440" s="959" t="s">
        <v>1748</v>
      </c>
      <c r="G1440" s="958"/>
    </row>
    <row r="1441" spans="1:7">
      <c r="A1441" s="957" t="s">
        <v>1746</v>
      </c>
      <c r="B1441" s="957" t="s">
        <v>1699</v>
      </c>
      <c r="C1441" s="957" t="s">
        <v>1747</v>
      </c>
      <c r="D1441" s="957" t="str">
        <f t="shared" si="22"/>
        <v>香川県高松市</v>
      </c>
      <c r="E1441" s="957" t="s">
        <v>1746</v>
      </c>
      <c r="F1441" s="957" t="s">
        <v>1696</v>
      </c>
      <c r="G1441" s="957" t="s">
        <v>1745</v>
      </c>
    </row>
    <row r="1442" spans="1:7">
      <c r="A1442" s="957" t="s">
        <v>1743</v>
      </c>
      <c r="B1442" s="957" t="s">
        <v>1699</v>
      </c>
      <c r="C1442" s="957" t="s">
        <v>1744</v>
      </c>
      <c r="D1442" s="957" t="str">
        <f t="shared" si="22"/>
        <v>香川県丸亀市</v>
      </c>
      <c r="E1442" s="957" t="s">
        <v>1743</v>
      </c>
      <c r="F1442" s="957" t="s">
        <v>1696</v>
      </c>
      <c r="G1442" s="957" t="s">
        <v>1742</v>
      </c>
    </row>
    <row r="1443" spans="1:7">
      <c r="A1443" s="957" t="s">
        <v>1740</v>
      </c>
      <c r="B1443" s="957" t="s">
        <v>1699</v>
      </c>
      <c r="C1443" s="957" t="s">
        <v>1741</v>
      </c>
      <c r="D1443" s="957" t="str">
        <f t="shared" si="22"/>
        <v>香川県坂出市</v>
      </c>
      <c r="E1443" s="957" t="s">
        <v>1740</v>
      </c>
      <c r="F1443" s="957" t="s">
        <v>1696</v>
      </c>
      <c r="G1443" s="957" t="s">
        <v>1739</v>
      </c>
    </row>
    <row r="1444" spans="1:7">
      <c r="A1444" s="957" t="s">
        <v>1737</v>
      </c>
      <c r="B1444" s="957" t="s">
        <v>1699</v>
      </c>
      <c r="C1444" s="957" t="s">
        <v>1738</v>
      </c>
      <c r="D1444" s="957" t="str">
        <f t="shared" si="22"/>
        <v>香川県善通寺市</v>
      </c>
      <c r="E1444" s="957" t="s">
        <v>1737</v>
      </c>
      <c r="F1444" s="957" t="s">
        <v>1696</v>
      </c>
      <c r="G1444" s="957" t="s">
        <v>1736</v>
      </c>
    </row>
    <row r="1445" spans="1:7">
      <c r="A1445" s="957" t="s">
        <v>1734</v>
      </c>
      <c r="B1445" s="957" t="s">
        <v>1699</v>
      </c>
      <c r="C1445" s="957" t="s">
        <v>1735</v>
      </c>
      <c r="D1445" s="957" t="str">
        <f t="shared" si="22"/>
        <v>香川県観音寺市</v>
      </c>
      <c r="E1445" s="957" t="s">
        <v>1734</v>
      </c>
      <c r="F1445" s="957" t="s">
        <v>1696</v>
      </c>
      <c r="G1445" s="957" t="s">
        <v>1733</v>
      </c>
    </row>
    <row r="1446" spans="1:7">
      <c r="A1446" s="957" t="s">
        <v>1731</v>
      </c>
      <c r="B1446" s="957" t="s">
        <v>1699</v>
      </c>
      <c r="C1446" s="957" t="s">
        <v>1732</v>
      </c>
      <c r="D1446" s="957" t="str">
        <f t="shared" si="22"/>
        <v>香川県さぬき市</v>
      </c>
      <c r="E1446" s="957" t="s">
        <v>1731</v>
      </c>
      <c r="F1446" s="957" t="s">
        <v>1696</v>
      </c>
      <c r="G1446" s="957" t="s">
        <v>1730</v>
      </c>
    </row>
    <row r="1447" spans="1:7">
      <c r="A1447" s="957" t="s">
        <v>1728</v>
      </c>
      <c r="B1447" s="957" t="s">
        <v>1699</v>
      </c>
      <c r="C1447" s="957" t="s">
        <v>1729</v>
      </c>
      <c r="D1447" s="957" t="str">
        <f t="shared" si="22"/>
        <v>香川県東かがわ市</v>
      </c>
      <c r="E1447" s="957" t="s">
        <v>1728</v>
      </c>
      <c r="F1447" s="957" t="s">
        <v>1696</v>
      </c>
      <c r="G1447" s="957" t="s">
        <v>1727</v>
      </c>
    </row>
    <row r="1448" spans="1:7">
      <c r="A1448" s="957" t="s">
        <v>1725</v>
      </c>
      <c r="B1448" s="957" t="s">
        <v>1699</v>
      </c>
      <c r="C1448" s="957" t="s">
        <v>1726</v>
      </c>
      <c r="D1448" s="957" t="str">
        <f t="shared" si="22"/>
        <v>香川県三豊市</v>
      </c>
      <c r="E1448" s="957" t="s">
        <v>1725</v>
      </c>
      <c r="F1448" s="957" t="s">
        <v>1696</v>
      </c>
      <c r="G1448" s="957" t="s">
        <v>1724</v>
      </c>
    </row>
    <row r="1449" spans="1:7">
      <c r="A1449" s="957" t="s">
        <v>1722</v>
      </c>
      <c r="B1449" s="957" t="s">
        <v>1699</v>
      </c>
      <c r="C1449" s="957" t="s">
        <v>1723</v>
      </c>
      <c r="D1449" s="957" t="str">
        <f t="shared" si="22"/>
        <v>香川県土庄町</v>
      </c>
      <c r="E1449" s="957" t="s">
        <v>1722</v>
      </c>
      <c r="F1449" s="957" t="s">
        <v>1696</v>
      </c>
      <c r="G1449" s="957" t="s">
        <v>1721</v>
      </c>
    </row>
    <row r="1450" spans="1:7">
      <c r="A1450" s="957" t="s">
        <v>1719</v>
      </c>
      <c r="B1450" s="957" t="s">
        <v>1699</v>
      </c>
      <c r="C1450" s="957" t="s">
        <v>1720</v>
      </c>
      <c r="D1450" s="957" t="str">
        <f t="shared" si="22"/>
        <v>香川県小豆島町</v>
      </c>
      <c r="E1450" s="957" t="s">
        <v>1719</v>
      </c>
      <c r="F1450" s="957" t="s">
        <v>1696</v>
      </c>
      <c r="G1450" s="957" t="s">
        <v>1718</v>
      </c>
    </row>
    <row r="1451" spans="1:7">
      <c r="A1451" s="957" t="s">
        <v>1716</v>
      </c>
      <c r="B1451" s="957" t="s">
        <v>1699</v>
      </c>
      <c r="C1451" s="957" t="s">
        <v>1717</v>
      </c>
      <c r="D1451" s="957" t="str">
        <f t="shared" si="22"/>
        <v>香川県三木町</v>
      </c>
      <c r="E1451" s="957" t="s">
        <v>1716</v>
      </c>
      <c r="F1451" s="957" t="s">
        <v>1696</v>
      </c>
      <c r="G1451" s="957" t="s">
        <v>1715</v>
      </c>
    </row>
    <row r="1452" spans="1:7">
      <c r="A1452" s="957" t="s">
        <v>1713</v>
      </c>
      <c r="B1452" s="957" t="s">
        <v>1699</v>
      </c>
      <c r="C1452" s="957" t="s">
        <v>1714</v>
      </c>
      <c r="D1452" s="957" t="str">
        <f t="shared" si="22"/>
        <v>香川県直島町</v>
      </c>
      <c r="E1452" s="957" t="s">
        <v>1713</v>
      </c>
      <c r="F1452" s="957" t="s">
        <v>1696</v>
      </c>
      <c r="G1452" s="957" t="s">
        <v>1712</v>
      </c>
    </row>
    <row r="1453" spans="1:7">
      <c r="A1453" s="957" t="s">
        <v>1710</v>
      </c>
      <c r="B1453" s="957" t="s">
        <v>1699</v>
      </c>
      <c r="C1453" s="957" t="s">
        <v>1711</v>
      </c>
      <c r="D1453" s="957" t="str">
        <f t="shared" si="22"/>
        <v>香川県宇多津町</v>
      </c>
      <c r="E1453" s="957" t="s">
        <v>1710</v>
      </c>
      <c r="F1453" s="957" t="s">
        <v>1696</v>
      </c>
      <c r="G1453" s="957" t="s">
        <v>1709</v>
      </c>
    </row>
    <row r="1454" spans="1:7">
      <c r="A1454" s="957" t="s">
        <v>1707</v>
      </c>
      <c r="B1454" s="957" t="s">
        <v>1699</v>
      </c>
      <c r="C1454" s="957" t="s">
        <v>1708</v>
      </c>
      <c r="D1454" s="957" t="str">
        <f t="shared" si="22"/>
        <v>香川県綾川町</v>
      </c>
      <c r="E1454" s="957" t="s">
        <v>1707</v>
      </c>
      <c r="F1454" s="957" t="s">
        <v>1696</v>
      </c>
      <c r="G1454" s="957" t="s">
        <v>1706</v>
      </c>
    </row>
    <row r="1455" spans="1:7">
      <c r="A1455" s="957" t="s">
        <v>1704</v>
      </c>
      <c r="B1455" s="957" t="s">
        <v>1699</v>
      </c>
      <c r="C1455" s="957" t="s">
        <v>1705</v>
      </c>
      <c r="D1455" s="957" t="str">
        <f t="shared" si="22"/>
        <v>香川県琴平町</v>
      </c>
      <c r="E1455" s="957" t="s">
        <v>1704</v>
      </c>
      <c r="F1455" s="957" t="s">
        <v>1696</v>
      </c>
      <c r="G1455" s="957" t="s">
        <v>1703</v>
      </c>
    </row>
    <row r="1456" spans="1:7">
      <c r="A1456" s="957" t="s">
        <v>1701</v>
      </c>
      <c r="B1456" s="957" t="s">
        <v>1699</v>
      </c>
      <c r="C1456" s="957" t="s">
        <v>1702</v>
      </c>
      <c r="D1456" s="957" t="str">
        <f t="shared" si="22"/>
        <v>香川県多度津町</v>
      </c>
      <c r="E1456" s="957" t="s">
        <v>1701</v>
      </c>
      <c r="F1456" s="957" t="s">
        <v>1696</v>
      </c>
      <c r="G1456" s="957" t="s">
        <v>1700</v>
      </c>
    </row>
    <row r="1457" spans="1:7">
      <c r="A1457" s="957" t="s">
        <v>1697</v>
      </c>
      <c r="B1457" s="957" t="s">
        <v>1699</v>
      </c>
      <c r="C1457" s="957" t="s">
        <v>1698</v>
      </c>
      <c r="D1457" s="957" t="str">
        <f t="shared" si="22"/>
        <v>香川県まんのう町</v>
      </c>
      <c r="E1457" s="957" t="s">
        <v>1697</v>
      </c>
      <c r="F1457" s="957" t="s">
        <v>1696</v>
      </c>
      <c r="G1457" s="957" t="s">
        <v>1695</v>
      </c>
    </row>
    <row r="1458" spans="1:7">
      <c r="A1458" s="960" t="s">
        <v>1693</v>
      </c>
      <c r="B1458" s="960" t="s">
        <v>1694</v>
      </c>
      <c r="C1458" s="960" t="s">
        <v>1694</v>
      </c>
      <c r="D1458" s="960" t="str">
        <f t="shared" si="22"/>
        <v>愛媛県愛媛県</v>
      </c>
      <c r="E1458" s="960" t="s">
        <v>1693</v>
      </c>
      <c r="F1458" s="959" t="s">
        <v>1692</v>
      </c>
      <c r="G1458" s="958"/>
    </row>
    <row r="1459" spans="1:7">
      <c r="A1459" s="957" t="s">
        <v>1690</v>
      </c>
      <c r="B1459" s="957" t="s">
        <v>1634</v>
      </c>
      <c r="C1459" s="957" t="s">
        <v>1691</v>
      </c>
      <c r="D1459" s="957" t="str">
        <f t="shared" si="22"/>
        <v>愛媛県松山市</v>
      </c>
      <c r="E1459" s="957" t="s">
        <v>1690</v>
      </c>
      <c r="F1459" s="957" t="s">
        <v>1631</v>
      </c>
      <c r="G1459" s="957" t="s">
        <v>1689</v>
      </c>
    </row>
    <row r="1460" spans="1:7">
      <c r="A1460" s="957" t="s">
        <v>1687</v>
      </c>
      <c r="B1460" s="957" t="s">
        <v>1634</v>
      </c>
      <c r="C1460" s="957" t="s">
        <v>1688</v>
      </c>
      <c r="D1460" s="957" t="str">
        <f t="shared" si="22"/>
        <v>愛媛県今治市</v>
      </c>
      <c r="E1460" s="957" t="s">
        <v>1687</v>
      </c>
      <c r="F1460" s="957" t="s">
        <v>1631</v>
      </c>
      <c r="G1460" s="957" t="s">
        <v>1686</v>
      </c>
    </row>
    <row r="1461" spans="1:7">
      <c r="A1461" s="957" t="s">
        <v>1684</v>
      </c>
      <c r="B1461" s="957" t="s">
        <v>1634</v>
      </c>
      <c r="C1461" s="957" t="s">
        <v>1685</v>
      </c>
      <c r="D1461" s="957" t="str">
        <f t="shared" si="22"/>
        <v>愛媛県宇和島市</v>
      </c>
      <c r="E1461" s="957" t="s">
        <v>1684</v>
      </c>
      <c r="F1461" s="957" t="s">
        <v>1631</v>
      </c>
      <c r="G1461" s="957" t="s">
        <v>1683</v>
      </c>
    </row>
    <row r="1462" spans="1:7">
      <c r="A1462" s="957" t="s">
        <v>1681</v>
      </c>
      <c r="B1462" s="957" t="s">
        <v>1634</v>
      </c>
      <c r="C1462" s="957" t="s">
        <v>1682</v>
      </c>
      <c r="D1462" s="957" t="str">
        <f t="shared" si="22"/>
        <v>愛媛県八幡浜市</v>
      </c>
      <c r="E1462" s="957" t="s">
        <v>1681</v>
      </c>
      <c r="F1462" s="957" t="s">
        <v>1631</v>
      </c>
      <c r="G1462" s="957" t="s">
        <v>1680</v>
      </c>
    </row>
    <row r="1463" spans="1:7">
      <c r="A1463" s="957" t="s">
        <v>1678</v>
      </c>
      <c r="B1463" s="957" t="s">
        <v>1634</v>
      </c>
      <c r="C1463" s="957" t="s">
        <v>1679</v>
      </c>
      <c r="D1463" s="957" t="str">
        <f t="shared" si="22"/>
        <v>愛媛県新居浜市</v>
      </c>
      <c r="E1463" s="957" t="s">
        <v>1678</v>
      </c>
      <c r="F1463" s="957" t="s">
        <v>1631</v>
      </c>
      <c r="G1463" s="957" t="s">
        <v>1677</v>
      </c>
    </row>
    <row r="1464" spans="1:7">
      <c r="A1464" s="957" t="s">
        <v>1675</v>
      </c>
      <c r="B1464" s="957" t="s">
        <v>1634</v>
      </c>
      <c r="C1464" s="957" t="s">
        <v>1676</v>
      </c>
      <c r="D1464" s="957" t="str">
        <f t="shared" si="22"/>
        <v>愛媛県西条市</v>
      </c>
      <c r="E1464" s="957" t="s">
        <v>1675</v>
      </c>
      <c r="F1464" s="957" t="s">
        <v>1631</v>
      </c>
      <c r="G1464" s="957" t="s">
        <v>1674</v>
      </c>
    </row>
    <row r="1465" spans="1:7">
      <c r="A1465" s="957" t="s">
        <v>1672</v>
      </c>
      <c r="B1465" s="957" t="s">
        <v>1634</v>
      </c>
      <c r="C1465" s="957" t="s">
        <v>1673</v>
      </c>
      <c r="D1465" s="957" t="str">
        <f t="shared" si="22"/>
        <v>愛媛県大洲市</v>
      </c>
      <c r="E1465" s="957" t="s">
        <v>1672</v>
      </c>
      <c r="F1465" s="957" t="s">
        <v>1631</v>
      </c>
      <c r="G1465" s="957" t="s">
        <v>1671</v>
      </c>
    </row>
    <row r="1466" spans="1:7">
      <c r="A1466" s="957" t="s">
        <v>1669</v>
      </c>
      <c r="B1466" s="957" t="s">
        <v>1634</v>
      </c>
      <c r="C1466" s="957" t="s">
        <v>1670</v>
      </c>
      <c r="D1466" s="957" t="str">
        <f t="shared" si="22"/>
        <v>愛媛県伊予市</v>
      </c>
      <c r="E1466" s="957" t="s">
        <v>1669</v>
      </c>
      <c r="F1466" s="957" t="s">
        <v>1631</v>
      </c>
      <c r="G1466" s="957" t="s">
        <v>1668</v>
      </c>
    </row>
    <row r="1467" spans="1:7">
      <c r="A1467" s="957" t="s">
        <v>1666</v>
      </c>
      <c r="B1467" s="957" t="s">
        <v>1634</v>
      </c>
      <c r="C1467" s="957" t="s">
        <v>1667</v>
      </c>
      <c r="D1467" s="957" t="str">
        <f t="shared" si="22"/>
        <v>愛媛県四国中央市</v>
      </c>
      <c r="E1467" s="957" t="s">
        <v>1666</v>
      </c>
      <c r="F1467" s="957" t="s">
        <v>1631</v>
      </c>
      <c r="G1467" s="957" t="s">
        <v>1665</v>
      </c>
    </row>
    <row r="1468" spans="1:7">
      <c r="A1468" s="957" t="s">
        <v>1663</v>
      </c>
      <c r="B1468" s="957" t="s">
        <v>1634</v>
      </c>
      <c r="C1468" s="957" t="s">
        <v>1664</v>
      </c>
      <c r="D1468" s="957" t="str">
        <f t="shared" si="22"/>
        <v>愛媛県西予市</v>
      </c>
      <c r="E1468" s="957" t="s">
        <v>1663</v>
      </c>
      <c r="F1468" s="957" t="s">
        <v>1631</v>
      </c>
      <c r="G1468" s="957" t="s">
        <v>1662</v>
      </c>
    </row>
    <row r="1469" spans="1:7">
      <c r="A1469" s="957" t="s">
        <v>1660</v>
      </c>
      <c r="B1469" s="957" t="s">
        <v>1634</v>
      </c>
      <c r="C1469" s="957" t="s">
        <v>1661</v>
      </c>
      <c r="D1469" s="957" t="str">
        <f t="shared" si="22"/>
        <v>愛媛県東温市</v>
      </c>
      <c r="E1469" s="957" t="s">
        <v>1660</v>
      </c>
      <c r="F1469" s="957" t="s">
        <v>1631</v>
      </c>
      <c r="G1469" s="957" t="s">
        <v>1659</v>
      </c>
    </row>
    <row r="1470" spans="1:7">
      <c r="A1470" s="957" t="s">
        <v>1657</v>
      </c>
      <c r="B1470" s="957" t="s">
        <v>1634</v>
      </c>
      <c r="C1470" s="957" t="s">
        <v>1658</v>
      </c>
      <c r="D1470" s="957" t="str">
        <f t="shared" si="22"/>
        <v>愛媛県上島町</v>
      </c>
      <c r="E1470" s="957" t="s">
        <v>1657</v>
      </c>
      <c r="F1470" s="957" t="s">
        <v>1631</v>
      </c>
      <c r="G1470" s="957" t="s">
        <v>1656</v>
      </c>
    </row>
    <row r="1471" spans="1:7">
      <c r="A1471" s="957" t="s">
        <v>1654</v>
      </c>
      <c r="B1471" s="957" t="s">
        <v>1634</v>
      </c>
      <c r="C1471" s="957" t="s">
        <v>1655</v>
      </c>
      <c r="D1471" s="957" t="str">
        <f t="shared" si="22"/>
        <v>愛媛県久万高原町</v>
      </c>
      <c r="E1471" s="957" t="s">
        <v>1654</v>
      </c>
      <c r="F1471" s="957" t="s">
        <v>1631</v>
      </c>
      <c r="G1471" s="957" t="s">
        <v>1653</v>
      </c>
    </row>
    <row r="1472" spans="1:7">
      <c r="A1472" s="957" t="s">
        <v>1651</v>
      </c>
      <c r="B1472" s="957" t="s">
        <v>1634</v>
      </c>
      <c r="C1472" s="957" t="s">
        <v>1652</v>
      </c>
      <c r="D1472" s="957" t="str">
        <f t="shared" si="22"/>
        <v>愛媛県松前町</v>
      </c>
      <c r="E1472" s="957" t="s">
        <v>1651</v>
      </c>
      <c r="F1472" s="957" t="s">
        <v>1631</v>
      </c>
      <c r="G1472" s="957" t="s">
        <v>1650</v>
      </c>
    </row>
    <row r="1473" spans="1:7">
      <c r="A1473" s="957" t="s">
        <v>1648</v>
      </c>
      <c r="B1473" s="957" t="s">
        <v>1634</v>
      </c>
      <c r="C1473" s="957" t="s">
        <v>1649</v>
      </c>
      <c r="D1473" s="957" t="str">
        <f t="shared" si="22"/>
        <v>愛媛県砥部町</v>
      </c>
      <c r="E1473" s="957" t="s">
        <v>1648</v>
      </c>
      <c r="F1473" s="957" t="s">
        <v>1631</v>
      </c>
      <c r="G1473" s="957" t="s">
        <v>1647</v>
      </c>
    </row>
    <row r="1474" spans="1:7">
      <c r="A1474" s="957" t="s">
        <v>1645</v>
      </c>
      <c r="B1474" s="957" t="s">
        <v>1634</v>
      </c>
      <c r="C1474" s="957" t="s">
        <v>1646</v>
      </c>
      <c r="D1474" s="957" t="str">
        <f t="shared" si="22"/>
        <v>愛媛県内子町</v>
      </c>
      <c r="E1474" s="957" t="s">
        <v>1645</v>
      </c>
      <c r="F1474" s="957" t="s">
        <v>1631</v>
      </c>
      <c r="G1474" s="957" t="s">
        <v>1644</v>
      </c>
    </row>
    <row r="1475" spans="1:7">
      <c r="A1475" s="957" t="s">
        <v>1642</v>
      </c>
      <c r="B1475" s="957" t="s">
        <v>1634</v>
      </c>
      <c r="C1475" s="957" t="s">
        <v>1643</v>
      </c>
      <c r="D1475" s="957" t="str">
        <f t="shared" ref="D1475:D1538" si="23">B1475&amp;C1475</f>
        <v>愛媛県伊方町</v>
      </c>
      <c r="E1475" s="957" t="s">
        <v>1642</v>
      </c>
      <c r="F1475" s="957" t="s">
        <v>1631</v>
      </c>
      <c r="G1475" s="957" t="s">
        <v>1641</v>
      </c>
    </row>
    <row r="1476" spans="1:7">
      <c r="A1476" s="957" t="s">
        <v>1639</v>
      </c>
      <c r="B1476" s="957" t="s">
        <v>1634</v>
      </c>
      <c r="C1476" s="957" t="s">
        <v>1640</v>
      </c>
      <c r="D1476" s="957" t="str">
        <f t="shared" si="23"/>
        <v>愛媛県松野町</v>
      </c>
      <c r="E1476" s="957" t="s">
        <v>1639</v>
      </c>
      <c r="F1476" s="957" t="s">
        <v>1631</v>
      </c>
      <c r="G1476" s="957" t="s">
        <v>1638</v>
      </c>
    </row>
    <row r="1477" spans="1:7">
      <c r="A1477" s="957" t="s">
        <v>1636</v>
      </c>
      <c r="B1477" s="957" t="s">
        <v>1634</v>
      </c>
      <c r="C1477" s="957" t="s">
        <v>1637</v>
      </c>
      <c r="D1477" s="957" t="str">
        <f t="shared" si="23"/>
        <v>愛媛県鬼北町</v>
      </c>
      <c r="E1477" s="957" t="s">
        <v>1636</v>
      </c>
      <c r="F1477" s="957" t="s">
        <v>1631</v>
      </c>
      <c r="G1477" s="957" t="s">
        <v>1635</v>
      </c>
    </row>
    <row r="1478" spans="1:7">
      <c r="A1478" s="957" t="s">
        <v>1632</v>
      </c>
      <c r="B1478" s="957" t="s">
        <v>1634</v>
      </c>
      <c r="C1478" s="957" t="s">
        <v>1633</v>
      </c>
      <c r="D1478" s="957" t="str">
        <f t="shared" si="23"/>
        <v>愛媛県愛南町</v>
      </c>
      <c r="E1478" s="957" t="s">
        <v>1632</v>
      </c>
      <c r="F1478" s="957" t="s">
        <v>1631</v>
      </c>
      <c r="G1478" s="957" t="s">
        <v>1630</v>
      </c>
    </row>
    <row r="1479" spans="1:7">
      <c r="A1479" s="960" t="s">
        <v>1628</v>
      </c>
      <c r="B1479" s="960" t="s">
        <v>1629</v>
      </c>
      <c r="C1479" s="960" t="s">
        <v>1629</v>
      </c>
      <c r="D1479" s="960" t="str">
        <f t="shared" si="23"/>
        <v>高知県高知県</v>
      </c>
      <c r="E1479" s="960" t="s">
        <v>1628</v>
      </c>
      <c r="F1479" s="959" t="s">
        <v>1627</v>
      </c>
      <c r="G1479" s="958"/>
    </row>
    <row r="1480" spans="1:7">
      <c r="A1480" s="957" t="s">
        <v>1625</v>
      </c>
      <c r="B1480" s="957" t="s">
        <v>1528</v>
      </c>
      <c r="C1480" s="957" t="s">
        <v>1626</v>
      </c>
      <c r="D1480" s="957" t="str">
        <f t="shared" si="23"/>
        <v>高知県高知市</v>
      </c>
      <c r="E1480" s="957" t="s">
        <v>1625</v>
      </c>
      <c r="F1480" s="957" t="s">
        <v>1525</v>
      </c>
      <c r="G1480" s="957" t="s">
        <v>1624</v>
      </c>
    </row>
    <row r="1481" spans="1:7">
      <c r="A1481" s="957" t="s">
        <v>1622</v>
      </c>
      <c r="B1481" s="957" t="s">
        <v>1528</v>
      </c>
      <c r="C1481" s="957" t="s">
        <v>1623</v>
      </c>
      <c r="D1481" s="957" t="str">
        <f t="shared" si="23"/>
        <v>高知県室戸市</v>
      </c>
      <c r="E1481" s="957" t="s">
        <v>1622</v>
      </c>
      <c r="F1481" s="957" t="s">
        <v>1525</v>
      </c>
      <c r="G1481" s="957" t="s">
        <v>1621</v>
      </c>
    </row>
    <row r="1482" spans="1:7">
      <c r="A1482" s="957" t="s">
        <v>1619</v>
      </c>
      <c r="B1482" s="957" t="s">
        <v>1528</v>
      </c>
      <c r="C1482" s="957" t="s">
        <v>1620</v>
      </c>
      <c r="D1482" s="957" t="str">
        <f t="shared" si="23"/>
        <v>高知県安芸市</v>
      </c>
      <c r="E1482" s="957" t="s">
        <v>1619</v>
      </c>
      <c r="F1482" s="957" t="s">
        <v>1525</v>
      </c>
      <c r="G1482" s="957" t="s">
        <v>1618</v>
      </c>
    </row>
    <row r="1483" spans="1:7">
      <c r="A1483" s="957" t="s">
        <v>1616</v>
      </c>
      <c r="B1483" s="957" t="s">
        <v>1528</v>
      </c>
      <c r="C1483" s="957" t="s">
        <v>1617</v>
      </c>
      <c r="D1483" s="957" t="str">
        <f t="shared" si="23"/>
        <v>高知県南国市</v>
      </c>
      <c r="E1483" s="957" t="s">
        <v>1616</v>
      </c>
      <c r="F1483" s="957" t="s">
        <v>1525</v>
      </c>
      <c r="G1483" s="957" t="s">
        <v>1615</v>
      </c>
    </row>
    <row r="1484" spans="1:7">
      <c r="A1484" s="957" t="s">
        <v>1613</v>
      </c>
      <c r="B1484" s="957" t="s">
        <v>1528</v>
      </c>
      <c r="C1484" s="957" t="s">
        <v>1614</v>
      </c>
      <c r="D1484" s="957" t="str">
        <f t="shared" si="23"/>
        <v>高知県土佐市</v>
      </c>
      <c r="E1484" s="957" t="s">
        <v>1613</v>
      </c>
      <c r="F1484" s="957" t="s">
        <v>1525</v>
      </c>
      <c r="G1484" s="957" t="s">
        <v>1612</v>
      </c>
    </row>
    <row r="1485" spans="1:7">
      <c r="A1485" s="957" t="s">
        <v>1610</v>
      </c>
      <c r="B1485" s="957" t="s">
        <v>1528</v>
      </c>
      <c r="C1485" s="957" t="s">
        <v>1611</v>
      </c>
      <c r="D1485" s="957" t="str">
        <f t="shared" si="23"/>
        <v>高知県須崎市</v>
      </c>
      <c r="E1485" s="957" t="s">
        <v>1610</v>
      </c>
      <c r="F1485" s="957" t="s">
        <v>1525</v>
      </c>
      <c r="G1485" s="957" t="s">
        <v>1609</v>
      </c>
    </row>
    <row r="1486" spans="1:7">
      <c r="A1486" s="957" t="s">
        <v>1607</v>
      </c>
      <c r="B1486" s="957" t="s">
        <v>1528</v>
      </c>
      <c r="C1486" s="957" t="s">
        <v>1608</v>
      </c>
      <c r="D1486" s="957" t="str">
        <f t="shared" si="23"/>
        <v>高知県宿毛市</v>
      </c>
      <c r="E1486" s="957" t="s">
        <v>1607</v>
      </c>
      <c r="F1486" s="957" t="s">
        <v>1525</v>
      </c>
      <c r="G1486" s="957" t="s">
        <v>1606</v>
      </c>
    </row>
    <row r="1487" spans="1:7">
      <c r="A1487" s="957" t="s">
        <v>1604</v>
      </c>
      <c r="B1487" s="957" t="s">
        <v>1528</v>
      </c>
      <c r="C1487" s="957" t="s">
        <v>1605</v>
      </c>
      <c r="D1487" s="957" t="str">
        <f t="shared" si="23"/>
        <v>高知県土佐清水市</v>
      </c>
      <c r="E1487" s="957" t="s">
        <v>1604</v>
      </c>
      <c r="F1487" s="957" t="s">
        <v>1525</v>
      </c>
      <c r="G1487" s="957" t="s">
        <v>1603</v>
      </c>
    </row>
    <row r="1488" spans="1:7">
      <c r="A1488" s="957" t="s">
        <v>1601</v>
      </c>
      <c r="B1488" s="957" t="s">
        <v>1528</v>
      </c>
      <c r="C1488" s="957" t="s">
        <v>1602</v>
      </c>
      <c r="D1488" s="957" t="str">
        <f t="shared" si="23"/>
        <v>高知県四万十市</v>
      </c>
      <c r="E1488" s="957" t="s">
        <v>1601</v>
      </c>
      <c r="F1488" s="957" t="s">
        <v>1525</v>
      </c>
      <c r="G1488" s="957" t="s">
        <v>1600</v>
      </c>
    </row>
    <row r="1489" spans="1:7">
      <c r="A1489" s="957" t="s">
        <v>1598</v>
      </c>
      <c r="B1489" s="957" t="s">
        <v>1528</v>
      </c>
      <c r="C1489" s="957" t="s">
        <v>1599</v>
      </c>
      <c r="D1489" s="957" t="str">
        <f t="shared" si="23"/>
        <v>高知県香南市</v>
      </c>
      <c r="E1489" s="957" t="s">
        <v>1598</v>
      </c>
      <c r="F1489" s="957" t="s">
        <v>1525</v>
      </c>
      <c r="G1489" s="957" t="s">
        <v>1597</v>
      </c>
    </row>
    <row r="1490" spans="1:7">
      <c r="A1490" s="957" t="s">
        <v>1595</v>
      </c>
      <c r="B1490" s="957" t="s">
        <v>1528</v>
      </c>
      <c r="C1490" s="957" t="s">
        <v>1596</v>
      </c>
      <c r="D1490" s="957" t="str">
        <f t="shared" si="23"/>
        <v>高知県香美市</v>
      </c>
      <c r="E1490" s="957" t="s">
        <v>1595</v>
      </c>
      <c r="F1490" s="957" t="s">
        <v>1525</v>
      </c>
      <c r="G1490" s="957" t="s">
        <v>1594</v>
      </c>
    </row>
    <row r="1491" spans="1:7">
      <c r="A1491" s="957" t="s">
        <v>1592</v>
      </c>
      <c r="B1491" s="957" t="s">
        <v>1528</v>
      </c>
      <c r="C1491" s="957" t="s">
        <v>1593</v>
      </c>
      <c r="D1491" s="957" t="str">
        <f t="shared" si="23"/>
        <v>高知県東洋町</v>
      </c>
      <c r="E1491" s="957" t="s">
        <v>1592</v>
      </c>
      <c r="F1491" s="957" t="s">
        <v>1525</v>
      </c>
      <c r="G1491" s="957" t="s">
        <v>1591</v>
      </c>
    </row>
    <row r="1492" spans="1:7">
      <c r="A1492" s="957" t="s">
        <v>1589</v>
      </c>
      <c r="B1492" s="957" t="s">
        <v>1528</v>
      </c>
      <c r="C1492" s="957" t="s">
        <v>1590</v>
      </c>
      <c r="D1492" s="957" t="str">
        <f t="shared" si="23"/>
        <v>高知県奈半利町</v>
      </c>
      <c r="E1492" s="957" t="s">
        <v>1589</v>
      </c>
      <c r="F1492" s="957" t="s">
        <v>1525</v>
      </c>
      <c r="G1492" s="957" t="s">
        <v>1588</v>
      </c>
    </row>
    <row r="1493" spans="1:7">
      <c r="A1493" s="957" t="s">
        <v>1586</v>
      </c>
      <c r="B1493" s="957" t="s">
        <v>1528</v>
      </c>
      <c r="C1493" s="957" t="s">
        <v>1587</v>
      </c>
      <c r="D1493" s="957" t="str">
        <f t="shared" si="23"/>
        <v>高知県田野町</v>
      </c>
      <c r="E1493" s="957" t="s">
        <v>1586</v>
      </c>
      <c r="F1493" s="957" t="s">
        <v>1525</v>
      </c>
      <c r="G1493" s="957" t="s">
        <v>1585</v>
      </c>
    </row>
    <row r="1494" spans="1:7">
      <c r="A1494" s="957" t="s">
        <v>1583</v>
      </c>
      <c r="B1494" s="957" t="s">
        <v>1528</v>
      </c>
      <c r="C1494" s="957" t="s">
        <v>1584</v>
      </c>
      <c r="D1494" s="957" t="str">
        <f t="shared" si="23"/>
        <v>高知県安田町</v>
      </c>
      <c r="E1494" s="957" t="s">
        <v>1583</v>
      </c>
      <c r="F1494" s="957" t="s">
        <v>1525</v>
      </c>
      <c r="G1494" s="957" t="s">
        <v>1582</v>
      </c>
    </row>
    <row r="1495" spans="1:7">
      <c r="A1495" s="957" t="s">
        <v>1580</v>
      </c>
      <c r="B1495" s="957" t="s">
        <v>1528</v>
      </c>
      <c r="C1495" s="957" t="s">
        <v>1581</v>
      </c>
      <c r="D1495" s="957" t="str">
        <f t="shared" si="23"/>
        <v>高知県北川村</v>
      </c>
      <c r="E1495" s="957" t="s">
        <v>1580</v>
      </c>
      <c r="F1495" s="957" t="s">
        <v>1525</v>
      </c>
      <c r="G1495" s="957" t="s">
        <v>1579</v>
      </c>
    </row>
    <row r="1496" spans="1:7">
      <c r="A1496" s="957" t="s">
        <v>1577</v>
      </c>
      <c r="B1496" s="957" t="s">
        <v>1528</v>
      </c>
      <c r="C1496" s="957" t="s">
        <v>1578</v>
      </c>
      <c r="D1496" s="957" t="str">
        <f t="shared" si="23"/>
        <v>高知県馬路村</v>
      </c>
      <c r="E1496" s="957" t="s">
        <v>1577</v>
      </c>
      <c r="F1496" s="957" t="s">
        <v>1525</v>
      </c>
      <c r="G1496" s="957" t="s">
        <v>1576</v>
      </c>
    </row>
    <row r="1497" spans="1:7">
      <c r="A1497" s="957" t="s">
        <v>1574</v>
      </c>
      <c r="B1497" s="957" t="s">
        <v>1528</v>
      </c>
      <c r="C1497" s="957" t="s">
        <v>1575</v>
      </c>
      <c r="D1497" s="957" t="str">
        <f t="shared" si="23"/>
        <v>高知県芸西村</v>
      </c>
      <c r="E1497" s="957" t="s">
        <v>1574</v>
      </c>
      <c r="F1497" s="957" t="s">
        <v>1525</v>
      </c>
      <c r="G1497" s="957" t="s">
        <v>1573</v>
      </c>
    </row>
    <row r="1498" spans="1:7">
      <c r="A1498" s="957" t="s">
        <v>1571</v>
      </c>
      <c r="B1498" s="957" t="s">
        <v>1528</v>
      </c>
      <c r="C1498" s="957" t="s">
        <v>1572</v>
      </c>
      <c r="D1498" s="957" t="str">
        <f t="shared" si="23"/>
        <v>高知県本山町</v>
      </c>
      <c r="E1498" s="957" t="s">
        <v>1571</v>
      </c>
      <c r="F1498" s="957" t="s">
        <v>1525</v>
      </c>
      <c r="G1498" s="957" t="s">
        <v>1570</v>
      </c>
    </row>
    <row r="1499" spans="1:7">
      <c r="A1499" s="957" t="s">
        <v>1568</v>
      </c>
      <c r="B1499" s="957" t="s">
        <v>1528</v>
      </c>
      <c r="C1499" s="957" t="s">
        <v>1569</v>
      </c>
      <c r="D1499" s="957" t="str">
        <f t="shared" si="23"/>
        <v>高知県大豊町</v>
      </c>
      <c r="E1499" s="957" t="s">
        <v>1568</v>
      </c>
      <c r="F1499" s="957" t="s">
        <v>1525</v>
      </c>
      <c r="G1499" s="957" t="s">
        <v>1567</v>
      </c>
    </row>
    <row r="1500" spans="1:7">
      <c r="A1500" s="957" t="s">
        <v>1565</v>
      </c>
      <c r="B1500" s="957" t="s">
        <v>1528</v>
      </c>
      <c r="C1500" s="957" t="s">
        <v>1566</v>
      </c>
      <c r="D1500" s="957" t="str">
        <f t="shared" si="23"/>
        <v>高知県土佐町</v>
      </c>
      <c r="E1500" s="957" t="s">
        <v>1565</v>
      </c>
      <c r="F1500" s="957" t="s">
        <v>1525</v>
      </c>
      <c r="G1500" s="957" t="s">
        <v>1564</v>
      </c>
    </row>
    <row r="1501" spans="1:7">
      <c r="A1501" s="957" t="s">
        <v>1562</v>
      </c>
      <c r="B1501" s="957" t="s">
        <v>1528</v>
      </c>
      <c r="C1501" s="957" t="s">
        <v>1563</v>
      </c>
      <c r="D1501" s="957" t="str">
        <f t="shared" si="23"/>
        <v>高知県大川村</v>
      </c>
      <c r="E1501" s="957" t="s">
        <v>1562</v>
      </c>
      <c r="F1501" s="957" t="s">
        <v>1525</v>
      </c>
      <c r="G1501" s="957" t="s">
        <v>1561</v>
      </c>
    </row>
    <row r="1502" spans="1:7">
      <c r="A1502" s="957" t="s">
        <v>1559</v>
      </c>
      <c r="B1502" s="957" t="s">
        <v>1528</v>
      </c>
      <c r="C1502" s="957" t="s">
        <v>1560</v>
      </c>
      <c r="D1502" s="957" t="str">
        <f t="shared" si="23"/>
        <v>高知県いの町</v>
      </c>
      <c r="E1502" s="957" t="s">
        <v>1559</v>
      </c>
      <c r="F1502" s="957" t="s">
        <v>1525</v>
      </c>
      <c r="G1502" s="957" t="s">
        <v>1558</v>
      </c>
    </row>
    <row r="1503" spans="1:7">
      <c r="A1503" s="957" t="s">
        <v>1556</v>
      </c>
      <c r="B1503" s="957" t="s">
        <v>1528</v>
      </c>
      <c r="C1503" s="957" t="s">
        <v>1557</v>
      </c>
      <c r="D1503" s="957" t="str">
        <f t="shared" si="23"/>
        <v>高知県仁淀川町</v>
      </c>
      <c r="E1503" s="957" t="s">
        <v>1556</v>
      </c>
      <c r="F1503" s="957" t="s">
        <v>1525</v>
      </c>
      <c r="G1503" s="957" t="s">
        <v>1555</v>
      </c>
    </row>
    <row r="1504" spans="1:7">
      <c r="A1504" s="957" t="s">
        <v>1553</v>
      </c>
      <c r="B1504" s="957" t="s">
        <v>1528</v>
      </c>
      <c r="C1504" s="957" t="s">
        <v>1554</v>
      </c>
      <c r="D1504" s="957" t="str">
        <f t="shared" si="23"/>
        <v>高知県中土佐町</v>
      </c>
      <c r="E1504" s="957" t="s">
        <v>1553</v>
      </c>
      <c r="F1504" s="957" t="s">
        <v>1525</v>
      </c>
      <c r="G1504" s="957" t="s">
        <v>1552</v>
      </c>
    </row>
    <row r="1505" spans="1:7">
      <c r="A1505" s="957" t="s">
        <v>1550</v>
      </c>
      <c r="B1505" s="957" t="s">
        <v>1528</v>
      </c>
      <c r="C1505" s="957" t="s">
        <v>1551</v>
      </c>
      <c r="D1505" s="957" t="str">
        <f t="shared" si="23"/>
        <v>高知県佐川町</v>
      </c>
      <c r="E1505" s="957" t="s">
        <v>1550</v>
      </c>
      <c r="F1505" s="957" t="s">
        <v>1525</v>
      </c>
      <c r="G1505" s="957" t="s">
        <v>1549</v>
      </c>
    </row>
    <row r="1506" spans="1:7">
      <c r="A1506" s="957" t="s">
        <v>1547</v>
      </c>
      <c r="B1506" s="957" t="s">
        <v>1528</v>
      </c>
      <c r="C1506" s="957" t="s">
        <v>1548</v>
      </c>
      <c r="D1506" s="957" t="str">
        <f t="shared" si="23"/>
        <v>高知県越知町</v>
      </c>
      <c r="E1506" s="957" t="s">
        <v>1547</v>
      </c>
      <c r="F1506" s="957" t="s">
        <v>1525</v>
      </c>
      <c r="G1506" s="957" t="s">
        <v>1546</v>
      </c>
    </row>
    <row r="1507" spans="1:7">
      <c r="A1507" s="957" t="s">
        <v>1544</v>
      </c>
      <c r="B1507" s="957" t="s">
        <v>1528</v>
      </c>
      <c r="C1507" s="957" t="s">
        <v>1545</v>
      </c>
      <c r="D1507" s="957" t="str">
        <f t="shared" si="23"/>
        <v>高知県梼原町</v>
      </c>
      <c r="E1507" s="957" t="s">
        <v>1544</v>
      </c>
      <c r="F1507" s="957" t="s">
        <v>1525</v>
      </c>
      <c r="G1507" s="957" t="s">
        <v>1543</v>
      </c>
    </row>
    <row r="1508" spans="1:7">
      <c r="A1508" s="957" t="s">
        <v>1541</v>
      </c>
      <c r="B1508" s="957" t="s">
        <v>1528</v>
      </c>
      <c r="C1508" s="957" t="s">
        <v>1542</v>
      </c>
      <c r="D1508" s="957" t="str">
        <f t="shared" si="23"/>
        <v>高知県日高村</v>
      </c>
      <c r="E1508" s="957" t="s">
        <v>1541</v>
      </c>
      <c r="F1508" s="957" t="s">
        <v>1525</v>
      </c>
      <c r="G1508" s="957" t="s">
        <v>1540</v>
      </c>
    </row>
    <row r="1509" spans="1:7">
      <c r="A1509" s="957" t="s">
        <v>1538</v>
      </c>
      <c r="B1509" s="957" t="s">
        <v>1528</v>
      </c>
      <c r="C1509" s="957" t="s">
        <v>1539</v>
      </c>
      <c r="D1509" s="957" t="str">
        <f t="shared" si="23"/>
        <v>高知県津野町</v>
      </c>
      <c r="E1509" s="957" t="s">
        <v>1538</v>
      </c>
      <c r="F1509" s="957" t="s">
        <v>1525</v>
      </c>
      <c r="G1509" s="957" t="s">
        <v>946</v>
      </c>
    </row>
    <row r="1510" spans="1:7">
      <c r="A1510" s="957" t="s">
        <v>1536</v>
      </c>
      <c r="B1510" s="957" t="s">
        <v>1528</v>
      </c>
      <c r="C1510" s="957" t="s">
        <v>1537</v>
      </c>
      <c r="D1510" s="957" t="str">
        <f t="shared" si="23"/>
        <v>高知県四万十町</v>
      </c>
      <c r="E1510" s="957" t="s">
        <v>1536</v>
      </c>
      <c r="F1510" s="957" t="s">
        <v>1525</v>
      </c>
      <c r="G1510" s="957" t="s">
        <v>1535</v>
      </c>
    </row>
    <row r="1511" spans="1:7">
      <c r="A1511" s="957" t="s">
        <v>1533</v>
      </c>
      <c r="B1511" s="957" t="s">
        <v>1528</v>
      </c>
      <c r="C1511" s="957" t="s">
        <v>1534</v>
      </c>
      <c r="D1511" s="957" t="str">
        <f t="shared" si="23"/>
        <v>高知県大月町</v>
      </c>
      <c r="E1511" s="957" t="s">
        <v>1533</v>
      </c>
      <c r="F1511" s="957" t="s">
        <v>1525</v>
      </c>
      <c r="G1511" s="957" t="s">
        <v>1532</v>
      </c>
    </row>
    <row r="1512" spans="1:7">
      <c r="A1512" s="957" t="s">
        <v>1530</v>
      </c>
      <c r="B1512" s="957" t="s">
        <v>1528</v>
      </c>
      <c r="C1512" s="957" t="s">
        <v>1531</v>
      </c>
      <c r="D1512" s="957" t="str">
        <f t="shared" si="23"/>
        <v>高知県三原村</v>
      </c>
      <c r="E1512" s="957" t="s">
        <v>1530</v>
      </c>
      <c r="F1512" s="957" t="s">
        <v>1525</v>
      </c>
      <c r="G1512" s="957" t="s">
        <v>1529</v>
      </c>
    </row>
    <row r="1513" spans="1:7">
      <c r="A1513" s="957" t="s">
        <v>1526</v>
      </c>
      <c r="B1513" s="957" t="s">
        <v>1528</v>
      </c>
      <c r="C1513" s="957" t="s">
        <v>1527</v>
      </c>
      <c r="D1513" s="957" t="str">
        <f t="shared" si="23"/>
        <v>高知県黒潮町</v>
      </c>
      <c r="E1513" s="957" t="s">
        <v>1526</v>
      </c>
      <c r="F1513" s="957" t="s">
        <v>1525</v>
      </c>
      <c r="G1513" s="957" t="s">
        <v>1524</v>
      </c>
    </row>
    <row r="1514" spans="1:7">
      <c r="A1514" s="960" t="s">
        <v>1522</v>
      </c>
      <c r="B1514" s="960" t="s">
        <v>1523</v>
      </c>
      <c r="C1514" s="960" t="s">
        <v>1523</v>
      </c>
      <c r="D1514" s="960" t="str">
        <f t="shared" si="23"/>
        <v>福岡県福岡県</v>
      </c>
      <c r="E1514" s="960" t="s">
        <v>1522</v>
      </c>
      <c r="F1514" s="959" t="s">
        <v>1434</v>
      </c>
      <c r="G1514" s="958"/>
    </row>
    <row r="1515" spans="1:7">
      <c r="A1515" s="957" t="s">
        <v>1520</v>
      </c>
      <c r="B1515" s="957" t="s">
        <v>1342</v>
      </c>
      <c r="C1515" s="957" t="s">
        <v>1521</v>
      </c>
      <c r="D1515" s="957" t="str">
        <f t="shared" si="23"/>
        <v>福岡県北九州市</v>
      </c>
      <c r="E1515" s="957" t="s">
        <v>1520</v>
      </c>
      <c r="F1515" s="957" t="s">
        <v>1339</v>
      </c>
      <c r="G1515" s="957" t="s">
        <v>1519</v>
      </c>
    </row>
    <row r="1516" spans="1:7">
      <c r="A1516" s="957" t="s">
        <v>1517</v>
      </c>
      <c r="B1516" s="957" t="s">
        <v>1342</v>
      </c>
      <c r="C1516" s="957" t="s">
        <v>1518</v>
      </c>
      <c r="D1516" s="957" t="str">
        <f t="shared" si="23"/>
        <v>福岡県福岡市</v>
      </c>
      <c r="E1516" s="957" t="s">
        <v>1517</v>
      </c>
      <c r="F1516" s="957" t="s">
        <v>1339</v>
      </c>
      <c r="G1516" s="957" t="s">
        <v>1516</v>
      </c>
    </row>
    <row r="1517" spans="1:7">
      <c r="A1517" s="957" t="s">
        <v>1514</v>
      </c>
      <c r="B1517" s="957" t="s">
        <v>1342</v>
      </c>
      <c r="C1517" s="957" t="s">
        <v>1515</v>
      </c>
      <c r="D1517" s="957" t="str">
        <f t="shared" si="23"/>
        <v>福岡県大牟田市</v>
      </c>
      <c r="E1517" s="957" t="s">
        <v>1514</v>
      </c>
      <c r="F1517" s="957" t="s">
        <v>1339</v>
      </c>
      <c r="G1517" s="957" t="s">
        <v>1513</v>
      </c>
    </row>
    <row r="1518" spans="1:7">
      <c r="A1518" s="957" t="s">
        <v>1511</v>
      </c>
      <c r="B1518" s="957" t="s">
        <v>1342</v>
      </c>
      <c r="C1518" s="957" t="s">
        <v>1512</v>
      </c>
      <c r="D1518" s="957" t="str">
        <f t="shared" si="23"/>
        <v>福岡県久留米市</v>
      </c>
      <c r="E1518" s="957" t="s">
        <v>1511</v>
      </c>
      <c r="F1518" s="957" t="s">
        <v>1339</v>
      </c>
      <c r="G1518" s="957" t="s">
        <v>1510</v>
      </c>
    </row>
    <row r="1519" spans="1:7">
      <c r="A1519" s="957" t="s">
        <v>1508</v>
      </c>
      <c r="B1519" s="957" t="s">
        <v>1342</v>
      </c>
      <c r="C1519" s="957" t="s">
        <v>1509</v>
      </c>
      <c r="D1519" s="957" t="str">
        <f t="shared" si="23"/>
        <v>福岡県直方市</v>
      </c>
      <c r="E1519" s="957" t="s">
        <v>1508</v>
      </c>
      <c r="F1519" s="957" t="s">
        <v>1339</v>
      </c>
      <c r="G1519" s="957" t="s">
        <v>1507</v>
      </c>
    </row>
    <row r="1520" spans="1:7">
      <c r="A1520" s="957" t="s">
        <v>1505</v>
      </c>
      <c r="B1520" s="957" t="s">
        <v>1342</v>
      </c>
      <c r="C1520" s="957" t="s">
        <v>1506</v>
      </c>
      <c r="D1520" s="957" t="str">
        <f t="shared" si="23"/>
        <v>福岡県飯塚市</v>
      </c>
      <c r="E1520" s="957" t="s">
        <v>1505</v>
      </c>
      <c r="F1520" s="957" t="s">
        <v>1339</v>
      </c>
      <c r="G1520" s="957" t="s">
        <v>1504</v>
      </c>
    </row>
    <row r="1521" spans="1:7">
      <c r="A1521" s="957" t="s">
        <v>1502</v>
      </c>
      <c r="B1521" s="957" t="s">
        <v>1342</v>
      </c>
      <c r="C1521" s="957" t="s">
        <v>1503</v>
      </c>
      <c r="D1521" s="957" t="str">
        <f t="shared" si="23"/>
        <v>福岡県田川市</v>
      </c>
      <c r="E1521" s="957" t="s">
        <v>1502</v>
      </c>
      <c r="F1521" s="957" t="s">
        <v>1339</v>
      </c>
      <c r="G1521" s="957" t="s">
        <v>1501</v>
      </c>
    </row>
    <row r="1522" spans="1:7">
      <c r="A1522" s="957" t="s">
        <v>1499</v>
      </c>
      <c r="B1522" s="957" t="s">
        <v>1342</v>
      </c>
      <c r="C1522" s="957" t="s">
        <v>1500</v>
      </c>
      <c r="D1522" s="957" t="str">
        <f t="shared" si="23"/>
        <v>福岡県柳川市</v>
      </c>
      <c r="E1522" s="957" t="s">
        <v>1499</v>
      </c>
      <c r="F1522" s="957" t="s">
        <v>1339</v>
      </c>
      <c r="G1522" s="957" t="s">
        <v>1498</v>
      </c>
    </row>
    <row r="1523" spans="1:7">
      <c r="A1523" s="957" t="s">
        <v>1496</v>
      </c>
      <c r="B1523" s="957" t="s">
        <v>1342</v>
      </c>
      <c r="C1523" s="957" t="s">
        <v>1497</v>
      </c>
      <c r="D1523" s="957" t="str">
        <f t="shared" si="23"/>
        <v>福岡県八女市</v>
      </c>
      <c r="E1523" s="957" t="s">
        <v>1496</v>
      </c>
      <c r="F1523" s="957" t="s">
        <v>1339</v>
      </c>
      <c r="G1523" s="957" t="s">
        <v>1495</v>
      </c>
    </row>
    <row r="1524" spans="1:7">
      <c r="A1524" s="957" t="s">
        <v>1493</v>
      </c>
      <c r="B1524" s="957" t="s">
        <v>1342</v>
      </c>
      <c r="C1524" s="957" t="s">
        <v>1494</v>
      </c>
      <c r="D1524" s="957" t="str">
        <f t="shared" si="23"/>
        <v>福岡県筑後市</v>
      </c>
      <c r="E1524" s="957" t="s">
        <v>1493</v>
      </c>
      <c r="F1524" s="957" t="s">
        <v>1339</v>
      </c>
      <c r="G1524" s="957" t="s">
        <v>1492</v>
      </c>
    </row>
    <row r="1525" spans="1:7">
      <c r="A1525" s="957" t="s">
        <v>1490</v>
      </c>
      <c r="B1525" s="957" t="s">
        <v>1342</v>
      </c>
      <c r="C1525" s="957" t="s">
        <v>1491</v>
      </c>
      <c r="D1525" s="957" t="str">
        <f t="shared" si="23"/>
        <v>福岡県大川市</v>
      </c>
      <c r="E1525" s="957" t="s">
        <v>1490</v>
      </c>
      <c r="F1525" s="957" t="s">
        <v>1339</v>
      </c>
      <c r="G1525" s="957" t="s">
        <v>1489</v>
      </c>
    </row>
    <row r="1526" spans="1:7">
      <c r="A1526" s="957" t="s">
        <v>1487</v>
      </c>
      <c r="B1526" s="957" t="s">
        <v>1342</v>
      </c>
      <c r="C1526" s="957" t="s">
        <v>1488</v>
      </c>
      <c r="D1526" s="957" t="str">
        <f t="shared" si="23"/>
        <v>福岡県行橋市</v>
      </c>
      <c r="E1526" s="957" t="s">
        <v>1487</v>
      </c>
      <c r="F1526" s="957" t="s">
        <v>1339</v>
      </c>
      <c r="G1526" s="957" t="s">
        <v>1486</v>
      </c>
    </row>
    <row r="1527" spans="1:7">
      <c r="A1527" s="957" t="s">
        <v>1484</v>
      </c>
      <c r="B1527" s="957" t="s">
        <v>1342</v>
      </c>
      <c r="C1527" s="957" t="s">
        <v>1485</v>
      </c>
      <c r="D1527" s="957" t="str">
        <f t="shared" si="23"/>
        <v>福岡県豊前市</v>
      </c>
      <c r="E1527" s="957" t="s">
        <v>1484</v>
      </c>
      <c r="F1527" s="957" t="s">
        <v>1339</v>
      </c>
      <c r="G1527" s="957" t="s">
        <v>1483</v>
      </c>
    </row>
    <row r="1528" spans="1:7">
      <c r="A1528" s="957" t="s">
        <v>1481</v>
      </c>
      <c r="B1528" s="957" t="s">
        <v>1342</v>
      </c>
      <c r="C1528" s="957" t="s">
        <v>1482</v>
      </c>
      <c r="D1528" s="957" t="str">
        <f t="shared" si="23"/>
        <v>福岡県中間市</v>
      </c>
      <c r="E1528" s="957" t="s">
        <v>1481</v>
      </c>
      <c r="F1528" s="957" t="s">
        <v>1339</v>
      </c>
      <c r="G1528" s="957" t="s">
        <v>1480</v>
      </c>
    </row>
    <row r="1529" spans="1:7">
      <c r="A1529" s="957" t="s">
        <v>1478</v>
      </c>
      <c r="B1529" s="957" t="s">
        <v>1342</v>
      </c>
      <c r="C1529" s="957" t="s">
        <v>1479</v>
      </c>
      <c r="D1529" s="957" t="str">
        <f t="shared" si="23"/>
        <v>福岡県小郡市</v>
      </c>
      <c r="E1529" s="957" t="s">
        <v>1478</v>
      </c>
      <c r="F1529" s="957" t="s">
        <v>1339</v>
      </c>
      <c r="G1529" s="957" t="s">
        <v>1477</v>
      </c>
    </row>
    <row r="1530" spans="1:7">
      <c r="A1530" s="957" t="s">
        <v>1475</v>
      </c>
      <c r="B1530" s="957" t="s">
        <v>1342</v>
      </c>
      <c r="C1530" s="957" t="s">
        <v>1476</v>
      </c>
      <c r="D1530" s="957" t="str">
        <f t="shared" si="23"/>
        <v>福岡県筑紫野市</v>
      </c>
      <c r="E1530" s="957" t="s">
        <v>1475</v>
      </c>
      <c r="F1530" s="957" t="s">
        <v>1339</v>
      </c>
      <c r="G1530" s="957" t="s">
        <v>1474</v>
      </c>
    </row>
    <row r="1531" spans="1:7">
      <c r="A1531" s="957" t="s">
        <v>1472</v>
      </c>
      <c r="B1531" s="957" t="s">
        <v>1342</v>
      </c>
      <c r="C1531" s="957" t="s">
        <v>1473</v>
      </c>
      <c r="D1531" s="957" t="str">
        <f t="shared" si="23"/>
        <v>福岡県春日市</v>
      </c>
      <c r="E1531" s="957" t="s">
        <v>1472</v>
      </c>
      <c r="F1531" s="957" t="s">
        <v>1339</v>
      </c>
      <c r="G1531" s="957" t="s">
        <v>1471</v>
      </c>
    </row>
    <row r="1532" spans="1:7">
      <c r="A1532" s="957" t="s">
        <v>1469</v>
      </c>
      <c r="B1532" s="957" t="s">
        <v>1342</v>
      </c>
      <c r="C1532" s="957" t="s">
        <v>1470</v>
      </c>
      <c r="D1532" s="957" t="str">
        <f t="shared" si="23"/>
        <v>福岡県大野城市</v>
      </c>
      <c r="E1532" s="957" t="s">
        <v>1469</v>
      </c>
      <c r="F1532" s="957" t="s">
        <v>1339</v>
      </c>
      <c r="G1532" s="957" t="s">
        <v>1468</v>
      </c>
    </row>
    <row r="1533" spans="1:7">
      <c r="A1533" s="957" t="s">
        <v>1466</v>
      </c>
      <c r="B1533" s="957" t="s">
        <v>1342</v>
      </c>
      <c r="C1533" s="957" t="s">
        <v>1467</v>
      </c>
      <c r="D1533" s="957" t="str">
        <f t="shared" si="23"/>
        <v>福岡県宗像市</v>
      </c>
      <c r="E1533" s="957" t="s">
        <v>1466</v>
      </c>
      <c r="F1533" s="957" t="s">
        <v>1339</v>
      </c>
      <c r="G1533" s="957" t="s">
        <v>1465</v>
      </c>
    </row>
    <row r="1534" spans="1:7">
      <c r="A1534" s="957" t="s">
        <v>1463</v>
      </c>
      <c r="B1534" s="957" t="s">
        <v>1342</v>
      </c>
      <c r="C1534" s="957" t="s">
        <v>1464</v>
      </c>
      <c r="D1534" s="957" t="str">
        <f t="shared" si="23"/>
        <v>福岡県太宰府市</v>
      </c>
      <c r="E1534" s="957" t="s">
        <v>1463</v>
      </c>
      <c r="F1534" s="957" t="s">
        <v>1339</v>
      </c>
      <c r="G1534" s="957" t="s">
        <v>1462</v>
      </c>
    </row>
    <row r="1535" spans="1:7">
      <c r="A1535" s="957" t="s">
        <v>1460</v>
      </c>
      <c r="B1535" s="957" t="s">
        <v>1342</v>
      </c>
      <c r="C1535" s="957" t="s">
        <v>1461</v>
      </c>
      <c r="D1535" s="957" t="str">
        <f t="shared" si="23"/>
        <v>福岡県古賀市</v>
      </c>
      <c r="E1535" s="957" t="s">
        <v>1460</v>
      </c>
      <c r="F1535" s="957" t="s">
        <v>1339</v>
      </c>
      <c r="G1535" s="957" t="s">
        <v>1459</v>
      </c>
    </row>
    <row r="1536" spans="1:7">
      <c r="A1536" s="957" t="s">
        <v>1457</v>
      </c>
      <c r="B1536" s="957" t="s">
        <v>1342</v>
      </c>
      <c r="C1536" s="957" t="s">
        <v>1458</v>
      </c>
      <c r="D1536" s="957" t="str">
        <f t="shared" si="23"/>
        <v>福岡県福津市</v>
      </c>
      <c r="E1536" s="957" t="s">
        <v>1457</v>
      </c>
      <c r="F1536" s="957" t="s">
        <v>1339</v>
      </c>
      <c r="G1536" s="957" t="s">
        <v>1456</v>
      </c>
    </row>
    <row r="1537" spans="1:7">
      <c r="A1537" s="957" t="s">
        <v>1454</v>
      </c>
      <c r="B1537" s="957" t="s">
        <v>1342</v>
      </c>
      <c r="C1537" s="957" t="s">
        <v>1455</v>
      </c>
      <c r="D1537" s="957" t="str">
        <f t="shared" si="23"/>
        <v>福岡県うきは市</v>
      </c>
      <c r="E1537" s="957" t="s">
        <v>1454</v>
      </c>
      <c r="F1537" s="957" t="s">
        <v>1339</v>
      </c>
      <c r="G1537" s="957" t="s">
        <v>1453</v>
      </c>
    </row>
    <row r="1538" spans="1:7">
      <c r="A1538" s="957" t="s">
        <v>1451</v>
      </c>
      <c r="B1538" s="957" t="s">
        <v>1342</v>
      </c>
      <c r="C1538" s="957" t="s">
        <v>1452</v>
      </c>
      <c r="D1538" s="957" t="str">
        <f t="shared" si="23"/>
        <v>福岡県宮若市</v>
      </c>
      <c r="E1538" s="957" t="s">
        <v>1451</v>
      </c>
      <c r="F1538" s="957" t="s">
        <v>1339</v>
      </c>
      <c r="G1538" s="957" t="s">
        <v>1450</v>
      </c>
    </row>
    <row r="1539" spans="1:7">
      <c r="A1539" s="957" t="s">
        <v>1448</v>
      </c>
      <c r="B1539" s="957" t="s">
        <v>1342</v>
      </c>
      <c r="C1539" s="957" t="s">
        <v>1449</v>
      </c>
      <c r="D1539" s="957" t="str">
        <f t="shared" ref="D1539:D1602" si="24">B1539&amp;C1539</f>
        <v>福岡県嘉麻市</v>
      </c>
      <c r="E1539" s="957" t="s">
        <v>1448</v>
      </c>
      <c r="F1539" s="957" t="s">
        <v>1339</v>
      </c>
      <c r="G1539" s="957" t="s">
        <v>1447</v>
      </c>
    </row>
    <row r="1540" spans="1:7">
      <c r="A1540" s="957" t="s">
        <v>1445</v>
      </c>
      <c r="B1540" s="957" t="s">
        <v>1342</v>
      </c>
      <c r="C1540" s="957" t="s">
        <v>1446</v>
      </c>
      <c r="D1540" s="957" t="str">
        <f t="shared" si="24"/>
        <v>福岡県朝倉市</v>
      </c>
      <c r="E1540" s="957" t="s">
        <v>1445</v>
      </c>
      <c r="F1540" s="957" t="s">
        <v>1339</v>
      </c>
      <c r="G1540" s="957" t="s">
        <v>1444</v>
      </c>
    </row>
    <row r="1541" spans="1:7">
      <c r="A1541" s="957" t="s">
        <v>1442</v>
      </c>
      <c r="B1541" s="957" t="s">
        <v>1342</v>
      </c>
      <c r="C1541" s="957" t="s">
        <v>1443</v>
      </c>
      <c r="D1541" s="957" t="str">
        <f t="shared" si="24"/>
        <v>福岡県みやま市</v>
      </c>
      <c r="E1541" s="957" t="s">
        <v>1442</v>
      </c>
      <c r="F1541" s="957" t="s">
        <v>1339</v>
      </c>
      <c r="G1541" s="957" t="s">
        <v>1441</v>
      </c>
    </row>
    <row r="1542" spans="1:7">
      <c r="A1542" s="957" t="s">
        <v>1439</v>
      </c>
      <c r="B1542" s="957" t="s">
        <v>1342</v>
      </c>
      <c r="C1542" s="957" t="s">
        <v>1440</v>
      </c>
      <c r="D1542" s="957" t="str">
        <f t="shared" si="24"/>
        <v>福岡県糸島市</v>
      </c>
      <c r="E1542" s="957" t="s">
        <v>1439</v>
      </c>
      <c r="F1542" s="957" t="s">
        <v>1339</v>
      </c>
      <c r="G1542" s="957" t="s">
        <v>1438</v>
      </c>
    </row>
    <row r="1543" spans="1:7">
      <c r="A1543" s="957" t="s">
        <v>1435</v>
      </c>
      <c r="B1543" s="957" t="s">
        <v>1437</v>
      </c>
      <c r="C1543" s="957" t="s">
        <v>1436</v>
      </c>
      <c r="D1543" s="957" t="str">
        <f t="shared" si="24"/>
        <v>福岡県那珂川市</v>
      </c>
      <c r="E1543" s="957" t="s">
        <v>1435</v>
      </c>
      <c r="F1543" s="957" t="s">
        <v>1434</v>
      </c>
      <c r="G1543" s="957" t="s">
        <v>1433</v>
      </c>
    </row>
    <row r="1544" spans="1:7">
      <c r="A1544" s="957" t="s">
        <v>1431</v>
      </c>
      <c r="B1544" s="957" t="s">
        <v>1342</v>
      </c>
      <c r="C1544" s="957" t="s">
        <v>1432</v>
      </c>
      <c r="D1544" s="957" t="str">
        <f t="shared" si="24"/>
        <v>福岡県宇美町</v>
      </c>
      <c r="E1544" s="957" t="s">
        <v>1431</v>
      </c>
      <c r="F1544" s="957" t="s">
        <v>1339</v>
      </c>
      <c r="G1544" s="957" t="s">
        <v>1430</v>
      </c>
    </row>
    <row r="1545" spans="1:7">
      <c r="A1545" s="957" t="s">
        <v>1428</v>
      </c>
      <c r="B1545" s="957" t="s">
        <v>1342</v>
      </c>
      <c r="C1545" s="957" t="s">
        <v>1429</v>
      </c>
      <c r="D1545" s="957" t="str">
        <f t="shared" si="24"/>
        <v>福岡県篠栗町</v>
      </c>
      <c r="E1545" s="957" t="s">
        <v>1428</v>
      </c>
      <c r="F1545" s="957" t="s">
        <v>1339</v>
      </c>
      <c r="G1545" s="957" t="s">
        <v>1427</v>
      </c>
    </row>
    <row r="1546" spans="1:7">
      <c r="A1546" s="957" t="s">
        <v>1425</v>
      </c>
      <c r="B1546" s="957" t="s">
        <v>1342</v>
      </c>
      <c r="C1546" s="957" t="s">
        <v>1426</v>
      </c>
      <c r="D1546" s="957" t="str">
        <f t="shared" si="24"/>
        <v>福岡県志免町</v>
      </c>
      <c r="E1546" s="957" t="s">
        <v>1425</v>
      </c>
      <c r="F1546" s="957" t="s">
        <v>1339</v>
      </c>
      <c r="G1546" s="957" t="s">
        <v>1424</v>
      </c>
    </row>
    <row r="1547" spans="1:7">
      <c r="A1547" s="957" t="s">
        <v>1422</v>
      </c>
      <c r="B1547" s="957" t="s">
        <v>1342</v>
      </c>
      <c r="C1547" s="957" t="s">
        <v>1423</v>
      </c>
      <c r="D1547" s="957" t="str">
        <f t="shared" si="24"/>
        <v>福岡県須恵町</v>
      </c>
      <c r="E1547" s="957" t="s">
        <v>1422</v>
      </c>
      <c r="F1547" s="957" t="s">
        <v>1339</v>
      </c>
      <c r="G1547" s="957" t="s">
        <v>1421</v>
      </c>
    </row>
    <row r="1548" spans="1:7">
      <c r="A1548" s="957" t="s">
        <v>1419</v>
      </c>
      <c r="B1548" s="957" t="s">
        <v>1342</v>
      </c>
      <c r="C1548" s="957" t="s">
        <v>1420</v>
      </c>
      <c r="D1548" s="957" t="str">
        <f t="shared" si="24"/>
        <v>福岡県新宮町</v>
      </c>
      <c r="E1548" s="957" t="s">
        <v>1419</v>
      </c>
      <c r="F1548" s="957" t="s">
        <v>1339</v>
      </c>
      <c r="G1548" s="957" t="s">
        <v>1418</v>
      </c>
    </row>
    <row r="1549" spans="1:7">
      <c r="A1549" s="957" t="s">
        <v>1416</v>
      </c>
      <c r="B1549" s="957" t="s">
        <v>1342</v>
      </c>
      <c r="C1549" s="957" t="s">
        <v>1417</v>
      </c>
      <c r="D1549" s="957" t="str">
        <f t="shared" si="24"/>
        <v>福岡県久山町</v>
      </c>
      <c r="E1549" s="957" t="s">
        <v>1416</v>
      </c>
      <c r="F1549" s="957" t="s">
        <v>1339</v>
      </c>
      <c r="G1549" s="957" t="s">
        <v>1415</v>
      </c>
    </row>
    <row r="1550" spans="1:7">
      <c r="A1550" s="957" t="s">
        <v>1413</v>
      </c>
      <c r="B1550" s="957" t="s">
        <v>1342</v>
      </c>
      <c r="C1550" s="957" t="s">
        <v>1414</v>
      </c>
      <c r="D1550" s="957" t="str">
        <f t="shared" si="24"/>
        <v>福岡県粕屋町</v>
      </c>
      <c r="E1550" s="957" t="s">
        <v>1413</v>
      </c>
      <c r="F1550" s="957" t="s">
        <v>1339</v>
      </c>
      <c r="G1550" s="957" t="s">
        <v>1412</v>
      </c>
    </row>
    <row r="1551" spans="1:7">
      <c r="A1551" s="957" t="s">
        <v>1410</v>
      </c>
      <c r="B1551" s="957" t="s">
        <v>1342</v>
      </c>
      <c r="C1551" s="957" t="s">
        <v>1411</v>
      </c>
      <c r="D1551" s="957" t="str">
        <f t="shared" si="24"/>
        <v>福岡県芦屋町</v>
      </c>
      <c r="E1551" s="957" t="s">
        <v>1410</v>
      </c>
      <c r="F1551" s="957" t="s">
        <v>1339</v>
      </c>
      <c r="G1551" s="957" t="s">
        <v>1409</v>
      </c>
    </row>
    <row r="1552" spans="1:7">
      <c r="A1552" s="957" t="s">
        <v>1407</v>
      </c>
      <c r="B1552" s="957" t="s">
        <v>1342</v>
      </c>
      <c r="C1552" s="957" t="s">
        <v>1408</v>
      </c>
      <c r="D1552" s="957" t="str">
        <f t="shared" si="24"/>
        <v>福岡県水巻町</v>
      </c>
      <c r="E1552" s="957" t="s">
        <v>1407</v>
      </c>
      <c r="F1552" s="957" t="s">
        <v>1339</v>
      </c>
      <c r="G1552" s="957" t="s">
        <v>1406</v>
      </c>
    </row>
    <row r="1553" spans="1:7">
      <c r="A1553" s="957" t="s">
        <v>1404</v>
      </c>
      <c r="B1553" s="957" t="s">
        <v>1342</v>
      </c>
      <c r="C1553" s="957" t="s">
        <v>1405</v>
      </c>
      <c r="D1553" s="957" t="str">
        <f t="shared" si="24"/>
        <v>福岡県岡垣町</v>
      </c>
      <c r="E1553" s="957" t="s">
        <v>1404</v>
      </c>
      <c r="F1553" s="957" t="s">
        <v>1339</v>
      </c>
      <c r="G1553" s="957" t="s">
        <v>1403</v>
      </c>
    </row>
    <row r="1554" spans="1:7">
      <c r="A1554" s="957" t="s">
        <v>1401</v>
      </c>
      <c r="B1554" s="957" t="s">
        <v>1342</v>
      </c>
      <c r="C1554" s="957" t="s">
        <v>1402</v>
      </c>
      <c r="D1554" s="957" t="str">
        <f t="shared" si="24"/>
        <v>福岡県遠賀町</v>
      </c>
      <c r="E1554" s="957" t="s">
        <v>1401</v>
      </c>
      <c r="F1554" s="957" t="s">
        <v>1339</v>
      </c>
      <c r="G1554" s="957" t="s">
        <v>1400</v>
      </c>
    </row>
    <row r="1555" spans="1:7">
      <c r="A1555" s="957" t="s">
        <v>1398</v>
      </c>
      <c r="B1555" s="957" t="s">
        <v>1342</v>
      </c>
      <c r="C1555" s="957" t="s">
        <v>1399</v>
      </c>
      <c r="D1555" s="957" t="str">
        <f t="shared" si="24"/>
        <v>福岡県小竹町</v>
      </c>
      <c r="E1555" s="957" t="s">
        <v>1398</v>
      </c>
      <c r="F1555" s="957" t="s">
        <v>1339</v>
      </c>
      <c r="G1555" s="957" t="s">
        <v>1397</v>
      </c>
    </row>
    <row r="1556" spans="1:7">
      <c r="A1556" s="957" t="s">
        <v>1395</v>
      </c>
      <c r="B1556" s="957" t="s">
        <v>1342</v>
      </c>
      <c r="C1556" s="957" t="s">
        <v>1396</v>
      </c>
      <c r="D1556" s="957" t="str">
        <f t="shared" si="24"/>
        <v>福岡県鞍手町</v>
      </c>
      <c r="E1556" s="957" t="s">
        <v>1395</v>
      </c>
      <c r="F1556" s="957" t="s">
        <v>1339</v>
      </c>
      <c r="G1556" s="957" t="s">
        <v>1394</v>
      </c>
    </row>
    <row r="1557" spans="1:7">
      <c r="A1557" s="957" t="s">
        <v>1392</v>
      </c>
      <c r="B1557" s="957" t="s">
        <v>1342</v>
      </c>
      <c r="C1557" s="957" t="s">
        <v>1393</v>
      </c>
      <c r="D1557" s="957" t="str">
        <f t="shared" si="24"/>
        <v>福岡県桂川町</v>
      </c>
      <c r="E1557" s="957" t="s">
        <v>1392</v>
      </c>
      <c r="F1557" s="957" t="s">
        <v>1339</v>
      </c>
      <c r="G1557" s="957" t="s">
        <v>1391</v>
      </c>
    </row>
    <row r="1558" spans="1:7">
      <c r="A1558" s="957" t="s">
        <v>1389</v>
      </c>
      <c r="B1558" s="957" t="s">
        <v>1342</v>
      </c>
      <c r="C1558" s="957" t="s">
        <v>1390</v>
      </c>
      <c r="D1558" s="957" t="str">
        <f t="shared" si="24"/>
        <v>福岡県筑前町</v>
      </c>
      <c r="E1558" s="957" t="s">
        <v>1389</v>
      </c>
      <c r="F1558" s="957" t="s">
        <v>1339</v>
      </c>
      <c r="G1558" s="957" t="s">
        <v>1388</v>
      </c>
    </row>
    <row r="1559" spans="1:7">
      <c r="A1559" s="957" t="s">
        <v>1386</v>
      </c>
      <c r="B1559" s="957" t="s">
        <v>1342</v>
      </c>
      <c r="C1559" s="957" t="s">
        <v>1387</v>
      </c>
      <c r="D1559" s="957" t="str">
        <f t="shared" si="24"/>
        <v>福岡県東峰村</v>
      </c>
      <c r="E1559" s="957" t="s">
        <v>1386</v>
      </c>
      <c r="F1559" s="957" t="s">
        <v>1339</v>
      </c>
      <c r="G1559" s="957" t="s">
        <v>1385</v>
      </c>
    </row>
    <row r="1560" spans="1:7">
      <c r="A1560" s="957" t="s">
        <v>1383</v>
      </c>
      <c r="B1560" s="957" t="s">
        <v>1342</v>
      </c>
      <c r="C1560" s="957" t="s">
        <v>1384</v>
      </c>
      <c r="D1560" s="957" t="str">
        <f t="shared" si="24"/>
        <v>福岡県大刀洗町</v>
      </c>
      <c r="E1560" s="957" t="s">
        <v>1383</v>
      </c>
      <c r="F1560" s="957" t="s">
        <v>1339</v>
      </c>
      <c r="G1560" s="957" t="s">
        <v>1382</v>
      </c>
    </row>
    <row r="1561" spans="1:7">
      <c r="A1561" s="957" t="s">
        <v>1380</v>
      </c>
      <c r="B1561" s="957" t="s">
        <v>1342</v>
      </c>
      <c r="C1561" s="957" t="s">
        <v>1381</v>
      </c>
      <c r="D1561" s="957" t="str">
        <f t="shared" si="24"/>
        <v>福岡県大木町</v>
      </c>
      <c r="E1561" s="957" t="s">
        <v>1380</v>
      </c>
      <c r="F1561" s="957" t="s">
        <v>1339</v>
      </c>
      <c r="G1561" s="957" t="s">
        <v>1379</v>
      </c>
    </row>
    <row r="1562" spans="1:7">
      <c r="A1562" s="957" t="s">
        <v>1377</v>
      </c>
      <c r="B1562" s="957" t="s">
        <v>1342</v>
      </c>
      <c r="C1562" s="957" t="s">
        <v>1378</v>
      </c>
      <c r="D1562" s="957" t="str">
        <f t="shared" si="24"/>
        <v>福岡県広川町</v>
      </c>
      <c r="E1562" s="957" t="s">
        <v>1377</v>
      </c>
      <c r="F1562" s="957" t="s">
        <v>1339</v>
      </c>
      <c r="G1562" s="957" t="s">
        <v>1376</v>
      </c>
    </row>
    <row r="1563" spans="1:7">
      <c r="A1563" s="957" t="s">
        <v>1374</v>
      </c>
      <c r="B1563" s="957" t="s">
        <v>1342</v>
      </c>
      <c r="C1563" s="957" t="s">
        <v>1375</v>
      </c>
      <c r="D1563" s="957" t="str">
        <f t="shared" si="24"/>
        <v>福岡県香春町</v>
      </c>
      <c r="E1563" s="957" t="s">
        <v>1374</v>
      </c>
      <c r="F1563" s="957" t="s">
        <v>1339</v>
      </c>
      <c r="G1563" s="957" t="s">
        <v>1373</v>
      </c>
    </row>
    <row r="1564" spans="1:7">
      <c r="A1564" s="957" t="s">
        <v>1371</v>
      </c>
      <c r="B1564" s="957" t="s">
        <v>1342</v>
      </c>
      <c r="C1564" s="957" t="s">
        <v>1372</v>
      </c>
      <c r="D1564" s="957" t="str">
        <f t="shared" si="24"/>
        <v>福岡県添田町</v>
      </c>
      <c r="E1564" s="957" t="s">
        <v>1371</v>
      </c>
      <c r="F1564" s="957" t="s">
        <v>1339</v>
      </c>
      <c r="G1564" s="957" t="s">
        <v>1370</v>
      </c>
    </row>
    <row r="1565" spans="1:7">
      <c r="A1565" s="957" t="s">
        <v>1368</v>
      </c>
      <c r="B1565" s="957" t="s">
        <v>1342</v>
      </c>
      <c r="C1565" s="957" t="s">
        <v>1369</v>
      </c>
      <c r="D1565" s="957" t="str">
        <f t="shared" si="24"/>
        <v>福岡県糸田町</v>
      </c>
      <c r="E1565" s="957" t="s">
        <v>1368</v>
      </c>
      <c r="F1565" s="957" t="s">
        <v>1339</v>
      </c>
      <c r="G1565" s="957" t="s">
        <v>1367</v>
      </c>
    </row>
    <row r="1566" spans="1:7">
      <c r="A1566" s="957" t="s">
        <v>1365</v>
      </c>
      <c r="B1566" s="957" t="s">
        <v>1342</v>
      </c>
      <c r="C1566" s="957" t="s">
        <v>1366</v>
      </c>
      <c r="D1566" s="957" t="str">
        <f t="shared" si="24"/>
        <v>福岡県川崎町</v>
      </c>
      <c r="E1566" s="957" t="s">
        <v>1365</v>
      </c>
      <c r="F1566" s="957" t="s">
        <v>1339</v>
      </c>
      <c r="G1566" s="957" t="s">
        <v>1364</v>
      </c>
    </row>
    <row r="1567" spans="1:7">
      <c r="A1567" s="957" t="s">
        <v>1362</v>
      </c>
      <c r="B1567" s="957" t="s">
        <v>1342</v>
      </c>
      <c r="C1567" s="957" t="s">
        <v>1363</v>
      </c>
      <c r="D1567" s="957" t="str">
        <f t="shared" si="24"/>
        <v>福岡県大任町</v>
      </c>
      <c r="E1567" s="957" t="s">
        <v>1362</v>
      </c>
      <c r="F1567" s="957" t="s">
        <v>1339</v>
      </c>
      <c r="G1567" s="957" t="s">
        <v>1361</v>
      </c>
    </row>
    <row r="1568" spans="1:7">
      <c r="A1568" s="957" t="s">
        <v>1359</v>
      </c>
      <c r="B1568" s="957" t="s">
        <v>1342</v>
      </c>
      <c r="C1568" s="957" t="s">
        <v>1360</v>
      </c>
      <c r="D1568" s="957" t="str">
        <f t="shared" si="24"/>
        <v>福岡県赤村</v>
      </c>
      <c r="E1568" s="957" t="s">
        <v>1359</v>
      </c>
      <c r="F1568" s="957" t="s">
        <v>1339</v>
      </c>
      <c r="G1568" s="957" t="s">
        <v>1358</v>
      </c>
    </row>
    <row r="1569" spans="1:7">
      <c r="A1569" s="957" t="s">
        <v>1356</v>
      </c>
      <c r="B1569" s="957" t="s">
        <v>1342</v>
      </c>
      <c r="C1569" s="957" t="s">
        <v>1357</v>
      </c>
      <c r="D1569" s="957" t="str">
        <f t="shared" si="24"/>
        <v>福岡県福智町</v>
      </c>
      <c r="E1569" s="957" t="s">
        <v>1356</v>
      </c>
      <c r="F1569" s="957" t="s">
        <v>1339</v>
      </c>
      <c r="G1569" s="957" t="s">
        <v>1355</v>
      </c>
    </row>
    <row r="1570" spans="1:7">
      <c r="A1570" s="957" t="s">
        <v>1353</v>
      </c>
      <c r="B1570" s="957" t="s">
        <v>1342</v>
      </c>
      <c r="C1570" s="957" t="s">
        <v>1354</v>
      </c>
      <c r="D1570" s="957" t="str">
        <f t="shared" si="24"/>
        <v>福岡県苅田町</v>
      </c>
      <c r="E1570" s="957" t="s">
        <v>1353</v>
      </c>
      <c r="F1570" s="957" t="s">
        <v>1339</v>
      </c>
      <c r="G1570" s="957" t="s">
        <v>1352</v>
      </c>
    </row>
    <row r="1571" spans="1:7">
      <c r="A1571" s="957" t="s">
        <v>1350</v>
      </c>
      <c r="B1571" s="957" t="s">
        <v>1342</v>
      </c>
      <c r="C1571" s="957" t="s">
        <v>1351</v>
      </c>
      <c r="D1571" s="957" t="str">
        <f t="shared" si="24"/>
        <v>福岡県みやこ町</v>
      </c>
      <c r="E1571" s="957" t="s">
        <v>1350</v>
      </c>
      <c r="F1571" s="957" t="s">
        <v>1339</v>
      </c>
      <c r="G1571" s="957" t="s">
        <v>1349</v>
      </c>
    </row>
    <row r="1572" spans="1:7">
      <c r="A1572" s="957" t="s">
        <v>1347</v>
      </c>
      <c r="B1572" s="957" t="s">
        <v>1342</v>
      </c>
      <c r="C1572" s="957" t="s">
        <v>1348</v>
      </c>
      <c r="D1572" s="957" t="str">
        <f t="shared" si="24"/>
        <v>福岡県吉富町</v>
      </c>
      <c r="E1572" s="957" t="s">
        <v>1347</v>
      </c>
      <c r="F1572" s="957" t="s">
        <v>1339</v>
      </c>
      <c r="G1572" s="957" t="s">
        <v>1346</v>
      </c>
    </row>
    <row r="1573" spans="1:7">
      <c r="A1573" s="957" t="s">
        <v>1344</v>
      </c>
      <c r="B1573" s="957" t="s">
        <v>1342</v>
      </c>
      <c r="C1573" s="957" t="s">
        <v>1345</v>
      </c>
      <c r="D1573" s="957" t="str">
        <f t="shared" si="24"/>
        <v>福岡県上毛町</v>
      </c>
      <c r="E1573" s="957" t="s">
        <v>1344</v>
      </c>
      <c r="F1573" s="957" t="s">
        <v>1339</v>
      </c>
      <c r="G1573" s="957" t="s">
        <v>1343</v>
      </c>
    </row>
    <row r="1574" spans="1:7">
      <c r="A1574" s="957" t="s">
        <v>1340</v>
      </c>
      <c r="B1574" s="957" t="s">
        <v>1342</v>
      </c>
      <c r="C1574" s="957" t="s">
        <v>1341</v>
      </c>
      <c r="D1574" s="957" t="str">
        <f t="shared" si="24"/>
        <v>福岡県築上町</v>
      </c>
      <c r="E1574" s="957" t="s">
        <v>1340</v>
      </c>
      <c r="F1574" s="957" t="s">
        <v>1339</v>
      </c>
      <c r="G1574" s="957" t="s">
        <v>1338</v>
      </c>
    </row>
    <row r="1575" spans="1:7">
      <c r="A1575" s="960" t="s">
        <v>1336</v>
      </c>
      <c r="B1575" s="960" t="s">
        <v>1337</v>
      </c>
      <c r="C1575" s="960" t="s">
        <v>1337</v>
      </c>
      <c r="D1575" s="960" t="str">
        <f t="shared" si="24"/>
        <v>佐賀県佐賀県</v>
      </c>
      <c r="E1575" s="960" t="s">
        <v>1336</v>
      </c>
      <c r="F1575" s="959" t="s">
        <v>1335</v>
      </c>
      <c r="G1575" s="958"/>
    </row>
    <row r="1576" spans="1:7">
      <c r="A1576" s="957" t="s">
        <v>1333</v>
      </c>
      <c r="B1576" s="957" t="s">
        <v>1277</v>
      </c>
      <c r="C1576" s="957" t="s">
        <v>1334</v>
      </c>
      <c r="D1576" s="957" t="str">
        <f t="shared" si="24"/>
        <v>佐賀県佐賀市</v>
      </c>
      <c r="E1576" s="957" t="s">
        <v>1333</v>
      </c>
      <c r="F1576" s="957" t="s">
        <v>1274</v>
      </c>
      <c r="G1576" s="957" t="s">
        <v>1332</v>
      </c>
    </row>
    <row r="1577" spans="1:7">
      <c r="A1577" s="957" t="s">
        <v>1330</v>
      </c>
      <c r="B1577" s="957" t="s">
        <v>1277</v>
      </c>
      <c r="C1577" s="957" t="s">
        <v>1331</v>
      </c>
      <c r="D1577" s="957" t="str">
        <f t="shared" si="24"/>
        <v>佐賀県唐津市</v>
      </c>
      <c r="E1577" s="957" t="s">
        <v>1330</v>
      </c>
      <c r="F1577" s="957" t="s">
        <v>1274</v>
      </c>
      <c r="G1577" s="957" t="s">
        <v>1329</v>
      </c>
    </row>
    <row r="1578" spans="1:7">
      <c r="A1578" s="957" t="s">
        <v>1327</v>
      </c>
      <c r="B1578" s="957" t="s">
        <v>1277</v>
      </c>
      <c r="C1578" s="957" t="s">
        <v>1328</v>
      </c>
      <c r="D1578" s="957" t="str">
        <f t="shared" si="24"/>
        <v>佐賀県鳥栖市</v>
      </c>
      <c r="E1578" s="957" t="s">
        <v>1327</v>
      </c>
      <c r="F1578" s="957" t="s">
        <v>1274</v>
      </c>
      <c r="G1578" s="957" t="s">
        <v>1326</v>
      </c>
    </row>
    <row r="1579" spans="1:7">
      <c r="A1579" s="957" t="s">
        <v>1324</v>
      </c>
      <c r="B1579" s="957" t="s">
        <v>1277</v>
      </c>
      <c r="C1579" s="957" t="s">
        <v>1325</v>
      </c>
      <c r="D1579" s="957" t="str">
        <f t="shared" si="24"/>
        <v>佐賀県多久市</v>
      </c>
      <c r="E1579" s="957" t="s">
        <v>1324</v>
      </c>
      <c r="F1579" s="957" t="s">
        <v>1274</v>
      </c>
      <c r="G1579" s="957" t="s">
        <v>1323</v>
      </c>
    </row>
    <row r="1580" spans="1:7">
      <c r="A1580" s="957" t="s">
        <v>1321</v>
      </c>
      <c r="B1580" s="957" t="s">
        <v>1277</v>
      </c>
      <c r="C1580" s="957" t="s">
        <v>1322</v>
      </c>
      <c r="D1580" s="957" t="str">
        <f t="shared" si="24"/>
        <v>佐賀県伊万里市</v>
      </c>
      <c r="E1580" s="957" t="s">
        <v>1321</v>
      </c>
      <c r="F1580" s="957" t="s">
        <v>1274</v>
      </c>
      <c r="G1580" s="957" t="s">
        <v>1320</v>
      </c>
    </row>
    <row r="1581" spans="1:7">
      <c r="A1581" s="957" t="s">
        <v>1318</v>
      </c>
      <c r="B1581" s="957" t="s">
        <v>1277</v>
      </c>
      <c r="C1581" s="957" t="s">
        <v>1319</v>
      </c>
      <c r="D1581" s="957" t="str">
        <f t="shared" si="24"/>
        <v>佐賀県武雄市</v>
      </c>
      <c r="E1581" s="957" t="s">
        <v>1318</v>
      </c>
      <c r="F1581" s="957" t="s">
        <v>1274</v>
      </c>
      <c r="G1581" s="957" t="s">
        <v>1317</v>
      </c>
    </row>
    <row r="1582" spans="1:7">
      <c r="A1582" s="957" t="s">
        <v>1315</v>
      </c>
      <c r="B1582" s="957" t="s">
        <v>1277</v>
      </c>
      <c r="C1582" s="957" t="s">
        <v>1316</v>
      </c>
      <c r="D1582" s="957" t="str">
        <f t="shared" si="24"/>
        <v>佐賀県鹿島市</v>
      </c>
      <c r="E1582" s="957" t="s">
        <v>1315</v>
      </c>
      <c r="F1582" s="957" t="s">
        <v>1274</v>
      </c>
      <c r="G1582" s="957" t="s">
        <v>1314</v>
      </c>
    </row>
    <row r="1583" spans="1:7">
      <c r="A1583" s="957" t="s">
        <v>1312</v>
      </c>
      <c r="B1583" s="957" t="s">
        <v>1277</v>
      </c>
      <c r="C1583" s="957" t="s">
        <v>1313</v>
      </c>
      <c r="D1583" s="957" t="str">
        <f t="shared" si="24"/>
        <v>佐賀県小城市</v>
      </c>
      <c r="E1583" s="957" t="s">
        <v>1312</v>
      </c>
      <c r="F1583" s="957" t="s">
        <v>1274</v>
      </c>
      <c r="G1583" s="957" t="s">
        <v>1311</v>
      </c>
    </row>
    <row r="1584" spans="1:7">
      <c r="A1584" s="957" t="s">
        <v>1309</v>
      </c>
      <c r="B1584" s="957" t="s">
        <v>1277</v>
      </c>
      <c r="C1584" s="957" t="s">
        <v>1310</v>
      </c>
      <c r="D1584" s="957" t="str">
        <f t="shared" si="24"/>
        <v>佐賀県嬉野市</v>
      </c>
      <c r="E1584" s="957" t="s">
        <v>1309</v>
      </c>
      <c r="F1584" s="957" t="s">
        <v>1274</v>
      </c>
      <c r="G1584" s="957" t="s">
        <v>1308</v>
      </c>
    </row>
    <row r="1585" spans="1:7">
      <c r="A1585" s="957" t="s">
        <v>1306</v>
      </c>
      <c r="B1585" s="957" t="s">
        <v>1277</v>
      </c>
      <c r="C1585" s="957" t="s">
        <v>1307</v>
      </c>
      <c r="D1585" s="957" t="str">
        <f t="shared" si="24"/>
        <v>佐賀県神埼市</v>
      </c>
      <c r="E1585" s="957" t="s">
        <v>1306</v>
      </c>
      <c r="F1585" s="957" t="s">
        <v>1274</v>
      </c>
      <c r="G1585" s="957" t="s">
        <v>1305</v>
      </c>
    </row>
    <row r="1586" spans="1:7">
      <c r="A1586" s="957" t="s">
        <v>1303</v>
      </c>
      <c r="B1586" s="957" t="s">
        <v>1277</v>
      </c>
      <c r="C1586" s="957" t="s">
        <v>1304</v>
      </c>
      <c r="D1586" s="957" t="str">
        <f t="shared" si="24"/>
        <v>佐賀県吉野ヶ里町</v>
      </c>
      <c r="E1586" s="957" t="s">
        <v>1303</v>
      </c>
      <c r="F1586" s="957" t="s">
        <v>1274</v>
      </c>
      <c r="G1586" s="957" t="s">
        <v>1302</v>
      </c>
    </row>
    <row r="1587" spans="1:7">
      <c r="A1587" s="957" t="s">
        <v>1300</v>
      </c>
      <c r="B1587" s="957" t="s">
        <v>1277</v>
      </c>
      <c r="C1587" s="957" t="s">
        <v>1301</v>
      </c>
      <c r="D1587" s="957" t="str">
        <f t="shared" si="24"/>
        <v>佐賀県基山町</v>
      </c>
      <c r="E1587" s="957" t="s">
        <v>1300</v>
      </c>
      <c r="F1587" s="957" t="s">
        <v>1274</v>
      </c>
      <c r="G1587" s="957" t="s">
        <v>1299</v>
      </c>
    </row>
    <row r="1588" spans="1:7">
      <c r="A1588" s="957" t="s">
        <v>1297</v>
      </c>
      <c r="B1588" s="957" t="s">
        <v>1277</v>
      </c>
      <c r="C1588" s="957" t="s">
        <v>1298</v>
      </c>
      <c r="D1588" s="957" t="str">
        <f t="shared" si="24"/>
        <v>佐賀県上峰町</v>
      </c>
      <c r="E1588" s="957" t="s">
        <v>1297</v>
      </c>
      <c r="F1588" s="957" t="s">
        <v>1274</v>
      </c>
      <c r="G1588" s="957" t="s">
        <v>1296</v>
      </c>
    </row>
    <row r="1589" spans="1:7">
      <c r="A1589" s="957" t="s">
        <v>1294</v>
      </c>
      <c r="B1589" s="957" t="s">
        <v>1277</v>
      </c>
      <c r="C1589" s="957" t="s">
        <v>1295</v>
      </c>
      <c r="D1589" s="957" t="str">
        <f t="shared" si="24"/>
        <v>佐賀県みやき町</v>
      </c>
      <c r="E1589" s="957" t="s">
        <v>1294</v>
      </c>
      <c r="F1589" s="957" t="s">
        <v>1274</v>
      </c>
      <c r="G1589" s="957" t="s">
        <v>1293</v>
      </c>
    </row>
    <row r="1590" spans="1:7">
      <c r="A1590" s="957" t="s">
        <v>1291</v>
      </c>
      <c r="B1590" s="957" t="s">
        <v>1277</v>
      </c>
      <c r="C1590" s="957" t="s">
        <v>1292</v>
      </c>
      <c r="D1590" s="957" t="str">
        <f t="shared" si="24"/>
        <v>佐賀県玄海町</v>
      </c>
      <c r="E1590" s="957" t="s">
        <v>1291</v>
      </c>
      <c r="F1590" s="957" t="s">
        <v>1274</v>
      </c>
      <c r="G1590" s="957" t="s">
        <v>1290</v>
      </c>
    </row>
    <row r="1591" spans="1:7">
      <c r="A1591" s="957" t="s">
        <v>1288</v>
      </c>
      <c r="B1591" s="957" t="s">
        <v>1277</v>
      </c>
      <c r="C1591" s="957" t="s">
        <v>1289</v>
      </c>
      <c r="D1591" s="957" t="str">
        <f t="shared" si="24"/>
        <v>佐賀県有田町</v>
      </c>
      <c r="E1591" s="957" t="s">
        <v>1288</v>
      </c>
      <c r="F1591" s="957" t="s">
        <v>1274</v>
      </c>
      <c r="G1591" s="957" t="s">
        <v>1287</v>
      </c>
    </row>
    <row r="1592" spans="1:7">
      <c r="A1592" s="957" t="s">
        <v>1285</v>
      </c>
      <c r="B1592" s="957" t="s">
        <v>1277</v>
      </c>
      <c r="C1592" s="957" t="s">
        <v>1286</v>
      </c>
      <c r="D1592" s="957" t="str">
        <f t="shared" si="24"/>
        <v>佐賀県大町町</v>
      </c>
      <c r="E1592" s="957" t="s">
        <v>1285</v>
      </c>
      <c r="F1592" s="957" t="s">
        <v>1274</v>
      </c>
      <c r="G1592" s="957" t="s">
        <v>1284</v>
      </c>
    </row>
    <row r="1593" spans="1:7">
      <c r="A1593" s="957" t="s">
        <v>1282</v>
      </c>
      <c r="B1593" s="957" t="s">
        <v>1277</v>
      </c>
      <c r="C1593" s="957" t="s">
        <v>1283</v>
      </c>
      <c r="D1593" s="957" t="str">
        <f t="shared" si="24"/>
        <v>佐賀県江北町</v>
      </c>
      <c r="E1593" s="957" t="s">
        <v>1282</v>
      </c>
      <c r="F1593" s="957" t="s">
        <v>1274</v>
      </c>
      <c r="G1593" s="957" t="s">
        <v>1281</v>
      </c>
    </row>
    <row r="1594" spans="1:7">
      <c r="A1594" s="957" t="s">
        <v>1279</v>
      </c>
      <c r="B1594" s="957" t="s">
        <v>1277</v>
      </c>
      <c r="C1594" s="957" t="s">
        <v>1280</v>
      </c>
      <c r="D1594" s="957" t="str">
        <f t="shared" si="24"/>
        <v>佐賀県白石町</v>
      </c>
      <c r="E1594" s="957" t="s">
        <v>1279</v>
      </c>
      <c r="F1594" s="957" t="s">
        <v>1274</v>
      </c>
      <c r="G1594" s="957" t="s">
        <v>1278</v>
      </c>
    </row>
    <row r="1595" spans="1:7">
      <c r="A1595" s="957" t="s">
        <v>1275</v>
      </c>
      <c r="B1595" s="957" t="s">
        <v>1277</v>
      </c>
      <c r="C1595" s="957" t="s">
        <v>1276</v>
      </c>
      <c r="D1595" s="957" t="str">
        <f t="shared" si="24"/>
        <v>佐賀県太良町</v>
      </c>
      <c r="E1595" s="957" t="s">
        <v>1275</v>
      </c>
      <c r="F1595" s="957" t="s">
        <v>1274</v>
      </c>
      <c r="G1595" s="957" t="s">
        <v>1273</v>
      </c>
    </row>
    <row r="1596" spans="1:7">
      <c r="A1596" s="960" t="s">
        <v>1271</v>
      </c>
      <c r="B1596" s="960" t="s">
        <v>1272</v>
      </c>
      <c r="C1596" s="960" t="s">
        <v>1272</v>
      </c>
      <c r="D1596" s="960" t="str">
        <f t="shared" si="24"/>
        <v>長崎県長崎県</v>
      </c>
      <c r="E1596" s="960" t="s">
        <v>1271</v>
      </c>
      <c r="F1596" s="959" t="s">
        <v>1270</v>
      </c>
      <c r="G1596" s="958"/>
    </row>
    <row r="1597" spans="1:7">
      <c r="A1597" s="957" t="s">
        <v>1268</v>
      </c>
      <c r="B1597" s="957" t="s">
        <v>1209</v>
      </c>
      <c r="C1597" s="957" t="s">
        <v>1269</v>
      </c>
      <c r="D1597" s="957" t="str">
        <f t="shared" si="24"/>
        <v>長崎県長崎市</v>
      </c>
      <c r="E1597" s="957" t="s">
        <v>1268</v>
      </c>
      <c r="F1597" s="957" t="s">
        <v>1206</v>
      </c>
      <c r="G1597" s="957" t="s">
        <v>1267</v>
      </c>
    </row>
    <row r="1598" spans="1:7">
      <c r="A1598" s="957" t="s">
        <v>1265</v>
      </c>
      <c r="B1598" s="957" t="s">
        <v>1209</v>
      </c>
      <c r="C1598" s="957" t="s">
        <v>1266</v>
      </c>
      <c r="D1598" s="957" t="str">
        <f t="shared" si="24"/>
        <v>長崎県佐世保市</v>
      </c>
      <c r="E1598" s="957" t="s">
        <v>1265</v>
      </c>
      <c r="F1598" s="957" t="s">
        <v>1206</v>
      </c>
      <c r="G1598" s="957" t="s">
        <v>1264</v>
      </c>
    </row>
    <row r="1599" spans="1:7">
      <c r="A1599" s="957" t="s">
        <v>1262</v>
      </c>
      <c r="B1599" s="957" t="s">
        <v>1209</v>
      </c>
      <c r="C1599" s="957" t="s">
        <v>1263</v>
      </c>
      <c r="D1599" s="957" t="str">
        <f t="shared" si="24"/>
        <v>長崎県島原市</v>
      </c>
      <c r="E1599" s="957" t="s">
        <v>1262</v>
      </c>
      <c r="F1599" s="957" t="s">
        <v>1206</v>
      </c>
      <c r="G1599" s="957" t="s">
        <v>1261</v>
      </c>
    </row>
    <row r="1600" spans="1:7">
      <c r="A1600" s="957" t="s">
        <v>1259</v>
      </c>
      <c r="B1600" s="957" t="s">
        <v>1209</v>
      </c>
      <c r="C1600" s="957" t="s">
        <v>1260</v>
      </c>
      <c r="D1600" s="957" t="str">
        <f t="shared" si="24"/>
        <v>長崎県諫早市</v>
      </c>
      <c r="E1600" s="957" t="s">
        <v>1259</v>
      </c>
      <c r="F1600" s="957" t="s">
        <v>1206</v>
      </c>
      <c r="G1600" s="957" t="s">
        <v>1258</v>
      </c>
    </row>
    <row r="1601" spans="1:7">
      <c r="A1601" s="957" t="s">
        <v>1256</v>
      </c>
      <c r="B1601" s="957" t="s">
        <v>1209</v>
      </c>
      <c r="C1601" s="957" t="s">
        <v>1257</v>
      </c>
      <c r="D1601" s="957" t="str">
        <f t="shared" si="24"/>
        <v>長崎県大村市</v>
      </c>
      <c r="E1601" s="957" t="s">
        <v>1256</v>
      </c>
      <c r="F1601" s="957" t="s">
        <v>1206</v>
      </c>
      <c r="G1601" s="957" t="s">
        <v>1255</v>
      </c>
    </row>
    <row r="1602" spans="1:7">
      <c r="A1602" s="957" t="s">
        <v>1253</v>
      </c>
      <c r="B1602" s="957" t="s">
        <v>1209</v>
      </c>
      <c r="C1602" s="957" t="s">
        <v>1254</v>
      </c>
      <c r="D1602" s="957" t="str">
        <f t="shared" si="24"/>
        <v>長崎県平戸市</v>
      </c>
      <c r="E1602" s="957" t="s">
        <v>1253</v>
      </c>
      <c r="F1602" s="957" t="s">
        <v>1206</v>
      </c>
      <c r="G1602" s="957" t="s">
        <v>1252</v>
      </c>
    </row>
    <row r="1603" spans="1:7">
      <c r="A1603" s="957" t="s">
        <v>1250</v>
      </c>
      <c r="B1603" s="957" t="s">
        <v>1209</v>
      </c>
      <c r="C1603" s="957" t="s">
        <v>1251</v>
      </c>
      <c r="D1603" s="957" t="str">
        <f t="shared" ref="D1603:D1666" si="25">B1603&amp;C1603</f>
        <v>長崎県松浦市</v>
      </c>
      <c r="E1603" s="957" t="s">
        <v>1250</v>
      </c>
      <c r="F1603" s="957" t="s">
        <v>1206</v>
      </c>
      <c r="G1603" s="957" t="s">
        <v>1249</v>
      </c>
    </row>
    <row r="1604" spans="1:7">
      <c r="A1604" s="957" t="s">
        <v>1247</v>
      </c>
      <c r="B1604" s="957" t="s">
        <v>1209</v>
      </c>
      <c r="C1604" s="957" t="s">
        <v>1248</v>
      </c>
      <c r="D1604" s="957" t="str">
        <f t="shared" si="25"/>
        <v>長崎県対馬市</v>
      </c>
      <c r="E1604" s="957" t="s">
        <v>1247</v>
      </c>
      <c r="F1604" s="957" t="s">
        <v>1206</v>
      </c>
      <c r="G1604" s="957" t="s">
        <v>1246</v>
      </c>
    </row>
    <row r="1605" spans="1:7">
      <c r="A1605" s="957" t="s">
        <v>1244</v>
      </c>
      <c r="B1605" s="957" t="s">
        <v>1209</v>
      </c>
      <c r="C1605" s="957" t="s">
        <v>1245</v>
      </c>
      <c r="D1605" s="957" t="str">
        <f t="shared" si="25"/>
        <v>長崎県壱岐市</v>
      </c>
      <c r="E1605" s="957" t="s">
        <v>1244</v>
      </c>
      <c r="F1605" s="957" t="s">
        <v>1206</v>
      </c>
      <c r="G1605" s="957" t="s">
        <v>1243</v>
      </c>
    </row>
    <row r="1606" spans="1:7">
      <c r="A1606" s="957" t="s">
        <v>1241</v>
      </c>
      <c r="B1606" s="957" t="s">
        <v>1209</v>
      </c>
      <c r="C1606" s="957" t="s">
        <v>1242</v>
      </c>
      <c r="D1606" s="957" t="str">
        <f t="shared" si="25"/>
        <v>長崎県五島市</v>
      </c>
      <c r="E1606" s="957" t="s">
        <v>1241</v>
      </c>
      <c r="F1606" s="957" t="s">
        <v>1206</v>
      </c>
      <c r="G1606" s="957" t="s">
        <v>1240</v>
      </c>
    </row>
    <row r="1607" spans="1:7">
      <c r="A1607" s="957" t="s">
        <v>1238</v>
      </c>
      <c r="B1607" s="957" t="s">
        <v>1209</v>
      </c>
      <c r="C1607" s="957" t="s">
        <v>1239</v>
      </c>
      <c r="D1607" s="957" t="str">
        <f t="shared" si="25"/>
        <v>長崎県西海市</v>
      </c>
      <c r="E1607" s="957" t="s">
        <v>1238</v>
      </c>
      <c r="F1607" s="957" t="s">
        <v>1206</v>
      </c>
      <c r="G1607" s="957" t="s">
        <v>1237</v>
      </c>
    </row>
    <row r="1608" spans="1:7">
      <c r="A1608" s="957" t="s">
        <v>1235</v>
      </c>
      <c r="B1608" s="957" t="s">
        <v>1209</v>
      </c>
      <c r="C1608" s="957" t="s">
        <v>1236</v>
      </c>
      <c r="D1608" s="957" t="str">
        <f t="shared" si="25"/>
        <v>長崎県雲仙市</v>
      </c>
      <c r="E1608" s="957" t="s">
        <v>1235</v>
      </c>
      <c r="F1608" s="957" t="s">
        <v>1206</v>
      </c>
      <c r="G1608" s="957" t="s">
        <v>1234</v>
      </c>
    </row>
    <row r="1609" spans="1:7">
      <c r="A1609" s="957" t="s">
        <v>1232</v>
      </c>
      <c r="B1609" s="957" t="s">
        <v>1209</v>
      </c>
      <c r="C1609" s="957" t="s">
        <v>1233</v>
      </c>
      <c r="D1609" s="957" t="str">
        <f t="shared" si="25"/>
        <v>長崎県南島原市</v>
      </c>
      <c r="E1609" s="957" t="s">
        <v>1232</v>
      </c>
      <c r="F1609" s="957" t="s">
        <v>1206</v>
      </c>
      <c r="G1609" s="957" t="s">
        <v>1231</v>
      </c>
    </row>
    <row r="1610" spans="1:7">
      <c r="A1610" s="957" t="s">
        <v>1229</v>
      </c>
      <c r="B1610" s="957" t="s">
        <v>1209</v>
      </c>
      <c r="C1610" s="957" t="s">
        <v>1230</v>
      </c>
      <c r="D1610" s="957" t="str">
        <f t="shared" si="25"/>
        <v>長崎県長与町</v>
      </c>
      <c r="E1610" s="957" t="s">
        <v>1229</v>
      </c>
      <c r="F1610" s="957" t="s">
        <v>1206</v>
      </c>
      <c r="G1610" s="957" t="s">
        <v>1228</v>
      </c>
    </row>
    <row r="1611" spans="1:7">
      <c r="A1611" s="957" t="s">
        <v>1226</v>
      </c>
      <c r="B1611" s="957" t="s">
        <v>1209</v>
      </c>
      <c r="C1611" s="957" t="s">
        <v>1227</v>
      </c>
      <c r="D1611" s="957" t="str">
        <f t="shared" si="25"/>
        <v>長崎県時津町</v>
      </c>
      <c r="E1611" s="957" t="s">
        <v>1226</v>
      </c>
      <c r="F1611" s="957" t="s">
        <v>1206</v>
      </c>
      <c r="G1611" s="957" t="s">
        <v>1225</v>
      </c>
    </row>
    <row r="1612" spans="1:7">
      <c r="A1612" s="957" t="s">
        <v>1223</v>
      </c>
      <c r="B1612" s="957" t="s">
        <v>1209</v>
      </c>
      <c r="C1612" s="957" t="s">
        <v>1224</v>
      </c>
      <c r="D1612" s="957" t="str">
        <f t="shared" si="25"/>
        <v>長崎県東彼杵町</v>
      </c>
      <c r="E1612" s="957" t="s">
        <v>1223</v>
      </c>
      <c r="F1612" s="957" t="s">
        <v>1206</v>
      </c>
      <c r="G1612" s="957" t="s">
        <v>1222</v>
      </c>
    </row>
    <row r="1613" spans="1:7">
      <c r="A1613" s="957" t="s">
        <v>1220</v>
      </c>
      <c r="B1613" s="957" t="s">
        <v>1209</v>
      </c>
      <c r="C1613" s="957" t="s">
        <v>1221</v>
      </c>
      <c r="D1613" s="957" t="str">
        <f t="shared" si="25"/>
        <v>長崎県川棚町</v>
      </c>
      <c r="E1613" s="957" t="s">
        <v>1220</v>
      </c>
      <c r="F1613" s="957" t="s">
        <v>1206</v>
      </c>
      <c r="G1613" s="957" t="s">
        <v>1219</v>
      </c>
    </row>
    <row r="1614" spans="1:7">
      <c r="A1614" s="957" t="s">
        <v>1217</v>
      </c>
      <c r="B1614" s="957" t="s">
        <v>1209</v>
      </c>
      <c r="C1614" s="957" t="s">
        <v>1218</v>
      </c>
      <c r="D1614" s="957" t="str">
        <f t="shared" si="25"/>
        <v>長崎県波佐見町</v>
      </c>
      <c r="E1614" s="957" t="s">
        <v>1217</v>
      </c>
      <c r="F1614" s="957" t="s">
        <v>1206</v>
      </c>
      <c r="G1614" s="957" t="s">
        <v>1216</v>
      </c>
    </row>
    <row r="1615" spans="1:7">
      <c r="A1615" s="957" t="s">
        <v>1214</v>
      </c>
      <c r="B1615" s="957" t="s">
        <v>1209</v>
      </c>
      <c r="C1615" s="957" t="s">
        <v>1215</v>
      </c>
      <c r="D1615" s="957" t="str">
        <f t="shared" si="25"/>
        <v>長崎県小値賀町</v>
      </c>
      <c r="E1615" s="957" t="s">
        <v>1214</v>
      </c>
      <c r="F1615" s="957" t="s">
        <v>1206</v>
      </c>
      <c r="G1615" s="957" t="s">
        <v>1213</v>
      </c>
    </row>
    <row r="1616" spans="1:7">
      <c r="A1616" s="957" t="s">
        <v>1211</v>
      </c>
      <c r="B1616" s="957" t="s">
        <v>1209</v>
      </c>
      <c r="C1616" s="957" t="s">
        <v>1212</v>
      </c>
      <c r="D1616" s="957" t="str">
        <f t="shared" si="25"/>
        <v>長崎県佐々町</v>
      </c>
      <c r="E1616" s="957" t="s">
        <v>1211</v>
      </c>
      <c r="F1616" s="957" t="s">
        <v>1206</v>
      </c>
      <c r="G1616" s="957" t="s">
        <v>1210</v>
      </c>
    </row>
    <row r="1617" spans="1:7">
      <c r="A1617" s="957" t="s">
        <v>1207</v>
      </c>
      <c r="B1617" s="957" t="s">
        <v>1209</v>
      </c>
      <c r="C1617" s="957" t="s">
        <v>1208</v>
      </c>
      <c r="D1617" s="957" t="str">
        <f t="shared" si="25"/>
        <v>長崎県新上五島町</v>
      </c>
      <c r="E1617" s="957" t="s">
        <v>1207</v>
      </c>
      <c r="F1617" s="957" t="s">
        <v>1206</v>
      </c>
      <c r="G1617" s="957" t="s">
        <v>1205</v>
      </c>
    </row>
    <row r="1618" spans="1:7">
      <c r="A1618" s="960" t="s">
        <v>1203</v>
      </c>
      <c r="B1618" s="960" t="s">
        <v>1204</v>
      </c>
      <c r="C1618" s="960" t="s">
        <v>1204</v>
      </c>
      <c r="D1618" s="960" t="str">
        <f t="shared" si="25"/>
        <v>熊本県熊本県</v>
      </c>
      <c r="E1618" s="960" t="s">
        <v>1203</v>
      </c>
      <c r="F1618" s="959" t="s">
        <v>1202</v>
      </c>
      <c r="G1618" s="958"/>
    </row>
    <row r="1619" spans="1:7">
      <c r="A1619" s="957" t="s">
        <v>1200</v>
      </c>
      <c r="B1619" s="957" t="s">
        <v>1069</v>
      </c>
      <c r="C1619" s="957" t="s">
        <v>1201</v>
      </c>
      <c r="D1619" s="957" t="str">
        <f t="shared" si="25"/>
        <v>熊本県熊本市</v>
      </c>
      <c r="E1619" s="957" t="s">
        <v>1200</v>
      </c>
      <c r="F1619" s="957" t="s">
        <v>1066</v>
      </c>
      <c r="G1619" s="957" t="s">
        <v>1199</v>
      </c>
    </row>
    <row r="1620" spans="1:7">
      <c r="A1620" s="957" t="s">
        <v>1197</v>
      </c>
      <c r="B1620" s="957" t="s">
        <v>1069</v>
      </c>
      <c r="C1620" s="957" t="s">
        <v>1198</v>
      </c>
      <c r="D1620" s="957" t="str">
        <f t="shared" si="25"/>
        <v>熊本県八代市</v>
      </c>
      <c r="E1620" s="957" t="s">
        <v>1197</v>
      </c>
      <c r="F1620" s="957" t="s">
        <v>1066</v>
      </c>
      <c r="G1620" s="957" t="s">
        <v>1196</v>
      </c>
    </row>
    <row r="1621" spans="1:7">
      <c r="A1621" s="957" t="s">
        <v>1194</v>
      </c>
      <c r="B1621" s="957" t="s">
        <v>1069</v>
      </c>
      <c r="C1621" s="957" t="s">
        <v>1195</v>
      </c>
      <c r="D1621" s="957" t="str">
        <f t="shared" si="25"/>
        <v>熊本県人吉市</v>
      </c>
      <c r="E1621" s="957" t="s">
        <v>1194</v>
      </c>
      <c r="F1621" s="957" t="s">
        <v>1066</v>
      </c>
      <c r="G1621" s="957" t="s">
        <v>1193</v>
      </c>
    </row>
    <row r="1622" spans="1:7">
      <c r="A1622" s="957" t="s">
        <v>1191</v>
      </c>
      <c r="B1622" s="957" t="s">
        <v>1069</v>
      </c>
      <c r="C1622" s="957" t="s">
        <v>1192</v>
      </c>
      <c r="D1622" s="957" t="str">
        <f t="shared" si="25"/>
        <v>熊本県荒尾市</v>
      </c>
      <c r="E1622" s="957" t="s">
        <v>1191</v>
      </c>
      <c r="F1622" s="957" t="s">
        <v>1066</v>
      </c>
      <c r="G1622" s="957" t="s">
        <v>1190</v>
      </c>
    </row>
    <row r="1623" spans="1:7">
      <c r="A1623" s="957" t="s">
        <v>1188</v>
      </c>
      <c r="B1623" s="957" t="s">
        <v>1069</v>
      </c>
      <c r="C1623" s="957" t="s">
        <v>1189</v>
      </c>
      <c r="D1623" s="957" t="str">
        <f t="shared" si="25"/>
        <v>熊本県水俣市</v>
      </c>
      <c r="E1623" s="957" t="s">
        <v>1188</v>
      </c>
      <c r="F1623" s="957" t="s">
        <v>1066</v>
      </c>
      <c r="G1623" s="957" t="s">
        <v>1187</v>
      </c>
    </row>
    <row r="1624" spans="1:7">
      <c r="A1624" s="957" t="s">
        <v>1185</v>
      </c>
      <c r="B1624" s="957" t="s">
        <v>1069</v>
      </c>
      <c r="C1624" s="957" t="s">
        <v>1186</v>
      </c>
      <c r="D1624" s="957" t="str">
        <f t="shared" si="25"/>
        <v>熊本県玉名市</v>
      </c>
      <c r="E1624" s="957" t="s">
        <v>1185</v>
      </c>
      <c r="F1624" s="957" t="s">
        <v>1066</v>
      </c>
      <c r="G1624" s="957" t="s">
        <v>1184</v>
      </c>
    </row>
    <row r="1625" spans="1:7">
      <c r="A1625" s="957" t="s">
        <v>1182</v>
      </c>
      <c r="B1625" s="957" t="s">
        <v>1069</v>
      </c>
      <c r="C1625" s="957" t="s">
        <v>1183</v>
      </c>
      <c r="D1625" s="957" t="str">
        <f t="shared" si="25"/>
        <v>熊本県山鹿市</v>
      </c>
      <c r="E1625" s="957" t="s">
        <v>1182</v>
      </c>
      <c r="F1625" s="957" t="s">
        <v>1066</v>
      </c>
      <c r="G1625" s="957" t="s">
        <v>1181</v>
      </c>
    </row>
    <row r="1626" spans="1:7">
      <c r="A1626" s="957" t="s">
        <v>1179</v>
      </c>
      <c r="B1626" s="957" t="s">
        <v>1069</v>
      </c>
      <c r="C1626" s="957" t="s">
        <v>1180</v>
      </c>
      <c r="D1626" s="957" t="str">
        <f t="shared" si="25"/>
        <v>熊本県菊池市</v>
      </c>
      <c r="E1626" s="957" t="s">
        <v>1179</v>
      </c>
      <c r="F1626" s="957" t="s">
        <v>1066</v>
      </c>
      <c r="G1626" s="957" t="s">
        <v>1178</v>
      </c>
    </row>
    <row r="1627" spans="1:7">
      <c r="A1627" s="957" t="s">
        <v>1176</v>
      </c>
      <c r="B1627" s="957" t="s">
        <v>1069</v>
      </c>
      <c r="C1627" s="957" t="s">
        <v>1177</v>
      </c>
      <c r="D1627" s="957" t="str">
        <f t="shared" si="25"/>
        <v>熊本県宇土市</v>
      </c>
      <c r="E1627" s="957" t="s">
        <v>1176</v>
      </c>
      <c r="F1627" s="957" t="s">
        <v>1066</v>
      </c>
      <c r="G1627" s="957" t="s">
        <v>1175</v>
      </c>
    </row>
    <row r="1628" spans="1:7">
      <c r="A1628" s="957" t="s">
        <v>1173</v>
      </c>
      <c r="B1628" s="957" t="s">
        <v>1069</v>
      </c>
      <c r="C1628" s="957" t="s">
        <v>1174</v>
      </c>
      <c r="D1628" s="957" t="str">
        <f t="shared" si="25"/>
        <v>熊本県上天草市</v>
      </c>
      <c r="E1628" s="957" t="s">
        <v>1173</v>
      </c>
      <c r="F1628" s="957" t="s">
        <v>1066</v>
      </c>
      <c r="G1628" s="957" t="s">
        <v>1172</v>
      </c>
    </row>
    <row r="1629" spans="1:7">
      <c r="A1629" s="957" t="s">
        <v>1170</v>
      </c>
      <c r="B1629" s="957" t="s">
        <v>1069</v>
      </c>
      <c r="C1629" s="957" t="s">
        <v>1171</v>
      </c>
      <c r="D1629" s="957" t="str">
        <f t="shared" si="25"/>
        <v>熊本県宇城市</v>
      </c>
      <c r="E1629" s="957" t="s">
        <v>1170</v>
      </c>
      <c r="F1629" s="957" t="s">
        <v>1066</v>
      </c>
      <c r="G1629" s="957" t="s">
        <v>1169</v>
      </c>
    </row>
    <row r="1630" spans="1:7">
      <c r="A1630" s="957" t="s">
        <v>1167</v>
      </c>
      <c r="B1630" s="957" t="s">
        <v>1069</v>
      </c>
      <c r="C1630" s="957" t="s">
        <v>1168</v>
      </c>
      <c r="D1630" s="957" t="str">
        <f t="shared" si="25"/>
        <v>熊本県阿蘇市</v>
      </c>
      <c r="E1630" s="957" t="s">
        <v>1167</v>
      </c>
      <c r="F1630" s="957" t="s">
        <v>1066</v>
      </c>
      <c r="G1630" s="957" t="s">
        <v>1166</v>
      </c>
    </row>
    <row r="1631" spans="1:7">
      <c r="A1631" s="957" t="s">
        <v>1164</v>
      </c>
      <c r="B1631" s="957" t="s">
        <v>1069</v>
      </c>
      <c r="C1631" s="957" t="s">
        <v>1165</v>
      </c>
      <c r="D1631" s="957" t="str">
        <f t="shared" si="25"/>
        <v>熊本県天草市</v>
      </c>
      <c r="E1631" s="957" t="s">
        <v>1164</v>
      </c>
      <c r="F1631" s="957" t="s">
        <v>1066</v>
      </c>
      <c r="G1631" s="957" t="s">
        <v>1163</v>
      </c>
    </row>
    <row r="1632" spans="1:7">
      <c r="A1632" s="957" t="s">
        <v>1161</v>
      </c>
      <c r="B1632" s="957" t="s">
        <v>1069</v>
      </c>
      <c r="C1632" s="957" t="s">
        <v>1162</v>
      </c>
      <c r="D1632" s="957" t="str">
        <f t="shared" si="25"/>
        <v>熊本県合志市</v>
      </c>
      <c r="E1632" s="957" t="s">
        <v>1161</v>
      </c>
      <c r="F1632" s="957" t="s">
        <v>1066</v>
      </c>
      <c r="G1632" s="957" t="s">
        <v>1160</v>
      </c>
    </row>
    <row r="1633" spans="1:7">
      <c r="A1633" s="957" t="s">
        <v>1158</v>
      </c>
      <c r="B1633" s="957" t="s">
        <v>1069</v>
      </c>
      <c r="C1633" s="957" t="s">
        <v>1159</v>
      </c>
      <c r="D1633" s="957" t="str">
        <f t="shared" si="25"/>
        <v>熊本県美里町</v>
      </c>
      <c r="E1633" s="957" t="s">
        <v>1158</v>
      </c>
      <c r="F1633" s="957" t="s">
        <v>1066</v>
      </c>
      <c r="G1633" s="957" t="s">
        <v>1157</v>
      </c>
    </row>
    <row r="1634" spans="1:7">
      <c r="A1634" s="957" t="s">
        <v>1155</v>
      </c>
      <c r="B1634" s="957" t="s">
        <v>1069</v>
      </c>
      <c r="C1634" s="957" t="s">
        <v>1156</v>
      </c>
      <c r="D1634" s="957" t="str">
        <f t="shared" si="25"/>
        <v>熊本県玉東町</v>
      </c>
      <c r="E1634" s="957" t="s">
        <v>1155</v>
      </c>
      <c r="F1634" s="957" t="s">
        <v>1066</v>
      </c>
      <c r="G1634" s="957" t="s">
        <v>1154</v>
      </c>
    </row>
    <row r="1635" spans="1:7">
      <c r="A1635" s="957" t="s">
        <v>1152</v>
      </c>
      <c r="B1635" s="957" t="s">
        <v>1069</v>
      </c>
      <c r="C1635" s="957" t="s">
        <v>1153</v>
      </c>
      <c r="D1635" s="957" t="str">
        <f t="shared" si="25"/>
        <v>熊本県南関町</v>
      </c>
      <c r="E1635" s="957" t="s">
        <v>1152</v>
      </c>
      <c r="F1635" s="957" t="s">
        <v>1066</v>
      </c>
      <c r="G1635" s="957" t="s">
        <v>1151</v>
      </c>
    </row>
    <row r="1636" spans="1:7">
      <c r="A1636" s="957" t="s">
        <v>1149</v>
      </c>
      <c r="B1636" s="957" t="s">
        <v>1069</v>
      </c>
      <c r="C1636" s="957" t="s">
        <v>1150</v>
      </c>
      <c r="D1636" s="957" t="str">
        <f t="shared" si="25"/>
        <v>熊本県長洲町</v>
      </c>
      <c r="E1636" s="957" t="s">
        <v>1149</v>
      </c>
      <c r="F1636" s="957" t="s">
        <v>1066</v>
      </c>
      <c r="G1636" s="957" t="s">
        <v>1148</v>
      </c>
    </row>
    <row r="1637" spans="1:7">
      <c r="A1637" s="957" t="s">
        <v>1146</v>
      </c>
      <c r="B1637" s="957" t="s">
        <v>1069</v>
      </c>
      <c r="C1637" s="957" t="s">
        <v>1147</v>
      </c>
      <c r="D1637" s="957" t="str">
        <f t="shared" si="25"/>
        <v>熊本県和水町</v>
      </c>
      <c r="E1637" s="957" t="s">
        <v>1146</v>
      </c>
      <c r="F1637" s="957" t="s">
        <v>1066</v>
      </c>
      <c r="G1637" s="957" t="s">
        <v>1145</v>
      </c>
    </row>
    <row r="1638" spans="1:7">
      <c r="A1638" s="957" t="s">
        <v>1143</v>
      </c>
      <c r="B1638" s="957" t="s">
        <v>1069</v>
      </c>
      <c r="C1638" s="957" t="s">
        <v>1144</v>
      </c>
      <c r="D1638" s="957" t="str">
        <f t="shared" si="25"/>
        <v>熊本県大津町</v>
      </c>
      <c r="E1638" s="957" t="s">
        <v>1143</v>
      </c>
      <c r="F1638" s="957" t="s">
        <v>1066</v>
      </c>
      <c r="G1638" s="957" t="s">
        <v>1142</v>
      </c>
    </row>
    <row r="1639" spans="1:7">
      <c r="A1639" s="957" t="s">
        <v>1140</v>
      </c>
      <c r="B1639" s="957" t="s">
        <v>1069</v>
      </c>
      <c r="C1639" s="957" t="s">
        <v>1141</v>
      </c>
      <c r="D1639" s="957" t="str">
        <f t="shared" si="25"/>
        <v>熊本県菊陽町</v>
      </c>
      <c r="E1639" s="957" t="s">
        <v>1140</v>
      </c>
      <c r="F1639" s="957" t="s">
        <v>1066</v>
      </c>
      <c r="G1639" s="957" t="s">
        <v>1139</v>
      </c>
    </row>
    <row r="1640" spans="1:7">
      <c r="A1640" s="957" t="s">
        <v>1137</v>
      </c>
      <c r="B1640" s="957" t="s">
        <v>1069</v>
      </c>
      <c r="C1640" s="957" t="s">
        <v>1138</v>
      </c>
      <c r="D1640" s="957" t="str">
        <f t="shared" si="25"/>
        <v>熊本県南小国町</v>
      </c>
      <c r="E1640" s="957" t="s">
        <v>1137</v>
      </c>
      <c r="F1640" s="957" t="s">
        <v>1066</v>
      </c>
      <c r="G1640" s="957" t="s">
        <v>1136</v>
      </c>
    </row>
    <row r="1641" spans="1:7">
      <c r="A1641" s="957" t="s">
        <v>1134</v>
      </c>
      <c r="B1641" s="957" t="s">
        <v>1069</v>
      </c>
      <c r="C1641" s="957" t="s">
        <v>1135</v>
      </c>
      <c r="D1641" s="957" t="str">
        <f t="shared" si="25"/>
        <v>熊本県小国町</v>
      </c>
      <c r="E1641" s="957" t="s">
        <v>1134</v>
      </c>
      <c r="F1641" s="957" t="s">
        <v>1066</v>
      </c>
      <c r="G1641" s="957" t="s">
        <v>1133</v>
      </c>
    </row>
    <row r="1642" spans="1:7">
      <c r="A1642" s="957" t="s">
        <v>1131</v>
      </c>
      <c r="B1642" s="957" t="s">
        <v>1069</v>
      </c>
      <c r="C1642" s="957" t="s">
        <v>1132</v>
      </c>
      <c r="D1642" s="957" t="str">
        <f t="shared" si="25"/>
        <v>熊本県産山村</v>
      </c>
      <c r="E1642" s="957" t="s">
        <v>1131</v>
      </c>
      <c r="F1642" s="957" t="s">
        <v>1066</v>
      </c>
      <c r="G1642" s="957" t="s">
        <v>1130</v>
      </c>
    </row>
    <row r="1643" spans="1:7">
      <c r="A1643" s="957" t="s">
        <v>1128</v>
      </c>
      <c r="B1643" s="957" t="s">
        <v>1069</v>
      </c>
      <c r="C1643" s="957" t="s">
        <v>1129</v>
      </c>
      <c r="D1643" s="957" t="str">
        <f t="shared" si="25"/>
        <v>熊本県高森町</v>
      </c>
      <c r="E1643" s="957" t="s">
        <v>1128</v>
      </c>
      <c r="F1643" s="957" t="s">
        <v>1066</v>
      </c>
      <c r="G1643" s="957" t="s">
        <v>1127</v>
      </c>
    </row>
    <row r="1644" spans="1:7">
      <c r="A1644" s="957" t="s">
        <v>1125</v>
      </c>
      <c r="B1644" s="957" t="s">
        <v>1069</v>
      </c>
      <c r="C1644" s="957" t="s">
        <v>1126</v>
      </c>
      <c r="D1644" s="957" t="str">
        <f t="shared" si="25"/>
        <v>熊本県西原村</v>
      </c>
      <c r="E1644" s="957" t="s">
        <v>1125</v>
      </c>
      <c r="F1644" s="957" t="s">
        <v>1066</v>
      </c>
      <c r="G1644" s="957" t="s">
        <v>1124</v>
      </c>
    </row>
    <row r="1645" spans="1:7">
      <c r="A1645" s="957" t="s">
        <v>1122</v>
      </c>
      <c r="B1645" s="957" t="s">
        <v>1069</v>
      </c>
      <c r="C1645" s="957" t="s">
        <v>1123</v>
      </c>
      <c r="D1645" s="957" t="str">
        <f t="shared" si="25"/>
        <v>熊本県南阿蘇村</v>
      </c>
      <c r="E1645" s="957" t="s">
        <v>1122</v>
      </c>
      <c r="F1645" s="957" t="s">
        <v>1066</v>
      </c>
      <c r="G1645" s="957" t="s">
        <v>1121</v>
      </c>
    </row>
    <row r="1646" spans="1:7">
      <c r="A1646" s="957" t="s">
        <v>1119</v>
      </c>
      <c r="B1646" s="957" t="s">
        <v>1069</v>
      </c>
      <c r="C1646" s="957" t="s">
        <v>1120</v>
      </c>
      <c r="D1646" s="957" t="str">
        <f t="shared" si="25"/>
        <v>熊本県御船町</v>
      </c>
      <c r="E1646" s="957" t="s">
        <v>1119</v>
      </c>
      <c r="F1646" s="957" t="s">
        <v>1066</v>
      </c>
      <c r="G1646" s="957" t="s">
        <v>1118</v>
      </c>
    </row>
    <row r="1647" spans="1:7">
      <c r="A1647" s="957" t="s">
        <v>1116</v>
      </c>
      <c r="B1647" s="957" t="s">
        <v>1069</v>
      </c>
      <c r="C1647" s="957" t="s">
        <v>1117</v>
      </c>
      <c r="D1647" s="957" t="str">
        <f t="shared" si="25"/>
        <v>熊本県嘉島町</v>
      </c>
      <c r="E1647" s="957" t="s">
        <v>1116</v>
      </c>
      <c r="F1647" s="957" t="s">
        <v>1066</v>
      </c>
      <c r="G1647" s="957" t="s">
        <v>1115</v>
      </c>
    </row>
    <row r="1648" spans="1:7">
      <c r="A1648" s="957" t="s">
        <v>1113</v>
      </c>
      <c r="B1648" s="957" t="s">
        <v>1069</v>
      </c>
      <c r="C1648" s="957" t="s">
        <v>1114</v>
      </c>
      <c r="D1648" s="957" t="str">
        <f t="shared" si="25"/>
        <v>熊本県益城町</v>
      </c>
      <c r="E1648" s="957" t="s">
        <v>1113</v>
      </c>
      <c r="F1648" s="957" t="s">
        <v>1066</v>
      </c>
      <c r="G1648" s="957" t="s">
        <v>1112</v>
      </c>
    </row>
    <row r="1649" spans="1:7">
      <c r="A1649" s="957" t="s">
        <v>1110</v>
      </c>
      <c r="B1649" s="957" t="s">
        <v>1069</v>
      </c>
      <c r="C1649" s="957" t="s">
        <v>1111</v>
      </c>
      <c r="D1649" s="957" t="str">
        <f t="shared" si="25"/>
        <v>熊本県甲佐町</v>
      </c>
      <c r="E1649" s="957" t="s">
        <v>1110</v>
      </c>
      <c r="F1649" s="957" t="s">
        <v>1066</v>
      </c>
      <c r="G1649" s="957" t="s">
        <v>1109</v>
      </c>
    </row>
    <row r="1650" spans="1:7">
      <c r="A1650" s="957" t="s">
        <v>1107</v>
      </c>
      <c r="B1650" s="957" t="s">
        <v>1069</v>
      </c>
      <c r="C1650" s="957" t="s">
        <v>1108</v>
      </c>
      <c r="D1650" s="957" t="str">
        <f t="shared" si="25"/>
        <v>熊本県山都町</v>
      </c>
      <c r="E1650" s="957" t="s">
        <v>1107</v>
      </c>
      <c r="F1650" s="957" t="s">
        <v>1066</v>
      </c>
      <c r="G1650" s="957" t="s">
        <v>1106</v>
      </c>
    </row>
    <row r="1651" spans="1:7">
      <c r="A1651" s="957" t="s">
        <v>1104</v>
      </c>
      <c r="B1651" s="957" t="s">
        <v>1069</v>
      </c>
      <c r="C1651" s="957" t="s">
        <v>1105</v>
      </c>
      <c r="D1651" s="957" t="str">
        <f t="shared" si="25"/>
        <v>熊本県氷川町</v>
      </c>
      <c r="E1651" s="957" t="s">
        <v>1104</v>
      </c>
      <c r="F1651" s="957" t="s">
        <v>1066</v>
      </c>
      <c r="G1651" s="957" t="s">
        <v>1103</v>
      </c>
    </row>
    <row r="1652" spans="1:7">
      <c r="A1652" s="957" t="s">
        <v>1101</v>
      </c>
      <c r="B1652" s="957" t="s">
        <v>1069</v>
      </c>
      <c r="C1652" s="957" t="s">
        <v>1102</v>
      </c>
      <c r="D1652" s="957" t="str">
        <f t="shared" si="25"/>
        <v>熊本県芦北町</v>
      </c>
      <c r="E1652" s="957" t="s">
        <v>1101</v>
      </c>
      <c r="F1652" s="957" t="s">
        <v>1066</v>
      </c>
      <c r="G1652" s="957" t="s">
        <v>1100</v>
      </c>
    </row>
    <row r="1653" spans="1:7">
      <c r="A1653" s="957" t="s">
        <v>1098</v>
      </c>
      <c r="B1653" s="957" t="s">
        <v>1069</v>
      </c>
      <c r="C1653" s="957" t="s">
        <v>1099</v>
      </c>
      <c r="D1653" s="957" t="str">
        <f t="shared" si="25"/>
        <v>熊本県津奈木町</v>
      </c>
      <c r="E1653" s="957" t="s">
        <v>1098</v>
      </c>
      <c r="F1653" s="957" t="s">
        <v>1066</v>
      </c>
      <c r="G1653" s="957" t="s">
        <v>1097</v>
      </c>
    </row>
    <row r="1654" spans="1:7">
      <c r="A1654" s="957" t="s">
        <v>1095</v>
      </c>
      <c r="B1654" s="957" t="s">
        <v>1069</v>
      </c>
      <c r="C1654" s="957" t="s">
        <v>1096</v>
      </c>
      <c r="D1654" s="957" t="str">
        <f t="shared" si="25"/>
        <v>熊本県錦町</v>
      </c>
      <c r="E1654" s="957" t="s">
        <v>1095</v>
      </c>
      <c r="F1654" s="957" t="s">
        <v>1066</v>
      </c>
      <c r="G1654" s="957" t="s">
        <v>1094</v>
      </c>
    </row>
    <row r="1655" spans="1:7">
      <c r="A1655" s="957" t="s">
        <v>1092</v>
      </c>
      <c r="B1655" s="957" t="s">
        <v>1069</v>
      </c>
      <c r="C1655" s="957" t="s">
        <v>1093</v>
      </c>
      <c r="D1655" s="957" t="str">
        <f t="shared" si="25"/>
        <v>熊本県多良木町</v>
      </c>
      <c r="E1655" s="957" t="s">
        <v>1092</v>
      </c>
      <c r="F1655" s="957" t="s">
        <v>1066</v>
      </c>
      <c r="G1655" s="957" t="s">
        <v>1091</v>
      </c>
    </row>
    <row r="1656" spans="1:7">
      <c r="A1656" s="957" t="s">
        <v>1089</v>
      </c>
      <c r="B1656" s="957" t="s">
        <v>1069</v>
      </c>
      <c r="C1656" s="957" t="s">
        <v>1090</v>
      </c>
      <c r="D1656" s="957" t="str">
        <f t="shared" si="25"/>
        <v>熊本県湯前町</v>
      </c>
      <c r="E1656" s="957" t="s">
        <v>1089</v>
      </c>
      <c r="F1656" s="957" t="s">
        <v>1066</v>
      </c>
      <c r="G1656" s="957" t="s">
        <v>1088</v>
      </c>
    </row>
    <row r="1657" spans="1:7">
      <c r="A1657" s="957" t="s">
        <v>1086</v>
      </c>
      <c r="B1657" s="957" t="s">
        <v>1069</v>
      </c>
      <c r="C1657" s="957" t="s">
        <v>1087</v>
      </c>
      <c r="D1657" s="957" t="str">
        <f t="shared" si="25"/>
        <v>熊本県水上村</v>
      </c>
      <c r="E1657" s="957" t="s">
        <v>1086</v>
      </c>
      <c r="F1657" s="957" t="s">
        <v>1066</v>
      </c>
      <c r="G1657" s="957" t="s">
        <v>1085</v>
      </c>
    </row>
    <row r="1658" spans="1:7">
      <c r="A1658" s="957" t="s">
        <v>1083</v>
      </c>
      <c r="B1658" s="957" t="s">
        <v>1069</v>
      </c>
      <c r="C1658" s="957" t="s">
        <v>1084</v>
      </c>
      <c r="D1658" s="957" t="str">
        <f t="shared" si="25"/>
        <v>熊本県相良村</v>
      </c>
      <c r="E1658" s="957" t="s">
        <v>1083</v>
      </c>
      <c r="F1658" s="957" t="s">
        <v>1066</v>
      </c>
      <c r="G1658" s="957" t="s">
        <v>1082</v>
      </c>
    </row>
    <row r="1659" spans="1:7">
      <c r="A1659" s="957" t="s">
        <v>1080</v>
      </c>
      <c r="B1659" s="957" t="s">
        <v>1069</v>
      </c>
      <c r="C1659" s="957" t="s">
        <v>1081</v>
      </c>
      <c r="D1659" s="957" t="str">
        <f t="shared" si="25"/>
        <v>熊本県五木村</v>
      </c>
      <c r="E1659" s="957" t="s">
        <v>1080</v>
      </c>
      <c r="F1659" s="957" t="s">
        <v>1066</v>
      </c>
      <c r="G1659" s="957" t="s">
        <v>1079</v>
      </c>
    </row>
    <row r="1660" spans="1:7">
      <c r="A1660" s="957" t="s">
        <v>1077</v>
      </c>
      <c r="B1660" s="957" t="s">
        <v>1069</v>
      </c>
      <c r="C1660" s="957" t="s">
        <v>1078</v>
      </c>
      <c r="D1660" s="957" t="str">
        <f t="shared" si="25"/>
        <v>熊本県山江村</v>
      </c>
      <c r="E1660" s="957" t="s">
        <v>1077</v>
      </c>
      <c r="F1660" s="957" t="s">
        <v>1066</v>
      </c>
      <c r="G1660" s="957" t="s">
        <v>1076</v>
      </c>
    </row>
    <row r="1661" spans="1:7">
      <c r="A1661" s="957" t="s">
        <v>1074</v>
      </c>
      <c r="B1661" s="957" t="s">
        <v>1069</v>
      </c>
      <c r="C1661" s="957" t="s">
        <v>1075</v>
      </c>
      <c r="D1661" s="957" t="str">
        <f t="shared" si="25"/>
        <v>熊本県球磨村</v>
      </c>
      <c r="E1661" s="957" t="s">
        <v>1074</v>
      </c>
      <c r="F1661" s="957" t="s">
        <v>1066</v>
      </c>
      <c r="G1661" s="957" t="s">
        <v>1073</v>
      </c>
    </row>
    <row r="1662" spans="1:7">
      <c r="A1662" s="957" t="s">
        <v>1071</v>
      </c>
      <c r="B1662" s="957" t="s">
        <v>1069</v>
      </c>
      <c r="C1662" s="957" t="s">
        <v>1072</v>
      </c>
      <c r="D1662" s="957" t="str">
        <f t="shared" si="25"/>
        <v>熊本県あさぎり町</v>
      </c>
      <c r="E1662" s="957" t="s">
        <v>1071</v>
      </c>
      <c r="F1662" s="957" t="s">
        <v>1066</v>
      </c>
      <c r="G1662" s="957" t="s">
        <v>1070</v>
      </c>
    </row>
    <row r="1663" spans="1:7">
      <c r="A1663" s="957" t="s">
        <v>1067</v>
      </c>
      <c r="B1663" s="957" t="s">
        <v>1069</v>
      </c>
      <c r="C1663" s="957" t="s">
        <v>1068</v>
      </c>
      <c r="D1663" s="957" t="str">
        <f t="shared" si="25"/>
        <v>熊本県苓北町</v>
      </c>
      <c r="E1663" s="957" t="s">
        <v>1067</v>
      </c>
      <c r="F1663" s="957" t="s">
        <v>1066</v>
      </c>
      <c r="G1663" s="957" t="s">
        <v>1065</v>
      </c>
    </row>
    <row r="1664" spans="1:7">
      <c r="A1664" s="960" t="s">
        <v>1063</v>
      </c>
      <c r="B1664" s="960" t="s">
        <v>1064</v>
      </c>
      <c r="C1664" s="960" t="s">
        <v>1064</v>
      </c>
      <c r="D1664" s="960" t="str">
        <f t="shared" si="25"/>
        <v>大分県大分県</v>
      </c>
      <c r="E1664" s="960" t="s">
        <v>1063</v>
      </c>
      <c r="F1664" s="959" t="s">
        <v>1062</v>
      </c>
      <c r="G1664" s="958"/>
    </row>
    <row r="1665" spans="1:7">
      <c r="A1665" s="957" t="s">
        <v>1060</v>
      </c>
      <c r="B1665" s="957" t="s">
        <v>1010</v>
      </c>
      <c r="C1665" s="957" t="s">
        <v>1061</v>
      </c>
      <c r="D1665" s="957" t="str">
        <f t="shared" si="25"/>
        <v>大分県大分市</v>
      </c>
      <c r="E1665" s="957" t="s">
        <v>1060</v>
      </c>
      <c r="F1665" s="957" t="s">
        <v>1007</v>
      </c>
      <c r="G1665" s="957" t="s">
        <v>1059</v>
      </c>
    </row>
    <row r="1666" spans="1:7">
      <c r="A1666" s="957" t="s">
        <v>1057</v>
      </c>
      <c r="B1666" s="957" t="s">
        <v>1010</v>
      </c>
      <c r="C1666" s="957" t="s">
        <v>1058</v>
      </c>
      <c r="D1666" s="957" t="str">
        <f t="shared" si="25"/>
        <v>大分県別府市</v>
      </c>
      <c r="E1666" s="957" t="s">
        <v>1057</v>
      </c>
      <c r="F1666" s="957" t="s">
        <v>1007</v>
      </c>
      <c r="G1666" s="957" t="s">
        <v>1056</v>
      </c>
    </row>
    <row r="1667" spans="1:7">
      <c r="A1667" s="957" t="s">
        <v>1054</v>
      </c>
      <c r="B1667" s="957" t="s">
        <v>1010</v>
      </c>
      <c r="C1667" s="957" t="s">
        <v>1055</v>
      </c>
      <c r="D1667" s="957" t="str">
        <f t="shared" ref="D1667:D1730" si="26">B1667&amp;C1667</f>
        <v>大分県中津市</v>
      </c>
      <c r="E1667" s="957" t="s">
        <v>1054</v>
      </c>
      <c r="F1667" s="957" t="s">
        <v>1007</v>
      </c>
      <c r="G1667" s="957" t="s">
        <v>1053</v>
      </c>
    </row>
    <row r="1668" spans="1:7">
      <c r="A1668" s="957" t="s">
        <v>1051</v>
      </c>
      <c r="B1668" s="957" t="s">
        <v>1010</v>
      </c>
      <c r="C1668" s="957" t="s">
        <v>1052</v>
      </c>
      <c r="D1668" s="957" t="str">
        <f t="shared" si="26"/>
        <v>大分県日田市</v>
      </c>
      <c r="E1668" s="957" t="s">
        <v>1051</v>
      </c>
      <c r="F1668" s="957" t="s">
        <v>1007</v>
      </c>
      <c r="G1668" s="957" t="s">
        <v>1050</v>
      </c>
    </row>
    <row r="1669" spans="1:7">
      <c r="A1669" s="957" t="s">
        <v>1048</v>
      </c>
      <c r="B1669" s="957" t="s">
        <v>1010</v>
      </c>
      <c r="C1669" s="957" t="s">
        <v>1049</v>
      </c>
      <c r="D1669" s="957" t="str">
        <f t="shared" si="26"/>
        <v>大分県佐伯市</v>
      </c>
      <c r="E1669" s="957" t="s">
        <v>1048</v>
      </c>
      <c r="F1669" s="957" t="s">
        <v>1007</v>
      </c>
      <c r="G1669" s="957" t="s">
        <v>1047</v>
      </c>
    </row>
    <row r="1670" spans="1:7">
      <c r="A1670" s="957" t="s">
        <v>1045</v>
      </c>
      <c r="B1670" s="957" t="s">
        <v>1010</v>
      </c>
      <c r="C1670" s="957" t="s">
        <v>1046</v>
      </c>
      <c r="D1670" s="957" t="str">
        <f t="shared" si="26"/>
        <v>大分県臼杵市</v>
      </c>
      <c r="E1670" s="957" t="s">
        <v>1045</v>
      </c>
      <c r="F1670" s="957" t="s">
        <v>1007</v>
      </c>
      <c r="G1670" s="957" t="s">
        <v>1044</v>
      </c>
    </row>
    <row r="1671" spans="1:7">
      <c r="A1671" s="957" t="s">
        <v>1042</v>
      </c>
      <c r="B1671" s="957" t="s">
        <v>1010</v>
      </c>
      <c r="C1671" s="957" t="s">
        <v>1043</v>
      </c>
      <c r="D1671" s="957" t="str">
        <f t="shared" si="26"/>
        <v>大分県津久見市</v>
      </c>
      <c r="E1671" s="957" t="s">
        <v>1042</v>
      </c>
      <c r="F1671" s="957" t="s">
        <v>1007</v>
      </c>
      <c r="G1671" s="957" t="s">
        <v>1041</v>
      </c>
    </row>
    <row r="1672" spans="1:7">
      <c r="A1672" s="957" t="s">
        <v>1039</v>
      </c>
      <c r="B1672" s="957" t="s">
        <v>1010</v>
      </c>
      <c r="C1672" s="957" t="s">
        <v>1040</v>
      </c>
      <c r="D1672" s="957" t="str">
        <f t="shared" si="26"/>
        <v>大分県竹田市</v>
      </c>
      <c r="E1672" s="957" t="s">
        <v>1039</v>
      </c>
      <c r="F1672" s="957" t="s">
        <v>1007</v>
      </c>
      <c r="G1672" s="957" t="s">
        <v>1038</v>
      </c>
    </row>
    <row r="1673" spans="1:7">
      <c r="A1673" s="957" t="s">
        <v>1036</v>
      </c>
      <c r="B1673" s="957" t="s">
        <v>1010</v>
      </c>
      <c r="C1673" s="957" t="s">
        <v>1037</v>
      </c>
      <c r="D1673" s="957" t="str">
        <f t="shared" si="26"/>
        <v>大分県豊後高田市</v>
      </c>
      <c r="E1673" s="957" t="s">
        <v>1036</v>
      </c>
      <c r="F1673" s="957" t="s">
        <v>1007</v>
      </c>
      <c r="G1673" s="957" t="s">
        <v>1035</v>
      </c>
    </row>
    <row r="1674" spans="1:7">
      <c r="A1674" s="957" t="s">
        <v>1033</v>
      </c>
      <c r="B1674" s="957" t="s">
        <v>1010</v>
      </c>
      <c r="C1674" s="957" t="s">
        <v>1034</v>
      </c>
      <c r="D1674" s="957" t="str">
        <f t="shared" si="26"/>
        <v>大分県杵築市</v>
      </c>
      <c r="E1674" s="957" t="s">
        <v>1033</v>
      </c>
      <c r="F1674" s="957" t="s">
        <v>1007</v>
      </c>
      <c r="G1674" s="957" t="s">
        <v>1032</v>
      </c>
    </row>
    <row r="1675" spans="1:7">
      <c r="A1675" s="957" t="s">
        <v>1030</v>
      </c>
      <c r="B1675" s="957" t="s">
        <v>1010</v>
      </c>
      <c r="C1675" s="957" t="s">
        <v>1031</v>
      </c>
      <c r="D1675" s="957" t="str">
        <f t="shared" si="26"/>
        <v>大分県宇佐市</v>
      </c>
      <c r="E1675" s="957" t="s">
        <v>1030</v>
      </c>
      <c r="F1675" s="957" t="s">
        <v>1007</v>
      </c>
      <c r="G1675" s="957" t="s">
        <v>1029</v>
      </c>
    </row>
    <row r="1676" spans="1:7">
      <c r="A1676" s="957" t="s">
        <v>1027</v>
      </c>
      <c r="B1676" s="957" t="s">
        <v>1010</v>
      </c>
      <c r="C1676" s="957" t="s">
        <v>1028</v>
      </c>
      <c r="D1676" s="957" t="str">
        <f t="shared" si="26"/>
        <v>大分県豊後大野市</v>
      </c>
      <c r="E1676" s="957" t="s">
        <v>1027</v>
      </c>
      <c r="F1676" s="957" t="s">
        <v>1007</v>
      </c>
      <c r="G1676" s="957" t="s">
        <v>1026</v>
      </c>
    </row>
    <row r="1677" spans="1:7">
      <c r="A1677" s="957" t="s">
        <v>1024</v>
      </c>
      <c r="B1677" s="957" t="s">
        <v>1010</v>
      </c>
      <c r="C1677" s="957" t="s">
        <v>1025</v>
      </c>
      <c r="D1677" s="957" t="str">
        <f t="shared" si="26"/>
        <v>大分県由布市</v>
      </c>
      <c r="E1677" s="957" t="s">
        <v>1024</v>
      </c>
      <c r="F1677" s="957" t="s">
        <v>1007</v>
      </c>
      <c r="G1677" s="957" t="s">
        <v>1023</v>
      </c>
    </row>
    <row r="1678" spans="1:7">
      <c r="A1678" s="957" t="s">
        <v>1021</v>
      </c>
      <c r="B1678" s="957" t="s">
        <v>1010</v>
      </c>
      <c r="C1678" s="957" t="s">
        <v>1022</v>
      </c>
      <c r="D1678" s="957" t="str">
        <f t="shared" si="26"/>
        <v>大分県国東市</v>
      </c>
      <c r="E1678" s="957" t="s">
        <v>1021</v>
      </c>
      <c r="F1678" s="957" t="s">
        <v>1007</v>
      </c>
      <c r="G1678" s="957" t="s">
        <v>1020</v>
      </c>
    </row>
    <row r="1679" spans="1:7">
      <c r="A1679" s="957" t="s">
        <v>1018</v>
      </c>
      <c r="B1679" s="957" t="s">
        <v>1010</v>
      </c>
      <c r="C1679" s="957" t="s">
        <v>1019</v>
      </c>
      <c r="D1679" s="957" t="str">
        <f t="shared" si="26"/>
        <v>大分県姫島村</v>
      </c>
      <c r="E1679" s="957" t="s">
        <v>1018</v>
      </c>
      <c r="F1679" s="957" t="s">
        <v>1007</v>
      </c>
      <c r="G1679" s="957" t="s">
        <v>1017</v>
      </c>
    </row>
    <row r="1680" spans="1:7">
      <c r="A1680" s="957" t="s">
        <v>1015</v>
      </c>
      <c r="B1680" s="957" t="s">
        <v>1010</v>
      </c>
      <c r="C1680" s="957" t="s">
        <v>1016</v>
      </c>
      <c r="D1680" s="957" t="str">
        <f t="shared" si="26"/>
        <v>大分県日出町</v>
      </c>
      <c r="E1680" s="957" t="s">
        <v>1015</v>
      </c>
      <c r="F1680" s="957" t="s">
        <v>1007</v>
      </c>
      <c r="G1680" s="957" t="s">
        <v>1014</v>
      </c>
    </row>
    <row r="1681" spans="1:7">
      <c r="A1681" s="957" t="s">
        <v>1012</v>
      </c>
      <c r="B1681" s="957" t="s">
        <v>1010</v>
      </c>
      <c r="C1681" s="957" t="s">
        <v>1013</v>
      </c>
      <c r="D1681" s="957" t="str">
        <f t="shared" si="26"/>
        <v>大分県九重町</v>
      </c>
      <c r="E1681" s="957" t="s">
        <v>1012</v>
      </c>
      <c r="F1681" s="957" t="s">
        <v>1007</v>
      </c>
      <c r="G1681" s="957" t="s">
        <v>1011</v>
      </c>
    </row>
    <row r="1682" spans="1:7">
      <c r="A1682" s="957" t="s">
        <v>1008</v>
      </c>
      <c r="B1682" s="957" t="s">
        <v>1010</v>
      </c>
      <c r="C1682" s="957" t="s">
        <v>1009</v>
      </c>
      <c r="D1682" s="957" t="str">
        <f t="shared" si="26"/>
        <v>大分県玖珠町</v>
      </c>
      <c r="E1682" s="957" t="s">
        <v>1008</v>
      </c>
      <c r="F1682" s="957" t="s">
        <v>1007</v>
      </c>
      <c r="G1682" s="957" t="s">
        <v>1006</v>
      </c>
    </row>
    <row r="1683" spans="1:7">
      <c r="A1683" s="960" t="s">
        <v>1004</v>
      </c>
      <c r="B1683" s="960" t="s">
        <v>1005</v>
      </c>
      <c r="C1683" s="960" t="s">
        <v>1005</v>
      </c>
      <c r="D1683" s="960" t="str">
        <f t="shared" si="26"/>
        <v>宮崎県宮崎県</v>
      </c>
      <c r="E1683" s="960" t="s">
        <v>1004</v>
      </c>
      <c r="F1683" s="959" t="s">
        <v>1003</v>
      </c>
      <c r="G1683" s="958"/>
    </row>
    <row r="1684" spans="1:7">
      <c r="A1684" s="957" t="s">
        <v>1001</v>
      </c>
      <c r="B1684" s="957" t="s">
        <v>927</v>
      </c>
      <c r="C1684" s="957" t="s">
        <v>1002</v>
      </c>
      <c r="D1684" s="957" t="str">
        <f t="shared" si="26"/>
        <v>宮崎県宮崎市</v>
      </c>
      <c r="E1684" s="957" t="s">
        <v>1001</v>
      </c>
      <c r="F1684" s="957" t="s">
        <v>924</v>
      </c>
      <c r="G1684" s="957" t="s">
        <v>1000</v>
      </c>
    </row>
    <row r="1685" spans="1:7">
      <c r="A1685" s="957" t="s">
        <v>998</v>
      </c>
      <c r="B1685" s="957" t="s">
        <v>927</v>
      </c>
      <c r="C1685" s="957" t="s">
        <v>999</v>
      </c>
      <c r="D1685" s="957" t="str">
        <f t="shared" si="26"/>
        <v>宮崎県都城市</v>
      </c>
      <c r="E1685" s="957" t="s">
        <v>998</v>
      </c>
      <c r="F1685" s="957" t="s">
        <v>924</v>
      </c>
      <c r="G1685" s="957" t="s">
        <v>997</v>
      </c>
    </row>
    <row r="1686" spans="1:7">
      <c r="A1686" s="957" t="s">
        <v>995</v>
      </c>
      <c r="B1686" s="957" t="s">
        <v>927</v>
      </c>
      <c r="C1686" s="957" t="s">
        <v>996</v>
      </c>
      <c r="D1686" s="957" t="str">
        <f t="shared" si="26"/>
        <v>宮崎県延岡市</v>
      </c>
      <c r="E1686" s="957" t="s">
        <v>995</v>
      </c>
      <c r="F1686" s="957" t="s">
        <v>924</v>
      </c>
      <c r="G1686" s="957" t="s">
        <v>994</v>
      </c>
    </row>
    <row r="1687" spans="1:7">
      <c r="A1687" s="957" t="s">
        <v>992</v>
      </c>
      <c r="B1687" s="957" t="s">
        <v>927</v>
      </c>
      <c r="C1687" s="957" t="s">
        <v>993</v>
      </c>
      <c r="D1687" s="957" t="str">
        <f t="shared" si="26"/>
        <v>宮崎県日南市</v>
      </c>
      <c r="E1687" s="957" t="s">
        <v>992</v>
      </c>
      <c r="F1687" s="957" t="s">
        <v>924</v>
      </c>
      <c r="G1687" s="957" t="s">
        <v>991</v>
      </c>
    </row>
    <row r="1688" spans="1:7">
      <c r="A1688" s="957" t="s">
        <v>989</v>
      </c>
      <c r="B1688" s="957" t="s">
        <v>927</v>
      </c>
      <c r="C1688" s="957" t="s">
        <v>990</v>
      </c>
      <c r="D1688" s="957" t="str">
        <f t="shared" si="26"/>
        <v>宮崎県小林市</v>
      </c>
      <c r="E1688" s="957" t="s">
        <v>989</v>
      </c>
      <c r="F1688" s="957" t="s">
        <v>924</v>
      </c>
      <c r="G1688" s="957" t="s">
        <v>988</v>
      </c>
    </row>
    <row r="1689" spans="1:7">
      <c r="A1689" s="957" t="s">
        <v>986</v>
      </c>
      <c r="B1689" s="957" t="s">
        <v>927</v>
      </c>
      <c r="C1689" s="957" t="s">
        <v>987</v>
      </c>
      <c r="D1689" s="957" t="str">
        <f t="shared" si="26"/>
        <v>宮崎県日向市</v>
      </c>
      <c r="E1689" s="957" t="s">
        <v>986</v>
      </c>
      <c r="F1689" s="957" t="s">
        <v>924</v>
      </c>
      <c r="G1689" s="957" t="s">
        <v>985</v>
      </c>
    </row>
    <row r="1690" spans="1:7">
      <c r="A1690" s="957" t="s">
        <v>983</v>
      </c>
      <c r="B1690" s="957" t="s">
        <v>927</v>
      </c>
      <c r="C1690" s="957" t="s">
        <v>984</v>
      </c>
      <c r="D1690" s="957" t="str">
        <f t="shared" si="26"/>
        <v>宮崎県串間市</v>
      </c>
      <c r="E1690" s="957" t="s">
        <v>983</v>
      </c>
      <c r="F1690" s="957" t="s">
        <v>924</v>
      </c>
      <c r="G1690" s="957" t="s">
        <v>982</v>
      </c>
    </row>
    <row r="1691" spans="1:7">
      <c r="A1691" s="957" t="s">
        <v>980</v>
      </c>
      <c r="B1691" s="957" t="s">
        <v>927</v>
      </c>
      <c r="C1691" s="957" t="s">
        <v>981</v>
      </c>
      <c r="D1691" s="957" t="str">
        <f t="shared" si="26"/>
        <v>宮崎県西都市</v>
      </c>
      <c r="E1691" s="957" t="s">
        <v>980</v>
      </c>
      <c r="F1691" s="957" t="s">
        <v>924</v>
      </c>
      <c r="G1691" s="957" t="s">
        <v>979</v>
      </c>
    </row>
    <row r="1692" spans="1:7">
      <c r="A1692" s="957" t="s">
        <v>977</v>
      </c>
      <c r="B1692" s="957" t="s">
        <v>927</v>
      </c>
      <c r="C1692" s="957" t="s">
        <v>978</v>
      </c>
      <c r="D1692" s="957" t="str">
        <f t="shared" si="26"/>
        <v>宮崎県えびの市</v>
      </c>
      <c r="E1692" s="957" t="s">
        <v>977</v>
      </c>
      <c r="F1692" s="957" t="s">
        <v>924</v>
      </c>
      <c r="G1692" s="957" t="s">
        <v>976</v>
      </c>
    </row>
    <row r="1693" spans="1:7">
      <c r="A1693" s="957" t="s">
        <v>974</v>
      </c>
      <c r="B1693" s="957" t="s">
        <v>927</v>
      </c>
      <c r="C1693" s="957" t="s">
        <v>975</v>
      </c>
      <c r="D1693" s="957" t="str">
        <f t="shared" si="26"/>
        <v>宮崎県三股町</v>
      </c>
      <c r="E1693" s="957" t="s">
        <v>974</v>
      </c>
      <c r="F1693" s="957" t="s">
        <v>924</v>
      </c>
      <c r="G1693" s="957" t="s">
        <v>973</v>
      </c>
    </row>
    <row r="1694" spans="1:7">
      <c r="A1694" s="957" t="s">
        <v>971</v>
      </c>
      <c r="B1694" s="957" t="s">
        <v>927</v>
      </c>
      <c r="C1694" s="957" t="s">
        <v>972</v>
      </c>
      <c r="D1694" s="957" t="str">
        <f t="shared" si="26"/>
        <v>宮崎県高原町</v>
      </c>
      <c r="E1694" s="957" t="s">
        <v>971</v>
      </c>
      <c r="F1694" s="957" t="s">
        <v>924</v>
      </c>
      <c r="G1694" s="957" t="s">
        <v>970</v>
      </c>
    </row>
    <row r="1695" spans="1:7">
      <c r="A1695" s="957" t="s">
        <v>968</v>
      </c>
      <c r="B1695" s="957" t="s">
        <v>927</v>
      </c>
      <c r="C1695" s="957" t="s">
        <v>969</v>
      </c>
      <c r="D1695" s="957" t="str">
        <f t="shared" si="26"/>
        <v>宮崎県国富町</v>
      </c>
      <c r="E1695" s="957" t="s">
        <v>968</v>
      </c>
      <c r="F1695" s="957" t="s">
        <v>924</v>
      </c>
      <c r="G1695" s="957" t="s">
        <v>967</v>
      </c>
    </row>
    <row r="1696" spans="1:7">
      <c r="A1696" s="957" t="s">
        <v>965</v>
      </c>
      <c r="B1696" s="957" t="s">
        <v>927</v>
      </c>
      <c r="C1696" s="957" t="s">
        <v>966</v>
      </c>
      <c r="D1696" s="957" t="str">
        <f t="shared" si="26"/>
        <v>宮崎県綾町</v>
      </c>
      <c r="E1696" s="957" t="s">
        <v>965</v>
      </c>
      <c r="F1696" s="957" t="s">
        <v>924</v>
      </c>
      <c r="G1696" s="957" t="s">
        <v>964</v>
      </c>
    </row>
    <row r="1697" spans="1:7">
      <c r="A1697" s="957" t="s">
        <v>962</v>
      </c>
      <c r="B1697" s="957" t="s">
        <v>927</v>
      </c>
      <c r="C1697" s="957" t="s">
        <v>963</v>
      </c>
      <c r="D1697" s="957" t="str">
        <f t="shared" si="26"/>
        <v>宮崎県高鍋町</v>
      </c>
      <c r="E1697" s="957" t="s">
        <v>962</v>
      </c>
      <c r="F1697" s="957" t="s">
        <v>924</v>
      </c>
      <c r="G1697" s="957" t="s">
        <v>961</v>
      </c>
    </row>
    <row r="1698" spans="1:7">
      <c r="A1698" s="957" t="s">
        <v>959</v>
      </c>
      <c r="B1698" s="957" t="s">
        <v>927</v>
      </c>
      <c r="C1698" s="957" t="s">
        <v>960</v>
      </c>
      <c r="D1698" s="957" t="str">
        <f t="shared" si="26"/>
        <v>宮崎県新富町</v>
      </c>
      <c r="E1698" s="957" t="s">
        <v>959</v>
      </c>
      <c r="F1698" s="957" t="s">
        <v>924</v>
      </c>
      <c r="G1698" s="957" t="s">
        <v>958</v>
      </c>
    </row>
    <row r="1699" spans="1:7">
      <c r="A1699" s="957" t="s">
        <v>956</v>
      </c>
      <c r="B1699" s="957" t="s">
        <v>927</v>
      </c>
      <c r="C1699" s="957" t="s">
        <v>957</v>
      </c>
      <c r="D1699" s="957" t="str">
        <f t="shared" si="26"/>
        <v>宮崎県西米良村</v>
      </c>
      <c r="E1699" s="957" t="s">
        <v>956</v>
      </c>
      <c r="F1699" s="957" t="s">
        <v>924</v>
      </c>
      <c r="G1699" s="957" t="s">
        <v>955</v>
      </c>
    </row>
    <row r="1700" spans="1:7">
      <c r="A1700" s="957" t="s">
        <v>953</v>
      </c>
      <c r="B1700" s="957" t="s">
        <v>927</v>
      </c>
      <c r="C1700" s="957" t="s">
        <v>954</v>
      </c>
      <c r="D1700" s="957" t="str">
        <f t="shared" si="26"/>
        <v>宮崎県木城町</v>
      </c>
      <c r="E1700" s="957" t="s">
        <v>953</v>
      </c>
      <c r="F1700" s="957" t="s">
        <v>924</v>
      </c>
      <c r="G1700" s="957" t="s">
        <v>952</v>
      </c>
    </row>
    <row r="1701" spans="1:7">
      <c r="A1701" s="957" t="s">
        <v>950</v>
      </c>
      <c r="B1701" s="957" t="s">
        <v>927</v>
      </c>
      <c r="C1701" s="957" t="s">
        <v>951</v>
      </c>
      <c r="D1701" s="957" t="str">
        <f t="shared" si="26"/>
        <v>宮崎県川南町</v>
      </c>
      <c r="E1701" s="957" t="s">
        <v>950</v>
      </c>
      <c r="F1701" s="957" t="s">
        <v>924</v>
      </c>
      <c r="G1701" s="957" t="s">
        <v>949</v>
      </c>
    </row>
    <row r="1702" spans="1:7">
      <c r="A1702" s="957" t="s">
        <v>947</v>
      </c>
      <c r="B1702" s="957" t="s">
        <v>927</v>
      </c>
      <c r="C1702" s="957" t="s">
        <v>948</v>
      </c>
      <c r="D1702" s="957" t="str">
        <f t="shared" si="26"/>
        <v>宮崎県都農町</v>
      </c>
      <c r="E1702" s="957" t="s">
        <v>947</v>
      </c>
      <c r="F1702" s="957" t="s">
        <v>924</v>
      </c>
      <c r="G1702" s="957" t="s">
        <v>946</v>
      </c>
    </row>
    <row r="1703" spans="1:7">
      <c r="A1703" s="957" t="s">
        <v>944</v>
      </c>
      <c r="B1703" s="957" t="s">
        <v>927</v>
      </c>
      <c r="C1703" s="957" t="s">
        <v>945</v>
      </c>
      <c r="D1703" s="957" t="str">
        <f t="shared" si="26"/>
        <v>宮崎県門川町</v>
      </c>
      <c r="E1703" s="957" t="s">
        <v>944</v>
      </c>
      <c r="F1703" s="957" t="s">
        <v>924</v>
      </c>
      <c r="G1703" s="957" t="s">
        <v>943</v>
      </c>
    </row>
    <row r="1704" spans="1:7">
      <c r="A1704" s="957" t="s">
        <v>941</v>
      </c>
      <c r="B1704" s="957" t="s">
        <v>927</v>
      </c>
      <c r="C1704" s="957" t="s">
        <v>942</v>
      </c>
      <c r="D1704" s="957" t="str">
        <f t="shared" si="26"/>
        <v>宮崎県諸塚村</v>
      </c>
      <c r="E1704" s="957" t="s">
        <v>941</v>
      </c>
      <c r="F1704" s="957" t="s">
        <v>924</v>
      </c>
      <c r="G1704" s="957" t="s">
        <v>940</v>
      </c>
    </row>
    <row r="1705" spans="1:7">
      <c r="A1705" s="957" t="s">
        <v>938</v>
      </c>
      <c r="B1705" s="957" t="s">
        <v>927</v>
      </c>
      <c r="C1705" s="957" t="s">
        <v>939</v>
      </c>
      <c r="D1705" s="957" t="str">
        <f t="shared" si="26"/>
        <v>宮崎県椎葉村</v>
      </c>
      <c r="E1705" s="957" t="s">
        <v>938</v>
      </c>
      <c r="F1705" s="957" t="s">
        <v>924</v>
      </c>
      <c r="G1705" s="957" t="s">
        <v>937</v>
      </c>
    </row>
    <row r="1706" spans="1:7">
      <c r="A1706" s="957" t="s">
        <v>935</v>
      </c>
      <c r="B1706" s="957" t="s">
        <v>927</v>
      </c>
      <c r="C1706" s="957" t="s">
        <v>936</v>
      </c>
      <c r="D1706" s="957" t="str">
        <f t="shared" si="26"/>
        <v>宮崎県美郷町</v>
      </c>
      <c r="E1706" s="957" t="s">
        <v>935</v>
      </c>
      <c r="F1706" s="957" t="s">
        <v>924</v>
      </c>
      <c r="G1706" s="957" t="s">
        <v>934</v>
      </c>
    </row>
    <row r="1707" spans="1:7">
      <c r="A1707" s="957" t="s">
        <v>932</v>
      </c>
      <c r="B1707" s="957" t="s">
        <v>927</v>
      </c>
      <c r="C1707" s="957" t="s">
        <v>933</v>
      </c>
      <c r="D1707" s="957" t="str">
        <f t="shared" si="26"/>
        <v>宮崎県高千穂町</v>
      </c>
      <c r="E1707" s="957" t="s">
        <v>932</v>
      </c>
      <c r="F1707" s="957" t="s">
        <v>924</v>
      </c>
      <c r="G1707" s="957" t="s">
        <v>931</v>
      </c>
    </row>
    <row r="1708" spans="1:7">
      <c r="A1708" s="957" t="s">
        <v>929</v>
      </c>
      <c r="B1708" s="957" t="s">
        <v>927</v>
      </c>
      <c r="C1708" s="957" t="s">
        <v>930</v>
      </c>
      <c r="D1708" s="957" t="str">
        <f t="shared" si="26"/>
        <v>宮崎県日之影町</v>
      </c>
      <c r="E1708" s="957" t="s">
        <v>929</v>
      </c>
      <c r="F1708" s="957" t="s">
        <v>924</v>
      </c>
      <c r="G1708" s="957" t="s">
        <v>928</v>
      </c>
    </row>
    <row r="1709" spans="1:7">
      <c r="A1709" s="957" t="s">
        <v>925</v>
      </c>
      <c r="B1709" s="957" t="s">
        <v>927</v>
      </c>
      <c r="C1709" s="957" t="s">
        <v>926</v>
      </c>
      <c r="D1709" s="957" t="str">
        <f t="shared" si="26"/>
        <v>宮崎県五ヶ瀬町</v>
      </c>
      <c r="E1709" s="957" t="s">
        <v>925</v>
      </c>
      <c r="F1709" s="957" t="s">
        <v>924</v>
      </c>
      <c r="G1709" s="957" t="s">
        <v>923</v>
      </c>
    </row>
    <row r="1710" spans="1:7">
      <c r="A1710" s="960" t="s">
        <v>921</v>
      </c>
      <c r="B1710" s="960" t="s">
        <v>922</v>
      </c>
      <c r="C1710" s="960" t="s">
        <v>922</v>
      </c>
      <c r="D1710" s="960" t="str">
        <f t="shared" si="26"/>
        <v>鹿児島県鹿児島県</v>
      </c>
      <c r="E1710" s="960" t="s">
        <v>921</v>
      </c>
      <c r="F1710" s="959" t="s">
        <v>920</v>
      </c>
      <c r="G1710" s="958"/>
    </row>
    <row r="1711" spans="1:7">
      <c r="A1711" s="957" t="s">
        <v>918</v>
      </c>
      <c r="B1711" s="957" t="s">
        <v>793</v>
      </c>
      <c r="C1711" s="957" t="s">
        <v>919</v>
      </c>
      <c r="D1711" s="957" t="str">
        <f t="shared" si="26"/>
        <v>鹿児島県鹿児島市</v>
      </c>
      <c r="E1711" s="957" t="s">
        <v>918</v>
      </c>
      <c r="F1711" s="957" t="s">
        <v>790</v>
      </c>
      <c r="G1711" s="957" t="s">
        <v>917</v>
      </c>
    </row>
    <row r="1712" spans="1:7">
      <c r="A1712" s="957" t="s">
        <v>915</v>
      </c>
      <c r="B1712" s="957" t="s">
        <v>793</v>
      </c>
      <c r="C1712" s="957" t="s">
        <v>916</v>
      </c>
      <c r="D1712" s="957" t="str">
        <f t="shared" si="26"/>
        <v>鹿児島県鹿屋市</v>
      </c>
      <c r="E1712" s="957" t="s">
        <v>915</v>
      </c>
      <c r="F1712" s="957" t="s">
        <v>790</v>
      </c>
      <c r="G1712" s="957" t="s">
        <v>914</v>
      </c>
    </row>
    <row r="1713" spans="1:7">
      <c r="A1713" s="957" t="s">
        <v>912</v>
      </c>
      <c r="B1713" s="957" t="s">
        <v>793</v>
      </c>
      <c r="C1713" s="957" t="s">
        <v>913</v>
      </c>
      <c r="D1713" s="957" t="str">
        <f t="shared" si="26"/>
        <v>鹿児島県枕崎市</v>
      </c>
      <c r="E1713" s="957" t="s">
        <v>912</v>
      </c>
      <c r="F1713" s="957" t="s">
        <v>790</v>
      </c>
      <c r="G1713" s="957" t="s">
        <v>911</v>
      </c>
    </row>
    <row r="1714" spans="1:7">
      <c r="A1714" s="957" t="s">
        <v>909</v>
      </c>
      <c r="B1714" s="957" t="s">
        <v>793</v>
      </c>
      <c r="C1714" s="957" t="s">
        <v>910</v>
      </c>
      <c r="D1714" s="957" t="str">
        <f t="shared" si="26"/>
        <v>鹿児島県阿久根市</v>
      </c>
      <c r="E1714" s="957" t="s">
        <v>909</v>
      </c>
      <c r="F1714" s="957" t="s">
        <v>790</v>
      </c>
      <c r="G1714" s="957" t="s">
        <v>908</v>
      </c>
    </row>
    <row r="1715" spans="1:7">
      <c r="A1715" s="957" t="s">
        <v>906</v>
      </c>
      <c r="B1715" s="957" t="s">
        <v>793</v>
      </c>
      <c r="C1715" s="957" t="s">
        <v>907</v>
      </c>
      <c r="D1715" s="957" t="str">
        <f t="shared" si="26"/>
        <v>鹿児島県出水市</v>
      </c>
      <c r="E1715" s="957" t="s">
        <v>906</v>
      </c>
      <c r="F1715" s="957" t="s">
        <v>790</v>
      </c>
      <c r="G1715" s="957" t="s">
        <v>905</v>
      </c>
    </row>
    <row r="1716" spans="1:7">
      <c r="A1716" s="957" t="s">
        <v>903</v>
      </c>
      <c r="B1716" s="957" t="s">
        <v>793</v>
      </c>
      <c r="C1716" s="957" t="s">
        <v>904</v>
      </c>
      <c r="D1716" s="957" t="str">
        <f t="shared" si="26"/>
        <v>鹿児島県指宿市</v>
      </c>
      <c r="E1716" s="957" t="s">
        <v>903</v>
      </c>
      <c r="F1716" s="957" t="s">
        <v>790</v>
      </c>
      <c r="G1716" s="957" t="s">
        <v>902</v>
      </c>
    </row>
    <row r="1717" spans="1:7">
      <c r="A1717" s="957" t="s">
        <v>900</v>
      </c>
      <c r="B1717" s="957" t="s">
        <v>793</v>
      </c>
      <c r="C1717" s="957" t="s">
        <v>901</v>
      </c>
      <c r="D1717" s="957" t="str">
        <f t="shared" si="26"/>
        <v>鹿児島県西之表市</v>
      </c>
      <c r="E1717" s="957" t="s">
        <v>900</v>
      </c>
      <c r="F1717" s="957" t="s">
        <v>790</v>
      </c>
      <c r="G1717" s="957" t="s">
        <v>899</v>
      </c>
    </row>
    <row r="1718" spans="1:7">
      <c r="A1718" s="957" t="s">
        <v>897</v>
      </c>
      <c r="B1718" s="957" t="s">
        <v>793</v>
      </c>
      <c r="C1718" s="957" t="s">
        <v>898</v>
      </c>
      <c r="D1718" s="957" t="str">
        <f t="shared" si="26"/>
        <v>鹿児島県垂水市</v>
      </c>
      <c r="E1718" s="957" t="s">
        <v>897</v>
      </c>
      <c r="F1718" s="957" t="s">
        <v>790</v>
      </c>
      <c r="G1718" s="957" t="s">
        <v>896</v>
      </c>
    </row>
    <row r="1719" spans="1:7">
      <c r="A1719" s="957" t="s">
        <v>894</v>
      </c>
      <c r="B1719" s="957" t="s">
        <v>793</v>
      </c>
      <c r="C1719" s="957" t="s">
        <v>895</v>
      </c>
      <c r="D1719" s="957" t="str">
        <f t="shared" si="26"/>
        <v>鹿児島県薩摩川内市</v>
      </c>
      <c r="E1719" s="957" t="s">
        <v>894</v>
      </c>
      <c r="F1719" s="957" t="s">
        <v>790</v>
      </c>
      <c r="G1719" s="957" t="s">
        <v>893</v>
      </c>
    </row>
    <row r="1720" spans="1:7">
      <c r="A1720" s="957" t="s">
        <v>891</v>
      </c>
      <c r="B1720" s="957" t="s">
        <v>793</v>
      </c>
      <c r="C1720" s="957" t="s">
        <v>892</v>
      </c>
      <c r="D1720" s="957" t="str">
        <f t="shared" si="26"/>
        <v>鹿児島県日置市</v>
      </c>
      <c r="E1720" s="957" t="s">
        <v>891</v>
      </c>
      <c r="F1720" s="957" t="s">
        <v>790</v>
      </c>
      <c r="G1720" s="957" t="s">
        <v>890</v>
      </c>
    </row>
    <row r="1721" spans="1:7">
      <c r="A1721" s="957" t="s">
        <v>888</v>
      </c>
      <c r="B1721" s="957" t="s">
        <v>793</v>
      </c>
      <c r="C1721" s="957" t="s">
        <v>889</v>
      </c>
      <c r="D1721" s="957" t="str">
        <f t="shared" si="26"/>
        <v>鹿児島県曽於市</v>
      </c>
      <c r="E1721" s="957" t="s">
        <v>888</v>
      </c>
      <c r="F1721" s="957" t="s">
        <v>790</v>
      </c>
      <c r="G1721" s="957" t="s">
        <v>887</v>
      </c>
    </row>
    <row r="1722" spans="1:7">
      <c r="A1722" s="957" t="s">
        <v>885</v>
      </c>
      <c r="B1722" s="957" t="s">
        <v>793</v>
      </c>
      <c r="C1722" s="957" t="s">
        <v>886</v>
      </c>
      <c r="D1722" s="957" t="str">
        <f t="shared" si="26"/>
        <v>鹿児島県霧島市</v>
      </c>
      <c r="E1722" s="957" t="s">
        <v>885</v>
      </c>
      <c r="F1722" s="957" t="s">
        <v>790</v>
      </c>
      <c r="G1722" s="957" t="s">
        <v>884</v>
      </c>
    </row>
    <row r="1723" spans="1:7">
      <c r="A1723" s="957" t="s">
        <v>882</v>
      </c>
      <c r="B1723" s="957" t="s">
        <v>793</v>
      </c>
      <c r="C1723" s="957" t="s">
        <v>883</v>
      </c>
      <c r="D1723" s="957" t="str">
        <f t="shared" si="26"/>
        <v>鹿児島県いちき串木野市</v>
      </c>
      <c r="E1723" s="957" t="s">
        <v>882</v>
      </c>
      <c r="F1723" s="957" t="s">
        <v>790</v>
      </c>
      <c r="G1723" s="957" t="s">
        <v>881</v>
      </c>
    </row>
    <row r="1724" spans="1:7">
      <c r="A1724" s="957" t="s">
        <v>879</v>
      </c>
      <c r="B1724" s="957" t="s">
        <v>793</v>
      </c>
      <c r="C1724" s="957" t="s">
        <v>880</v>
      </c>
      <c r="D1724" s="957" t="str">
        <f t="shared" si="26"/>
        <v>鹿児島県南さつま市</v>
      </c>
      <c r="E1724" s="957" t="s">
        <v>879</v>
      </c>
      <c r="F1724" s="957" t="s">
        <v>790</v>
      </c>
      <c r="G1724" s="957" t="s">
        <v>878</v>
      </c>
    </row>
    <row r="1725" spans="1:7">
      <c r="A1725" s="957" t="s">
        <v>876</v>
      </c>
      <c r="B1725" s="957" t="s">
        <v>793</v>
      </c>
      <c r="C1725" s="957" t="s">
        <v>877</v>
      </c>
      <c r="D1725" s="957" t="str">
        <f t="shared" si="26"/>
        <v>鹿児島県志布志市</v>
      </c>
      <c r="E1725" s="957" t="s">
        <v>876</v>
      </c>
      <c r="F1725" s="957" t="s">
        <v>790</v>
      </c>
      <c r="G1725" s="957" t="s">
        <v>875</v>
      </c>
    </row>
    <row r="1726" spans="1:7">
      <c r="A1726" s="957" t="s">
        <v>873</v>
      </c>
      <c r="B1726" s="957" t="s">
        <v>793</v>
      </c>
      <c r="C1726" s="957" t="s">
        <v>874</v>
      </c>
      <c r="D1726" s="957" t="str">
        <f t="shared" si="26"/>
        <v>鹿児島県奄美市</v>
      </c>
      <c r="E1726" s="957" t="s">
        <v>873</v>
      </c>
      <c r="F1726" s="957" t="s">
        <v>790</v>
      </c>
      <c r="G1726" s="957" t="s">
        <v>872</v>
      </c>
    </row>
    <row r="1727" spans="1:7">
      <c r="A1727" s="957" t="s">
        <v>870</v>
      </c>
      <c r="B1727" s="957" t="s">
        <v>793</v>
      </c>
      <c r="C1727" s="957" t="s">
        <v>871</v>
      </c>
      <c r="D1727" s="957" t="str">
        <f t="shared" si="26"/>
        <v>鹿児島県南九州市</v>
      </c>
      <c r="E1727" s="957" t="s">
        <v>870</v>
      </c>
      <c r="F1727" s="957" t="s">
        <v>790</v>
      </c>
      <c r="G1727" s="957" t="s">
        <v>869</v>
      </c>
    </row>
    <row r="1728" spans="1:7">
      <c r="A1728" s="957" t="s">
        <v>867</v>
      </c>
      <c r="B1728" s="957" t="s">
        <v>793</v>
      </c>
      <c r="C1728" s="957" t="s">
        <v>868</v>
      </c>
      <c r="D1728" s="957" t="str">
        <f t="shared" si="26"/>
        <v>鹿児島県伊佐市</v>
      </c>
      <c r="E1728" s="957" t="s">
        <v>867</v>
      </c>
      <c r="F1728" s="957" t="s">
        <v>790</v>
      </c>
      <c r="G1728" s="957" t="s">
        <v>866</v>
      </c>
    </row>
    <row r="1729" spans="1:7">
      <c r="A1729" s="957" t="s">
        <v>864</v>
      </c>
      <c r="B1729" s="957" t="s">
        <v>793</v>
      </c>
      <c r="C1729" s="957" t="s">
        <v>865</v>
      </c>
      <c r="D1729" s="957" t="str">
        <f t="shared" si="26"/>
        <v>鹿児島県姶良市</v>
      </c>
      <c r="E1729" s="957" t="s">
        <v>864</v>
      </c>
      <c r="F1729" s="957" t="s">
        <v>790</v>
      </c>
      <c r="G1729" s="957" t="s">
        <v>863</v>
      </c>
    </row>
    <row r="1730" spans="1:7">
      <c r="A1730" s="957" t="s">
        <v>861</v>
      </c>
      <c r="B1730" s="957" t="s">
        <v>793</v>
      </c>
      <c r="C1730" s="957" t="s">
        <v>862</v>
      </c>
      <c r="D1730" s="957" t="str">
        <f t="shared" si="26"/>
        <v>鹿児島県三島村</v>
      </c>
      <c r="E1730" s="957" t="s">
        <v>861</v>
      </c>
      <c r="F1730" s="957" t="s">
        <v>790</v>
      </c>
      <c r="G1730" s="957" t="s">
        <v>860</v>
      </c>
    </row>
    <row r="1731" spans="1:7">
      <c r="A1731" s="957" t="s">
        <v>858</v>
      </c>
      <c r="B1731" s="957" t="s">
        <v>793</v>
      </c>
      <c r="C1731" s="957" t="s">
        <v>859</v>
      </c>
      <c r="D1731" s="957" t="str">
        <f t="shared" ref="D1731:D1794" si="27">B1731&amp;C1731</f>
        <v>鹿児島県十島村</v>
      </c>
      <c r="E1731" s="957" t="s">
        <v>858</v>
      </c>
      <c r="F1731" s="957" t="s">
        <v>790</v>
      </c>
      <c r="G1731" s="957" t="s">
        <v>857</v>
      </c>
    </row>
    <row r="1732" spans="1:7">
      <c r="A1732" s="957" t="s">
        <v>855</v>
      </c>
      <c r="B1732" s="957" t="s">
        <v>793</v>
      </c>
      <c r="C1732" s="957" t="s">
        <v>856</v>
      </c>
      <c r="D1732" s="957" t="str">
        <f t="shared" si="27"/>
        <v>鹿児島県さつま町</v>
      </c>
      <c r="E1732" s="957" t="s">
        <v>855</v>
      </c>
      <c r="F1732" s="957" t="s">
        <v>790</v>
      </c>
      <c r="G1732" s="957" t="s">
        <v>854</v>
      </c>
    </row>
    <row r="1733" spans="1:7">
      <c r="A1733" s="957" t="s">
        <v>852</v>
      </c>
      <c r="B1733" s="957" t="s">
        <v>793</v>
      </c>
      <c r="C1733" s="957" t="s">
        <v>853</v>
      </c>
      <c r="D1733" s="957" t="str">
        <f t="shared" si="27"/>
        <v>鹿児島県長島町</v>
      </c>
      <c r="E1733" s="957" t="s">
        <v>852</v>
      </c>
      <c r="F1733" s="957" t="s">
        <v>790</v>
      </c>
      <c r="G1733" s="957" t="s">
        <v>851</v>
      </c>
    </row>
    <row r="1734" spans="1:7">
      <c r="A1734" s="957" t="s">
        <v>849</v>
      </c>
      <c r="B1734" s="957" t="s">
        <v>793</v>
      </c>
      <c r="C1734" s="957" t="s">
        <v>850</v>
      </c>
      <c r="D1734" s="957" t="str">
        <f t="shared" si="27"/>
        <v>鹿児島県湧水町</v>
      </c>
      <c r="E1734" s="957" t="s">
        <v>849</v>
      </c>
      <c r="F1734" s="957" t="s">
        <v>790</v>
      </c>
      <c r="G1734" s="957" t="s">
        <v>848</v>
      </c>
    </row>
    <row r="1735" spans="1:7">
      <c r="A1735" s="957" t="s">
        <v>846</v>
      </c>
      <c r="B1735" s="957" t="s">
        <v>793</v>
      </c>
      <c r="C1735" s="957" t="s">
        <v>847</v>
      </c>
      <c r="D1735" s="957" t="str">
        <f t="shared" si="27"/>
        <v>鹿児島県大崎町</v>
      </c>
      <c r="E1735" s="957" t="s">
        <v>846</v>
      </c>
      <c r="F1735" s="957" t="s">
        <v>790</v>
      </c>
      <c r="G1735" s="957" t="s">
        <v>845</v>
      </c>
    </row>
    <row r="1736" spans="1:7">
      <c r="A1736" s="957" t="s">
        <v>843</v>
      </c>
      <c r="B1736" s="957" t="s">
        <v>793</v>
      </c>
      <c r="C1736" s="957" t="s">
        <v>844</v>
      </c>
      <c r="D1736" s="957" t="str">
        <f t="shared" si="27"/>
        <v>鹿児島県東串良町</v>
      </c>
      <c r="E1736" s="957" t="s">
        <v>843</v>
      </c>
      <c r="F1736" s="957" t="s">
        <v>790</v>
      </c>
      <c r="G1736" s="957" t="s">
        <v>842</v>
      </c>
    </row>
    <row r="1737" spans="1:7">
      <c r="A1737" s="957" t="s">
        <v>840</v>
      </c>
      <c r="B1737" s="957" t="s">
        <v>793</v>
      </c>
      <c r="C1737" s="957" t="s">
        <v>841</v>
      </c>
      <c r="D1737" s="957" t="str">
        <f t="shared" si="27"/>
        <v>鹿児島県錦江町</v>
      </c>
      <c r="E1737" s="957" t="s">
        <v>840</v>
      </c>
      <c r="F1737" s="957" t="s">
        <v>790</v>
      </c>
      <c r="G1737" s="957" t="s">
        <v>839</v>
      </c>
    </row>
    <row r="1738" spans="1:7">
      <c r="A1738" s="957" t="s">
        <v>837</v>
      </c>
      <c r="B1738" s="957" t="s">
        <v>793</v>
      </c>
      <c r="C1738" s="957" t="s">
        <v>838</v>
      </c>
      <c r="D1738" s="957" t="str">
        <f t="shared" si="27"/>
        <v>鹿児島県南大隅町</v>
      </c>
      <c r="E1738" s="957" t="s">
        <v>837</v>
      </c>
      <c r="F1738" s="957" t="s">
        <v>790</v>
      </c>
      <c r="G1738" s="957" t="s">
        <v>836</v>
      </c>
    </row>
    <row r="1739" spans="1:7">
      <c r="A1739" s="957" t="s">
        <v>834</v>
      </c>
      <c r="B1739" s="957" t="s">
        <v>793</v>
      </c>
      <c r="C1739" s="957" t="s">
        <v>835</v>
      </c>
      <c r="D1739" s="957" t="str">
        <f t="shared" si="27"/>
        <v>鹿児島県肝付町</v>
      </c>
      <c r="E1739" s="957" t="s">
        <v>834</v>
      </c>
      <c r="F1739" s="957" t="s">
        <v>790</v>
      </c>
      <c r="G1739" s="957" t="s">
        <v>833</v>
      </c>
    </row>
    <row r="1740" spans="1:7">
      <c r="A1740" s="957" t="s">
        <v>831</v>
      </c>
      <c r="B1740" s="957" t="s">
        <v>793</v>
      </c>
      <c r="C1740" s="957" t="s">
        <v>832</v>
      </c>
      <c r="D1740" s="957" t="str">
        <f t="shared" si="27"/>
        <v>鹿児島県中種子町</v>
      </c>
      <c r="E1740" s="957" t="s">
        <v>831</v>
      </c>
      <c r="F1740" s="957" t="s">
        <v>790</v>
      </c>
      <c r="G1740" s="957" t="s">
        <v>830</v>
      </c>
    </row>
    <row r="1741" spans="1:7">
      <c r="A1741" s="957" t="s">
        <v>828</v>
      </c>
      <c r="B1741" s="957" t="s">
        <v>793</v>
      </c>
      <c r="C1741" s="957" t="s">
        <v>829</v>
      </c>
      <c r="D1741" s="957" t="str">
        <f t="shared" si="27"/>
        <v>鹿児島県南種子町</v>
      </c>
      <c r="E1741" s="957" t="s">
        <v>828</v>
      </c>
      <c r="F1741" s="957" t="s">
        <v>790</v>
      </c>
      <c r="G1741" s="957" t="s">
        <v>827</v>
      </c>
    </row>
    <row r="1742" spans="1:7">
      <c r="A1742" s="957" t="s">
        <v>825</v>
      </c>
      <c r="B1742" s="957" t="s">
        <v>793</v>
      </c>
      <c r="C1742" s="957" t="s">
        <v>826</v>
      </c>
      <c r="D1742" s="957" t="str">
        <f t="shared" si="27"/>
        <v>鹿児島県屋久島町</v>
      </c>
      <c r="E1742" s="957" t="s">
        <v>825</v>
      </c>
      <c r="F1742" s="957" t="s">
        <v>790</v>
      </c>
      <c r="G1742" s="957" t="s">
        <v>824</v>
      </c>
    </row>
    <row r="1743" spans="1:7">
      <c r="A1743" s="957" t="s">
        <v>822</v>
      </c>
      <c r="B1743" s="957" t="s">
        <v>793</v>
      </c>
      <c r="C1743" s="957" t="s">
        <v>823</v>
      </c>
      <c r="D1743" s="957" t="str">
        <f t="shared" si="27"/>
        <v>鹿児島県大和村</v>
      </c>
      <c r="E1743" s="957" t="s">
        <v>822</v>
      </c>
      <c r="F1743" s="957" t="s">
        <v>790</v>
      </c>
      <c r="G1743" s="957" t="s">
        <v>821</v>
      </c>
    </row>
    <row r="1744" spans="1:7">
      <c r="A1744" s="957" t="s">
        <v>819</v>
      </c>
      <c r="B1744" s="957" t="s">
        <v>793</v>
      </c>
      <c r="C1744" s="957" t="s">
        <v>820</v>
      </c>
      <c r="D1744" s="957" t="str">
        <f t="shared" si="27"/>
        <v>鹿児島県宇検村</v>
      </c>
      <c r="E1744" s="957" t="s">
        <v>819</v>
      </c>
      <c r="F1744" s="957" t="s">
        <v>790</v>
      </c>
      <c r="G1744" s="957" t="s">
        <v>818</v>
      </c>
    </row>
    <row r="1745" spans="1:7">
      <c r="A1745" s="957" t="s">
        <v>816</v>
      </c>
      <c r="B1745" s="957" t="s">
        <v>793</v>
      </c>
      <c r="C1745" s="957" t="s">
        <v>817</v>
      </c>
      <c r="D1745" s="957" t="str">
        <f t="shared" si="27"/>
        <v>鹿児島県瀬戸内町</v>
      </c>
      <c r="E1745" s="957" t="s">
        <v>816</v>
      </c>
      <c r="F1745" s="957" t="s">
        <v>790</v>
      </c>
      <c r="G1745" s="957" t="s">
        <v>815</v>
      </c>
    </row>
    <row r="1746" spans="1:7">
      <c r="A1746" s="957" t="s">
        <v>813</v>
      </c>
      <c r="B1746" s="957" t="s">
        <v>793</v>
      </c>
      <c r="C1746" s="957" t="s">
        <v>814</v>
      </c>
      <c r="D1746" s="957" t="str">
        <f t="shared" si="27"/>
        <v>鹿児島県龍郷町</v>
      </c>
      <c r="E1746" s="957" t="s">
        <v>813</v>
      </c>
      <c r="F1746" s="957" t="s">
        <v>790</v>
      </c>
      <c r="G1746" s="957" t="s">
        <v>812</v>
      </c>
    </row>
    <row r="1747" spans="1:7">
      <c r="A1747" s="957" t="s">
        <v>810</v>
      </c>
      <c r="B1747" s="957" t="s">
        <v>793</v>
      </c>
      <c r="C1747" s="957" t="s">
        <v>811</v>
      </c>
      <c r="D1747" s="957" t="str">
        <f t="shared" si="27"/>
        <v>鹿児島県喜界町</v>
      </c>
      <c r="E1747" s="957" t="s">
        <v>810</v>
      </c>
      <c r="F1747" s="957" t="s">
        <v>790</v>
      </c>
      <c r="G1747" s="957" t="s">
        <v>809</v>
      </c>
    </row>
    <row r="1748" spans="1:7">
      <c r="A1748" s="957" t="s">
        <v>807</v>
      </c>
      <c r="B1748" s="957" t="s">
        <v>793</v>
      </c>
      <c r="C1748" s="957" t="s">
        <v>808</v>
      </c>
      <c r="D1748" s="957" t="str">
        <f t="shared" si="27"/>
        <v>鹿児島県徳之島町</v>
      </c>
      <c r="E1748" s="957" t="s">
        <v>807</v>
      </c>
      <c r="F1748" s="957" t="s">
        <v>790</v>
      </c>
      <c r="G1748" s="957" t="s">
        <v>806</v>
      </c>
    </row>
    <row r="1749" spans="1:7">
      <c r="A1749" s="957" t="s">
        <v>804</v>
      </c>
      <c r="B1749" s="957" t="s">
        <v>793</v>
      </c>
      <c r="C1749" s="957" t="s">
        <v>805</v>
      </c>
      <c r="D1749" s="957" t="str">
        <f t="shared" si="27"/>
        <v>鹿児島県天城町</v>
      </c>
      <c r="E1749" s="957" t="s">
        <v>804</v>
      </c>
      <c r="F1749" s="957" t="s">
        <v>790</v>
      </c>
      <c r="G1749" s="957" t="s">
        <v>803</v>
      </c>
    </row>
    <row r="1750" spans="1:7">
      <c r="A1750" s="957" t="s">
        <v>801</v>
      </c>
      <c r="B1750" s="957" t="s">
        <v>793</v>
      </c>
      <c r="C1750" s="957" t="s">
        <v>802</v>
      </c>
      <c r="D1750" s="957" t="str">
        <f t="shared" si="27"/>
        <v>鹿児島県伊仙町</v>
      </c>
      <c r="E1750" s="957" t="s">
        <v>801</v>
      </c>
      <c r="F1750" s="957" t="s">
        <v>790</v>
      </c>
      <c r="G1750" s="957" t="s">
        <v>800</v>
      </c>
    </row>
    <row r="1751" spans="1:7">
      <c r="A1751" s="957" t="s">
        <v>798</v>
      </c>
      <c r="B1751" s="957" t="s">
        <v>793</v>
      </c>
      <c r="C1751" s="957" t="s">
        <v>799</v>
      </c>
      <c r="D1751" s="957" t="str">
        <f t="shared" si="27"/>
        <v>鹿児島県和泊町</v>
      </c>
      <c r="E1751" s="957" t="s">
        <v>798</v>
      </c>
      <c r="F1751" s="957" t="s">
        <v>790</v>
      </c>
      <c r="G1751" s="957" t="s">
        <v>797</v>
      </c>
    </row>
    <row r="1752" spans="1:7">
      <c r="A1752" s="957" t="s">
        <v>795</v>
      </c>
      <c r="B1752" s="957" t="s">
        <v>793</v>
      </c>
      <c r="C1752" s="957" t="s">
        <v>796</v>
      </c>
      <c r="D1752" s="957" t="str">
        <f t="shared" si="27"/>
        <v>鹿児島県知名町</v>
      </c>
      <c r="E1752" s="957" t="s">
        <v>795</v>
      </c>
      <c r="F1752" s="957" t="s">
        <v>790</v>
      </c>
      <c r="G1752" s="957" t="s">
        <v>794</v>
      </c>
    </row>
    <row r="1753" spans="1:7">
      <c r="A1753" s="957" t="s">
        <v>791</v>
      </c>
      <c r="B1753" s="957" t="s">
        <v>793</v>
      </c>
      <c r="C1753" s="957" t="s">
        <v>792</v>
      </c>
      <c r="D1753" s="957" t="str">
        <f t="shared" si="27"/>
        <v>鹿児島県与論町</v>
      </c>
      <c r="E1753" s="957" t="s">
        <v>791</v>
      </c>
      <c r="F1753" s="957" t="s">
        <v>790</v>
      </c>
      <c r="G1753" s="957" t="s">
        <v>789</v>
      </c>
    </row>
    <row r="1754" spans="1:7">
      <c r="A1754" s="960" t="s">
        <v>787</v>
      </c>
      <c r="B1754" s="960" t="s">
        <v>788</v>
      </c>
      <c r="C1754" s="960" t="s">
        <v>788</v>
      </c>
      <c r="D1754" s="960" t="str">
        <f t="shared" si="27"/>
        <v>沖縄県沖縄県</v>
      </c>
      <c r="E1754" s="960" t="s">
        <v>787</v>
      </c>
      <c r="F1754" s="959" t="s">
        <v>786</v>
      </c>
      <c r="G1754" s="958"/>
    </row>
    <row r="1755" spans="1:7">
      <c r="A1755" s="957" t="s">
        <v>784</v>
      </c>
      <c r="B1755" s="957" t="s">
        <v>665</v>
      </c>
      <c r="C1755" s="957" t="s">
        <v>785</v>
      </c>
      <c r="D1755" s="957" t="str">
        <f t="shared" si="27"/>
        <v>沖縄県那覇市</v>
      </c>
      <c r="E1755" s="957" t="s">
        <v>784</v>
      </c>
      <c r="F1755" s="957" t="s">
        <v>662</v>
      </c>
      <c r="G1755" s="957" t="s">
        <v>783</v>
      </c>
    </row>
    <row r="1756" spans="1:7">
      <c r="A1756" s="957" t="s">
        <v>781</v>
      </c>
      <c r="B1756" s="957" t="s">
        <v>665</v>
      </c>
      <c r="C1756" s="957" t="s">
        <v>782</v>
      </c>
      <c r="D1756" s="957" t="str">
        <f t="shared" si="27"/>
        <v>沖縄県宜野湾市</v>
      </c>
      <c r="E1756" s="957" t="s">
        <v>781</v>
      </c>
      <c r="F1756" s="957" t="s">
        <v>662</v>
      </c>
      <c r="G1756" s="957" t="s">
        <v>780</v>
      </c>
    </row>
    <row r="1757" spans="1:7">
      <c r="A1757" s="957" t="s">
        <v>778</v>
      </c>
      <c r="B1757" s="957" t="s">
        <v>665</v>
      </c>
      <c r="C1757" s="957" t="s">
        <v>779</v>
      </c>
      <c r="D1757" s="957" t="str">
        <f t="shared" si="27"/>
        <v>沖縄県石垣市</v>
      </c>
      <c r="E1757" s="957" t="s">
        <v>778</v>
      </c>
      <c r="F1757" s="957" t="s">
        <v>662</v>
      </c>
      <c r="G1757" s="957" t="s">
        <v>777</v>
      </c>
    </row>
    <row r="1758" spans="1:7">
      <c r="A1758" s="957" t="s">
        <v>775</v>
      </c>
      <c r="B1758" s="957" t="s">
        <v>665</v>
      </c>
      <c r="C1758" s="957" t="s">
        <v>776</v>
      </c>
      <c r="D1758" s="957" t="str">
        <f t="shared" si="27"/>
        <v>沖縄県浦添市</v>
      </c>
      <c r="E1758" s="957" t="s">
        <v>775</v>
      </c>
      <c r="F1758" s="957" t="s">
        <v>662</v>
      </c>
      <c r="G1758" s="957" t="s">
        <v>774</v>
      </c>
    </row>
    <row r="1759" spans="1:7">
      <c r="A1759" s="957" t="s">
        <v>772</v>
      </c>
      <c r="B1759" s="957" t="s">
        <v>665</v>
      </c>
      <c r="C1759" s="957" t="s">
        <v>773</v>
      </c>
      <c r="D1759" s="957" t="str">
        <f t="shared" si="27"/>
        <v>沖縄県名護市</v>
      </c>
      <c r="E1759" s="957" t="s">
        <v>772</v>
      </c>
      <c r="F1759" s="957" t="s">
        <v>662</v>
      </c>
      <c r="G1759" s="957" t="s">
        <v>771</v>
      </c>
    </row>
    <row r="1760" spans="1:7">
      <c r="A1760" s="957" t="s">
        <v>769</v>
      </c>
      <c r="B1760" s="957" t="s">
        <v>665</v>
      </c>
      <c r="C1760" s="957" t="s">
        <v>770</v>
      </c>
      <c r="D1760" s="957" t="str">
        <f t="shared" si="27"/>
        <v>沖縄県糸満市</v>
      </c>
      <c r="E1760" s="957" t="s">
        <v>769</v>
      </c>
      <c r="F1760" s="957" t="s">
        <v>662</v>
      </c>
      <c r="G1760" s="957" t="s">
        <v>768</v>
      </c>
    </row>
    <row r="1761" spans="1:7">
      <c r="A1761" s="957" t="s">
        <v>766</v>
      </c>
      <c r="B1761" s="957" t="s">
        <v>665</v>
      </c>
      <c r="C1761" s="957" t="s">
        <v>767</v>
      </c>
      <c r="D1761" s="957" t="str">
        <f t="shared" si="27"/>
        <v>沖縄県沖縄市</v>
      </c>
      <c r="E1761" s="957" t="s">
        <v>766</v>
      </c>
      <c r="F1761" s="957" t="s">
        <v>662</v>
      </c>
      <c r="G1761" s="957" t="s">
        <v>765</v>
      </c>
    </row>
    <row r="1762" spans="1:7">
      <c r="A1762" s="957" t="s">
        <v>763</v>
      </c>
      <c r="B1762" s="957" t="s">
        <v>665</v>
      </c>
      <c r="C1762" s="957" t="s">
        <v>764</v>
      </c>
      <c r="D1762" s="957" t="str">
        <f t="shared" si="27"/>
        <v>沖縄県豊見城市</v>
      </c>
      <c r="E1762" s="957" t="s">
        <v>763</v>
      </c>
      <c r="F1762" s="957" t="s">
        <v>662</v>
      </c>
      <c r="G1762" s="957" t="s">
        <v>762</v>
      </c>
    </row>
    <row r="1763" spans="1:7">
      <c r="A1763" s="957" t="s">
        <v>760</v>
      </c>
      <c r="B1763" s="957" t="s">
        <v>665</v>
      </c>
      <c r="C1763" s="957" t="s">
        <v>761</v>
      </c>
      <c r="D1763" s="957" t="str">
        <f t="shared" si="27"/>
        <v>沖縄県うるま市</v>
      </c>
      <c r="E1763" s="957" t="s">
        <v>760</v>
      </c>
      <c r="F1763" s="957" t="s">
        <v>662</v>
      </c>
      <c r="G1763" s="957" t="s">
        <v>759</v>
      </c>
    </row>
    <row r="1764" spans="1:7">
      <c r="A1764" s="957" t="s">
        <v>757</v>
      </c>
      <c r="B1764" s="957" t="s">
        <v>665</v>
      </c>
      <c r="C1764" s="957" t="s">
        <v>758</v>
      </c>
      <c r="D1764" s="957" t="str">
        <f t="shared" si="27"/>
        <v>沖縄県宮古島市</v>
      </c>
      <c r="E1764" s="957" t="s">
        <v>757</v>
      </c>
      <c r="F1764" s="957" t="s">
        <v>662</v>
      </c>
      <c r="G1764" s="957" t="s">
        <v>756</v>
      </c>
    </row>
    <row r="1765" spans="1:7">
      <c r="A1765" s="957" t="s">
        <v>754</v>
      </c>
      <c r="B1765" s="957" t="s">
        <v>665</v>
      </c>
      <c r="C1765" s="957" t="s">
        <v>755</v>
      </c>
      <c r="D1765" s="957" t="str">
        <f t="shared" si="27"/>
        <v>沖縄県南城市</v>
      </c>
      <c r="E1765" s="957" t="s">
        <v>754</v>
      </c>
      <c r="F1765" s="957" t="s">
        <v>662</v>
      </c>
      <c r="G1765" s="957" t="s">
        <v>753</v>
      </c>
    </row>
    <row r="1766" spans="1:7">
      <c r="A1766" s="957" t="s">
        <v>751</v>
      </c>
      <c r="B1766" s="957" t="s">
        <v>665</v>
      </c>
      <c r="C1766" s="957" t="s">
        <v>752</v>
      </c>
      <c r="D1766" s="957" t="str">
        <f t="shared" si="27"/>
        <v>沖縄県国頭村</v>
      </c>
      <c r="E1766" s="957" t="s">
        <v>751</v>
      </c>
      <c r="F1766" s="957" t="s">
        <v>662</v>
      </c>
      <c r="G1766" s="957" t="s">
        <v>750</v>
      </c>
    </row>
    <row r="1767" spans="1:7">
      <c r="A1767" s="957" t="s">
        <v>748</v>
      </c>
      <c r="B1767" s="957" t="s">
        <v>665</v>
      </c>
      <c r="C1767" s="957" t="s">
        <v>749</v>
      </c>
      <c r="D1767" s="957" t="str">
        <f t="shared" si="27"/>
        <v>沖縄県大宜味村</v>
      </c>
      <c r="E1767" s="957" t="s">
        <v>748</v>
      </c>
      <c r="F1767" s="957" t="s">
        <v>662</v>
      </c>
      <c r="G1767" s="957" t="s">
        <v>747</v>
      </c>
    </row>
    <row r="1768" spans="1:7">
      <c r="A1768" s="957" t="s">
        <v>745</v>
      </c>
      <c r="B1768" s="957" t="s">
        <v>665</v>
      </c>
      <c r="C1768" s="957" t="s">
        <v>746</v>
      </c>
      <c r="D1768" s="957" t="str">
        <f t="shared" si="27"/>
        <v>沖縄県東村</v>
      </c>
      <c r="E1768" s="957" t="s">
        <v>745</v>
      </c>
      <c r="F1768" s="957" t="s">
        <v>662</v>
      </c>
      <c r="G1768" s="957" t="s">
        <v>744</v>
      </c>
    </row>
    <row r="1769" spans="1:7">
      <c r="A1769" s="957" t="s">
        <v>742</v>
      </c>
      <c r="B1769" s="957" t="s">
        <v>665</v>
      </c>
      <c r="C1769" s="957" t="s">
        <v>743</v>
      </c>
      <c r="D1769" s="957" t="str">
        <f t="shared" si="27"/>
        <v>沖縄県今帰仁村</v>
      </c>
      <c r="E1769" s="957" t="s">
        <v>742</v>
      </c>
      <c r="F1769" s="957" t="s">
        <v>662</v>
      </c>
      <c r="G1769" s="957" t="s">
        <v>741</v>
      </c>
    </row>
    <row r="1770" spans="1:7">
      <c r="A1770" s="957" t="s">
        <v>739</v>
      </c>
      <c r="B1770" s="957" t="s">
        <v>665</v>
      </c>
      <c r="C1770" s="957" t="s">
        <v>740</v>
      </c>
      <c r="D1770" s="957" t="str">
        <f t="shared" si="27"/>
        <v>沖縄県本部町</v>
      </c>
      <c r="E1770" s="957" t="s">
        <v>739</v>
      </c>
      <c r="F1770" s="957" t="s">
        <v>662</v>
      </c>
      <c r="G1770" s="957" t="s">
        <v>738</v>
      </c>
    </row>
    <row r="1771" spans="1:7">
      <c r="A1771" s="957" t="s">
        <v>736</v>
      </c>
      <c r="B1771" s="957" t="s">
        <v>665</v>
      </c>
      <c r="C1771" s="957" t="s">
        <v>737</v>
      </c>
      <c r="D1771" s="957" t="str">
        <f t="shared" si="27"/>
        <v>沖縄県恩納村</v>
      </c>
      <c r="E1771" s="957" t="s">
        <v>736</v>
      </c>
      <c r="F1771" s="957" t="s">
        <v>662</v>
      </c>
      <c r="G1771" s="957" t="s">
        <v>735</v>
      </c>
    </row>
    <row r="1772" spans="1:7">
      <c r="A1772" s="957" t="s">
        <v>733</v>
      </c>
      <c r="B1772" s="957" t="s">
        <v>665</v>
      </c>
      <c r="C1772" s="957" t="s">
        <v>734</v>
      </c>
      <c r="D1772" s="957" t="str">
        <f t="shared" si="27"/>
        <v>沖縄県宜野座村</v>
      </c>
      <c r="E1772" s="957" t="s">
        <v>733</v>
      </c>
      <c r="F1772" s="957" t="s">
        <v>662</v>
      </c>
      <c r="G1772" s="957" t="s">
        <v>732</v>
      </c>
    </row>
    <row r="1773" spans="1:7">
      <c r="A1773" s="957" t="s">
        <v>730</v>
      </c>
      <c r="B1773" s="957" t="s">
        <v>665</v>
      </c>
      <c r="C1773" s="957" t="s">
        <v>731</v>
      </c>
      <c r="D1773" s="957" t="str">
        <f t="shared" si="27"/>
        <v>沖縄県金武町</v>
      </c>
      <c r="E1773" s="957" t="s">
        <v>730</v>
      </c>
      <c r="F1773" s="957" t="s">
        <v>662</v>
      </c>
      <c r="G1773" s="957" t="s">
        <v>729</v>
      </c>
    </row>
    <row r="1774" spans="1:7">
      <c r="A1774" s="957" t="s">
        <v>727</v>
      </c>
      <c r="B1774" s="957" t="s">
        <v>665</v>
      </c>
      <c r="C1774" s="957" t="s">
        <v>728</v>
      </c>
      <c r="D1774" s="957" t="str">
        <f t="shared" si="27"/>
        <v>沖縄県伊江村</v>
      </c>
      <c r="E1774" s="957" t="s">
        <v>727</v>
      </c>
      <c r="F1774" s="957" t="s">
        <v>662</v>
      </c>
      <c r="G1774" s="957" t="s">
        <v>726</v>
      </c>
    </row>
    <row r="1775" spans="1:7">
      <c r="A1775" s="957" t="s">
        <v>724</v>
      </c>
      <c r="B1775" s="957" t="s">
        <v>665</v>
      </c>
      <c r="C1775" s="957" t="s">
        <v>725</v>
      </c>
      <c r="D1775" s="957" t="str">
        <f t="shared" si="27"/>
        <v>沖縄県読谷村</v>
      </c>
      <c r="E1775" s="957" t="s">
        <v>724</v>
      </c>
      <c r="F1775" s="957" t="s">
        <v>662</v>
      </c>
      <c r="G1775" s="957" t="s">
        <v>723</v>
      </c>
    </row>
    <row r="1776" spans="1:7">
      <c r="A1776" s="957" t="s">
        <v>721</v>
      </c>
      <c r="B1776" s="957" t="s">
        <v>665</v>
      </c>
      <c r="C1776" s="957" t="s">
        <v>722</v>
      </c>
      <c r="D1776" s="957" t="str">
        <f t="shared" si="27"/>
        <v>沖縄県嘉手納町</v>
      </c>
      <c r="E1776" s="957" t="s">
        <v>721</v>
      </c>
      <c r="F1776" s="957" t="s">
        <v>662</v>
      </c>
      <c r="G1776" s="957" t="s">
        <v>720</v>
      </c>
    </row>
    <row r="1777" spans="1:7">
      <c r="A1777" s="957" t="s">
        <v>718</v>
      </c>
      <c r="B1777" s="957" t="s">
        <v>665</v>
      </c>
      <c r="C1777" s="957" t="s">
        <v>719</v>
      </c>
      <c r="D1777" s="957" t="str">
        <f t="shared" si="27"/>
        <v>沖縄県北谷町</v>
      </c>
      <c r="E1777" s="957" t="s">
        <v>718</v>
      </c>
      <c r="F1777" s="957" t="s">
        <v>662</v>
      </c>
      <c r="G1777" s="957" t="s">
        <v>717</v>
      </c>
    </row>
    <row r="1778" spans="1:7">
      <c r="A1778" s="957" t="s">
        <v>715</v>
      </c>
      <c r="B1778" s="957" t="s">
        <v>665</v>
      </c>
      <c r="C1778" s="957" t="s">
        <v>716</v>
      </c>
      <c r="D1778" s="957" t="str">
        <f t="shared" si="27"/>
        <v>沖縄県北中城村</v>
      </c>
      <c r="E1778" s="957" t="s">
        <v>715</v>
      </c>
      <c r="F1778" s="957" t="s">
        <v>662</v>
      </c>
      <c r="G1778" s="957" t="s">
        <v>714</v>
      </c>
    </row>
    <row r="1779" spans="1:7">
      <c r="A1779" s="957" t="s">
        <v>712</v>
      </c>
      <c r="B1779" s="957" t="s">
        <v>665</v>
      </c>
      <c r="C1779" s="957" t="s">
        <v>713</v>
      </c>
      <c r="D1779" s="957" t="str">
        <f t="shared" si="27"/>
        <v>沖縄県中城村</v>
      </c>
      <c r="E1779" s="957" t="s">
        <v>712</v>
      </c>
      <c r="F1779" s="957" t="s">
        <v>662</v>
      </c>
      <c r="G1779" s="957" t="s">
        <v>711</v>
      </c>
    </row>
    <row r="1780" spans="1:7">
      <c r="A1780" s="957" t="s">
        <v>709</v>
      </c>
      <c r="B1780" s="957" t="s">
        <v>665</v>
      </c>
      <c r="C1780" s="957" t="s">
        <v>710</v>
      </c>
      <c r="D1780" s="957" t="str">
        <f t="shared" si="27"/>
        <v>沖縄県西原町</v>
      </c>
      <c r="E1780" s="957" t="s">
        <v>709</v>
      </c>
      <c r="F1780" s="957" t="s">
        <v>662</v>
      </c>
      <c r="G1780" s="957" t="s">
        <v>708</v>
      </c>
    </row>
    <row r="1781" spans="1:7">
      <c r="A1781" s="957" t="s">
        <v>706</v>
      </c>
      <c r="B1781" s="957" t="s">
        <v>665</v>
      </c>
      <c r="C1781" s="957" t="s">
        <v>707</v>
      </c>
      <c r="D1781" s="957" t="str">
        <f t="shared" si="27"/>
        <v>沖縄県与那原町</v>
      </c>
      <c r="E1781" s="957" t="s">
        <v>706</v>
      </c>
      <c r="F1781" s="957" t="s">
        <v>662</v>
      </c>
      <c r="G1781" s="957" t="s">
        <v>705</v>
      </c>
    </row>
    <row r="1782" spans="1:7">
      <c r="A1782" s="957" t="s">
        <v>703</v>
      </c>
      <c r="B1782" s="957" t="s">
        <v>665</v>
      </c>
      <c r="C1782" s="957" t="s">
        <v>704</v>
      </c>
      <c r="D1782" s="957" t="str">
        <f t="shared" si="27"/>
        <v>沖縄県南風原町</v>
      </c>
      <c r="E1782" s="957" t="s">
        <v>703</v>
      </c>
      <c r="F1782" s="957" t="s">
        <v>662</v>
      </c>
      <c r="G1782" s="957" t="s">
        <v>702</v>
      </c>
    </row>
    <row r="1783" spans="1:7">
      <c r="A1783" s="957" t="s">
        <v>700</v>
      </c>
      <c r="B1783" s="957" t="s">
        <v>665</v>
      </c>
      <c r="C1783" s="957" t="s">
        <v>701</v>
      </c>
      <c r="D1783" s="957" t="str">
        <f t="shared" si="27"/>
        <v>沖縄県渡嘉敷村</v>
      </c>
      <c r="E1783" s="957" t="s">
        <v>700</v>
      </c>
      <c r="F1783" s="957" t="s">
        <v>662</v>
      </c>
      <c r="G1783" s="957" t="s">
        <v>699</v>
      </c>
    </row>
    <row r="1784" spans="1:7">
      <c r="A1784" s="957" t="s">
        <v>697</v>
      </c>
      <c r="B1784" s="957" t="s">
        <v>665</v>
      </c>
      <c r="C1784" s="957" t="s">
        <v>698</v>
      </c>
      <c r="D1784" s="957" t="str">
        <f t="shared" si="27"/>
        <v>沖縄県座間味村</v>
      </c>
      <c r="E1784" s="957" t="s">
        <v>697</v>
      </c>
      <c r="F1784" s="957" t="s">
        <v>662</v>
      </c>
      <c r="G1784" s="957" t="s">
        <v>696</v>
      </c>
    </row>
    <row r="1785" spans="1:7">
      <c r="A1785" s="957" t="s">
        <v>694</v>
      </c>
      <c r="B1785" s="957" t="s">
        <v>665</v>
      </c>
      <c r="C1785" s="957" t="s">
        <v>695</v>
      </c>
      <c r="D1785" s="957" t="str">
        <f t="shared" si="27"/>
        <v>沖縄県粟国村</v>
      </c>
      <c r="E1785" s="957" t="s">
        <v>694</v>
      </c>
      <c r="F1785" s="957" t="s">
        <v>662</v>
      </c>
      <c r="G1785" s="957" t="s">
        <v>693</v>
      </c>
    </row>
    <row r="1786" spans="1:7">
      <c r="A1786" s="957" t="s">
        <v>691</v>
      </c>
      <c r="B1786" s="957" t="s">
        <v>665</v>
      </c>
      <c r="C1786" s="957" t="s">
        <v>692</v>
      </c>
      <c r="D1786" s="957" t="str">
        <f t="shared" si="27"/>
        <v>沖縄県渡名喜村</v>
      </c>
      <c r="E1786" s="957" t="s">
        <v>691</v>
      </c>
      <c r="F1786" s="957" t="s">
        <v>662</v>
      </c>
      <c r="G1786" s="957" t="s">
        <v>690</v>
      </c>
    </row>
    <row r="1787" spans="1:7">
      <c r="A1787" s="957" t="s">
        <v>688</v>
      </c>
      <c r="B1787" s="957" t="s">
        <v>665</v>
      </c>
      <c r="C1787" s="957" t="s">
        <v>689</v>
      </c>
      <c r="D1787" s="957" t="str">
        <f t="shared" si="27"/>
        <v>沖縄県南大東村</v>
      </c>
      <c r="E1787" s="957" t="s">
        <v>688</v>
      </c>
      <c r="F1787" s="957" t="s">
        <v>662</v>
      </c>
      <c r="G1787" s="957" t="s">
        <v>687</v>
      </c>
    </row>
    <row r="1788" spans="1:7">
      <c r="A1788" s="957" t="s">
        <v>685</v>
      </c>
      <c r="B1788" s="957" t="s">
        <v>665</v>
      </c>
      <c r="C1788" s="957" t="s">
        <v>686</v>
      </c>
      <c r="D1788" s="957" t="str">
        <f t="shared" si="27"/>
        <v>沖縄県北大東村</v>
      </c>
      <c r="E1788" s="957" t="s">
        <v>685</v>
      </c>
      <c r="F1788" s="957" t="s">
        <v>662</v>
      </c>
      <c r="G1788" s="957" t="s">
        <v>684</v>
      </c>
    </row>
    <row r="1789" spans="1:7">
      <c r="A1789" s="957" t="s">
        <v>682</v>
      </c>
      <c r="B1789" s="957" t="s">
        <v>665</v>
      </c>
      <c r="C1789" s="957" t="s">
        <v>683</v>
      </c>
      <c r="D1789" s="957" t="str">
        <f t="shared" si="27"/>
        <v>沖縄県伊平屋村</v>
      </c>
      <c r="E1789" s="957" t="s">
        <v>682</v>
      </c>
      <c r="F1789" s="957" t="s">
        <v>662</v>
      </c>
      <c r="G1789" s="957" t="s">
        <v>681</v>
      </c>
    </row>
    <row r="1790" spans="1:7">
      <c r="A1790" s="957" t="s">
        <v>679</v>
      </c>
      <c r="B1790" s="957" t="s">
        <v>665</v>
      </c>
      <c r="C1790" s="957" t="s">
        <v>680</v>
      </c>
      <c r="D1790" s="957" t="str">
        <f t="shared" si="27"/>
        <v>沖縄県伊是名村</v>
      </c>
      <c r="E1790" s="957" t="s">
        <v>679</v>
      </c>
      <c r="F1790" s="957" t="s">
        <v>662</v>
      </c>
      <c r="G1790" s="957" t="s">
        <v>678</v>
      </c>
    </row>
    <row r="1791" spans="1:7">
      <c r="A1791" s="957" t="s">
        <v>676</v>
      </c>
      <c r="B1791" s="957" t="s">
        <v>665</v>
      </c>
      <c r="C1791" s="957" t="s">
        <v>677</v>
      </c>
      <c r="D1791" s="957" t="str">
        <f t="shared" si="27"/>
        <v>沖縄県久米島町</v>
      </c>
      <c r="E1791" s="957" t="s">
        <v>676</v>
      </c>
      <c r="F1791" s="957" t="s">
        <v>662</v>
      </c>
      <c r="G1791" s="957" t="s">
        <v>675</v>
      </c>
    </row>
    <row r="1792" spans="1:7">
      <c r="A1792" s="957" t="s">
        <v>673</v>
      </c>
      <c r="B1792" s="957" t="s">
        <v>665</v>
      </c>
      <c r="C1792" s="957" t="s">
        <v>674</v>
      </c>
      <c r="D1792" s="957" t="str">
        <f t="shared" si="27"/>
        <v>沖縄県八重瀬町</v>
      </c>
      <c r="E1792" s="957" t="s">
        <v>673</v>
      </c>
      <c r="F1792" s="957" t="s">
        <v>662</v>
      </c>
      <c r="G1792" s="957" t="s">
        <v>672</v>
      </c>
    </row>
    <row r="1793" spans="1:7">
      <c r="A1793" s="957" t="s">
        <v>670</v>
      </c>
      <c r="B1793" s="957" t="s">
        <v>665</v>
      </c>
      <c r="C1793" s="957" t="s">
        <v>671</v>
      </c>
      <c r="D1793" s="957" t="str">
        <f t="shared" si="27"/>
        <v>沖縄県多良間村</v>
      </c>
      <c r="E1793" s="957" t="s">
        <v>670</v>
      </c>
      <c r="F1793" s="957" t="s">
        <v>662</v>
      </c>
      <c r="G1793" s="957" t="s">
        <v>669</v>
      </c>
    </row>
    <row r="1794" spans="1:7">
      <c r="A1794" s="957" t="s">
        <v>667</v>
      </c>
      <c r="B1794" s="957" t="s">
        <v>665</v>
      </c>
      <c r="C1794" s="957" t="s">
        <v>668</v>
      </c>
      <c r="D1794" s="957" t="str">
        <f t="shared" si="27"/>
        <v>沖縄県竹富町</v>
      </c>
      <c r="E1794" s="957" t="s">
        <v>667</v>
      </c>
      <c r="F1794" s="957" t="s">
        <v>662</v>
      </c>
      <c r="G1794" s="957" t="s">
        <v>666</v>
      </c>
    </row>
    <row r="1795" spans="1:7">
      <c r="A1795" s="957" t="s">
        <v>663</v>
      </c>
      <c r="B1795" s="957" t="s">
        <v>665</v>
      </c>
      <c r="C1795" s="957" t="s">
        <v>664</v>
      </c>
      <c r="D1795" s="957" t="str">
        <f t="shared" ref="D1795" si="28">B1795&amp;C1795</f>
        <v>沖縄県与那国町</v>
      </c>
      <c r="E1795" s="957" t="s">
        <v>663</v>
      </c>
      <c r="F1795" s="957" t="s">
        <v>662</v>
      </c>
      <c r="G1795" s="957" t="s">
        <v>661</v>
      </c>
    </row>
  </sheetData>
  <sheetProtection algorithmName="SHA-512" hashValue="8etIcKFMscqVJ+cfEwFaA05ka65FghjhWCfv9B1dWI9M0qFJAGq0NFhPiIcPdGOprZuHcoThoh5grJWE3y9uuQ==" saltValue="prah8AR5Mp8JRegMNXQUiQ==" spinCount="100000" sheet="1" objects="1" scenarios="1"/>
  <phoneticPr fontId="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80</vt:i4>
      </vt:variant>
    </vt:vector>
  </HeadingPairs>
  <TitlesOfParts>
    <vt:vector size="107" baseType="lpstr">
      <vt:lpstr>はじめにお読みください</vt:lpstr>
      <vt:lpstr>表紙</vt:lpstr>
      <vt:lpstr>1.1対象エリアの規模等</vt:lpstr>
      <vt:lpstr>1.3共通KPI</vt:lpstr>
      <vt:lpstr>3.4活用想定補助金(事業別)</vt:lpstr>
      <vt:lpstr>3.4費用効率性</vt:lpstr>
      <vt:lpstr>3.4活用想定補助金(年度別)</vt:lpstr>
      <vt:lpstr>4.1(1)再エネ導入可能量</vt:lpstr>
      <vt:lpstr>4.1(2)新規再エネ導入予定（設備情報）</vt:lpstr>
      <vt:lpstr>4.1(2)新規再エネ導入予定(FS調査、系統接続検討状況)</vt:lpstr>
      <vt:lpstr>4.1(2)新規再エネ導入予定(合意形成)</vt:lpstr>
      <vt:lpstr>4.1(2)新規の再エネ発電設備の導入(別表)</vt:lpstr>
      <vt:lpstr>4.1(3)活用可能な既存の再エネ発電設備</vt:lpstr>
      <vt:lpstr>4.2実質ゼロ(計算結果)</vt:lpstr>
      <vt:lpstr>4.2対象地域の民生需要家数等</vt:lpstr>
      <vt:lpstr>4.2実質ゼロ(サマリ)</vt:lpstr>
      <vt:lpstr>4.2民生電力需要量</vt:lpstr>
      <vt:lpstr>4.2需要家合意形成状況(住宅)</vt:lpstr>
      <vt:lpstr>4.2需要家合意形成状況(民生・業務その他)</vt:lpstr>
      <vt:lpstr>4.2需要家合意形成状況(公共)</vt:lpstr>
      <vt:lpstr>4.2電力供給状況(民生部門)</vt:lpstr>
      <vt:lpstr>4.2地産地消割合</vt:lpstr>
      <vt:lpstr>4.2電力削減量</vt:lpstr>
      <vt:lpstr>4.3民生部門電力以外の排出削減取組</vt:lpstr>
      <vt:lpstr>4.3民生部門電力以外の取組</vt:lpstr>
      <vt:lpstr>4.3電力供給状況(民生部門電力以外)</vt:lpstr>
      <vt:lpstr>6.2関係者との合意形成状況</vt:lpstr>
      <vt:lpstr>リスト①!_FilterDatabase</vt:lpstr>
      <vt:lpstr>リスト③!_FilterDatabase</vt:lpstr>
      <vt:lpstr>_ア_太陽光発電設備</vt:lpstr>
      <vt:lpstr>EVカーシェア</vt:lpstr>
      <vt:lpstr>EVバス</vt:lpstr>
      <vt:lpstr>EV清掃車</vt:lpstr>
      <vt:lpstr>'3.4費用効率性'!Print_Area</vt:lpstr>
      <vt:lpstr>ZEB</vt:lpstr>
      <vt:lpstr>ZEH</vt:lpstr>
      <vt:lpstr>ZEH_M</vt:lpstr>
      <vt:lpstr>ZEH等を上回る自治体独自の断熱性能の基準を満たす高性能住宅</vt:lpstr>
      <vt:lpstr>ア_再エネ設備整備</vt:lpstr>
      <vt:lpstr>イ_基盤インフラ整備</vt:lpstr>
      <vt:lpstr>ウ_省CO2等設備整備</vt:lpstr>
      <vt:lpstr>エ_効果促進事業</vt:lpstr>
      <vt:lpstr>オ_その他</vt:lpstr>
      <vt:lpstr>オンサイト自家消費型業務用</vt:lpstr>
      <vt:lpstr>グリーンスローモビリティ</vt:lpstr>
      <vt:lpstr>その他基盤インフラ設備</vt:lpstr>
      <vt:lpstr>その他再生可能エネルギー発電設備</vt:lpstr>
      <vt:lpstr>その他事業を実現する上で必要と認められる設備</vt:lpstr>
      <vt:lpstr>愛知県</vt:lpstr>
      <vt:lpstr>愛媛県</vt:lpstr>
      <vt:lpstr>茨城県</vt:lpstr>
      <vt:lpstr>岡山県</vt:lpstr>
      <vt:lpstr>沖縄県</vt:lpstr>
      <vt:lpstr>岩手県</vt:lpstr>
      <vt:lpstr>岐阜県</vt:lpstr>
      <vt:lpstr>既存住宅断熱改修</vt:lpstr>
      <vt:lpstr>宮崎県</vt:lpstr>
      <vt:lpstr>宮城県</vt:lpstr>
      <vt:lpstr>京都府</vt:lpstr>
      <vt:lpstr>熊本県</vt:lpstr>
      <vt:lpstr>群馬県</vt:lpstr>
      <vt:lpstr>効果促進事業</vt:lpstr>
      <vt:lpstr>広島県</vt:lpstr>
      <vt:lpstr>香川県</vt:lpstr>
      <vt:lpstr>高効率設備等</vt:lpstr>
      <vt:lpstr>高知県</vt:lpstr>
      <vt:lpstr>佐賀県</vt:lpstr>
      <vt:lpstr>埼玉県</vt:lpstr>
      <vt:lpstr>三重県</vt:lpstr>
      <vt:lpstr>山形県</vt:lpstr>
      <vt:lpstr>山口県</vt:lpstr>
      <vt:lpstr>山梨県</vt:lpstr>
      <vt:lpstr>滋賀県</vt:lpstr>
      <vt:lpstr>鹿児島県</vt:lpstr>
      <vt:lpstr>執行事務費</vt:lpstr>
      <vt:lpstr>車載型蓄電池等</vt:lpstr>
      <vt:lpstr>秋田県</vt:lpstr>
      <vt:lpstr>充放電設備</vt:lpstr>
      <vt:lpstr>新潟県</vt:lpstr>
      <vt:lpstr>神奈川県</vt:lpstr>
      <vt:lpstr>水素等関連設備</vt:lpstr>
      <vt:lpstr>水素等利活用設備</vt:lpstr>
      <vt:lpstr>青森県</vt:lpstr>
      <vt:lpstr>静岡県</vt:lpstr>
      <vt:lpstr>石川県</vt:lpstr>
      <vt:lpstr>千葉県</vt:lpstr>
      <vt:lpstr>太陽光発電設備</vt:lpstr>
      <vt:lpstr>大阪府</vt:lpstr>
      <vt:lpstr>大分県</vt:lpstr>
      <vt:lpstr>蓄電池</vt:lpstr>
      <vt:lpstr>長崎県</vt:lpstr>
      <vt:lpstr>長野県</vt:lpstr>
      <vt:lpstr>鳥取県</vt:lpstr>
      <vt:lpstr>島根県</vt:lpstr>
      <vt:lpstr>東京都</vt:lpstr>
      <vt:lpstr>徳島県</vt:lpstr>
      <vt:lpstr>栃木県</vt:lpstr>
      <vt:lpstr>奈良県</vt:lpstr>
      <vt:lpstr>熱利用設備</vt:lpstr>
      <vt:lpstr>富山県</vt:lpstr>
      <vt:lpstr>風力発電オンサイト自家消費型</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2024-03-13T11:53:46Z</dcterms:created>
  <dcterms:modified xsi:type="dcterms:W3CDTF">2025-01-09T01:46:14Z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2024-03-13T12:00:16Z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4593fe57-a7c0-4625-a5f9-b975d2b584ad</vt:lpwstr>
  </property>
  <property fmtid="{D5CDD505-2E9C-101B-9397-08002B2CF9AE}" pid="8" name="MSIP_Label_ea60d57e-af5b-4752-ac57-3e4f28ca11dc_ContentBits">
    <vt:lpwstr>0</vt:lpwstr>
  </property>
</Properties>
</file>